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" sheetId="1" r:id="rId3"/>
    <sheet state="visible" name="Chart" sheetId="2" r:id="rId4"/>
    <sheet state="visible" name="Data" sheetId="3" r:id="rId5"/>
    <sheet state="visible" name="Help" sheetId="4" r:id="rId6"/>
  </sheets>
  <definedNames>
    <definedName name="NamedRange1">Data!$B:$D</definedName>
    <definedName hidden="1" localSheetId="2" name="Z_D7FE5320_9834_4D55_9C50_9EF1AB7600DE_.wvu.FilterData">Data!$B$1:$E$8816</definedName>
    <definedName hidden="1" localSheetId="2" name="Z_F2E701EA_1AD6_4F4E_84DF_883BC47A4FB5_.wvu.FilterData">Data!$B$1:$E$2</definedName>
  </definedNames>
  <calcPr/>
  <customWorkbookViews>
    <customWorkbookView activeSheetId="0" maximized="1" windowHeight="0" windowWidth="0" guid="{D7FE5320-9834-4D55-9C50-9EF1AB7600DE}" name="Filter 2"/>
    <customWorkbookView activeSheetId="0" maximized="1" windowHeight="0" windowWidth="0" guid="{F2E701EA-1AD6-4F4E-84DF-883BC47A4FB5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8">
      <text>
        <t xml:space="preserve">Used as final gravity (FG) in calculations.</t>
      </text>
    </comment>
    <comment authorId="0" ref="B9">
      <text>
        <t xml:space="preserve">Used as original gravity (OG) in calculations.</t>
      </text>
    </comment>
    <comment authorId="0" ref="B22">
      <text>
        <t xml:space="preserve">ABV Calculation Options
- Standard Method: (OG-FG) x 1.3125
- Alternate Method: Based on Brewer's Friend alternate ABV formula (https://www.brewersfriend.com/2011/06/16/alcohol-by-volume-calculator-updated/)
- UK HMRC Method ABV: Based on UK's HM Revenue and Customs (https://www.gov.uk/government/publications/excise-notice-226-beer-duty/excise-notice-226-beer-duty--2#calc-of-abv)
- Wine Method ABV: (OG-FG)/7.36 x 1000
</t>
      </text>
    </comment>
  </commentList>
</comments>
</file>

<file path=xl/sharedStrings.xml><?xml version="1.0" encoding="utf-8"?>
<sst xmlns="http://schemas.openxmlformats.org/spreadsheetml/2006/main" count="17667" uniqueCount="34">
  <si>
    <t>Report &amp; Chart Settings:</t>
  </si>
  <si>
    <t>From Date:</t>
  </si>
  <si>
    <t>To Date:</t>
  </si>
  <si>
    <t>Time Frame:</t>
  </si>
  <si>
    <t>all</t>
  </si>
  <si>
    <t>Temp. Units:</t>
  </si>
  <si>
    <t>Fahrenheit</t>
  </si>
  <si>
    <t>Ferm. Units:</t>
  </si>
  <si>
    <t>SG</t>
  </si>
  <si>
    <t>Current:</t>
  </si>
  <si>
    <t>First:</t>
  </si>
  <si>
    <t>Ferm. Rate (per day):</t>
  </si>
  <si>
    <t>Duration (days):</t>
  </si>
  <si>
    <t>High:</t>
  </si>
  <si>
    <t>Low:</t>
  </si>
  <si>
    <t>Average:</t>
  </si>
  <si>
    <t>Calculations</t>
  </si>
  <si>
    <t>Apparent Attenuation:</t>
  </si>
  <si>
    <t>Standard Method ABV:</t>
  </si>
  <si>
    <t>Timestamp</t>
  </si>
  <si>
    <t>Timepoint</t>
  </si>
  <si>
    <t>Temp</t>
  </si>
  <si>
    <t>Color</t>
  </si>
  <si>
    <t>Beer</t>
  </si>
  <si>
    <t>Comment</t>
  </si>
  <si>
    <t>BLUE</t>
  </si>
  <si>
    <t>Uncle Sams Cider (11/12/2021) (Blue)</t>
  </si>
  <si>
    <t>Tips for using this template:</t>
  </si>
  <si>
    <t>1. Raw data goes to the "Data" sheet. "Timestamp" is the time data is posted, "Timepoint" is the time data is sent from the device.</t>
  </si>
  <si>
    <t>2. Number format in the "Timepoint" column must be a decimal number for the chart to plot properly.</t>
  </si>
  <si>
    <t>3. "Report" sheet formats data newest to oldest and allows unit conversion from Farhenheit to Celsius and SG to Plato.</t>
  </si>
  <si>
    <t>4. "Report" sheet also allows viewing multiple time frames for higher level detail.</t>
  </si>
  <si>
    <t>5. Some cells have warnings on making changes, this is to prevent accidental edits that would make the sheet not work.</t>
  </si>
  <si>
    <t>6. Comments on sheet help explain why some of the calculations are there. Comments may be deleted if desired.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</si>
</sst>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 H:mm:ss"/>
    <numFmt numFmtId="165" formatCode="0.000"/>
    <numFmt numFmtId="166" formatCode="0.0"/>
    <numFmt numFmtId="167" formatCode="0.0000"/>
  </numFmts>
  <fonts count="10">
    <font>
      <sz val="10.0"/>
      <color rgb="FF000000"/>
      <name val="Arial"/>
    </font>
    <font>
      <b/>
      <name val="Arial"/>
    </font>
    <font>
      <b/>
    </font>
    <font>
      <b/>
      <sz val="10.0"/>
    </font>
    <font/>
    <font>
      <sz val="10.0"/>
    </font>
    <font>
      <name val="Arial"/>
    </font>
    <font>
      <color rgb="FF073763"/>
      <name val="Arial"/>
    </font>
    <font>
      <sz val="11.0"/>
      <color rgb="FF000000"/>
      <name val="Arial"/>
    </font>
    <font>
      <color rgb="FFFF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5">
    <border/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000000"/>
      </left>
      <bottom style="thin">
        <color rgb="FFB7B7B7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left style="thin">
        <color rgb="FF000000"/>
      </left>
      <top style="thin">
        <color rgb="FFB7B7B7"/>
      </top>
      <bottom style="thin">
        <color rgb="FFB7B7B7"/>
      </bottom>
    </border>
    <border>
      <left style="thin">
        <color rgb="FF000000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000000"/>
      </right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000000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readingOrder="0" vertical="bottom"/>
    </xf>
    <xf borderId="1" fillId="2" fontId="2" numFmtId="164" xfId="0" applyAlignment="1" applyBorder="1" applyFont="1" applyNumberFormat="1">
      <alignment horizontal="center"/>
    </xf>
    <xf borderId="1" fillId="2" fontId="2" numFmtId="165" xfId="0" applyAlignment="1" applyBorder="1" applyFont="1" applyNumberFormat="1">
      <alignment horizontal="center"/>
    </xf>
    <xf borderId="1" fillId="2" fontId="2" numFmtId="166" xfId="0" applyAlignment="1" applyBorder="1" applyFont="1" applyNumberFormat="1">
      <alignment horizontal="center" readingOrder="0"/>
    </xf>
    <xf borderId="1" fillId="2" fontId="3" numFmtId="0" xfId="0" applyAlignment="1" applyBorder="1" applyFont="1">
      <alignment horizontal="center" readingOrder="0"/>
    </xf>
    <xf borderId="1" fillId="2" fontId="2" numFmtId="0" xfId="0" applyAlignment="1" applyBorder="1" applyFont="1">
      <alignment horizontal="center"/>
    </xf>
    <xf borderId="2" fillId="2" fontId="1" numFmtId="0" xfId="0" applyAlignment="1" applyBorder="1" applyFont="1">
      <alignment horizontal="right" readingOrder="0" vertical="bottom"/>
    </xf>
    <xf borderId="3" fillId="2" fontId="4" numFmtId="164" xfId="0" applyAlignment="1" applyBorder="1" applyFont="1" applyNumberFormat="1">
      <alignment horizontal="center"/>
    </xf>
    <xf borderId="0" fillId="0" fontId="4" numFmtId="164" xfId="0" applyFont="1" applyNumberFormat="1"/>
    <xf borderId="0" fillId="0" fontId="4" numFmtId="165" xfId="0" applyAlignment="1" applyFont="1" applyNumberFormat="1">
      <alignment readingOrder="0"/>
    </xf>
    <xf borderId="0" fillId="0" fontId="4" numFmtId="166" xfId="0" applyAlignment="1" applyFont="1" applyNumberFormat="1">
      <alignment readingOrder="0"/>
    </xf>
    <xf borderId="0" fillId="0" fontId="5" numFmtId="0" xfId="0" applyAlignment="1" applyFont="1">
      <alignment horizontal="left" readingOrder="0"/>
    </xf>
    <xf borderId="4" fillId="2" fontId="1" numFmtId="0" xfId="0" applyAlignment="1" applyBorder="1" applyFont="1">
      <alignment horizontal="right" readingOrder="0" vertical="bottom"/>
    </xf>
    <xf borderId="1" fillId="2" fontId="4" numFmtId="164" xfId="0" applyAlignment="1" applyBorder="1" applyFont="1" applyNumberFormat="1">
      <alignment horizontal="center"/>
    </xf>
    <xf borderId="0" fillId="0" fontId="4" numFmtId="165" xfId="0" applyFont="1" applyNumberFormat="1"/>
    <xf borderId="0" fillId="0" fontId="4" numFmtId="166" xfId="0" applyFont="1" applyNumberFormat="1"/>
    <xf borderId="4" fillId="2" fontId="2" numFmtId="0" xfId="0" applyAlignment="1" applyBorder="1" applyFont="1">
      <alignment horizontal="right" readingOrder="0"/>
    </xf>
    <xf borderId="1" fillId="2" fontId="6" numFmtId="0" xfId="0" applyAlignment="1" applyBorder="1" applyFont="1">
      <alignment horizontal="center" readingOrder="0" vertical="bottom"/>
    </xf>
    <xf borderId="0" fillId="0" fontId="5" numFmtId="0" xfId="0" applyAlignment="1" applyFont="1">
      <alignment horizontal="left"/>
    </xf>
    <xf borderId="0" fillId="0" fontId="5" numFmtId="0" xfId="0" applyFont="1"/>
    <xf borderId="4" fillId="2" fontId="1" numFmtId="0" xfId="0" applyAlignment="1" applyBorder="1" applyFont="1">
      <alignment horizontal="right" readingOrder="0" vertical="bottom"/>
    </xf>
    <xf borderId="1" fillId="2" fontId="6" numFmtId="165" xfId="0" applyAlignment="1" applyBorder="1" applyFont="1" applyNumberFormat="1">
      <alignment horizontal="center" readingOrder="0" vertical="bottom"/>
    </xf>
    <xf borderId="5" fillId="3" fontId="7" numFmtId="165" xfId="0" applyAlignment="1" applyBorder="1" applyFill="1" applyFont="1" applyNumberFormat="1">
      <alignment horizontal="center" vertical="bottom"/>
    </xf>
    <xf borderId="6" fillId="3" fontId="8" numFmtId="165" xfId="0" applyBorder="1" applyFont="1" applyNumberFormat="1"/>
    <xf borderId="7" fillId="0" fontId="1" numFmtId="164" xfId="0" applyAlignment="1" applyBorder="1" applyFont="1" applyNumberFormat="1">
      <alignment horizontal="right" vertical="bottom"/>
    </xf>
    <xf borderId="8" fillId="0" fontId="6" numFmtId="167" xfId="0" applyAlignment="1" applyBorder="1" applyFont="1" applyNumberFormat="1">
      <alignment horizontal="center" vertical="bottom"/>
    </xf>
    <xf borderId="7" fillId="0" fontId="1" numFmtId="0" xfId="0" applyAlignment="1" applyBorder="1" applyFont="1">
      <alignment horizontal="right" readingOrder="0" vertical="bottom"/>
    </xf>
    <xf borderId="8" fillId="0" fontId="6" numFmtId="2" xfId="0" applyAlignment="1" applyBorder="1" applyFont="1" applyNumberFormat="1">
      <alignment horizontal="center" vertical="bottom"/>
    </xf>
    <xf borderId="0" fillId="0" fontId="5" numFmtId="0" xfId="0" applyAlignment="1" applyFont="1">
      <alignment readingOrder="0"/>
    </xf>
    <xf borderId="9" fillId="0" fontId="1" numFmtId="164" xfId="0" applyAlignment="1" applyBorder="1" applyFont="1" applyNumberFormat="1">
      <alignment horizontal="right" vertical="bottom"/>
    </xf>
    <xf borderId="10" fillId="0" fontId="6" numFmtId="167" xfId="0" applyAlignment="1" applyBorder="1" applyFont="1" applyNumberFormat="1">
      <alignment horizontal="center" vertical="bottom"/>
    </xf>
    <xf borderId="5" fillId="3" fontId="9" numFmtId="165" xfId="0" applyAlignment="1" applyBorder="1" applyFont="1" applyNumberFormat="1">
      <alignment horizontal="center" vertical="bottom"/>
    </xf>
    <xf borderId="5" fillId="0" fontId="1" numFmtId="164" xfId="0" applyAlignment="1" applyBorder="1" applyFont="1" applyNumberFormat="1">
      <alignment horizontal="right" vertical="bottom"/>
    </xf>
    <xf borderId="6" fillId="0" fontId="6" numFmtId="166" xfId="0" applyAlignment="1" applyBorder="1" applyFont="1" applyNumberFormat="1">
      <alignment horizontal="center" vertical="bottom"/>
    </xf>
    <xf borderId="8" fillId="0" fontId="6" numFmtId="166" xfId="0" applyAlignment="1" applyBorder="1" applyFont="1" applyNumberFormat="1">
      <alignment horizontal="center" vertical="bottom"/>
    </xf>
    <xf borderId="0" fillId="0" fontId="4" numFmtId="164" xfId="0" applyAlignment="1" applyFont="1" applyNumberFormat="1">
      <alignment readingOrder="0"/>
    </xf>
    <xf borderId="10" fillId="0" fontId="6" numFmtId="166" xfId="0" applyAlignment="1" applyBorder="1" applyFont="1" applyNumberFormat="1">
      <alignment horizontal="center" vertical="bottom"/>
    </xf>
    <xf borderId="11" fillId="3" fontId="4" numFmtId="0" xfId="0" applyAlignment="1" applyBorder="1" applyFont="1">
      <alignment horizontal="center" readingOrder="0"/>
    </xf>
    <xf borderId="8" fillId="3" fontId="4" numFmtId="0" xfId="0" applyBorder="1" applyFont="1"/>
    <xf borderId="11" fillId="4" fontId="1" numFmtId="164" xfId="0" applyAlignment="1" applyBorder="1" applyFill="1" applyFont="1" applyNumberFormat="1">
      <alignment horizontal="right" vertical="bottom"/>
    </xf>
    <xf borderId="8" fillId="4" fontId="6" numFmtId="10" xfId="0" applyAlignment="1" applyBorder="1" applyFont="1" applyNumberFormat="1">
      <alignment horizontal="center" vertical="bottom"/>
    </xf>
    <xf borderId="12" fillId="4" fontId="1" numFmtId="0" xfId="0" applyAlignment="1" applyBorder="1" applyFont="1">
      <alignment horizontal="right" readingOrder="0" vertical="bottom"/>
    </xf>
    <xf borderId="10" fillId="4" fontId="6" numFmtId="10" xfId="0" applyAlignment="1" applyBorder="1" applyFont="1" applyNumberFormat="1">
      <alignment horizontal="center" vertical="bottom"/>
    </xf>
    <xf borderId="13" fillId="0" fontId="2" numFmtId="0" xfId="0" applyAlignment="1" applyBorder="1" applyFont="1">
      <alignment horizontal="right" readingOrder="0"/>
    </xf>
    <xf borderId="14" fillId="0" fontId="4" numFmtId="2" xfId="0" applyAlignment="1" applyBorder="1" applyFont="1" applyNumberFormat="1">
      <alignment horizontal="center"/>
    </xf>
    <xf borderId="0" fillId="0" fontId="2" numFmtId="164" xfId="0" applyAlignment="1" applyFont="1" applyNumberFormat="1">
      <alignment readingOrder="0"/>
    </xf>
    <xf borderId="0" fillId="0" fontId="2" numFmtId="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6" numFmtId="164" xfId="0" applyAlignment="1" applyFont="1" applyNumberFormat="1">
      <alignment horizontal="right" readingOrder="0" vertical="bottom"/>
    </xf>
    <xf borderId="0" fillId="0" fontId="6" numFmtId="4" xfId="0" applyAlignment="1" applyFont="1" applyNumberFormat="1">
      <alignment horizontal="right" readingOrder="0" vertical="bottom"/>
    </xf>
    <xf borderId="0" fillId="0" fontId="6" numFmtId="0" xfId="0" applyAlignment="1" applyFont="1">
      <alignment horizontal="right" readingOrder="0"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chartsheet" Target="chart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Report!$D$1</c:f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trendline>
            <c:name>SG Trend</c:name>
            <c:spPr>
              <a:ln w="19050">
                <a:solidFill>
                  <a:srgbClr val="3366CC"/>
                </a:solidFill>
              </a:ln>
            </c:spPr>
            <c:trendlineType val="linear"/>
            <c:dispRSqr val="0"/>
            <c:dispEq val="0"/>
          </c:trendline>
          <c:cat>
            <c:strRef>
              <c:f>Report!$C$2:$C$9978</c:f>
            </c:strRef>
          </c:cat>
          <c:val>
            <c:numRef>
              <c:f>Report!$D$2:$D$9978</c:f>
              <c:numCache/>
            </c:numRef>
          </c:val>
          <c:smooth val="0"/>
        </c:ser>
        <c:axId val="1144307505"/>
        <c:axId val="1541486232"/>
      </c:lineChart>
      <c:catAx>
        <c:axId val="11443075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41486232"/>
      </c:catAx>
      <c:valAx>
        <c:axId val="1541486232"/>
        <c:scaling>
          <c:orientation val="minMax"/>
          <c:min val="0.99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44307505"/>
      </c:valAx>
      <c:lineChart>
        <c:varyColors val="0"/>
        <c:ser>
          <c:idx val="1"/>
          <c:order val="1"/>
          <c:tx>
            <c:strRef>
              <c:f>Report!$E$1</c:f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trendline>
            <c:name>Temp Trend</c:name>
            <c:spPr>
              <a:ln w="19050">
                <a:solidFill>
                  <a:srgbClr val="DC3912"/>
                </a:solidFill>
              </a:ln>
            </c:spPr>
            <c:trendlineType val="linear"/>
            <c:dispRSqr val="0"/>
            <c:dispEq val="0"/>
          </c:trendline>
          <c:cat>
            <c:strRef>
              <c:f>Report!$C$2:$C$9978</c:f>
            </c:strRef>
          </c:cat>
          <c:val>
            <c:numRef>
              <c:f>Report!$E$2:$E$9978</c:f>
              <c:numCache/>
            </c:numRef>
          </c:val>
          <c:smooth val="0"/>
        </c:ser>
        <c:axId val="448800354"/>
        <c:axId val="1618650726"/>
      </c:lineChart>
      <c:catAx>
        <c:axId val="44880035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18650726"/>
      </c:catAx>
      <c:valAx>
        <c:axId val="161865072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48800354"/>
        <c:crosses val="max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28575</xdr:rowOff>
    </xdr:from>
    <xdr:ext cx="723900" cy="7334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71"/>
    <col customWidth="1" min="2" max="2" width="17.29"/>
    <col customWidth="1" min="3" max="3" width="18.29"/>
    <col customWidth="1" min="5" max="5" width="20.0"/>
    <col customWidth="1" min="6" max="7" width="22.14"/>
    <col customWidth="1" min="8" max="8" width="16.86"/>
  </cols>
  <sheetData>
    <row r="1">
      <c r="A1" s="1" t="s">
        <v>0</v>
      </c>
      <c r="B1" s="1"/>
      <c r="C1" s="2" t="str">
        <f>IFERROR(__xludf.DUMMYFUNCTION("IF(B5=""Celsius"",IF(B6=""Plato"",QUERY(Data!B:G, ""select B, -463.37+668.72*C-205.35*C*C, (D-32)*5/9, E, F, G where B &gt;= ""&amp;B2&amp;"" and B &lt;= ""&amp;B3&amp;"" order by B desc label -463.37+668.72*C-205.35*C*C  '% sugar (°P)',(D-32)*5/9 'Temp (°C)'"",1),QUERY(Data!B"&amp;":G, ""select B, C, (D-32)*5/9, E, F, G where B &gt;= ""&amp;B2&amp;"" and B &lt;= ""&amp;B3&amp;"" order by B desc label (D-32)*5/9 'Temp (°C)'"",1)),IF(B6=""Plato"",QUERY(Data!B:G, ""select B, -463.37+668.72*C-205.35*C*C, D, E, F, G where B &gt;= ""&amp;B2&amp;"" and B &lt;= ""&amp;B3&amp;"" order"&amp;" by B desc label -463.37+668.72*C-205.35*C*C  '% sugar (°P)',D 'Temp (°F)'"",1),QUERY(Data!B:G, ""select B, C, D, E, F, G where B &gt;= ""&amp;B2&amp;"" and B &lt;= ""&amp;B3&amp;"" order by B desc label D 'Temp (°F)'"",1)))"),"Timepoint")</f>
        <v>Timepoint</v>
      </c>
      <c r="D1" s="3" t="str">
        <f>IFERROR(__xludf.DUMMYFUNCTION("""COMPUTED_VALUE"""),"SG")</f>
        <v>SG</v>
      </c>
      <c r="E1" s="4" t="str">
        <f>IFERROR(__xludf.DUMMYFUNCTION("""COMPUTED_VALUE"""),"Temp (°F)")</f>
        <v>Temp (°F)</v>
      </c>
      <c r="F1" s="5" t="str">
        <f>IFERROR(__xludf.DUMMYFUNCTION("""COMPUTED_VALUE"""),"Color")</f>
        <v>Color</v>
      </c>
      <c r="G1" s="6" t="str">
        <f>IFERROR(__xludf.DUMMYFUNCTION("""COMPUTED_VALUE"""),"Beer")</f>
        <v>Beer</v>
      </c>
      <c r="H1" s="6" t="str">
        <f>IFERROR(__xludf.DUMMYFUNCTION("""COMPUTED_VALUE"""),"Comment")</f>
        <v>Comment</v>
      </c>
    </row>
    <row r="2">
      <c r="A2" s="7" t="s">
        <v>1</v>
      </c>
      <c r="B2" s="8">
        <f>if(B4="all",min(Data!B:B),max(Data!B:B)-mid(B4,6,2))</f>
        <v>44512.76863</v>
      </c>
      <c r="C2" s="9">
        <f>IFERROR(__xludf.DUMMYFUNCTION("""COMPUTED_VALUE"""),44605.5458161689)</f>
        <v>44605.54582</v>
      </c>
      <c r="D2" s="10">
        <f>IFERROR(__xludf.DUMMYFUNCTION("""COMPUTED_VALUE"""),0.999)</f>
        <v>0.999</v>
      </c>
      <c r="E2" s="11">
        <f>IFERROR(__xludf.DUMMYFUNCTION("""COMPUTED_VALUE"""),63.0)</f>
        <v>63</v>
      </c>
      <c r="F2" s="12" t="str">
        <f>IFERROR(__xludf.DUMMYFUNCTION("""COMPUTED_VALUE"""),"BLUE")</f>
        <v>BLUE</v>
      </c>
      <c r="G2" t="str">
        <f>IFERROR(__xludf.DUMMYFUNCTION("""COMPUTED_VALUE"""),"Uncle Sams Cider (11/12/2021) (Blue)")</f>
        <v>Uncle Sams Cider (11/12/2021) (Blue)</v>
      </c>
    </row>
    <row r="3" ht="1.5" customHeight="1">
      <c r="A3" s="13" t="s">
        <v>2</v>
      </c>
      <c r="B3" s="14">
        <f>max(Data!B:B)</f>
        <v>44605.54582</v>
      </c>
      <c r="C3" s="9">
        <f>IFERROR(__xludf.DUMMYFUNCTION("""COMPUTED_VALUE"""),44605.5353951504)</f>
        <v>44605.5354</v>
      </c>
      <c r="D3" s="15">
        <f>IFERROR(__xludf.DUMMYFUNCTION("""COMPUTED_VALUE"""),0.999)</f>
        <v>0.999</v>
      </c>
      <c r="E3" s="16">
        <f>IFERROR(__xludf.DUMMYFUNCTION("""COMPUTED_VALUE"""),63.0)</f>
        <v>63</v>
      </c>
      <c r="F3" s="12" t="str">
        <f>IFERROR(__xludf.DUMMYFUNCTION("""COMPUTED_VALUE"""),"BLUE")</f>
        <v>BLUE</v>
      </c>
      <c r="G3" t="str">
        <f>IFERROR(__xludf.DUMMYFUNCTION("""COMPUTED_VALUE"""),"Uncle Sams Cider (11/12/2021) (Blue)")</f>
        <v>Uncle Sams Cider (11/12/2021) (Blue)</v>
      </c>
    </row>
    <row r="4">
      <c r="A4" s="17" t="s">
        <v>3</v>
      </c>
      <c r="B4" s="18" t="s">
        <v>4</v>
      </c>
      <c r="C4" s="9">
        <f>IFERROR(__xludf.DUMMYFUNCTION("""COMPUTED_VALUE"""),44605.5249725115)</f>
        <v>44605.52497</v>
      </c>
      <c r="D4" s="15">
        <f>IFERROR(__xludf.DUMMYFUNCTION("""COMPUTED_VALUE"""),0.999)</f>
        <v>0.999</v>
      </c>
      <c r="E4" s="16">
        <f>IFERROR(__xludf.DUMMYFUNCTION("""COMPUTED_VALUE"""),63.0)</f>
        <v>63</v>
      </c>
      <c r="F4" s="19" t="str">
        <f>IFERROR(__xludf.DUMMYFUNCTION("""COMPUTED_VALUE"""),"BLUE")</f>
        <v>BLUE</v>
      </c>
      <c r="G4" s="20" t="str">
        <f>IFERROR(__xludf.DUMMYFUNCTION("""COMPUTED_VALUE"""),"Uncle Sams Cider (11/12/2021) (Blue)")</f>
        <v>Uncle Sams Cider (11/12/2021) (Blue)</v>
      </c>
      <c r="H4" s="19"/>
    </row>
    <row r="5">
      <c r="A5" s="17" t="s">
        <v>5</v>
      </c>
      <c r="B5" s="18" t="s">
        <v>6</v>
      </c>
      <c r="C5" s="9">
        <f>IFERROR(__xludf.DUMMYFUNCTION("""COMPUTED_VALUE"""),44605.514552199)</f>
        <v>44605.51455</v>
      </c>
      <c r="D5" s="15">
        <f>IFERROR(__xludf.DUMMYFUNCTION("""COMPUTED_VALUE"""),0.999)</f>
        <v>0.999</v>
      </c>
      <c r="E5" s="16">
        <f>IFERROR(__xludf.DUMMYFUNCTION("""COMPUTED_VALUE"""),63.0)</f>
        <v>63</v>
      </c>
      <c r="F5" s="19" t="str">
        <f>IFERROR(__xludf.DUMMYFUNCTION("""COMPUTED_VALUE"""),"BLUE")</f>
        <v>BLUE</v>
      </c>
      <c r="G5" s="20" t="str">
        <f>IFERROR(__xludf.DUMMYFUNCTION("""COMPUTED_VALUE"""),"Uncle Sams Cider (11/12/2021) (Blue)")</f>
        <v>Uncle Sams Cider (11/12/2021) (Blue)</v>
      </c>
      <c r="H5" s="19"/>
    </row>
    <row r="6">
      <c r="A6" s="21" t="s">
        <v>7</v>
      </c>
      <c r="B6" s="22" t="s">
        <v>8</v>
      </c>
      <c r="C6" s="9">
        <f>IFERROR(__xludf.DUMMYFUNCTION("""COMPUTED_VALUE"""),44605.5041298379)</f>
        <v>44605.50413</v>
      </c>
      <c r="D6" s="15">
        <f>IFERROR(__xludf.DUMMYFUNCTION("""COMPUTED_VALUE"""),0.999)</f>
        <v>0.999</v>
      </c>
      <c r="E6" s="16">
        <f>IFERROR(__xludf.DUMMYFUNCTION("""COMPUTED_VALUE"""),63.0)</f>
        <v>63</v>
      </c>
      <c r="F6" s="19" t="str">
        <f>IFERROR(__xludf.DUMMYFUNCTION("""COMPUTED_VALUE"""),"BLUE")</f>
        <v>BLUE</v>
      </c>
      <c r="G6" s="20" t="str">
        <f>IFERROR(__xludf.DUMMYFUNCTION("""COMPUTED_VALUE"""),"Uncle Sams Cider (11/12/2021) (Blue)")</f>
        <v>Uncle Sams Cider (11/12/2021) (Blue)</v>
      </c>
      <c r="H6" s="19"/>
    </row>
    <row r="7">
      <c r="A7" s="23" t="str">
        <f>D1</f>
        <v>SG</v>
      </c>
      <c r="B7" s="24"/>
      <c r="C7" s="9">
        <f>IFERROR(__xludf.DUMMYFUNCTION("""COMPUTED_VALUE"""),44605.4937101967)</f>
        <v>44605.49371</v>
      </c>
      <c r="D7" s="15">
        <f>IFERROR(__xludf.DUMMYFUNCTION("""COMPUTED_VALUE"""),0.999)</f>
        <v>0.999</v>
      </c>
      <c r="E7" s="16">
        <f>IFERROR(__xludf.DUMMYFUNCTION("""COMPUTED_VALUE"""),63.0)</f>
        <v>63</v>
      </c>
      <c r="F7" s="19" t="str">
        <f>IFERROR(__xludf.DUMMYFUNCTION("""COMPUTED_VALUE"""),"BLUE")</f>
        <v>BLUE</v>
      </c>
      <c r="G7" s="20" t="str">
        <f>IFERROR(__xludf.DUMMYFUNCTION("""COMPUTED_VALUE"""),"Uncle Sams Cider (11/12/2021) (Blue)")</f>
        <v>Uncle Sams Cider (11/12/2021) (Blue)</v>
      </c>
      <c r="H7" s="19"/>
    </row>
    <row r="8">
      <c r="A8" s="25" t="s">
        <v>9</v>
      </c>
      <c r="B8" s="26">
        <f>D2</f>
        <v>0.999</v>
      </c>
      <c r="C8" s="9">
        <f>IFERROR(__xludf.DUMMYFUNCTION("""COMPUTED_VALUE"""),44605.4832896759)</f>
        <v>44605.48329</v>
      </c>
      <c r="D8" s="15">
        <f>IFERROR(__xludf.DUMMYFUNCTION("""COMPUTED_VALUE"""),0.999)</f>
        <v>0.999</v>
      </c>
      <c r="E8" s="16">
        <f>IFERROR(__xludf.DUMMYFUNCTION("""COMPUTED_VALUE"""),63.0)</f>
        <v>63</v>
      </c>
      <c r="F8" s="19" t="str">
        <f>IFERROR(__xludf.DUMMYFUNCTION("""COMPUTED_VALUE"""),"BLUE")</f>
        <v>BLUE</v>
      </c>
      <c r="G8" s="20" t="str">
        <f>IFERROR(__xludf.DUMMYFUNCTION("""COMPUTED_VALUE"""),"Uncle Sams Cider (11/12/2021) (Blue)")</f>
        <v>Uncle Sams Cider (11/12/2021) (Blue)</v>
      </c>
      <c r="H8" s="19"/>
    </row>
    <row r="9">
      <c r="A9" s="27" t="s">
        <v>10</v>
      </c>
      <c r="B9" s="26">
        <f>indirect("D"&amp; counta(D:D))</f>
        <v>1.109</v>
      </c>
      <c r="C9" s="9">
        <f>IFERROR(__xludf.DUMMYFUNCTION("""COMPUTED_VALUE"""),44605.4728683449)</f>
        <v>44605.47287</v>
      </c>
      <c r="D9" s="15">
        <f>IFERROR(__xludf.DUMMYFUNCTION("""COMPUTED_VALUE"""),0.999)</f>
        <v>0.999</v>
      </c>
      <c r="E9" s="16">
        <f>IFERROR(__xludf.DUMMYFUNCTION("""COMPUTED_VALUE"""),63.0)</f>
        <v>63</v>
      </c>
      <c r="F9" s="19" t="str">
        <f>IFERROR(__xludf.DUMMYFUNCTION("""COMPUTED_VALUE"""),"BLUE")</f>
        <v>BLUE</v>
      </c>
      <c r="G9" s="20" t="str">
        <f>IFERROR(__xludf.DUMMYFUNCTION("""COMPUTED_VALUE"""),"Uncle Sams Cider (11/12/2021) (Blue)")</f>
        <v>Uncle Sams Cider (11/12/2021) (Blue)</v>
      </c>
      <c r="H9" s="19"/>
    </row>
    <row r="10">
      <c r="A10" s="27" t="s">
        <v>11</v>
      </c>
      <c r="B10" s="26">
        <f>IFERROR(slope(D:D,C:C),"more data needed")</f>
        <v>-0.0007345321009</v>
      </c>
      <c r="C10" s="9">
        <f>IFERROR(__xludf.DUMMYFUNCTION("""COMPUTED_VALUE"""),44605.4624493402)</f>
        <v>44605.46245</v>
      </c>
      <c r="D10" s="15">
        <f>IFERROR(__xludf.DUMMYFUNCTION("""COMPUTED_VALUE"""),0.999)</f>
        <v>0.999</v>
      </c>
      <c r="E10" s="16">
        <f>IFERROR(__xludf.DUMMYFUNCTION("""COMPUTED_VALUE"""),63.0)</f>
        <v>63</v>
      </c>
      <c r="F10" s="19" t="str">
        <f>IFERROR(__xludf.DUMMYFUNCTION("""COMPUTED_VALUE"""),"BLUE")</f>
        <v>BLUE</v>
      </c>
      <c r="G10" s="20" t="str">
        <f>IFERROR(__xludf.DUMMYFUNCTION("""COMPUTED_VALUE"""),"Uncle Sams Cider (11/12/2021) (Blue)")</f>
        <v>Uncle Sams Cider (11/12/2021) (Blue)</v>
      </c>
      <c r="H10" s="19"/>
    </row>
    <row r="11">
      <c r="A11" s="25" t="s">
        <v>12</v>
      </c>
      <c r="B11" s="28">
        <f>B3-B2</f>
        <v>92.7771883</v>
      </c>
      <c r="C11" s="9">
        <f>IFERROR(__xludf.DUMMYFUNCTION("""COMPUTED_VALUE"""),44605.4520163888)</f>
        <v>44605.45202</v>
      </c>
      <c r="D11" s="15">
        <f>IFERROR(__xludf.DUMMYFUNCTION("""COMPUTED_VALUE"""),0.999)</f>
        <v>0.999</v>
      </c>
      <c r="E11" s="11">
        <f>IFERROR(__xludf.DUMMYFUNCTION("""COMPUTED_VALUE"""),63.0)</f>
        <v>63</v>
      </c>
      <c r="F11" s="12" t="str">
        <f>IFERROR(__xludf.DUMMYFUNCTION("""COMPUTED_VALUE"""),"BLUE")</f>
        <v>BLUE</v>
      </c>
      <c r="G11" s="29" t="str">
        <f>IFERROR(__xludf.DUMMYFUNCTION("""COMPUTED_VALUE"""),"Uncle Sams Cider (11/12/2021) (Blue)")</f>
        <v>Uncle Sams Cider (11/12/2021) (Blue)</v>
      </c>
      <c r="H11" s="12"/>
    </row>
    <row r="12">
      <c r="A12" s="25" t="s">
        <v>13</v>
      </c>
      <c r="B12" s="26">
        <f>max(D:D)</f>
        <v>1.122</v>
      </c>
      <c r="C12" s="9">
        <f>IFERROR(__xludf.DUMMYFUNCTION("""COMPUTED_VALUE"""),44605.4415954745)</f>
        <v>44605.4416</v>
      </c>
      <c r="D12" s="15">
        <f>IFERROR(__xludf.DUMMYFUNCTION("""COMPUTED_VALUE"""),0.999)</f>
        <v>0.999</v>
      </c>
      <c r="E12" s="11">
        <f>IFERROR(__xludf.DUMMYFUNCTION("""COMPUTED_VALUE"""),63.0)</f>
        <v>63</v>
      </c>
      <c r="F12" s="19" t="str">
        <f>IFERROR(__xludf.DUMMYFUNCTION("""COMPUTED_VALUE"""),"BLUE")</f>
        <v>BLUE</v>
      </c>
      <c r="G12" s="20" t="str">
        <f>IFERROR(__xludf.DUMMYFUNCTION("""COMPUTED_VALUE"""),"Uncle Sams Cider (11/12/2021) (Blue)")</f>
        <v>Uncle Sams Cider (11/12/2021) (Blue)</v>
      </c>
      <c r="H12" s="19"/>
    </row>
    <row r="13">
      <c r="A13" s="30" t="s">
        <v>14</v>
      </c>
      <c r="B13" s="31">
        <f>min(D:D)</f>
        <v>0.999</v>
      </c>
      <c r="C13" s="9">
        <f>IFERROR(__xludf.DUMMYFUNCTION("""COMPUTED_VALUE"""),44605.4311745254)</f>
        <v>44605.43117</v>
      </c>
      <c r="D13" s="15">
        <f>IFERROR(__xludf.DUMMYFUNCTION("""COMPUTED_VALUE"""),0.999)</f>
        <v>0.999</v>
      </c>
      <c r="E13" s="11">
        <f>IFERROR(__xludf.DUMMYFUNCTION("""COMPUTED_VALUE"""),63.0)</f>
        <v>63</v>
      </c>
      <c r="F13" s="19" t="str">
        <f>IFERROR(__xludf.DUMMYFUNCTION("""COMPUTED_VALUE"""),"BLUE")</f>
        <v>BLUE</v>
      </c>
      <c r="G13" s="20" t="str">
        <f>IFERROR(__xludf.DUMMYFUNCTION("""COMPUTED_VALUE"""),"Uncle Sams Cider (11/12/2021) (Blue)")</f>
        <v>Uncle Sams Cider (11/12/2021) (Blue)</v>
      </c>
      <c r="H13" s="19"/>
    </row>
    <row r="14">
      <c r="A14" s="32" t="str">
        <f>E1</f>
        <v>Temp (°F)</v>
      </c>
      <c r="B14" s="24"/>
      <c r="C14" s="9">
        <f>IFERROR(__xludf.DUMMYFUNCTION("""COMPUTED_VALUE"""),44605.4207533333)</f>
        <v>44605.42075</v>
      </c>
      <c r="D14" s="15">
        <f>IFERROR(__xludf.DUMMYFUNCTION("""COMPUTED_VALUE"""),0.999)</f>
        <v>0.999</v>
      </c>
      <c r="E14" s="16">
        <f>IFERROR(__xludf.DUMMYFUNCTION("""COMPUTED_VALUE"""),63.0)</f>
        <v>63</v>
      </c>
      <c r="F14" s="19" t="str">
        <f>IFERROR(__xludf.DUMMYFUNCTION("""COMPUTED_VALUE"""),"BLUE")</f>
        <v>BLUE</v>
      </c>
      <c r="G14" s="20" t="str">
        <f>IFERROR(__xludf.DUMMYFUNCTION("""COMPUTED_VALUE"""),"Uncle Sams Cider (11/12/2021) (Blue)")</f>
        <v>Uncle Sams Cider (11/12/2021) (Blue)</v>
      </c>
      <c r="H14" s="19"/>
    </row>
    <row r="15">
      <c r="A15" s="33" t="s">
        <v>9</v>
      </c>
      <c r="B15" s="34">
        <f>E2</f>
        <v>63</v>
      </c>
      <c r="C15" s="9">
        <f>IFERROR(__xludf.DUMMYFUNCTION("""COMPUTED_VALUE"""),44605.4103299421)</f>
        <v>44605.41033</v>
      </c>
      <c r="D15" s="15">
        <f>IFERROR(__xludf.DUMMYFUNCTION("""COMPUTED_VALUE"""),0.999)</f>
        <v>0.999</v>
      </c>
      <c r="E15" s="16">
        <f>IFERROR(__xludf.DUMMYFUNCTION("""COMPUTED_VALUE"""),63.0)</f>
        <v>63</v>
      </c>
      <c r="F15" s="19" t="str">
        <f>IFERROR(__xludf.DUMMYFUNCTION("""COMPUTED_VALUE"""),"BLUE")</f>
        <v>BLUE</v>
      </c>
      <c r="G15" s="20" t="str">
        <f>IFERROR(__xludf.DUMMYFUNCTION("""COMPUTED_VALUE"""),"Uncle Sams Cider (11/12/2021) (Blue)")</f>
        <v>Uncle Sams Cider (11/12/2021) (Blue)</v>
      </c>
      <c r="H15" s="19"/>
    </row>
    <row r="16">
      <c r="A16" s="25" t="s">
        <v>15</v>
      </c>
      <c r="B16" s="35">
        <f>average(E:E)</f>
        <v>64.10198525</v>
      </c>
      <c r="C16" s="9">
        <f>IFERROR(__xludf.DUMMYFUNCTION("""COMPUTED_VALUE"""),44605.3999098611)</f>
        <v>44605.39991</v>
      </c>
      <c r="D16" s="15">
        <f>IFERROR(__xludf.DUMMYFUNCTION("""COMPUTED_VALUE"""),0.999)</f>
        <v>0.999</v>
      </c>
      <c r="E16" s="16">
        <f>IFERROR(__xludf.DUMMYFUNCTION("""COMPUTED_VALUE"""),63.0)</f>
        <v>63</v>
      </c>
      <c r="F16" s="19" t="str">
        <f>IFERROR(__xludf.DUMMYFUNCTION("""COMPUTED_VALUE"""),"BLUE")</f>
        <v>BLUE</v>
      </c>
      <c r="G16" s="20" t="str">
        <f>IFERROR(__xludf.DUMMYFUNCTION("""COMPUTED_VALUE"""),"Uncle Sams Cider (11/12/2021) (Blue)")</f>
        <v>Uncle Sams Cider (11/12/2021) (Blue)</v>
      </c>
      <c r="H16" s="19"/>
    </row>
    <row r="17">
      <c r="A17" s="25" t="s">
        <v>12</v>
      </c>
      <c r="B17" s="28">
        <f>B3-B2</f>
        <v>92.7771883</v>
      </c>
      <c r="C17" s="9">
        <f>IFERROR(__xludf.DUMMYFUNCTION("""COMPUTED_VALUE"""),44605.3894887615)</f>
        <v>44605.38949</v>
      </c>
      <c r="D17" s="15">
        <f>IFERROR(__xludf.DUMMYFUNCTION("""COMPUTED_VALUE"""),0.999)</f>
        <v>0.999</v>
      </c>
      <c r="E17" s="16">
        <f>IFERROR(__xludf.DUMMYFUNCTION("""COMPUTED_VALUE"""),63.0)</f>
        <v>63</v>
      </c>
      <c r="F17" s="19" t="str">
        <f>IFERROR(__xludf.DUMMYFUNCTION("""COMPUTED_VALUE"""),"BLUE")</f>
        <v>BLUE</v>
      </c>
      <c r="G17" s="20" t="str">
        <f>IFERROR(__xludf.DUMMYFUNCTION("""COMPUTED_VALUE"""),"Uncle Sams Cider (11/12/2021) (Blue)")</f>
        <v>Uncle Sams Cider (11/12/2021) (Blue)</v>
      </c>
      <c r="H17" s="19"/>
    </row>
    <row r="18">
      <c r="A18" s="25" t="s">
        <v>13</v>
      </c>
      <c r="B18" s="35">
        <f>max(E:E)</f>
        <v>75</v>
      </c>
      <c r="C18" s="36">
        <f>IFERROR(__xludf.DUMMYFUNCTION("""COMPUTED_VALUE"""),44605.3790679166)</f>
        <v>44605.37907</v>
      </c>
      <c r="D18" s="15">
        <f>IFERROR(__xludf.DUMMYFUNCTION("""COMPUTED_VALUE"""),0.999)</f>
        <v>0.999</v>
      </c>
      <c r="E18" s="16">
        <f>IFERROR(__xludf.DUMMYFUNCTION("""COMPUTED_VALUE"""),63.0)</f>
        <v>63</v>
      </c>
      <c r="F18" s="19" t="str">
        <f>IFERROR(__xludf.DUMMYFUNCTION("""COMPUTED_VALUE"""),"BLUE")</f>
        <v>BLUE</v>
      </c>
      <c r="G18" s="20" t="str">
        <f>IFERROR(__xludf.DUMMYFUNCTION("""COMPUTED_VALUE"""),"Uncle Sams Cider (11/12/2021) (Blue)")</f>
        <v>Uncle Sams Cider (11/12/2021) (Blue)</v>
      </c>
      <c r="H18" s="19"/>
    </row>
    <row r="19">
      <c r="A19" s="30" t="s">
        <v>14</v>
      </c>
      <c r="B19" s="37">
        <f>min(E:E)</f>
        <v>61</v>
      </c>
      <c r="C19" s="9">
        <f>IFERROR(__xludf.DUMMYFUNCTION("""COMPUTED_VALUE"""),44605.3686468055)</f>
        <v>44605.36865</v>
      </c>
      <c r="D19" s="15">
        <f>IFERROR(__xludf.DUMMYFUNCTION("""COMPUTED_VALUE"""),0.999)</f>
        <v>0.999</v>
      </c>
      <c r="E19" s="16">
        <f>IFERROR(__xludf.DUMMYFUNCTION("""COMPUTED_VALUE"""),63.0)</f>
        <v>63</v>
      </c>
      <c r="F19" s="19" t="str">
        <f>IFERROR(__xludf.DUMMYFUNCTION("""COMPUTED_VALUE"""),"BLUE")</f>
        <v>BLUE</v>
      </c>
      <c r="G19" s="20" t="str">
        <f>IFERROR(__xludf.DUMMYFUNCTION("""COMPUTED_VALUE"""),"Uncle Sams Cider (11/12/2021) (Blue)")</f>
        <v>Uncle Sams Cider (11/12/2021) (Blue)</v>
      </c>
      <c r="H19" s="19"/>
    </row>
    <row r="20">
      <c r="A20" s="38" t="s">
        <v>16</v>
      </c>
      <c r="B20" s="39"/>
      <c r="C20" s="9">
        <f>IFERROR(__xludf.DUMMYFUNCTION("""COMPUTED_VALUE"""),44605.3582264004)</f>
        <v>44605.35823</v>
      </c>
      <c r="D20" s="15">
        <f>IFERROR(__xludf.DUMMYFUNCTION("""COMPUTED_VALUE"""),0.999)</f>
        <v>0.999</v>
      </c>
      <c r="E20" s="16">
        <f>IFERROR(__xludf.DUMMYFUNCTION("""COMPUTED_VALUE"""),63.0)</f>
        <v>63</v>
      </c>
      <c r="F20" s="19" t="str">
        <f>IFERROR(__xludf.DUMMYFUNCTION("""COMPUTED_VALUE"""),"BLUE")</f>
        <v>BLUE</v>
      </c>
      <c r="G20" s="20" t="str">
        <f>IFERROR(__xludf.DUMMYFUNCTION("""COMPUTED_VALUE"""),"Uncle Sams Cider (11/12/2021) (Blue)")</f>
        <v>Uncle Sams Cider (11/12/2021) (Blue)</v>
      </c>
      <c r="H20" s="19"/>
    </row>
    <row r="21">
      <c r="A21" s="40" t="s">
        <v>17</v>
      </c>
      <c r="B21" s="41">
        <f>IF(D1="SG",(B9-B8)/(B9-1),(B9-B8)/(B9))
</f>
        <v>1.009174312</v>
      </c>
      <c r="C21" s="9">
        <f>IFERROR(__xludf.DUMMYFUNCTION("""COMPUTED_VALUE"""),44605.3478060185)</f>
        <v>44605.34781</v>
      </c>
      <c r="D21" s="15">
        <f>IFERROR(__xludf.DUMMYFUNCTION("""COMPUTED_VALUE"""),0.999)</f>
        <v>0.999</v>
      </c>
      <c r="E21" s="16">
        <f>IFERROR(__xludf.DUMMYFUNCTION("""COMPUTED_VALUE"""),63.0)</f>
        <v>63</v>
      </c>
      <c r="F21" s="19" t="str">
        <f>IFERROR(__xludf.DUMMYFUNCTION("""COMPUTED_VALUE"""),"BLUE")</f>
        <v>BLUE</v>
      </c>
      <c r="G21" s="20" t="str">
        <f>IFERROR(__xludf.DUMMYFUNCTION("""COMPUTED_VALUE"""),"Uncle Sams Cider (11/12/2021) (Blue)")</f>
        <v>Uncle Sams Cider (11/12/2021) (Blue)</v>
      </c>
      <c r="H21" s="19"/>
    </row>
    <row r="22">
      <c r="A22" s="42" t="s">
        <v>18</v>
      </c>
      <c r="B22" s="43">
        <f>IFS(A22="Standard Method ABV:",IF(B6="SG",(B9-B8)*1.3125,((1+(B9/(258.6-((B9/258.2)*227.1))))-(1+(B8/(258.6-((B8/258.2)*227.1)))))*1.3125),A22="Alternate Method ABV:",IF(B6="SG",(76.08*(B9-B8)/(1.775-B9))*(B8/0.794)/100,"Must use SG"),A22="UK HMRC Method ABV:",IF(B6="SG",IFS(B9-B8&lt;=0.0069,(B9-B8)*1.25,B9-B8&lt;=0.0104,(B9-B8)*1.26,B9-B8&lt;=0.0172,(B9-B8)*1.27,B9-B8&lt;=0.0261,(B9-B8)*1.28,B9-B8&lt;=0.036,(B9-B8)*1.29,B9-B8&lt;=0.0465,(B9-B8)*1.3,B9-B8&lt;=0.0571,(B9-B8)*1.31,B9-B8&lt;=0.0679,(B9-B8)*1.32,B9-B8&lt;=0.0788,(B9-B8)*1.33,B9-B8&lt;=0.0897,(B9-B8)*1.34,B9-B8&lt;=0.1007,(B9-B8)*1.35),"Must use SG"),A22="Wine Method ABV:",IF(B6="SG",(B9-B8)/7.36*1000/100,"Must use SG"))</f>
        <v>0.144375</v>
      </c>
      <c r="C22" s="9">
        <f>IFERROR(__xludf.DUMMYFUNCTION("""COMPUTED_VALUE"""),44605.3373847685)</f>
        <v>44605.33738</v>
      </c>
      <c r="D22" s="15">
        <f>IFERROR(__xludf.DUMMYFUNCTION("""COMPUTED_VALUE"""),0.999)</f>
        <v>0.999</v>
      </c>
      <c r="E22" s="16">
        <f>IFERROR(__xludf.DUMMYFUNCTION("""COMPUTED_VALUE"""),63.0)</f>
        <v>63</v>
      </c>
      <c r="F22" s="19" t="str">
        <f>IFERROR(__xludf.DUMMYFUNCTION("""COMPUTED_VALUE"""),"BLUE")</f>
        <v>BLUE</v>
      </c>
      <c r="G22" s="20" t="str">
        <f>IFERROR(__xludf.DUMMYFUNCTION("""COMPUTED_VALUE"""),"Uncle Sams Cider (11/12/2021) (Blue)")</f>
        <v>Uncle Sams Cider (11/12/2021) (Blue)</v>
      </c>
      <c r="H22" s="19"/>
    </row>
    <row r="23">
      <c r="A23" s="44" t="str">
        <f>"Days at Current "&amp;A7&amp;":"</f>
        <v>Days at Current SG:</v>
      </c>
      <c r="B23" s="45">
        <f>maxifs(C:C,D:D,B8)-minifs(C:C,D:D,B8)</f>
        <v>13.24920968</v>
      </c>
      <c r="C23" s="9">
        <f>IFERROR(__xludf.DUMMYFUNCTION("""COMPUTED_VALUE"""),44605.3269523148)</f>
        <v>44605.32695</v>
      </c>
      <c r="D23" s="15">
        <f>IFERROR(__xludf.DUMMYFUNCTION("""COMPUTED_VALUE"""),0.999)</f>
        <v>0.999</v>
      </c>
      <c r="E23" s="16">
        <f>IFERROR(__xludf.DUMMYFUNCTION("""COMPUTED_VALUE"""),63.0)</f>
        <v>63</v>
      </c>
      <c r="F23" s="19" t="str">
        <f>IFERROR(__xludf.DUMMYFUNCTION("""COMPUTED_VALUE"""),"BLUE")</f>
        <v>BLUE</v>
      </c>
      <c r="G23" s="20" t="str">
        <f>IFERROR(__xludf.DUMMYFUNCTION("""COMPUTED_VALUE"""),"Uncle Sams Cider (11/12/2021) (Blue)")</f>
        <v>Uncle Sams Cider (11/12/2021) (Blue)</v>
      </c>
      <c r="H23" s="19"/>
    </row>
    <row r="24">
      <c r="A24" s="9"/>
      <c r="B24" s="15"/>
      <c r="C24" s="9">
        <f>IFERROR(__xludf.DUMMYFUNCTION("""COMPUTED_VALUE"""),44605.3165318287)</f>
        <v>44605.31653</v>
      </c>
      <c r="D24" s="15">
        <f>IFERROR(__xludf.DUMMYFUNCTION("""COMPUTED_VALUE"""),0.999)</f>
        <v>0.999</v>
      </c>
      <c r="E24" s="16">
        <f>IFERROR(__xludf.DUMMYFUNCTION("""COMPUTED_VALUE"""),63.0)</f>
        <v>63</v>
      </c>
      <c r="F24" s="19" t="str">
        <f>IFERROR(__xludf.DUMMYFUNCTION("""COMPUTED_VALUE"""),"BLUE")</f>
        <v>BLUE</v>
      </c>
      <c r="G24" s="20" t="str">
        <f>IFERROR(__xludf.DUMMYFUNCTION("""COMPUTED_VALUE"""),"Uncle Sams Cider (11/12/2021) (Blue)")</f>
        <v>Uncle Sams Cider (11/12/2021) (Blue)</v>
      </c>
      <c r="H24" s="19"/>
    </row>
    <row r="25">
      <c r="A25" s="9"/>
      <c r="B25" s="15"/>
      <c r="C25" s="9">
        <f>IFERROR(__xludf.DUMMYFUNCTION("""COMPUTED_VALUE"""),44605.3061008217)</f>
        <v>44605.3061</v>
      </c>
      <c r="D25" s="15">
        <f>IFERROR(__xludf.DUMMYFUNCTION("""COMPUTED_VALUE"""),0.999)</f>
        <v>0.999</v>
      </c>
      <c r="E25" s="16">
        <f>IFERROR(__xludf.DUMMYFUNCTION("""COMPUTED_VALUE"""),63.0)</f>
        <v>63</v>
      </c>
      <c r="F25" s="19" t="str">
        <f>IFERROR(__xludf.DUMMYFUNCTION("""COMPUTED_VALUE"""),"BLUE")</f>
        <v>BLUE</v>
      </c>
      <c r="G25" s="20" t="str">
        <f>IFERROR(__xludf.DUMMYFUNCTION("""COMPUTED_VALUE"""),"Uncle Sams Cider (11/12/2021) (Blue)")</f>
        <v>Uncle Sams Cider (11/12/2021) (Blue)</v>
      </c>
      <c r="H25" s="19"/>
    </row>
    <row r="26">
      <c r="A26" s="9"/>
      <c r="B26" s="15"/>
      <c r="C26" s="9">
        <f>IFERROR(__xludf.DUMMYFUNCTION("""COMPUTED_VALUE"""),44605.2956679166)</f>
        <v>44605.29567</v>
      </c>
      <c r="D26" s="15">
        <f>IFERROR(__xludf.DUMMYFUNCTION("""COMPUTED_VALUE"""),0.999)</f>
        <v>0.999</v>
      </c>
      <c r="E26" s="16">
        <f>IFERROR(__xludf.DUMMYFUNCTION("""COMPUTED_VALUE"""),63.0)</f>
        <v>63</v>
      </c>
      <c r="F26" s="19" t="str">
        <f>IFERROR(__xludf.DUMMYFUNCTION("""COMPUTED_VALUE"""),"BLUE")</f>
        <v>BLUE</v>
      </c>
      <c r="G26" s="20" t="str">
        <f>IFERROR(__xludf.DUMMYFUNCTION("""COMPUTED_VALUE"""),"Uncle Sams Cider (11/12/2021) (Blue)")</f>
        <v>Uncle Sams Cider (11/12/2021) (Blue)</v>
      </c>
      <c r="H26" s="19"/>
    </row>
    <row r="27">
      <c r="A27" s="9"/>
      <c r="B27" s="15"/>
      <c r="C27" s="9">
        <f>IFERROR(__xludf.DUMMYFUNCTION("""COMPUTED_VALUE"""),44605.2852462384)</f>
        <v>44605.28525</v>
      </c>
      <c r="D27" s="15">
        <f>IFERROR(__xludf.DUMMYFUNCTION("""COMPUTED_VALUE"""),0.999)</f>
        <v>0.999</v>
      </c>
      <c r="E27" s="16">
        <f>IFERROR(__xludf.DUMMYFUNCTION("""COMPUTED_VALUE"""),63.0)</f>
        <v>63</v>
      </c>
      <c r="F27" s="19" t="str">
        <f>IFERROR(__xludf.DUMMYFUNCTION("""COMPUTED_VALUE"""),"BLUE")</f>
        <v>BLUE</v>
      </c>
      <c r="G27" s="20" t="str">
        <f>IFERROR(__xludf.DUMMYFUNCTION("""COMPUTED_VALUE"""),"Uncle Sams Cider (11/12/2021) (Blue)")</f>
        <v>Uncle Sams Cider (11/12/2021) (Blue)</v>
      </c>
      <c r="H27" s="19"/>
    </row>
    <row r="28">
      <c r="A28" s="9"/>
      <c r="B28" s="15"/>
      <c r="C28" s="9">
        <f>IFERROR(__xludf.DUMMYFUNCTION("""COMPUTED_VALUE"""),44605.2748242592)</f>
        <v>44605.27482</v>
      </c>
      <c r="D28" s="15">
        <f>IFERROR(__xludf.DUMMYFUNCTION("""COMPUTED_VALUE"""),0.999)</f>
        <v>0.999</v>
      </c>
      <c r="E28" s="16">
        <f>IFERROR(__xludf.DUMMYFUNCTION("""COMPUTED_VALUE"""),63.0)</f>
        <v>63</v>
      </c>
      <c r="F28" s="19" t="str">
        <f>IFERROR(__xludf.DUMMYFUNCTION("""COMPUTED_VALUE"""),"BLUE")</f>
        <v>BLUE</v>
      </c>
      <c r="G28" s="20" t="str">
        <f>IFERROR(__xludf.DUMMYFUNCTION("""COMPUTED_VALUE"""),"Uncle Sams Cider (11/12/2021) (Blue)")</f>
        <v>Uncle Sams Cider (11/12/2021) (Blue)</v>
      </c>
      <c r="H28" s="19"/>
    </row>
    <row r="29">
      <c r="A29" s="9"/>
      <c r="B29" s="15"/>
      <c r="C29" s="9">
        <f>IFERROR(__xludf.DUMMYFUNCTION("""COMPUTED_VALUE"""),44605.2643899421)</f>
        <v>44605.26439</v>
      </c>
      <c r="D29" s="15">
        <f>IFERROR(__xludf.DUMMYFUNCTION("""COMPUTED_VALUE"""),0.999)</f>
        <v>0.999</v>
      </c>
      <c r="E29" s="16">
        <f>IFERROR(__xludf.DUMMYFUNCTION("""COMPUTED_VALUE"""),63.0)</f>
        <v>63</v>
      </c>
      <c r="F29" s="19" t="str">
        <f>IFERROR(__xludf.DUMMYFUNCTION("""COMPUTED_VALUE"""),"BLUE")</f>
        <v>BLUE</v>
      </c>
      <c r="G29" s="20" t="str">
        <f>IFERROR(__xludf.DUMMYFUNCTION("""COMPUTED_VALUE"""),"Uncle Sams Cider (11/12/2021) (Blue)")</f>
        <v>Uncle Sams Cider (11/12/2021) (Blue)</v>
      </c>
      <c r="H29" s="19"/>
    </row>
    <row r="30">
      <c r="A30" s="9"/>
      <c r="B30" s="15"/>
      <c r="C30" s="9">
        <f>IFERROR(__xludf.DUMMYFUNCTION("""COMPUTED_VALUE"""),44605.2539663657)</f>
        <v>44605.25397</v>
      </c>
      <c r="D30" s="15">
        <f>IFERROR(__xludf.DUMMYFUNCTION("""COMPUTED_VALUE"""),0.999)</f>
        <v>0.999</v>
      </c>
      <c r="E30" s="16">
        <f>IFERROR(__xludf.DUMMYFUNCTION("""COMPUTED_VALUE"""),63.0)</f>
        <v>63</v>
      </c>
      <c r="F30" s="19" t="str">
        <f>IFERROR(__xludf.DUMMYFUNCTION("""COMPUTED_VALUE"""),"BLUE")</f>
        <v>BLUE</v>
      </c>
      <c r="G30" s="20" t="str">
        <f>IFERROR(__xludf.DUMMYFUNCTION("""COMPUTED_VALUE"""),"Uncle Sams Cider (11/12/2021) (Blue)")</f>
        <v>Uncle Sams Cider (11/12/2021) (Blue)</v>
      </c>
      <c r="H30" s="19"/>
    </row>
    <row r="31">
      <c r="A31" s="9"/>
      <c r="B31" s="15"/>
      <c r="C31" s="9">
        <f>IFERROR(__xludf.DUMMYFUNCTION("""COMPUTED_VALUE"""),44605.2435461226)</f>
        <v>44605.24355</v>
      </c>
      <c r="D31" s="15">
        <f>IFERROR(__xludf.DUMMYFUNCTION("""COMPUTED_VALUE"""),0.999)</f>
        <v>0.999</v>
      </c>
      <c r="E31" s="16">
        <f>IFERROR(__xludf.DUMMYFUNCTION("""COMPUTED_VALUE"""),63.0)</f>
        <v>63</v>
      </c>
      <c r="F31" s="19" t="str">
        <f>IFERROR(__xludf.DUMMYFUNCTION("""COMPUTED_VALUE"""),"BLUE")</f>
        <v>BLUE</v>
      </c>
      <c r="G31" s="20" t="str">
        <f>IFERROR(__xludf.DUMMYFUNCTION("""COMPUTED_VALUE"""),"Uncle Sams Cider (11/12/2021) (Blue)")</f>
        <v>Uncle Sams Cider (11/12/2021) (Blue)</v>
      </c>
      <c r="H31" s="19"/>
    </row>
    <row r="32">
      <c r="A32" s="9"/>
      <c r="B32" s="15"/>
      <c r="C32" s="9">
        <f>IFERROR(__xludf.DUMMYFUNCTION("""COMPUTED_VALUE"""),44605.2331249074)</f>
        <v>44605.23312</v>
      </c>
      <c r="D32" s="15">
        <f>IFERROR(__xludf.DUMMYFUNCTION("""COMPUTED_VALUE"""),0.999)</f>
        <v>0.999</v>
      </c>
      <c r="E32" s="16">
        <f>IFERROR(__xludf.DUMMYFUNCTION("""COMPUTED_VALUE"""),63.0)</f>
        <v>63</v>
      </c>
      <c r="F32" s="19" t="str">
        <f>IFERROR(__xludf.DUMMYFUNCTION("""COMPUTED_VALUE"""),"BLUE")</f>
        <v>BLUE</v>
      </c>
      <c r="G32" s="20" t="str">
        <f>IFERROR(__xludf.DUMMYFUNCTION("""COMPUTED_VALUE"""),"Uncle Sams Cider (11/12/2021) (Blue)")</f>
        <v>Uncle Sams Cider (11/12/2021) (Blue)</v>
      </c>
      <c r="H32" s="19"/>
    </row>
    <row r="33">
      <c r="A33" s="9"/>
      <c r="B33" s="15"/>
      <c r="C33" s="9">
        <f>IFERROR(__xludf.DUMMYFUNCTION("""COMPUTED_VALUE"""),44605.2227038773)</f>
        <v>44605.2227</v>
      </c>
      <c r="D33" s="15">
        <f>IFERROR(__xludf.DUMMYFUNCTION("""COMPUTED_VALUE"""),0.999)</f>
        <v>0.999</v>
      </c>
      <c r="E33" s="16">
        <f>IFERROR(__xludf.DUMMYFUNCTION("""COMPUTED_VALUE"""),63.0)</f>
        <v>63</v>
      </c>
      <c r="F33" s="19" t="str">
        <f>IFERROR(__xludf.DUMMYFUNCTION("""COMPUTED_VALUE"""),"BLUE")</f>
        <v>BLUE</v>
      </c>
      <c r="G33" s="20" t="str">
        <f>IFERROR(__xludf.DUMMYFUNCTION("""COMPUTED_VALUE"""),"Uncle Sams Cider (11/12/2021) (Blue)")</f>
        <v>Uncle Sams Cider (11/12/2021) (Blue)</v>
      </c>
      <c r="H33" s="19"/>
    </row>
    <row r="34">
      <c r="A34" s="9"/>
      <c r="B34" s="15"/>
      <c r="C34" s="9">
        <f>IFERROR(__xludf.DUMMYFUNCTION("""COMPUTED_VALUE"""),44605.2122825925)</f>
        <v>44605.21228</v>
      </c>
      <c r="D34" s="15">
        <f>IFERROR(__xludf.DUMMYFUNCTION("""COMPUTED_VALUE"""),0.999)</f>
        <v>0.999</v>
      </c>
      <c r="E34" s="16">
        <f>IFERROR(__xludf.DUMMYFUNCTION("""COMPUTED_VALUE"""),63.0)</f>
        <v>63</v>
      </c>
      <c r="F34" s="19" t="str">
        <f>IFERROR(__xludf.DUMMYFUNCTION("""COMPUTED_VALUE"""),"BLUE")</f>
        <v>BLUE</v>
      </c>
      <c r="G34" s="20" t="str">
        <f>IFERROR(__xludf.DUMMYFUNCTION("""COMPUTED_VALUE"""),"Uncle Sams Cider (11/12/2021) (Blue)")</f>
        <v>Uncle Sams Cider (11/12/2021) (Blue)</v>
      </c>
      <c r="H34" s="19"/>
    </row>
    <row r="35">
      <c r="A35" s="9"/>
      <c r="B35" s="15"/>
      <c r="C35" s="9">
        <f>IFERROR(__xludf.DUMMYFUNCTION("""COMPUTED_VALUE"""),44605.2018600347)</f>
        <v>44605.20186</v>
      </c>
      <c r="D35" s="15">
        <f>IFERROR(__xludf.DUMMYFUNCTION("""COMPUTED_VALUE"""),0.999)</f>
        <v>0.999</v>
      </c>
      <c r="E35" s="16">
        <f>IFERROR(__xludf.DUMMYFUNCTION("""COMPUTED_VALUE"""),63.0)</f>
        <v>63</v>
      </c>
      <c r="F35" s="19" t="str">
        <f>IFERROR(__xludf.DUMMYFUNCTION("""COMPUTED_VALUE"""),"BLUE")</f>
        <v>BLUE</v>
      </c>
      <c r="G35" s="20" t="str">
        <f>IFERROR(__xludf.DUMMYFUNCTION("""COMPUTED_VALUE"""),"Uncle Sams Cider (11/12/2021) (Blue)")</f>
        <v>Uncle Sams Cider (11/12/2021) (Blue)</v>
      </c>
      <c r="H35" s="19"/>
    </row>
    <row r="36">
      <c r="A36" s="9"/>
      <c r="B36" s="15"/>
      <c r="C36" s="9">
        <f>IFERROR(__xludf.DUMMYFUNCTION("""COMPUTED_VALUE"""),44605.1914276736)</f>
        <v>44605.19143</v>
      </c>
      <c r="D36" s="15">
        <f>IFERROR(__xludf.DUMMYFUNCTION("""COMPUTED_VALUE"""),0.999)</f>
        <v>0.999</v>
      </c>
      <c r="E36" s="16">
        <f>IFERROR(__xludf.DUMMYFUNCTION("""COMPUTED_VALUE"""),63.0)</f>
        <v>63</v>
      </c>
      <c r="F36" s="19" t="str">
        <f>IFERROR(__xludf.DUMMYFUNCTION("""COMPUTED_VALUE"""),"BLUE")</f>
        <v>BLUE</v>
      </c>
      <c r="G36" s="20" t="str">
        <f>IFERROR(__xludf.DUMMYFUNCTION("""COMPUTED_VALUE"""),"Uncle Sams Cider (11/12/2021) (Blue)")</f>
        <v>Uncle Sams Cider (11/12/2021) (Blue)</v>
      </c>
      <c r="H36" s="19"/>
    </row>
    <row r="37">
      <c r="A37" s="9"/>
      <c r="B37" s="15"/>
      <c r="C37" s="9">
        <f>IFERROR(__xludf.DUMMYFUNCTION("""COMPUTED_VALUE"""),44605.1809837268)</f>
        <v>44605.18098</v>
      </c>
      <c r="D37" s="15">
        <f>IFERROR(__xludf.DUMMYFUNCTION("""COMPUTED_VALUE"""),0.999)</f>
        <v>0.999</v>
      </c>
      <c r="E37" s="16">
        <f>IFERROR(__xludf.DUMMYFUNCTION("""COMPUTED_VALUE"""),63.0)</f>
        <v>63</v>
      </c>
      <c r="F37" s="19" t="str">
        <f>IFERROR(__xludf.DUMMYFUNCTION("""COMPUTED_VALUE"""),"BLUE")</f>
        <v>BLUE</v>
      </c>
      <c r="G37" s="20" t="str">
        <f>IFERROR(__xludf.DUMMYFUNCTION("""COMPUTED_VALUE"""),"Uncle Sams Cider (11/12/2021) (Blue)")</f>
        <v>Uncle Sams Cider (11/12/2021) (Blue)</v>
      </c>
      <c r="H37" s="19"/>
    </row>
    <row r="38">
      <c r="A38" s="9"/>
      <c r="B38" s="15"/>
      <c r="C38" s="9">
        <f>IFERROR(__xludf.DUMMYFUNCTION("""COMPUTED_VALUE"""),44605.170563125)</f>
        <v>44605.17056</v>
      </c>
      <c r="D38" s="15">
        <f>IFERROR(__xludf.DUMMYFUNCTION("""COMPUTED_VALUE"""),0.999)</f>
        <v>0.999</v>
      </c>
      <c r="E38" s="16">
        <f>IFERROR(__xludf.DUMMYFUNCTION("""COMPUTED_VALUE"""),63.0)</f>
        <v>63</v>
      </c>
      <c r="F38" s="19" t="str">
        <f>IFERROR(__xludf.DUMMYFUNCTION("""COMPUTED_VALUE"""),"BLUE")</f>
        <v>BLUE</v>
      </c>
      <c r="G38" s="20" t="str">
        <f>IFERROR(__xludf.DUMMYFUNCTION("""COMPUTED_VALUE"""),"Uncle Sams Cider (11/12/2021) (Blue)")</f>
        <v>Uncle Sams Cider (11/12/2021) (Blue)</v>
      </c>
      <c r="H38" s="19"/>
    </row>
    <row r="39">
      <c r="A39" s="9"/>
      <c r="B39" s="15"/>
      <c r="C39" s="9">
        <f>IFERROR(__xludf.DUMMYFUNCTION("""COMPUTED_VALUE"""),44605.1601411574)</f>
        <v>44605.16014</v>
      </c>
      <c r="D39" s="15">
        <f>IFERROR(__xludf.DUMMYFUNCTION("""COMPUTED_VALUE"""),0.999)</f>
        <v>0.999</v>
      </c>
      <c r="E39" s="16">
        <f>IFERROR(__xludf.DUMMYFUNCTION("""COMPUTED_VALUE"""),63.0)</f>
        <v>63</v>
      </c>
      <c r="F39" s="19" t="str">
        <f>IFERROR(__xludf.DUMMYFUNCTION("""COMPUTED_VALUE"""),"BLUE")</f>
        <v>BLUE</v>
      </c>
      <c r="G39" s="20" t="str">
        <f>IFERROR(__xludf.DUMMYFUNCTION("""COMPUTED_VALUE"""),"Uncle Sams Cider (11/12/2021) (Blue)")</f>
        <v>Uncle Sams Cider (11/12/2021) (Blue)</v>
      </c>
      <c r="H39" s="19"/>
    </row>
    <row r="40">
      <c r="A40" s="9"/>
      <c r="B40" s="15"/>
      <c r="C40" s="9">
        <f>IFERROR(__xludf.DUMMYFUNCTION("""COMPUTED_VALUE"""),44605.1497200463)</f>
        <v>44605.14972</v>
      </c>
      <c r="D40" s="15">
        <f>IFERROR(__xludf.DUMMYFUNCTION("""COMPUTED_VALUE"""),0.999)</f>
        <v>0.999</v>
      </c>
      <c r="E40" s="16">
        <f>IFERROR(__xludf.DUMMYFUNCTION("""COMPUTED_VALUE"""),63.0)</f>
        <v>63</v>
      </c>
      <c r="F40" s="19" t="str">
        <f>IFERROR(__xludf.DUMMYFUNCTION("""COMPUTED_VALUE"""),"BLUE")</f>
        <v>BLUE</v>
      </c>
      <c r="G40" s="20" t="str">
        <f>IFERROR(__xludf.DUMMYFUNCTION("""COMPUTED_VALUE"""),"Uncle Sams Cider (11/12/2021) (Blue)")</f>
        <v>Uncle Sams Cider (11/12/2021) (Blue)</v>
      </c>
      <c r="H40" s="19"/>
    </row>
    <row r="41">
      <c r="A41" s="9"/>
      <c r="B41" s="15"/>
      <c r="C41" s="9">
        <f>IFERROR(__xludf.DUMMYFUNCTION("""COMPUTED_VALUE"""),44605.1392991666)</f>
        <v>44605.1393</v>
      </c>
      <c r="D41" s="15">
        <f>IFERROR(__xludf.DUMMYFUNCTION("""COMPUTED_VALUE"""),0.999)</f>
        <v>0.999</v>
      </c>
      <c r="E41" s="16">
        <f>IFERROR(__xludf.DUMMYFUNCTION("""COMPUTED_VALUE"""),63.0)</f>
        <v>63</v>
      </c>
      <c r="F41" s="19" t="str">
        <f>IFERROR(__xludf.DUMMYFUNCTION("""COMPUTED_VALUE"""),"BLUE")</f>
        <v>BLUE</v>
      </c>
      <c r="G41" s="20" t="str">
        <f>IFERROR(__xludf.DUMMYFUNCTION("""COMPUTED_VALUE"""),"Uncle Sams Cider (11/12/2021) (Blue)")</f>
        <v>Uncle Sams Cider (11/12/2021) (Blue)</v>
      </c>
      <c r="H41" s="19"/>
    </row>
    <row r="42">
      <c r="A42" s="9"/>
      <c r="B42" s="15"/>
      <c r="C42" s="9">
        <f>IFERROR(__xludf.DUMMYFUNCTION("""COMPUTED_VALUE"""),44605.1288655439)</f>
        <v>44605.12887</v>
      </c>
      <c r="D42" s="15">
        <f>IFERROR(__xludf.DUMMYFUNCTION("""COMPUTED_VALUE"""),0.999)</f>
        <v>0.999</v>
      </c>
      <c r="E42" s="16">
        <f>IFERROR(__xludf.DUMMYFUNCTION("""COMPUTED_VALUE"""),63.0)</f>
        <v>63</v>
      </c>
      <c r="F42" s="19" t="str">
        <f>IFERROR(__xludf.DUMMYFUNCTION("""COMPUTED_VALUE"""),"BLUE")</f>
        <v>BLUE</v>
      </c>
      <c r="G42" s="20" t="str">
        <f>IFERROR(__xludf.DUMMYFUNCTION("""COMPUTED_VALUE"""),"Uncle Sams Cider (11/12/2021) (Blue)")</f>
        <v>Uncle Sams Cider (11/12/2021) (Blue)</v>
      </c>
      <c r="H42" s="19"/>
    </row>
    <row r="43">
      <c r="A43" s="9"/>
      <c r="B43" s="15"/>
      <c r="C43" s="9">
        <f>IFERROR(__xludf.DUMMYFUNCTION("""COMPUTED_VALUE"""),44605.1184431597)</f>
        <v>44605.11844</v>
      </c>
      <c r="D43" s="15">
        <f>IFERROR(__xludf.DUMMYFUNCTION("""COMPUTED_VALUE"""),0.999)</f>
        <v>0.999</v>
      </c>
      <c r="E43" s="16">
        <f>IFERROR(__xludf.DUMMYFUNCTION("""COMPUTED_VALUE"""),63.0)</f>
        <v>63</v>
      </c>
      <c r="F43" s="19" t="str">
        <f>IFERROR(__xludf.DUMMYFUNCTION("""COMPUTED_VALUE"""),"BLUE")</f>
        <v>BLUE</v>
      </c>
      <c r="G43" s="20" t="str">
        <f>IFERROR(__xludf.DUMMYFUNCTION("""COMPUTED_VALUE"""),"Uncle Sams Cider (11/12/2021) (Blue)")</f>
        <v>Uncle Sams Cider (11/12/2021) (Blue)</v>
      </c>
      <c r="H43" s="19"/>
    </row>
    <row r="44">
      <c r="A44" s="9"/>
      <c r="B44" s="15"/>
      <c r="C44" s="9">
        <f>IFERROR(__xludf.DUMMYFUNCTION("""COMPUTED_VALUE"""),44605.10802125)</f>
        <v>44605.10802</v>
      </c>
      <c r="D44" s="15">
        <f>IFERROR(__xludf.DUMMYFUNCTION("""COMPUTED_VALUE"""),0.999)</f>
        <v>0.999</v>
      </c>
      <c r="E44" s="16">
        <f>IFERROR(__xludf.DUMMYFUNCTION("""COMPUTED_VALUE"""),63.0)</f>
        <v>63</v>
      </c>
      <c r="F44" s="19" t="str">
        <f>IFERROR(__xludf.DUMMYFUNCTION("""COMPUTED_VALUE"""),"BLUE")</f>
        <v>BLUE</v>
      </c>
      <c r="G44" s="20" t="str">
        <f>IFERROR(__xludf.DUMMYFUNCTION("""COMPUTED_VALUE"""),"Uncle Sams Cider (11/12/2021) (Blue)")</f>
        <v>Uncle Sams Cider (11/12/2021) (Blue)</v>
      </c>
      <c r="H44" s="19"/>
    </row>
    <row r="45">
      <c r="A45" s="9"/>
      <c r="B45" s="15"/>
      <c r="C45" s="9">
        <f>IFERROR(__xludf.DUMMYFUNCTION("""COMPUTED_VALUE"""),44605.0975994212)</f>
        <v>44605.0976</v>
      </c>
      <c r="D45" s="15">
        <f>IFERROR(__xludf.DUMMYFUNCTION("""COMPUTED_VALUE"""),0.999)</f>
        <v>0.999</v>
      </c>
      <c r="E45" s="16">
        <f>IFERROR(__xludf.DUMMYFUNCTION("""COMPUTED_VALUE"""),63.0)</f>
        <v>63</v>
      </c>
      <c r="F45" s="19" t="str">
        <f>IFERROR(__xludf.DUMMYFUNCTION("""COMPUTED_VALUE"""),"BLUE")</f>
        <v>BLUE</v>
      </c>
      <c r="G45" s="20" t="str">
        <f>IFERROR(__xludf.DUMMYFUNCTION("""COMPUTED_VALUE"""),"Uncle Sams Cider (11/12/2021) (Blue)")</f>
        <v>Uncle Sams Cider (11/12/2021) (Blue)</v>
      </c>
      <c r="H45" s="19"/>
    </row>
    <row r="46">
      <c r="A46" s="9"/>
      <c r="B46" s="15"/>
      <c r="C46" s="9">
        <f>IFERROR(__xludf.DUMMYFUNCTION("""COMPUTED_VALUE"""),44605.0871660763)</f>
        <v>44605.08717</v>
      </c>
      <c r="D46" s="15">
        <f>IFERROR(__xludf.DUMMYFUNCTION("""COMPUTED_VALUE"""),0.999)</f>
        <v>0.999</v>
      </c>
      <c r="E46" s="16">
        <f>IFERROR(__xludf.DUMMYFUNCTION("""COMPUTED_VALUE"""),63.0)</f>
        <v>63</v>
      </c>
      <c r="F46" s="19" t="str">
        <f>IFERROR(__xludf.DUMMYFUNCTION("""COMPUTED_VALUE"""),"BLUE")</f>
        <v>BLUE</v>
      </c>
      <c r="G46" s="20" t="str">
        <f>IFERROR(__xludf.DUMMYFUNCTION("""COMPUTED_VALUE"""),"Uncle Sams Cider (11/12/2021) (Blue)")</f>
        <v>Uncle Sams Cider (11/12/2021) (Blue)</v>
      </c>
      <c r="H46" s="19"/>
    </row>
    <row r="47">
      <c r="A47" s="9"/>
      <c r="B47" s="15"/>
      <c r="C47" s="9">
        <f>IFERROR(__xludf.DUMMYFUNCTION("""COMPUTED_VALUE"""),44605.0767424074)</f>
        <v>44605.07674</v>
      </c>
      <c r="D47" s="15">
        <f>IFERROR(__xludf.DUMMYFUNCTION("""COMPUTED_VALUE"""),0.999)</f>
        <v>0.999</v>
      </c>
      <c r="E47" s="16">
        <f>IFERROR(__xludf.DUMMYFUNCTION("""COMPUTED_VALUE"""),63.0)</f>
        <v>63</v>
      </c>
      <c r="F47" s="19" t="str">
        <f>IFERROR(__xludf.DUMMYFUNCTION("""COMPUTED_VALUE"""),"BLUE")</f>
        <v>BLUE</v>
      </c>
      <c r="G47" s="20" t="str">
        <f>IFERROR(__xludf.DUMMYFUNCTION("""COMPUTED_VALUE"""),"Uncle Sams Cider (11/12/2021) (Blue)")</f>
        <v>Uncle Sams Cider (11/12/2021) (Blue)</v>
      </c>
      <c r="H47" s="19"/>
    </row>
    <row r="48">
      <c r="A48" s="9"/>
      <c r="B48" s="15"/>
      <c r="C48" s="9">
        <f>IFERROR(__xludf.DUMMYFUNCTION("""COMPUTED_VALUE"""),44605.0663217013)</f>
        <v>44605.06632</v>
      </c>
      <c r="D48" s="15">
        <f>IFERROR(__xludf.DUMMYFUNCTION("""COMPUTED_VALUE"""),0.999)</f>
        <v>0.999</v>
      </c>
      <c r="E48" s="16">
        <f>IFERROR(__xludf.DUMMYFUNCTION("""COMPUTED_VALUE"""),63.0)</f>
        <v>63</v>
      </c>
      <c r="F48" s="19" t="str">
        <f>IFERROR(__xludf.DUMMYFUNCTION("""COMPUTED_VALUE"""),"BLUE")</f>
        <v>BLUE</v>
      </c>
      <c r="G48" s="20" t="str">
        <f>IFERROR(__xludf.DUMMYFUNCTION("""COMPUTED_VALUE"""),"Uncle Sams Cider (11/12/2021) (Blue)")</f>
        <v>Uncle Sams Cider (11/12/2021) (Blue)</v>
      </c>
      <c r="H48" s="19"/>
    </row>
    <row r="49">
      <c r="A49" s="9"/>
      <c r="B49" s="15"/>
      <c r="C49" s="9">
        <f>IFERROR(__xludf.DUMMYFUNCTION("""COMPUTED_VALUE"""),44605.0558998842)</f>
        <v>44605.0559</v>
      </c>
      <c r="D49" s="15">
        <f>IFERROR(__xludf.DUMMYFUNCTION("""COMPUTED_VALUE"""),0.999)</f>
        <v>0.999</v>
      </c>
      <c r="E49" s="16">
        <f>IFERROR(__xludf.DUMMYFUNCTION("""COMPUTED_VALUE"""),63.0)</f>
        <v>63</v>
      </c>
      <c r="F49" s="19" t="str">
        <f>IFERROR(__xludf.DUMMYFUNCTION("""COMPUTED_VALUE"""),"BLUE")</f>
        <v>BLUE</v>
      </c>
      <c r="G49" s="20" t="str">
        <f>IFERROR(__xludf.DUMMYFUNCTION("""COMPUTED_VALUE"""),"Uncle Sams Cider (11/12/2021) (Blue)")</f>
        <v>Uncle Sams Cider (11/12/2021) (Blue)</v>
      </c>
      <c r="H49" s="19"/>
    </row>
    <row r="50">
      <c r="A50" s="9"/>
      <c r="B50" s="15"/>
      <c r="C50" s="9">
        <f>IFERROR(__xludf.DUMMYFUNCTION("""COMPUTED_VALUE"""),44605.045480706)</f>
        <v>44605.04548</v>
      </c>
      <c r="D50" s="15">
        <f>IFERROR(__xludf.DUMMYFUNCTION("""COMPUTED_VALUE"""),0.999)</f>
        <v>0.999</v>
      </c>
      <c r="E50" s="16">
        <f>IFERROR(__xludf.DUMMYFUNCTION("""COMPUTED_VALUE"""),63.0)</f>
        <v>63</v>
      </c>
      <c r="F50" s="19" t="str">
        <f>IFERROR(__xludf.DUMMYFUNCTION("""COMPUTED_VALUE"""),"BLUE")</f>
        <v>BLUE</v>
      </c>
      <c r="G50" s="20" t="str">
        <f>IFERROR(__xludf.DUMMYFUNCTION("""COMPUTED_VALUE"""),"Uncle Sams Cider (11/12/2021) (Blue)")</f>
        <v>Uncle Sams Cider (11/12/2021) (Blue)</v>
      </c>
      <c r="H50" s="19"/>
    </row>
    <row r="51">
      <c r="A51" s="9"/>
      <c r="B51" s="15"/>
      <c r="C51" s="9">
        <f>IFERROR(__xludf.DUMMYFUNCTION("""COMPUTED_VALUE"""),44605.0350585185)</f>
        <v>44605.03506</v>
      </c>
      <c r="D51" s="15">
        <f>IFERROR(__xludf.DUMMYFUNCTION("""COMPUTED_VALUE"""),0.999)</f>
        <v>0.999</v>
      </c>
      <c r="E51" s="16">
        <f>IFERROR(__xludf.DUMMYFUNCTION("""COMPUTED_VALUE"""),63.0)</f>
        <v>63</v>
      </c>
      <c r="F51" s="19" t="str">
        <f>IFERROR(__xludf.DUMMYFUNCTION("""COMPUTED_VALUE"""),"BLUE")</f>
        <v>BLUE</v>
      </c>
      <c r="G51" s="20" t="str">
        <f>IFERROR(__xludf.DUMMYFUNCTION("""COMPUTED_VALUE"""),"Uncle Sams Cider (11/12/2021) (Blue)")</f>
        <v>Uncle Sams Cider (11/12/2021) (Blue)</v>
      </c>
      <c r="H51" s="19"/>
    </row>
    <row r="52">
      <c r="A52" s="9"/>
      <c r="B52" s="15"/>
      <c r="C52" s="9">
        <f>IFERROR(__xludf.DUMMYFUNCTION("""COMPUTED_VALUE"""),44605.0246373263)</f>
        <v>44605.02464</v>
      </c>
      <c r="D52" s="15">
        <f>IFERROR(__xludf.DUMMYFUNCTION("""COMPUTED_VALUE"""),0.999)</f>
        <v>0.999</v>
      </c>
      <c r="E52" s="16">
        <f>IFERROR(__xludf.DUMMYFUNCTION("""COMPUTED_VALUE"""),63.0)</f>
        <v>63</v>
      </c>
      <c r="F52" s="19" t="str">
        <f>IFERROR(__xludf.DUMMYFUNCTION("""COMPUTED_VALUE"""),"BLUE")</f>
        <v>BLUE</v>
      </c>
      <c r="G52" s="20" t="str">
        <f>IFERROR(__xludf.DUMMYFUNCTION("""COMPUTED_VALUE"""),"Uncle Sams Cider (11/12/2021) (Blue)")</f>
        <v>Uncle Sams Cider (11/12/2021) (Blue)</v>
      </c>
      <c r="H52" s="19"/>
    </row>
    <row r="53">
      <c r="A53" s="9"/>
      <c r="B53" s="15"/>
      <c r="C53" s="9">
        <f>IFERROR(__xludf.DUMMYFUNCTION("""COMPUTED_VALUE"""),44605.0142155787)</f>
        <v>44605.01422</v>
      </c>
      <c r="D53" s="15">
        <f>IFERROR(__xludf.DUMMYFUNCTION("""COMPUTED_VALUE"""),0.999)</f>
        <v>0.999</v>
      </c>
      <c r="E53" s="16">
        <f>IFERROR(__xludf.DUMMYFUNCTION("""COMPUTED_VALUE"""),63.0)</f>
        <v>63</v>
      </c>
      <c r="F53" s="19" t="str">
        <f>IFERROR(__xludf.DUMMYFUNCTION("""COMPUTED_VALUE"""),"BLUE")</f>
        <v>BLUE</v>
      </c>
      <c r="G53" s="20" t="str">
        <f>IFERROR(__xludf.DUMMYFUNCTION("""COMPUTED_VALUE"""),"Uncle Sams Cider (11/12/2021) (Blue)")</f>
        <v>Uncle Sams Cider (11/12/2021) (Blue)</v>
      </c>
      <c r="H53" s="19"/>
    </row>
    <row r="54">
      <c r="A54" s="9"/>
      <c r="B54" s="15"/>
      <c r="C54" s="9">
        <f>IFERROR(__xludf.DUMMYFUNCTION("""COMPUTED_VALUE"""),44605.0037820254)</f>
        <v>44605.00378</v>
      </c>
      <c r="D54" s="15">
        <f>IFERROR(__xludf.DUMMYFUNCTION("""COMPUTED_VALUE"""),0.999)</f>
        <v>0.999</v>
      </c>
      <c r="E54" s="16">
        <f>IFERROR(__xludf.DUMMYFUNCTION("""COMPUTED_VALUE"""),63.0)</f>
        <v>63</v>
      </c>
      <c r="F54" s="19" t="str">
        <f>IFERROR(__xludf.DUMMYFUNCTION("""COMPUTED_VALUE"""),"BLUE")</f>
        <v>BLUE</v>
      </c>
      <c r="G54" s="20" t="str">
        <f>IFERROR(__xludf.DUMMYFUNCTION("""COMPUTED_VALUE"""),"Uncle Sams Cider (11/12/2021) (Blue)")</f>
        <v>Uncle Sams Cider (11/12/2021) (Blue)</v>
      </c>
      <c r="H54" s="19"/>
    </row>
    <row r="55">
      <c r="A55" s="9"/>
      <c r="B55" s="15"/>
      <c r="C55" s="9">
        <f>IFERROR(__xludf.DUMMYFUNCTION("""COMPUTED_VALUE"""),44604.993360405)</f>
        <v>44604.99336</v>
      </c>
      <c r="D55" s="15">
        <f>IFERROR(__xludf.DUMMYFUNCTION("""COMPUTED_VALUE"""),0.999)</f>
        <v>0.999</v>
      </c>
      <c r="E55" s="16">
        <f>IFERROR(__xludf.DUMMYFUNCTION("""COMPUTED_VALUE"""),63.0)</f>
        <v>63</v>
      </c>
      <c r="F55" s="19" t="str">
        <f>IFERROR(__xludf.DUMMYFUNCTION("""COMPUTED_VALUE"""),"BLUE")</f>
        <v>BLUE</v>
      </c>
      <c r="G55" s="20" t="str">
        <f>IFERROR(__xludf.DUMMYFUNCTION("""COMPUTED_VALUE"""),"Uncle Sams Cider (11/12/2021) (Blue)")</f>
        <v>Uncle Sams Cider (11/12/2021) (Blue)</v>
      </c>
      <c r="H55" s="19"/>
    </row>
    <row r="56">
      <c r="A56" s="9"/>
      <c r="B56" s="15"/>
      <c r="C56" s="9">
        <f>IFERROR(__xludf.DUMMYFUNCTION("""COMPUTED_VALUE"""),44604.9829374305)</f>
        <v>44604.98294</v>
      </c>
      <c r="D56" s="15">
        <f>IFERROR(__xludf.DUMMYFUNCTION("""COMPUTED_VALUE"""),0.999)</f>
        <v>0.999</v>
      </c>
      <c r="E56" s="16">
        <f>IFERROR(__xludf.DUMMYFUNCTION("""COMPUTED_VALUE"""),63.0)</f>
        <v>63</v>
      </c>
      <c r="F56" s="19" t="str">
        <f>IFERROR(__xludf.DUMMYFUNCTION("""COMPUTED_VALUE"""),"BLUE")</f>
        <v>BLUE</v>
      </c>
      <c r="G56" s="20" t="str">
        <f>IFERROR(__xludf.DUMMYFUNCTION("""COMPUTED_VALUE"""),"Uncle Sams Cider (11/12/2021) (Blue)")</f>
        <v>Uncle Sams Cider (11/12/2021) (Blue)</v>
      </c>
      <c r="H56" s="19"/>
    </row>
    <row r="57">
      <c r="A57" s="9"/>
      <c r="B57" s="15"/>
      <c r="C57" s="9">
        <f>IFERROR(__xludf.DUMMYFUNCTION("""COMPUTED_VALUE"""),44604.9725042824)</f>
        <v>44604.9725</v>
      </c>
      <c r="D57" s="15">
        <f>IFERROR(__xludf.DUMMYFUNCTION("""COMPUTED_VALUE"""),0.999)</f>
        <v>0.999</v>
      </c>
      <c r="E57" s="16">
        <f>IFERROR(__xludf.DUMMYFUNCTION("""COMPUTED_VALUE"""),63.0)</f>
        <v>63</v>
      </c>
      <c r="F57" s="19" t="str">
        <f>IFERROR(__xludf.DUMMYFUNCTION("""COMPUTED_VALUE"""),"BLUE")</f>
        <v>BLUE</v>
      </c>
      <c r="G57" s="20" t="str">
        <f>IFERROR(__xludf.DUMMYFUNCTION("""COMPUTED_VALUE"""),"Uncle Sams Cider (11/12/2021) (Blue)")</f>
        <v>Uncle Sams Cider (11/12/2021) (Blue)</v>
      </c>
      <c r="H57" s="19"/>
    </row>
    <row r="58">
      <c r="A58" s="9"/>
      <c r="B58" s="15"/>
      <c r="C58" s="9">
        <f>IFERROR(__xludf.DUMMYFUNCTION("""COMPUTED_VALUE"""),44604.962080162)</f>
        <v>44604.96208</v>
      </c>
      <c r="D58" s="15">
        <f>IFERROR(__xludf.DUMMYFUNCTION("""COMPUTED_VALUE"""),0.999)</f>
        <v>0.999</v>
      </c>
      <c r="E58" s="16">
        <f>IFERROR(__xludf.DUMMYFUNCTION("""COMPUTED_VALUE"""),63.0)</f>
        <v>63</v>
      </c>
      <c r="F58" s="19" t="str">
        <f>IFERROR(__xludf.DUMMYFUNCTION("""COMPUTED_VALUE"""),"BLUE")</f>
        <v>BLUE</v>
      </c>
      <c r="G58" s="20" t="str">
        <f>IFERROR(__xludf.DUMMYFUNCTION("""COMPUTED_VALUE"""),"Uncle Sams Cider (11/12/2021) (Blue)")</f>
        <v>Uncle Sams Cider (11/12/2021) (Blue)</v>
      </c>
      <c r="H58" s="19"/>
    </row>
    <row r="59">
      <c r="A59" s="9"/>
      <c r="B59" s="15"/>
      <c r="C59" s="9">
        <f>IFERROR(__xludf.DUMMYFUNCTION("""COMPUTED_VALUE"""),44604.9516588194)</f>
        <v>44604.95166</v>
      </c>
      <c r="D59" s="15">
        <f>IFERROR(__xludf.DUMMYFUNCTION("""COMPUTED_VALUE"""),0.999)</f>
        <v>0.999</v>
      </c>
      <c r="E59" s="16">
        <f>IFERROR(__xludf.DUMMYFUNCTION("""COMPUTED_VALUE"""),63.0)</f>
        <v>63</v>
      </c>
      <c r="F59" s="19" t="str">
        <f>IFERROR(__xludf.DUMMYFUNCTION("""COMPUTED_VALUE"""),"BLUE")</f>
        <v>BLUE</v>
      </c>
      <c r="G59" s="20" t="str">
        <f>IFERROR(__xludf.DUMMYFUNCTION("""COMPUTED_VALUE"""),"Uncle Sams Cider (11/12/2021) (Blue)")</f>
        <v>Uncle Sams Cider (11/12/2021) (Blue)</v>
      </c>
      <c r="H59" s="19"/>
    </row>
    <row r="60">
      <c r="A60" s="9"/>
      <c r="B60" s="15"/>
      <c r="C60" s="9">
        <f>IFERROR(__xludf.DUMMYFUNCTION("""COMPUTED_VALUE"""),44604.941238206)</f>
        <v>44604.94124</v>
      </c>
      <c r="D60" s="15">
        <f>IFERROR(__xludf.DUMMYFUNCTION("""COMPUTED_VALUE"""),0.999)</f>
        <v>0.999</v>
      </c>
      <c r="E60" s="16">
        <f>IFERROR(__xludf.DUMMYFUNCTION("""COMPUTED_VALUE"""),63.0)</f>
        <v>63</v>
      </c>
      <c r="F60" s="19" t="str">
        <f>IFERROR(__xludf.DUMMYFUNCTION("""COMPUTED_VALUE"""),"BLUE")</f>
        <v>BLUE</v>
      </c>
      <c r="G60" s="20" t="str">
        <f>IFERROR(__xludf.DUMMYFUNCTION("""COMPUTED_VALUE"""),"Uncle Sams Cider (11/12/2021) (Blue)")</f>
        <v>Uncle Sams Cider (11/12/2021) (Blue)</v>
      </c>
      <c r="H60" s="19"/>
    </row>
    <row r="61">
      <c r="A61" s="9"/>
      <c r="B61" s="15"/>
      <c r="C61" s="9">
        <f>IFERROR(__xludf.DUMMYFUNCTION("""COMPUTED_VALUE"""),44604.9308175231)</f>
        <v>44604.93082</v>
      </c>
      <c r="D61" s="15">
        <f>IFERROR(__xludf.DUMMYFUNCTION("""COMPUTED_VALUE"""),0.999)</f>
        <v>0.999</v>
      </c>
      <c r="E61" s="16">
        <f>IFERROR(__xludf.DUMMYFUNCTION("""COMPUTED_VALUE"""),63.0)</f>
        <v>63</v>
      </c>
      <c r="F61" s="19" t="str">
        <f>IFERROR(__xludf.DUMMYFUNCTION("""COMPUTED_VALUE"""),"BLUE")</f>
        <v>BLUE</v>
      </c>
      <c r="G61" s="20" t="str">
        <f>IFERROR(__xludf.DUMMYFUNCTION("""COMPUTED_VALUE"""),"Uncle Sams Cider (11/12/2021) (Blue)")</f>
        <v>Uncle Sams Cider (11/12/2021) (Blue)</v>
      </c>
      <c r="H61" s="19"/>
    </row>
    <row r="62">
      <c r="A62" s="9"/>
      <c r="B62" s="15"/>
      <c r="C62" s="9">
        <f>IFERROR(__xludf.DUMMYFUNCTION("""COMPUTED_VALUE"""),44604.9203974768)</f>
        <v>44604.9204</v>
      </c>
      <c r="D62" s="15">
        <f>IFERROR(__xludf.DUMMYFUNCTION("""COMPUTED_VALUE"""),0.999)</f>
        <v>0.999</v>
      </c>
      <c r="E62" s="16">
        <f>IFERROR(__xludf.DUMMYFUNCTION("""COMPUTED_VALUE"""),63.0)</f>
        <v>63</v>
      </c>
      <c r="F62" s="19" t="str">
        <f>IFERROR(__xludf.DUMMYFUNCTION("""COMPUTED_VALUE"""),"BLUE")</f>
        <v>BLUE</v>
      </c>
      <c r="G62" s="20" t="str">
        <f>IFERROR(__xludf.DUMMYFUNCTION("""COMPUTED_VALUE"""),"Uncle Sams Cider (11/12/2021) (Blue)")</f>
        <v>Uncle Sams Cider (11/12/2021) (Blue)</v>
      </c>
      <c r="H62" s="19"/>
    </row>
    <row r="63">
      <c r="A63" s="9"/>
      <c r="B63" s="15"/>
      <c r="C63" s="9">
        <f>IFERROR(__xludf.DUMMYFUNCTION("""COMPUTED_VALUE"""),44604.9099779629)</f>
        <v>44604.90998</v>
      </c>
      <c r="D63" s="15">
        <f>IFERROR(__xludf.DUMMYFUNCTION("""COMPUTED_VALUE"""),0.999)</f>
        <v>0.999</v>
      </c>
      <c r="E63" s="16">
        <f>IFERROR(__xludf.DUMMYFUNCTION("""COMPUTED_VALUE"""),63.0)</f>
        <v>63</v>
      </c>
      <c r="F63" s="19" t="str">
        <f>IFERROR(__xludf.DUMMYFUNCTION("""COMPUTED_VALUE"""),"BLUE")</f>
        <v>BLUE</v>
      </c>
      <c r="G63" s="20" t="str">
        <f>IFERROR(__xludf.DUMMYFUNCTION("""COMPUTED_VALUE"""),"Uncle Sams Cider (11/12/2021) (Blue)")</f>
        <v>Uncle Sams Cider (11/12/2021) (Blue)</v>
      </c>
      <c r="H63" s="19"/>
    </row>
    <row r="64">
      <c r="A64" s="9"/>
      <c r="B64" s="15"/>
      <c r="C64" s="9">
        <f>IFERROR(__xludf.DUMMYFUNCTION("""COMPUTED_VALUE"""),44604.8995574768)</f>
        <v>44604.89956</v>
      </c>
      <c r="D64" s="15">
        <f>IFERROR(__xludf.DUMMYFUNCTION("""COMPUTED_VALUE"""),0.999)</f>
        <v>0.999</v>
      </c>
      <c r="E64" s="16">
        <f>IFERROR(__xludf.DUMMYFUNCTION("""COMPUTED_VALUE"""),63.0)</f>
        <v>63</v>
      </c>
      <c r="F64" s="19" t="str">
        <f>IFERROR(__xludf.DUMMYFUNCTION("""COMPUTED_VALUE"""),"BLUE")</f>
        <v>BLUE</v>
      </c>
      <c r="G64" s="20" t="str">
        <f>IFERROR(__xludf.DUMMYFUNCTION("""COMPUTED_VALUE"""),"Uncle Sams Cider (11/12/2021) (Blue)")</f>
        <v>Uncle Sams Cider (11/12/2021) (Blue)</v>
      </c>
      <c r="H64" s="19"/>
    </row>
    <row r="65">
      <c r="A65" s="9"/>
      <c r="B65" s="15"/>
      <c r="C65" s="9">
        <f>IFERROR(__xludf.DUMMYFUNCTION("""COMPUTED_VALUE"""),44604.8891365624)</f>
        <v>44604.88914</v>
      </c>
      <c r="D65" s="15">
        <f>IFERROR(__xludf.DUMMYFUNCTION("""COMPUTED_VALUE"""),0.999)</f>
        <v>0.999</v>
      </c>
      <c r="E65" s="16">
        <f>IFERROR(__xludf.DUMMYFUNCTION("""COMPUTED_VALUE"""),63.0)</f>
        <v>63</v>
      </c>
      <c r="F65" s="19" t="str">
        <f>IFERROR(__xludf.DUMMYFUNCTION("""COMPUTED_VALUE"""),"BLUE")</f>
        <v>BLUE</v>
      </c>
      <c r="G65" s="20" t="str">
        <f>IFERROR(__xludf.DUMMYFUNCTION("""COMPUTED_VALUE"""),"Uncle Sams Cider (11/12/2021) (Blue)")</f>
        <v>Uncle Sams Cider (11/12/2021) (Blue)</v>
      </c>
      <c r="H65" s="19"/>
    </row>
    <row r="66">
      <c r="A66" s="9"/>
      <c r="B66" s="15"/>
      <c r="C66" s="9">
        <f>IFERROR(__xludf.DUMMYFUNCTION("""COMPUTED_VALUE"""),44604.8787140625)</f>
        <v>44604.87871</v>
      </c>
      <c r="D66" s="15">
        <f>IFERROR(__xludf.DUMMYFUNCTION("""COMPUTED_VALUE"""),0.999)</f>
        <v>0.999</v>
      </c>
      <c r="E66" s="16">
        <f>IFERROR(__xludf.DUMMYFUNCTION("""COMPUTED_VALUE"""),63.0)</f>
        <v>63</v>
      </c>
      <c r="F66" s="19" t="str">
        <f>IFERROR(__xludf.DUMMYFUNCTION("""COMPUTED_VALUE"""),"BLUE")</f>
        <v>BLUE</v>
      </c>
      <c r="G66" s="20" t="str">
        <f>IFERROR(__xludf.DUMMYFUNCTION("""COMPUTED_VALUE"""),"Uncle Sams Cider (11/12/2021) (Blue)")</f>
        <v>Uncle Sams Cider (11/12/2021) (Blue)</v>
      </c>
      <c r="H66" s="19"/>
    </row>
    <row r="67">
      <c r="A67" s="9"/>
      <c r="B67" s="15"/>
      <c r="C67" s="9">
        <f>IFERROR(__xludf.DUMMYFUNCTION("""COMPUTED_VALUE"""),44604.8682913425)</f>
        <v>44604.86829</v>
      </c>
      <c r="D67" s="15">
        <f>IFERROR(__xludf.DUMMYFUNCTION("""COMPUTED_VALUE"""),0.999)</f>
        <v>0.999</v>
      </c>
      <c r="E67" s="16">
        <f>IFERROR(__xludf.DUMMYFUNCTION("""COMPUTED_VALUE"""),63.0)</f>
        <v>63</v>
      </c>
      <c r="F67" s="19" t="str">
        <f>IFERROR(__xludf.DUMMYFUNCTION("""COMPUTED_VALUE"""),"BLUE")</f>
        <v>BLUE</v>
      </c>
      <c r="G67" s="20" t="str">
        <f>IFERROR(__xludf.DUMMYFUNCTION("""COMPUTED_VALUE"""),"Uncle Sams Cider (11/12/2021) (Blue)")</f>
        <v>Uncle Sams Cider (11/12/2021) (Blue)</v>
      </c>
      <c r="H67" s="19"/>
    </row>
    <row r="68">
      <c r="A68" s="9"/>
      <c r="B68" s="15"/>
      <c r="C68" s="9">
        <f>IFERROR(__xludf.DUMMYFUNCTION("""COMPUTED_VALUE"""),44604.8578562962)</f>
        <v>44604.85786</v>
      </c>
      <c r="D68" s="15">
        <f>IFERROR(__xludf.DUMMYFUNCTION("""COMPUTED_VALUE"""),0.999)</f>
        <v>0.999</v>
      </c>
      <c r="E68" s="16">
        <f>IFERROR(__xludf.DUMMYFUNCTION("""COMPUTED_VALUE"""),63.0)</f>
        <v>63</v>
      </c>
      <c r="F68" s="19" t="str">
        <f>IFERROR(__xludf.DUMMYFUNCTION("""COMPUTED_VALUE"""),"BLUE")</f>
        <v>BLUE</v>
      </c>
      <c r="G68" s="20" t="str">
        <f>IFERROR(__xludf.DUMMYFUNCTION("""COMPUTED_VALUE"""),"Uncle Sams Cider (11/12/2021) (Blue)")</f>
        <v>Uncle Sams Cider (11/12/2021) (Blue)</v>
      </c>
      <c r="H68" s="19"/>
    </row>
    <row r="69">
      <c r="A69" s="9"/>
      <c r="B69" s="15"/>
      <c r="C69" s="9">
        <f>IFERROR(__xludf.DUMMYFUNCTION("""COMPUTED_VALUE"""),44604.8474348032)</f>
        <v>44604.84743</v>
      </c>
      <c r="D69" s="15">
        <f>IFERROR(__xludf.DUMMYFUNCTION("""COMPUTED_VALUE"""),0.999)</f>
        <v>0.999</v>
      </c>
      <c r="E69" s="16">
        <f>IFERROR(__xludf.DUMMYFUNCTION("""COMPUTED_VALUE"""),63.0)</f>
        <v>63</v>
      </c>
      <c r="F69" s="19" t="str">
        <f>IFERROR(__xludf.DUMMYFUNCTION("""COMPUTED_VALUE"""),"BLUE")</f>
        <v>BLUE</v>
      </c>
      <c r="G69" s="20" t="str">
        <f>IFERROR(__xludf.DUMMYFUNCTION("""COMPUTED_VALUE"""),"Uncle Sams Cider (11/12/2021) (Blue)")</f>
        <v>Uncle Sams Cider (11/12/2021) (Blue)</v>
      </c>
      <c r="H69" s="19"/>
    </row>
    <row r="70">
      <c r="A70" s="9"/>
      <c r="B70" s="15"/>
      <c r="C70" s="9">
        <f>IFERROR(__xludf.DUMMYFUNCTION("""COMPUTED_VALUE"""),44604.837013287)</f>
        <v>44604.83701</v>
      </c>
      <c r="D70" s="15">
        <f>IFERROR(__xludf.DUMMYFUNCTION("""COMPUTED_VALUE"""),0.999)</f>
        <v>0.999</v>
      </c>
      <c r="E70" s="16">
        <f>IFERROR(__xludf.DUMMYFUNCTION("""COMPUTED_VALUE"""),63.0)</f>
        <v>63</v>
      </c>
      <c r="F70" s="19" t="str">
        <f>IFERROR(__xludf.DUMMYFUNCTION("""COMPUTED_VALUE"""),"BLUE")</f>
        <v>BLUE</v>
      </c>
      <c r="G70" s="20" t="str">
        <f>IFERROR(__xludf.DUMMYFUNCTION("""COMPUTED_VALUE"""),"Uncle Sams Cider (11/12/2021) (Blue)")</f>
        <v>Uncle Sams Cider (11/12/2021) (Blue)</v>
      </c>
      <c r="H70" s="19"/>
    </row>
    <row r="71">
      <c r="A71" s="9"/>
      <c r="B71" s="15"/>
      <c r="C71" s="9">
        <f>IFERROR(__xludf.DUMMYFUNCTION("""COMPUTED_VALUE"""),44604.8265907986)</f>
        <v>44604.82659</v>
      </c>
      <c r="D71" s="15">
        <f>IFERROR(__xludf.DUMMYFUNCTION("""COMPUTED_VALUE"""),0.999)</f>
        <v>0.999</v>
      </c>
      <c r="E71" s="16">
        <f>IFERROR(__xludf.DUMMYFUNCTION("""COMPUTED_VALUE"""),63.0)</f>
        <v>63</v>
      </c>
      <c r="F71" s="19" t="str">
        <f>IFERROR(__xludf.DUMMYFUNCTION("""COMPUTED_VALUE"""),"BLUE")</f>
        <v>BLUE</v>
      </c>
      <c r="G71" s="20" t="str">
        <f>IFERROR(__xludf.DUMMYFUNCTION("""COMPUTED_VALUE"""),"Uncle Sams Cider (11/12/2021) (Blue)")</f>
        <v>Uncle Sams Cider (11/12/2021) (Blue)</v>
      </c>
      <c r="H71" s="19"/>
    </row>
    <row r="72">
      <c r="A72" s="9"/>
      <c r="B72" s="15"/>
      <c r="C72" s="9">
        <f>IFERROR(__xludf.DUMMYFUNCTION("""COMPUTED_VALUE"""),44604.8161593981)</f>
        <v>44604.81616</v>
      </c>
      <c r="D72" s="15">
        <f>IFERROR(__xludf.DUMMYFUNCTION("""COMPUTED_VALUE"""),0.999)</f>
        <v>0.999</v>
      </c>
      <c r="E72" s="16">
        <f>IFERROR(__xludf.DUMMYFUNCTION("""COMPUTED_VALUE"""),63.0)</f>
        <v>63</v>
      </c>
      <c r="F72" s="19" t="str">
        <f>IFERROR(__xludf.DUMMYFUNCTION("""COMPUTED_VALUE"""),"BLUE")</f>
        <v>BLUE</v>
      </c>
      <c r="G72" s="20" t="str">
        <f>IFERROR(__xludf.DUMMYFUNCTION("""COMPUTED_VALUE"""),"Uncle Sams Cider (11/12/2021) (Blue)")</f>
        <v>Uncle Sams Cider (11/12/2021) (Blue)</v>
      </c>
      <c r="H72" s="19"/>
    </row>
    <row r="73">
      <c r="A73" s="9"/>
      <c r="B73" s="15"/>
      <c r="C73" s="9">
        <f>IFERROR(__xludf.DUMMYFUNCTION("""COMPUTED_VALUE"""),44604.8057383217)</f>
        <v>44604.80574</v>
      </c>
      <c r="D73" s="15">
        <f>IFERROR(__xludf.DUMMYFUNCTION("""COMPUTED_VALUE"""),0.999)</f>
        <v>0.999</v>
      </c>
      <c r="E73" s="16">
        <f>IFERROR(__xludf.DUMMYFUNCTION("""COMPUTED_VALUE"""),63.0)</f>
        <v>63</v>
      </c>
      <c r="F73" s="19" t="str">
        <f>IFERROR(__xludf.DUMMYFUNCTION("""COMPUTED_VALUE"""),"BLUE")</f>
        <v>BLUE</v>
      </c>
      <c r="G73" s="20" t="str">
        <f>IFERROR(__xludf.DUMMYFUNCTION("""COMPUTED_VALUE"""),"Uncle Sams Cider (11/12/2021) (Blue)")</f>
        <v>Uncle Sams Cider (11/12/2021) (Blue)</v>
      </c>
      <c r="H73" s="19"/>
    </row>
    <row r="74">
      <c r="A74" s="9"/>
      <c r="B74" s="15"/>
      <c r="C74" s="9">
        <f>IFERROR(__xludf.DUMMYFUNCTION("""COMPUTED_VALUE"""),44604.795318993)</f>
        <v>44604.79532</v>
      </c>
      <c r="D74" s="15">
        <f>IFERROR(__xludf.DUMMYFUNCTION("""COMPUTED_VALUE"""),0.999)</f>
        <v>0.999</v>
      </c>
      <c r="E74" s="16">
        <f>IFERROR(__xludf.DUMMYFUNCTION("""COMPUTED_VALUE"""),63.0)</f>
        <v>63</v>
      </c>
      <c r="F74" s="19" t="str">
        <f>IFERROR(__xludf.DUMMYFUNCTION("""COMPUTED_VALUE"""),"BLUE")</f>
        <v>BLUE</v>
      </c>
      <c r="G74" s="20" t="str">
        <f>IFERROR(__xludf.DUMMYFUNCTION("""COMPUTED_VALUE"""),"Uncle Sams Cider (11/12/2021) (Blue)")</f>
        <v>Uncle Sams Cider (11/12/2021) (Blue)</v>
      </c>
      <c r="H74" s="19"/>
    </row>
    <row r="75">
      <c r="A75" s="9"/>
      <c r="B75" s="15"/>
      <c r="C75" s="9">
        <f>IFERROR(__xludf.DUMMYFUNCTION("""COMPUTED_VALUE"""),44604.7848984606)</f>
        <v>44604.7849</v>
      </c>
      <c r="D75" s="15">
        <f>IFERROR(__xludf.DUMMYFUNCTION("""COMPUTED_VALUE"""),0.999)</f>
        <v>0.999</v>
      </c>
      <c r="E75" s="16">
        <f>IFERROR(__xludf.DUMMYFUNCTION("""COMPUTED_VALUE"""),63.0)</f>
        <v>63</v>
      </c>
      <c r="F75" s="19" t="str">
        <f>IFERROR(__xludf.DUMMYFUNCTION("""COMPUTED_VALUE"""),"BLUE")</f>
        <v>BLUE</v>
      </c>
      <c r="G75" s="20" t="str">
        <f>IFERROR(__xludf.DUMMYFUNCTION("""COMPUTED_VALUE"""),"Uncle Sams Cider (11/12/2021) (Blue)")</f>
        <v>Uncle Sams Cider (11/12/2021) (Blue)</v>
      </c>
      <c r="H75" s="19"/>
    </row>
    <row r="76">
      <c r="A76" s="9"/>
      <c r="B76" s="15"/>
      <c r="C76" s="9">
        <f>IFERROR(__xludf.DUMMYFUNCTION("""COMPUTED_VALUE"""),44604.7744761805)</f>
        <v>44604.77448</v>
      </c>
      <c r="D76" s="15">
        <f>IFERROR(__xludf.DUMMYFUNCTION("""COMPUTED_VALUE"""),0.999)</f>
        <v>0.999</v>
      </c>
      <c r="E76" s="16">
        <f>IFERROR(__xludf.DUMMYFUNCTION("""COMPUTED_VALUE"""),63.0)</f>
        <v>63</v>
      </c>
      <c r="F76" s="19" t="str">
        <f>IFERROR(__xludf.DUMMYFUNCTION("""COMPUTED_VALUE"""),"BLUE")</f>
        <v>BLUE</v>
      </c>
      <c r="G76" s="20" t="str">
        <f>IFERROR(__xludf.DUMMYFUNCTION("""COMPUTED_VALUE"""),"Uncle Sams Cider (11/12/2021) (Blue)")</f>
        <v>Uncle Sams Cider (11/12/2021) (Blue)</v>
      </c>
      <c r="H76" s="19"/>
    </row>
    <row r="77">
      <c r="A77" s="9"/>
      <c r="B77" s="15"/>
      <c r="C77" s="9">
        <f>IFERROR(__xludf.DUMMYFUNCTION("""COMPUTED_VALUE"""),44604.7640542708)</f>
        <v>44604.76405</v>
      </c>
      <c r="D77" s="15">
        <f>IFERROR(__xludf.DUMMYFUNCTION("""COMPUTED_VALUE"""),0.999)</f>
        <v>0.999</v>
      </c>
      <c r="E77" s="16">
        <f>IFERROR(__xludf.DUMMYFUNCTION("""COMPUTED_VALUE"""),63.0)</f>
        <v>63</v>
      </c>
      <c r="F77" s="19" t="str">
        <f>IFERROR(__xludf.DUMMYFUNCTION("""COMPUTED_VALUE"""),"BLUE")</f>
        <v>BLUE</v>
      </c>
      <c r="G77" s="20" t="str">
        <f>IFERROR(__xludf.DUMMYFUNCTION("""COMPUTED_VALUE"""),"Uncle Sams Cider (11/12/2021) (Blue)")</f>
        <v>Uncle Sams Cider (11/12/2021) (Blue)</v>
      </c>
      <c r="H77" s="19"/>
    </row>
    <row r="78">
      <c r="A78" s="9"/>
      <c r="B78" s="15"/>
      <c r="C78" s="9">
        <f>IFERROR(__xludf.DUMMYFUNCTION("""COMPUTED_VALUE"""),44604.7536090046)</f>
        <v>44604.75361</v>
      </c>
      <c r="D78" s="15">
        <f>IFERROR(__xludf.DUMMYFUNCTION("""COMPUTED_VALUE"""),0.999)</f>
        <v>0.999</v>
      </c>
      <c r="E78" s="16">
        <f>IFERROR(__xludf.DUMMYFUNCTION("""COMPUTED_VALUE"""),63.0)</f>
        <v>63</v>
      </c>
      <c r="F78" s="19" t="str">
        <f>IFERROR(__xludf.DUMMYFUNCTION("""COMPUTED_VALUE"""),"BLUE")</f>
        <v>BLUE</v>
      </c>
      <c r="G78" s="20" t="str">
        <f>IFERROR(__xludf.DUMMYFUNCTION("""COMPUTED_VALUE"""),"Uncle Sams Cider (11/12/2021) (Blue)")</f>
        <v>Uncle Sams Cider (11/12/2021) (Blue)</v>
      </c>
      <c r="H78" s="19"/>
    </row>
    <row r="79">
      <c r="A79" s="9"/>
      <c r="B79" s="15"/>
      <c r="C79" s="9">
        <f>IFERROR(__xludf.DUMMYFUNCTION("""COMPUTED_VALUE"""),44604.7431895717)</f>
        <v>44604.74319</v>
      </c>
      <c r="D79" s="15">
        <f>IFERROR(__xludf.DUMMYFUNCTION("""COMPUTED_VALUE"""),0.999)</f>
        <v>0.999</v>
      </c>
      <c r="E79" s="16">
        <f>IFERROR(__xludf.DUMMYFUNCTION("""COMPUTED_VALUE"""),63.0)</f>
        <v>63</v>
      </c>
      <c r="F79" s="19" t="str">
        <f>IFERROR(__xludf.DUMMYFUNCTION("""COMPUTED_VALUE"""),"BLUE")</f>
        <v>BLUE</v>
      </c>
      <c r="G79" s="20" t="str">
        <f>IFERROR(__xludf.DUMMYFUNCTION("""COMPUTED_VALUE"""),"Uncle Sams Cider (11/12/2021) (Blue)")</f>
        <v>Uncle Sams Cider (11/12/2021) (Blue)</v>
      </c>
      <c r="H79" s="19"/>
    </row>
    <row r="80">
      <c r="A80" s="9"/>
      <c r="B80" s="15"/>
      <c r="C80" s="9">
        <f>IFERROR(__xludf.DUMMYFUNCTION("""COMPUTED_VALUE"""),44604.7327692476)</f>
        <v>44604.73277</v>
      </c>
      <c r="D80" s="15">
        <f>IFERROR(__xludf.DUMMYFUNCTION("""COMPUTED_VALUE"""),0.999)</f>
        <v>0.999</v>
      </c>
      <c r="E80" s="16">
        <f>IFERROR(__xludf.DUMMYFUNCTION("""COMPUTED_VALUE"""),63.0)</f>
        <v>63</v>
      </c>
      <c r="F80" s="19" t="str">
        <f>IFERROR(__xludf.DUMMYFUNCTION("""COMPUTED_VALUE"""),"BLUE")</f>
        <v>BLUE</v>
      </c>
      <c r="G80" s="20" t="str">
        <f>IFERROR(__xludf.DUMMYFUNCTION("""COMPUTED_VALUE"""),"Uncle Sams Cider (11/12/2021) (Blue)")</f>
        <v>Uncle Sams Cider (11/12/2021) (Blue)</v>
      </c>
      <c r="H80" s="19"/>
    </row>
    <row r="81">
      <c r="A81" s="9"/>
      <c r="B81" s="15"/>
      <c r="C81" s="9">
        <f>IFERROR(__xludf.DUMMYFUNCTION("""COMPUTED_VALUE"""),44604.7223478125)</f>
        <v>44604.72235</v>
      </c>
      <c r="D81" s="15">
        <f>IFERROR(__xludf.DUMMYFUNCTION("""COMPUTED_VALUE"""),0.999)</f>
        <v>0.999</v>
      </c>
      <c r="E81" s="16">
        <f>IFERROR(__xludf.DUMMYFUNCTION("""COMPUTED_VALUE"""),63.0)</f>
        <v>63</v>
      </c>
      <c r="F81" s="19" t="str">
        <f>IFERROR(__xludf.DUMMYFUNCTION("""COMPUTED_VALUE"""),"BLUE")</f>
        <v>BLUE</v>
      </c>
      <c r="G81" s="20" t="str">
        <f>IFERROR(__xludf.DUMMYFUNCTION("""COMPUTED_VALUE"""),"Uncle Sams Cider (11/12/2021) (Blue)")</f>
        <v>Uncle Sams Cider (11/12/2021) (Blue)</v>
      </c>
      <c r="H81" s="19"/>
    </row>
    <row r="82">
      <c r="A82" s="9"/>
      <c r="B82" s="15"/>
      <c r="C82" s="9">
        <f>IFERROR(__xludf.DUMMYFUNCTION("""COMPUTED_VALUE"""),44604.7119141666)</f>
        <v>44604.71191</v>
      </c>
      <c r="D82" s="15">
        <f>IFERROR(__xludf.DUMMYFUNCTION("""COMPUTED_VALUE"""),0.999)</f>
        <v>0.999</v>
      </c>
      <c r="E82" s="16">
        <f>IFERROR(__xludf.DUMMYFUNCTION("""COMPUTED_VALUE"""),63.0)</f>
        <v>63</v>
      </c>
      <c r="F82" s="19" t="str">
        <f>IFERROR(__xludf.DUMMYFUNCTION("""COMPUTED_VALUE"""),"BLUE")</f>
        <v>BLUE</v>
      </c>
      <c r="G82" s="20" t="str">
        <f>IFERROR(__xludf.DUMMYFUNCTION("""COMPUTED_VALUE"""),"Uncle Sams Cider (11/12/2021) (Blue)")</f>
        <v>Uncle Sams Cider (11/12/2021) (Blue)</v>
      </c>
      <c r="H82" s="19"/>
    </row>
    <row r="83">
      <c r="A83" s="9"/>
      <c r="B83" s="15"/>
      <c r="C83" s="9">
        <f>IFERROR(__xludf.DUMMYFUNCTION("""COMPUTED_VALUE"""),44604.7014912384)</f>
        <v>44604.70149</v>
      </c>
      <c r="D83" s="15">
        <f>IFERROR(__xludf.DUMMYFUNCTION("""COMPUTED_VALUE"""),0.999)</f>
        <v>0.999</v>
      </c>
      <c r="E83" s="16">
        <f>IFERROR(__xludf.DUMMYFUNCTION("""COMPUTED_VALUE"""),63.0)</f>
        <v>63</v>
      </c>
      <c r="F83" s="19" t="str">
        <f>IFERROR(__xludf.DUMMYFUNCTION("""COMPUTED_VALUE"""),"BLUE")</f>
        <v>BLUE</v>
      </c>
      <c r="G83" s="20" t="str">
        <f>IFERROR(__xludf.DUMMYFUNCTION("""COMPUTED_VALUE"""),"Uncle Sams Cider (11/12/2021) (Blue)")</f>
        <v>Uncle Sams Cider (11/12/2021) (Blue)</v>
      </c>
      <c r="H83" s="19"/>
    </row>
    <row r="84">
      <c r="A84" s="9"/>
      <c r="B84" s="15"/>
      <c r="C84" s="9">
        <f>IFERROR(__xludf.DUMMYFUNCTION("""COMPUTED_VALUE"""),44604.6910690046)</f>
        <v>44604.69107</v>
      </c>
      <c r="D84" s="15">
        <f>IFERROR(__xludf.DUMMYFUNCTION("""COMPUTED_VALUE"""),0.999)</f>
        <v>0.999</v>
      </c>
      <c r="E84" s="16">
        <f>IFERROR(__xludf.DUMMYFUNCTION("""COMPUTED_VALUE"""),63.0)</f>
        <v>63</v>
      </c>
      <c r="F84" s="19" t="str">
        <f>IFERROR(__xludf.DUMMYFUNCTION("""COMPUTED_VALUE"""),"BLUE")</f>
        <v>BLUE</v>
      </c>
      <c r="G84" s="20" t="str">
        <f>IFERROR(__xludf.DUMMYFUNCTION("""COMPUTED_VALUE"""),"Uncle Sams Cider (11/12/2021) (Blue)")</f>
        <v>Uncle Sams Cider (11/12/2021) (Blue)</v>
      </c>
      <c r="H84" s="19"/>
    </row>
    <row r="85">
      <c r="A85" s="9"/>
      <c r="B85" s="15"/>
      <c r="C85" s="9">
        <f>IFERROR(__xludf.DUMMYFUNCTION("""COMPUTED_VALUE"""),44604.6806361342)</f>
        <v>44604.68064</v>
      </c>
      <c r="D85" s="15">
        <f>IFERROR(__xludf.DUMMYFUNCTION("""COMPUTED_VALUE"""),0.999)</f>
        <v>0.999</v>
      </c>
      <c r="E85" s="16">
        <f>IFERROR(__xludf.DUMMYFUNCTION("""COMPUTED_VALUE"""),63.0)</f>
        <v>63</v>
      </c>
      <c r="F85" s="19" t="str">
        <f>IFERROR(__xludf.DUMMYFUNCTION("""COMPUTED_VALUE"""),"BLUE")</f>
        <v>BLUE</v>
      </c>
      <c r="G85" s="20" t="str">
        <f>IFERROR(__xludf.DUMMYFUNCTION("""COMPUTED_VALUE"""),"Uncle Sams Cider (11/12/2021) (Blue)")</f>
        <v>Uncle Sams Cider (11/12/2021) (Blue)</v>
      </c>
      <c r="H85" s="19"/>
    </row>
    <row r="86">
      <c r="A86" s="9"/>
      <c r="B86" s="15"/>
      <c r="C86" s="9">
        <f>IFERROR(__xludf.DUMMYFUNCTION("""COMPUTED_VALUE"""),44604.6702142013)</f>
        <v>44604.67021</v>
      </c>
      <c r="D86" s="15">
        <f>IFERROR(__xludf.DUMMYFUNCTION("""COMPUTED_VALUE"""),0.999)</f>
        <v>0.999</v>
      </c>
      <c r="E86" s="16">
        <f>IFERROR(__xludf.DUMMYFUNCTION("""COMPUTED_VALUE"""),63.0)</f>
        <v>63</v>
      </c>
      <c r="F86" s="19" t="str">
        <f>IFERROR(__xludf.DUMMYFUNCTION("""COMPUTED_VALUE"""),"BLUE")</f>
        <v>BLUE</v>
      </c>
      <c r="G86" s="20" t="str">
        <f>IFERROR(__xludf.DUMMYFUNCTION("""COMPUTED_VALUE"""),"Uncle Sams Cider (11/12/2021) (Blue)")</f>
        <v>Uncle Sams Cider (11/12/2021) (Blue)</v>
      </c>
      <c r="H86" s="19"/>
    </row>
    <row r="87">
      <c r="A87" s="9"/>
      <c r="B87" s="15"/>
      <c r="C87" s="9">
        <f>IFERROR(__xludf.DUMMYFUNCTION("""COMPUTED_VALUE"""),44604.6597818171)</f>
        <v>44604.65978</v>
      </c>
      <c r="D87" s="15">
        <f>IFERROR(__xludf.DUMMYFUNCTION("""COMPUTED_VALUE"""),0.999)</f>
        <v>0.999</v>
      </c>
      <c r="E87" s="16">
        <f>IFERROR(__xludf.DUMMYFUNCTION("""COMPUTED_VALUE"""),63.0)</f>
        <v>63</v>
      </c>
      <c r="F87" s="19" t="str">
        <f>IFERROR(__xludf.DUMMYFUNCTION("""COMPUTED_VALUE"""),"BLUE")</f>
        <v>BLUE</v>
      </c>
      <c r="G87" s="20" t="str">
        <f>IFERROR(__xludf.DUMMYFUNCTION("""COMPUTED_VALUE"""),"Uncle Sams Cider (11/12/2021) (Blue)")</f>
        <v>Uncle Sams Cider (11/12/2021) (Blue)</v>
      </c>
      <c r="H87" s="19"/>
    </row>
    <row r="88">
      <c r="A88" s="9"/>
      <c r="B88" s="15"/>
      <c r="C88" s="9">
        <f>IFERROR(__xludf.DUMMYFUNCTION("""COMPUTED_VALUE"""),44604.6493591898)</f>
        <v>44604.64936</v>
      </c>
      <c r="D88" s="15">
        <f>IFERROR(__xludf.DUMMYFUNCTION("""COMPUTED_VALUE"""),0.999)</f>
        <v>0.999</v>
      </c>
      <c r="E88" s="16">
        <f>IFERROR(__xludf.DUMMYFUNCTION("""COMPUTED_VALUE"""),63.0)</f>
        <v>63</v>
      </c>
      <c r="F88" s="19" t="str">
        <f>IFERROR(__xludf.DUMMYFUNCTION("""COMPUTED_VALUE"""),"BLUE")</f>
        <v>BLUE</v>
      </c>
      <c r="G88" s="20" t="str">
        <f>IFERROR(__xludf.DUMMYFUNCTION("""COMPUTED_VALUE"""),"Uncle Sams Cider (11/12/2021) (Blue)")</f>
        <v>Uncle Sams Cider (11/12/2021) (Blue)</v>
      </c>
      <c r="H88" s="19"/>
    </row>
    <row r="89">
      <c r="A89" s="9"/>
      <c r="B89" s="15"/>
      <c r="C89" s="9">
        <f>IFERROR(__xludf.DUMMYFUNCTION("""COMPUTED_VALUE"""),44604.638927118)</f>
        <v>44604.63893</v>
      </c>
      <c r="D89" s="15">
        <f>IFERROR(__xludf.DUMMYFUNCTION("""COMPUTED_VALUE"""),0.999)</f>
        <v>0.999</v>
      </c>
      <c r="E89" s="16">
        <f>IFERROR(__xludf.DUMMYFUNCTION("""COMPUTED_VALUE"""),63.0)</f>
        <v>63</v>
      </c>
      <c r="F89" s="19" t="str">
        <f>IFERROR(__xludf.DUMMYFUNCTION("""COMPUTED_VALUE"""),"BLUE")</f>
        <v>BLUE</v>
      </c>
      <c r="G89" s="20" t="str">
        <f>IFERROR(__xludf.DUMMYFUNCTION("""COMPUTED_VALUE"""),"Uncle Sams Cider (11/12/2021) (Blue)")</f>
        <v>Uncle Sams Cider (11/12/2021) (Blue)</v>
      </c>
      <c r="H89" s="19"/>
    </row>
    <row r="90">
      <c r="A90" s="9"/>
      <c r="B90" s="15"/>
      <c r="C90" s="9">
        <f>IFERROR(__xludf.DUMMYFUNCTION("""COMPUTED_VALUE"""),44604.6285069213)</f>
        <v>44604.62851</v>
      </c>
      <c r="D90" s="15">
        <f>IFERROR(__xludf.DUMMYFUNCTION("""COMPUTED_VALUE"""),0.999)</f>
        <v>0.999</v>
      </c>
      <c r="E90" s="16">
        <f>IFERROR(__xludf.DUMMYFUNCTION("""COMPUTED_VALUE"""),63.0)</f>
        <v>63</v>
      </c>
      <c r="F90" s="19" t="str">
        <f>IFERROR(__xludf.DUMMYFUNCTION("""COMPUTED_VALUE"""),"BLUE")</f>
        <v>BLUE</v>
      </c>
      <c r="G90" s="20" t="str">
        <f>IFERROR(__xludf.DUMMYFUNCTION("""COMPUTED_VALUE"""),"Uncle Sams Cider (11/12/2021) (Blue)")</f>
        <v>Uncle Sams Cider (11/12/2021) (Blue)</v>
      </c>
      <c r="H90" s="19"/>
    </row>
    <row r="91">
      <c r="A91" s="9"/>
      <c r="B91" s="15"/>
      <c r="C91" s="9">
        <f>IFERROR(__xludf.DUMMYFUNCTION("""COMPUTED_VALUE"""),44604.6180859953)</f>
        <v>44604.61809</v>
      </c>
      <c r="D91" s="15">
        <f>IFERROR(__xludf.DUMMYFUNCTION("""COMPUTED_VALUE"""),0.999)</f>
        <v>0.999</v>
      </c>
      <c r="E91" s="16">
        <f>IFERROR(__xludf.DUMMYFUNCTION("""COMPUTED_VALUE"""),63.0)</f>
        <v>63</v>
      </c>
      <c r="F91" s="19" t="str">
        <f>IFERROR(__xludf.DUMMYFUNCTION("""COMPUTED_VALUE"""),"BLUE")</f>
        <v>BLUE</v>
      </c>
      <c r="G91" s="20" t="str">
        <f>IFERROR(__xludf.DUMMYFUNCTION("""COMPUTED_VALUE"""),"Uncle Sams Cider (11/12/2021) (Blue)")</f>
        <v>Uncle Sams Cider (11/12/2021) (Blue)</v>
      </c>
      <c r="H91" s="19"/>
    </row>
    <row r="92">
      <c r="A92" s="9"/>
      <c r="B92" s="15"/>
      <c r="C92" s="9">
        <f>IFERROR(__xludf.DUMMYFUNCTION("""COMPUTED_VALUE"""),44604.6076662268)</f>
        <v>44604.60767</v>
      </c>
      <c r="D92" s="15">
        <f>IFERROR(__xludf.DUMMYFUNCTION("""COMPUTED_VALUE"""),0.999)</f>
        <v>0.999</v>
      </c>
      <c r="E92" s="16">
        <f>IFERROR(__xludf.DUMMYFUNCTION("""COMPUTED_VALUE"""),63.0)</f>
        <v>63</v>
      </c>
      <c r="F92" s="19" t="str">
        <f>IFERROR(__xludf.DUMMYFUNCTION("""COMPUTED_VALUE"""),"BLUE")</f>
        <v>BLUE</v>
      </c>
      <c r="G92" s="20" t="str">
        <f>IFERROR(__xludf.DUMMYFUNCTION("""COMPUTED_VALUE"""),"Uncle Sams Cider (11/12/2021) (Blue)")</f>
        <v>Uncle Sams Cider (11/12/2021) (Blue)</v>
      </c>
      <c r="H92" s="19"/>
    </row>
    <row r="93">
      <c r="A93" s="9"/>
      <c r="B93" s="15"/>
      <c r="C93" s="9">
        <f>IFERROR(__xludf.DUMMYFUNCTION("""COMPUTED_VALUE"""),44604.5972451388)</f>
        <v>44604.59725</v>
      </c>
      <c r="D93" s="15">
        <f>IFERROR(__xludf.DUMMYFUNCTION("""COMPUTED_VALUE"""),0.999)</f>
        <v>0.999</v>
      </c>
      <c r="E93" s="16">
        <f>IFERROR(__xludf.DUMMYFUNCTION("""COMPUTED_VALUE"""),63.0)</f>
        <v>63</v>
      </c>
      <c r="F93" s="19" t="str">
        <f>IFERROR(__xludf.DUMMYFUNCTION("""COMPUTED_VALUE"""),"BLUE")</f>
        <v>BLUE</v>
      </c>
      <c r="G93" s="20" t="str">
        <f>IFERROR(__xludf.DUMMYFUNCTION("""COMPUTED_VALUE"""),"Uncle Sams Cider (11/12/2021) (Blue)")</f>
        <v>Uncle Sams Cider (11/12/2021) (Blue)</v>
      </c>
      <c r="H93" s="19"/>
    </row>
    <row r="94">
      <c r="A94" s="9"/>
      <c r="B94" s="15"/>
      <c r="C94" s="9">
        <f>IFERROR(__xludf.DUMMYFUNCTION("""COMPUTED_VALUE"""),44604.5868229513)</f>
        <v>44604.58682</v>
      </c>
      <c r="D94" s="15">
        <f>IFERROR(__xludf.DUMMYFUNCTION("""COMPUTED_VALUE"""),0.999)</f>
        <v>0.999</v>
      </c>
      <c r="E94" s="16">
        <f>IFERROR(__xludf.DUMMYFUNCTION("""COMPUTED_VALUE"""),63.0)</f>
        <v>63</v>
      </c>
      <c r="F94" s="19" t="str">
        <f>IFERROR(__xludf.DUMMYFUNCTION("""COMPUTED_VALUE"""),"BLUE")</f>
        <v>BLUE</v>
      </c>
      <c r="G94" s="20" t="str">
        <f>IFERROR(__xludf.DUMMYFUNCTION("""COMPUTED_VALUE"""),"Uncle Sams Cider (11/12/2021) (Blue)")</f>
        <v>Uncle Sams Cider (11/12/2021) (Blue)</v>
      </c>
      <c r="H94" s="19"/>
    </row>
    <row r="95">
      <c r="A95" s="9"/>
      <c r="B95" s="15"/>
      <c r="C95" s="9">
        <f>IFERROR(__xludf.DUMMYFUNCTION("""COMPUTED_VALUE"""),44604.5763998148)</f>
        <v>44604.5764</v>
      </c>
      <c r="D95" s="15">
        <f>IFERROR(__xludf.DUMMYFUNCTION("""COMPUTED_VALUE"""),0.999)</f>
        <v>0.999</v>
      </c>
      <c r="E95" s="16">
        <f>IFERROR(__xludf.DUMMYFUNCTION("""COMPUTED_VALUE"""),63.0)</f>
        <v>63</v>
      </c>
      <c r="F95" s="19" t="str">
        <f>IFERROR(__xludf.DUMMYFUNCTION("""COMPUTED_VALUE"""),"BLUE")</f>
        <v>BLUE</v>
      </c>
      <c r="G95" s="20" t="str">
        <f>IFERROR(__xludf.DUMMYFUNCTION("""COMPUTED_VALUE"""),"Uncle Sams Cider (11/12/2021) (Blue)")</f>
        <v>Uncle Sams Cider (11/12/2021) (Blue)</v>
      </c>
      <c r="H95" s="19"/>
    </row>
    <row r="96">
      <c r="A96" s="9"/>
      <c r="B96" s="15"/>
      <c r="C96" s="9">
        <f>IFERROR(__xludf.DUMMYFUNCTION("""COMPUTED_VALUE"""),44604.5659794328)</f>
        <v>44604.56598</v>
      </c>
      <c r="D96" s="15">
        <f>IFERROR(__xludf.DUMMYFUNCTION("""COMPUTED_VALUE"""),0.999)</f>
        <v>0.999</v>
      </c>
      <c r="E96" s="16">
        <f>IFERROR(__xludf.DUMMYFUNCTION("""COMPUTED_VALUE"""),63.0)</f>
        <v>63</v>
      </c>
      <c r="F96" s="19" t="str">
        <f>IFERROR(__xludf.DUMMYFUNCTION("""COMPUTED_VALUE"""),"BLUE")</f>
        <v>BLUE</v>
      </c>
      <c r="G96" s="20" t="str">
        <f>IFERROR(__xludf.DUMMYFUNCTION("""COMPUTED_VALUE"""),"Uncle Sams Cider (11/12/2021) (Blue)")</f>
        <v>Uncle Sams Cider (11/12/2021) (Blue)</v>
      </c>
      <c r="H96" s="19"/>
    </row>
    <row r="97">
      <c r="A97" s="9"/>
      <c r="B97" s="15"/>
      <c r="C97" s="9">
        <f>IFERROR(__xludf.DUMMYFUNCTION("""COMPUTED_VALUE"""),44604.5555474074)</f>
        <v>44604.55555</v>
      </c>
      <c r="D97" s="15">
        <f>IFERROR(__xludf.DUMMYFUNCTION("""COMPUTED_VALUE"""),0.999)</f>
        <v>0.999</v>
      </c>
      <c r="E97" s="16">
        <f>IFERROR(__xludf.DUMMYFUNCTION("""COMPUTED_VALUE"""),63.0)</f>
        <v>63</v>
      </c>
      <c r="F97" s="19" t="str">
        <f>IFERROR(__xludf.DUMMYFUNCTION("""COMPUTED_VALUE"""),"BLUE")</f>
        <v>BLUE</v>
      </c>
      <c r="G97" s="20" t="str">
        <f>IFERROR(__xludf.DUMMYFUNCTION("""COMPUTED_VALUE"""),"Uncle Sams Cider (11/12/2021) (Blue)")</f>
        <v>Uncle Sams Cider (11/12/2021) (Blue)</v>
      </c>
      <c r="H97" s="19"/>
    </row>
    <row r="98">
      <c r="A98" s="9"/>
      <c r="B98" s="15"/>
      <c r="C98" s="9">
        <f>IFERROR(__xludf.DUMMYFUNCTION("""COMPUTED_VALUE"""),44604.5451269907)</f>
        <v>44604.54513</v>
      </c>
      <c r="D98" s="15">
        <f>IFERROR(__xludf.DUMMYFUNCTION("""COMPUTED_VALUE"""),0.999)</f>
        <v>0.999</v>
      </c>
      <c r="E98" s="16">
        <f>IFERROR(__xludf.DUMMYFUNCTION("""COMPUTED_VALUE"""),63.0)</f>
        <v>63</v>
      </c>
      <c r="F98" s="19" t="str">
        <f>IFERROR(__xludf.DUMMYFUNCTION("""COMPUTED_VALUE"""),"BLUE")</f>
        <v>BLUE</v>
      </c>
      <c r="G98" s="20" t="str">
        <f>IFERROR(__xludf.DUMMYFUNCTION("""COMPUTED_VALUE"""),"Uncle Sams Cider (11/12/2021) (Blue)")</f>
        <v>Uncle Sams Cider (11/12/2021) (Blue)</v>
      </c>
      <c r="H98" s="19"/>
    </row>
    <row r="99">
      <c r="A99" s="9"/>
      <c r="B99" s="15"/>
      <c r="C99" s="9">
        <f>IFERROR(__xludf.DUMMYFUNCTION("""COMPUTED_VALUE"""),44604.5347067939)</f>
        <v>44604.53471</v>
      </c>
      <c r="D99" s="15">
        <f>IFERROR(__xludf.DUMMYFUNCTION("""COMPUTED_VALUE"""),0.999)</f>
        <v>0.999</v>
      </c>
      <c r="E99" s="16">
        <f>IFERROR(__xludf.DUMMYFUNCTION("""COMPUTED_VALUE"""),63.0)</f>
        <v>63</v>
      </c>
      <c r="F99" s="19" t="str">
        <f>IFERROR(__xludf.DUMMYFUNCTION("""COMPUTED_VALUE"""),"BLUE")</f>
        <v>BLUE</v>
      </c>
      <c r="G99" s="20" t="str">
        <f>IFERROR(__xludf.DUMMYFUNCTION("""COMPUTED_VALUE"""),"Uncle Sams Cider (11/12/2021) (Blue)")</f>
        <v>Uncle Sams Cider (11/12/2021) (Blue)</v>
      </c>
      <c r="H99" s="19"/>
    </row>
    <row r="100">
      <c r="A100" s="9"/>
      <c r="B100" s="15"/>
      <c r="C100" s="9">
        <f>IFERROR(__xludf.DUMMYFUNCTION("""COMPUTED_VALUE"""),44604.5242858101)</f>
        <v>44604.52429</v>
      </c>
      <c r="D100" s="15">
        <f>IFERROR(__xludf.DUMMYFUNCTION("""COMPUTED_VALUE"""),0.999)</f>
        <v>0.999</v>
      </c>
      <c r="E100" s="16">
        <f>IFERROR(__xludf.DUMMYFUNCTION("""COMPUTED_VALUE"""),63.0)</f>
        <v>63</v>
      </c>
      <c r="F100" s="19" t="str">
        <f>IFERROR(__xludf.DUMMYFUNCTION("""COMPUTED_VALUE"""),"BLUE")</f>
        <v>BLUE</v>
      </c>
      <c r="G100" s="20" t="str">
        <f>IFERROR(__xludf.DUMMYFUNCTION("""COMPUTED_VALUE"""),"Uncle Sams Cider (11/12/2021) (Blue)")</f>
        <v>Uncle Sams Cider (11/12/2021) (Blue)</v>
      </c>
      <c r="H100" s="19"/>
    </row>
    <row r="101">
      <c r="A101" s="9"/>
      <c r="B101" s="15"/>
      <c r="C101" s="9">
        <f>IFERROR(__xludf.DUMMYFUNCTION("""COMPUTED_VALUE"""),44604.5138649999)</f>
        <v>44604.51386</v>
      </c>
      <c r="D101" s="15">
        <f>IFERROR(__xludf.DUMMYFUNCTION("""COMPUTED_VALUE"""),0.999)</f>
        <v>0.999</v>
      </c>
      <c r="E101" s="16">
        <f>IFERROR(__xludf.DUMMYFUNCTION("""COMPUTED_VALUE"""),63.0)</f>
        <v>63</v>
      </c>
      <c r="F101" s="19" t="str">
        <f>IFERROR(__xludf.DUMMYFUNCTION("""COMPUTED_VALUE"""),"BLUE")</f>
        <v>BLUE</v>
      </c>
      <c r="G101" s="20" t="str">
        <f>IFERROR(__xludf.DUMMYFUNCTION("""COMPUTED_VALUE"""),"Uncle Sams Cider (11/12/2021) (Blue)")</f>
        <v>Uncle Sams Cider (11/12/2021) (Blue)</v>
      </c>
      <c r="H101" s="19"/>
    </row>
    <row r="102">
      <c r="A102" s="9"/>
      <c r="B102" s="15"/>
      <c r="C102" s="9">
        <f>IFERROR(__xludf.DUMMYFUNCTION("""COMPUTED_VALUE"""),44604.5034435648)</f>
        <v>44604.50344</v>
      </c>
      <c r="D102" s="15">
        <f>IFERROR(__xludf.DUMMYFUNCTION("""COMPUTED_VALUE"""),0.999)</f>
        <v>0.999</v>
      </c>
      <c r="E102" s="16">
        <f>IFERROR(__xludf.DUMMYFUNCTION("""COMPUTED_VALUE"""),63.0)</f>
        <v>63</v>
      </c>
      <c r="F102" s="19" t="str">
        <f>IFERROR(__xludf.DUMMYFUNCTION("""COMPUTED_VALUE"""),"BLUE")</f>
        <v>BLUE</v>
      </c>
      <c r="G102" s="20" t="str">
        <f>IFERROR(__xludf.DUMMYFUNCTION("""COMPUTED_VALUE"""),"Uncle Sams Cider (11/12/2021) (Blue)")</f>
        <v>Uncle Sams Cider (11/12/2021) (Blue)</v>
      </c>
      <c r="H102" s="19"/>
    </row>
    <row r="103">
      <c r="A103" s="9"/>
      <c r="B103" s="15"/>
      <c r="C103" s="9">
        <f>IFERROR(__xludf.DUMMYFUNCTION("""COMPUTED_VALUE"""),44604.4930104629)</f>
        <v>44604.49301</v>
      </c>
      <c r="D103" s="15">
        <f>IFERROR(__xludf.DUMMYFUNCTION("""COMPUTED_VALUE"""),0.999)</f>
        <v>0.999</v>
      </c>
      <c r="E103" s="16">
        <f>IFERROR(__xludf.DUMMYFUNCTION("""COMPUTED_VALUE"""),63.0)</f>
        <v>63</v>
      </c>
      <c r="F103" s="19" t="str">
        <f>IFERROR(__xludf.DUMMYFUNCTION("""COMPUTED_VALUE"""),"BLUE")</f>
        <v>BLUE</v>
      </c>
      <c r="G103" s="20" t="str">
        <f>IFERROR(__xludf.DUMMYFUNCTION("""COMPUTED_VALUE"""),"Uncle Sams Cider (11/12/2021) (Blue)")</f>
        <v>Uncle Sams Cider (11/12/2021) (Blue)</v>
      </c>
      <c r="H103" s="19"/>
    </row>
    <row r="104">
      <c r="A104" s="9"/>
      <c r="B104" s="15"/>
      <c r="C104" s="9">
        <f>IFERROR(__xludf.DUMMYFUNCTION("""COMPUTED_VALUE"""),44604.4825890161)</f>
        <v>44604.48259</v>
      </c>
      <c r="D104" s="15">
        <f>IFERROR(__xludf.DUMMYFUNCTION("""COMPUTED_VALUE"""),0.999)</f>
        <v>0.999</v>
      </c>
      <c r="E104" s="16">
        <f>IFERROR(__xludf.DUMMYFUNCTION("""COMPUTED_VALUE"""),63.0)</f>
        <v>63</v>
      </c>
      <c r="F104" s="19" t="str">
        <f>IFERROR(__xludf.DUMMYFUNCTION("""COMPUTED_VALUE"""),"BLUE")</f>
        <v>BLUE</v>
      </c>
      <c r="G104" s="20" t="str">
        <f>IFERROR(__xludf.DUMMYFUNCTION("""COMPUTED_VALUE"""),"Uncle Sams Cider (11/12/2021) (Blue)")</f>
        <v>Uncle Sams Cider (11/12/2021) (Blue)</v>
      </c>
      <c r="H104" s="19"/>
    </row>
    <row r="105">
      <c r="A105" s="9"/>
      <c r="B105" s="15"/>
      <c r="C105" s="9">
        <f>IFERROR(__xludf.DUMMYFUNCTION("""COMPUTED_VALUE"""),44604.4721685995)</f>
        <v>44604.47217</v>
      </c>
      <c r="D105" s="15">
        <f>IFERROR(__xludf.DUMMYFUNCTION("""COMPUTED_VALUE"""),0.999)</f>
        <v>0.999</v>
      </c>
      <c r="E105" s="16">
        <f>IFERROR(__xludf.DUMMYFUNCTION("""COMPUTED_VALUE"""),63.0)</f>
        <v>63</v>
      </c>
      <c r="F105" s="19" t="str">
        <f>IFERROR(__xludf.DUMMYFUNCTION("""COMPUTED_VALUE"""),"BLUE")</f>
        <v>BLUE</v>
      </c>
      <c r="G105" s="20" t="str">
        <f>IFERROR(__xludf.DUMMYFUNCTION("""COMPUTED_VALUE"""),"Uncle Sams Cider (11/12/2021) (Blue)")</f>
        <v>Uncle Sams Cider (11/12/2021) (Blue)</v>
      </c>
      <c r="H105" s="19"/>
    </row>
    <row r="106">
      <c r="A106" s="9"/>
      <c r="B106" s="15"/>
      <c r="C106" s="9">
        <f>IFERROR(__xludf.DUMMYFUNCTION("""COMPUTED_VALUE"""),44604.4617487962)</f>
        <v>44604.46175</v>
      </c>
      <c r="D106" s="15">
        <f>IFERROR(__xludf.DUMMYFUNCTION("""COMPUTED_VALUE"""),0.999)</f>
        <v>0.999</v>
      </c>
      <c r="E106" s="16">
        <f>IFERROR(__xludf.DUMMYFUNCTION("""COMPUTED_VALUE"""),63.0)</f>
        <v>63</v>
      </c>
      <c r="F106" s="19" t="str">
        <f>IFERROR(__xludf.DUMMYFUNCTION("""COMPUTED_VALUE"""),"BLUE")</f>
        <v>BLUE</v>
      </c>
      <c r="G106" s="20" t="str">
        <f>IFERROR(__xludf.DUMMYFUNCTION("""COMPUTED_VALUE"""),"Uncle Sams Cider (11/12/2021) (Blue)")</f>
        <v>Uncle Sams Cider (11/12/2021) (Blue)</v>
      </c>
      <c r="H106" s="19"/>
    </row>
    <row r="107">
      <c r="A107" s="9"/>
      <c r="B107" s="15"/>
      <c r="C107" s="9">
        <f>IFERROR(__xludf.DUMMYFUNCTION("""COMPUTED_VALUE"""),44604.4513286574)</f>
        <v>44604.45133</v>
      </c>
      <c r="D107" s="15">
        <f>IFERROR(__xludf.DUMMYFUNCTION("""COMPUTED_VALUE"""),0.999)</f>
        <v>0.999</v>
      </c>
      <c r="E107" s="16">
        <f>IFERROR(__xludf.DUMMYFUNCTION("""COMPUTED_VALUE"""),63.0)</f>
        <v>63</v>
      </c>
      <c r="F107" s="19" t="str">
        <f>IFERROR(__xludf.DUMMYFUNCTION("""COMPUTED_VALUE"""),"BLUE")</f>
        <v>BLUE</v>
      </c>
      <c r="G107" s="20" t="str">
        <f>IFERROR(__xludf.DUMMYFUNCTION("""COMPUTED_VALUE"""),"Uncle Sams Cider (11/12/2021) (Blue)")</f>
        <v>Uncle Sams Cider (11/12/2021) (Blue)</v>
      </c>
      <c r="H107" s="19"/>
    </row>
    <row r="108">
      <c r="A108" s="9"/>
      <c r="B108" s="15"/>
      <c r="C108" s="9">
        <f>IFERROR(__xludf.DUMMYFUNCTION("""COMPUTED_VALUE"""),44604.4408966666)</f>
        <v>44604.4409</v>
      </c>
      <c r="D108" s="15">
        <f>IFERROR(__xludf.DUMMYFUNCTION("""COMPUTED_VALUE"""),0.999)</f>
        <v>0.999</v>
      </c>
      <c r="E108" s="16">
        <f>IFERROR(__xludf.DUMMYFUNCTION("""COMPUTED_VALUE"""),63.0)</f>
        <v>63</v>
      </c>
      <c r="F108" s="19" t="str">
        <f>IFERROR(__xludf.DUMMYFUNCTION("""COMPUTED_VALUE"""),"BLUE")</f>
        <v>BLUE</v>
      </c>
      <c r="G108" s="20" t="str">
        <f>IFERROR(__xludf.DUMMYFUNCTION("""COMPUTED_VALUE"""),"Uncle Sams Cider (11/12/2021) (Blue)")</f>
        <v>Uncle Sams Cider (11/12/2021) (Blue)</v>
      </c>
      <c r="H108" s="19"/>
    </row>
    <row r="109">
      <c r="A109" s="9"/>
      <c r="B109" s="15"/>
      <c r="C109" s="9">
        <f>IFERROR(__xludf.DUMMYFUNCTION("""COMPUTED_VALUE"""),44604.4304763657)</f>
        <v>44604.43048</v>
      </c>
      <c r="D109" s="15">
        <f>IFERROR(__xludf.DUMMYFUNCTION("""COMPUTED_VALUE"""),0.999)</f>
        <v>0.999</v>
      </c>
      <c r="E109" s="16">
        <f>IFERROR(__xludf.DUMMYFUNCTION("""COMPUTED_VALUE"""),63.0)</f>
        <v>63</v>
      </c>
      <c r="F109" s="19" t="str">
        <f>IFERROR(__xludf.DUMMYFUNCTION("""COMPUTED_VALUE"""),"BLUE")</f>
        <v>BLUE</v>
      </c>
      <c r="G109" s="20" t="str">
        <f>IFERROR(__xludf.DUMMYFUNCTION("""COMPUTED_VALUE"""),"Uncle Sams Cider (11/12/2021) (Blue)")</f>
        <v>Uncle Sams Cider (11/12/2021) (Blue)</v>
      </c>
      <c r="H109" s="19"/>
    </row>
    <row r="110">
      <c r="A110" s="9"/>
      <c r="B110" s="15"/>
      <c r="C110" s="9">
        <f>IFERROR(__xludf.DUMMYFUNCTION("""COMPUTED_VALUE"""),44604.4200552662)</f>
        <v>44604.42006</v>
      </c>
      <c r="D110" s="15">
        <f>IFERROR(__xludf.DUMMYFUNCTION("""COMPUTED_VALUE"""),0.999)</f>
        <v>0.999</v>
      </c>
      <c r="E110" s="16">
        <f>IFERROR(__xludf.DUMMYFUNCTION("""COMPUTED_VALUE"""),63.0)</f>
        <v>63</v>
      </c>
      <c r="F110" s="19" t="str">
        <f>IFERROR(__xludf.DUMMYFUNCTION("""COMPUTED_VALUE"""),"BLUE")</f>
        <v>BLUE</v>
      </c>
      <c r="G110" s="20" t="str">
        <f>IFERROR(__xludf.DUMMYFUNCTION("""COMPUTED_VALUE"""),"Uncle Sams Cider (11/12/2021) (Blue)")</f>
        <v>Uncle Sams Cider (11/12/2021) (Blue)</v>
      </c>
      <c r="H110" s="19"/>
    </row>
    <row r="111">
      <c r="A111" s="9"/>
      <c r="B111" s="15"/>
      <c r="C111" s="9">
        <f>IFERROR(__xludf.DUMMYFUNCTION("""COMPUTED_VALUE"""),44604.4096344675)</f>
        <v>44604.40963</v>
      </c>
      <c r="D111" s="15">
        <f>IFERROR(__xludf.DUMMYFUNCTION("""COMPUTED_VALUE"""),0.999)</f>
        <v>0.999</v>
      </c>
      <c r="E111" s="16">
        <f>IFERROR(__xludf.DUMMYFUNCTION("""COMPUTED_VALUE"""),63.0)</f>
        <v>63</v>
      </c>
      <c r="F111" s="19" t="str">
        <f>IFERROR(__xludf.DUMMYFUNCTION("""COMPUTED_VALUE"""),"BLUE")</f>
        <v>BLUE</v>
      </c>
      <c r="G111" s="20" t="str">
        <f>IFERROR(__xludf.DUMMYFUNCTION("""COMPUTED_VALUE"""),"Uncle Sams Cider (11/12/2021) (Blue)")</f>
        <v>Uncle Sams Cider (11/12/2021) (Blue)</v>
      </c>
      <c r="H111" s="19"/>
    </row>
    <row r="112">
      <c r="A112" s="9"/>
      <c r="B112" s="15"/>
      <c r="C112" s="9">
        <f>IFERROR(__xludf.DUMMYFUNCTION("""COMPUTED_VALUE"""),44604.3992125694)</f>
        <v>44604.39921</v>
      </c>
      <c r="D112" s="15">
        <f>IFERROR(__xludf.DUMMYFUNCTION("""COMPUTED_VALUE"""),0.999)</f>
        <v>0.999</v>
      </c>
      <c r="E112" s="16">
        <f>IFERROR(__xludf.DUMMYFUNCTION("""COMPUTED_VALUE"""),63.0)</f>
        <v>63</v>
      </c>
      <c r="F112" s="19" t="str">
        <f>IFERROR(__xludf.DUMMYFUNCTION("""COMPUTED_VALUE"""),"BLUE")</f>
        <v>BLUE</v>
      </c>
      <c r="G112" s="20" t="str">
        <f>IFERROR(__xludf.DUMMYFUNCTION("""COMPUTED_VALUE"""),"Uncle Sams Cider (11/12/2021) (Blue)")</f>
        <v>Uncle Sams Cider (11/12/2021) (Blue)</v>
      </c>
      <c r="H112" s="19"/>
    </row>
    <row r="113">
      <c r="A113" s="9"/>
      <c r="B113" s="15"/>
      <c r="C113" s="9">
        <f>IFERROR(__xludf.DUMMYFUNCTION("""COMPUTED_VALUE"""),44604.3887918634)</f>
        <v>44604.38879</v>
      </c>
      <c r="D113" s="15">
        <f>IFERROR(__xludf.DUMMYFUNCTION("""COMPUTED_VALUE"""),0.999)</f>
        <v>0.999</v>
      </c>
      <c r="E113" s="16">
        <f>IFERROR(__xludf.DUMMYFUNCTION("""COMPUTED_VALUE"""),63.0)</f>
        <v>63</v>
      </c>
      <c r="F113" s="19" t="str">
        <f>IFERROR(__xludf.DUMMYFUNCTION("""COMPUTED_VALUE"""),"BLUE")</f>
        <v>BLUE</v>
      </c>
      <c r="G113" s="20" t="str">
        <f>IFERROR(__xludf.DUMMYFUNCTION("""COMPUTED_VALUE"""),"Uncle Sams Cider (11/12/2021) (Blue)")</f>
        <v>Uncle Sams Cider (11/12/2021) (Blue)</v>
      </c>
      <c r="H113" s="19"/>
    </row>
    <row r="114">
      <c r="A114" s="9"/>
      <c r="B114" s="15"/>
      <c r="C114" s="9">
        <f>IFERROR(__xludf.DUMMYFUNCTION("""COMPUTED_VALUE"""),44604.3783710995)</f>
        <v>44604.37837</v>
      </c>
      <c r="D114" s="15">
        <f>IFERROR(__xludf.DUMMYFUNCTION("""COMPUTED_VALUE"""),0.999)</f>
        <v>0.999</v>
      </c>
      <c r="E114" s="16">
        <f>IFERROR(__xludf.DUMMYFUNCTION("""COMPUTED_VALUE"""),63.0)</f>
        <v>63</v>
      </c>
      <c r="F114" s="19" t="str">
        <f>IFERROR(__xludf.DUMMYFUNCTION("""COMPUTED_VALUE"""),"BLUE")</f>
        <v>BLUE</v>
      </c>
      <c r="G114" s="20" t="str">
        <f>IFERROR(__xludf.DUMMYFUNCTION("""COMPUTED_VALUE"""),"Uncle Sams Cider (11/12/2021) (Blue)")</f>
        <v>Uncle Sams Cider (11/12/2021) (Blue)</v>
      </c>
      <c r="H114" s="19"/>
    </row>
    <row r="115">
      <c r="A115" s="9"/>
      <c r="B115" s="15"/>
      <c r="C115" s="9">
        <f>IFERROR(__xludf.DUMMYFUNCTION("""COMPUTED_VALUE"""),44604.3679508217)</f>
        <v>44604.36795</v>
      </c>
      <c r="D115" s="15">
        <f>IFERROR(__xludf.DUMMYFUNCTION("""COMPUTED_VALUE"""),0.999)</f>
        <v>0.999</v>
      </c>
      <c r="E115" s="16">
        <f>IFERROR(__xludf.DUMMYFUNCTION("""COMPUTED_VALUE"""),63.0)</f>
        <v>63</v>
      </c>
      <c r="F115" s="19" t="str">
        <f>IFERROR(__xludf.DUMMYFUNCTION("""COMPUTED_VALUE"""),"BLUE")</f>
        <v>BLUE</v>
      </c>
      <c r="G115" s="20" t="str">
        <f>IFERROR(__xludf.DUMMYFUNCTION("""COMPUTED_VALUE"""),"Uncle Sams Cider (11/12/2021) (Blue)")</f>
        <v>Uncle Sams Cider (11/12/2021) (Blue)</v>
      </c>
      <c r="H115" s="19"/>
    </row>
    <row r="116">
      <c r="A116" s="9"/>
      <c r="B116" s="15"/>
      <c r="C116" s="9">
        <f>IFERROR(__xludf.DUMMYFUNCTION("""COMPUTED_VALUE"""),44604.3575165046)</f>
        <v>44604.35752</v>
      </c>
      <c r="D116" s="15">
        <f>IFERROR(__xludf.DUMMYFUNCTION("""COMPUTED_VALUE"""),0.999)</f>
        <v>0.999</v>
      </c>
      <c r="E116" s="16">
        <f>IFERROR(__xludf.DUMMYFUNCTION("""COMPUTED_VALUE"""),63.0)</f>
        <v>63</v>
      </c>
      <c r="F116" s="19" t="str">
        <f>IFERROR(__xludf.DUMMYFUNCTION("""COMPUTED_VALUE"""),"BLUE")</f>
        <v>BLUE</v>
      </c>
      <c r="G116" s="20" t="str">
        <f>IFERROR(__xludf.DUMMYFUNCTION("""COMPUTED_VALUE"""),"Uncle Sams Cider (11/12/2021) (Blue)")</f>
        <v>Uncle Sams Cider (11/12/2021) (Blue)</v>
      </c>
      <c r="H116" s="19"/>
    </row>
    <row r="117">
      <c r="A117" s="9"/>
      <c r="B117" s="15"/>
      <c r="C117" s="9">
        <f>IFERROR(__xludf.DUMMYFUNCTION("""COMPUTED_VALUE"""),44604.3470728009)</f>
        <v>44604.34707</v>
      </c>
      <c r="D117" s="15">
        <f>IFERROR(__xludf.DUMMYFUNCTION("""COMPUTED_VALUE"""),0.999)</f>
        <v>0.999</v>
      </c>
      <c r="E117" s="16">
        <f>IFERROR(__xludf.DUMMYFUNCTION("""COMPUTED_VALUE"""),63.0)</f>
        <v>63</v>
      </c>
      <c r="F117" s="19" t="str">
        <f>IFERROR(__xludf.DUMMYFUNCTION("""COMPUTED_VALUE"""),"BLUE")</f>
        <v>BLUE</v>
      </c>
      <c r="G117" s="20" t="str">
        <f>IFERROR(__xludf.DUMMYFUNCTION("""COMPUTED_VALUE"""),"Uncle Sams Cider (11/12/2021) (Blue)")</f>
        <v>Uncle Sams Cider (11/12/2021) (Blue)</v>
      </c>
      <c r="H117" s="19"/>
    </row>
    <row r="118">
      <c r="A118" s="9"/>
      <c r="B118" s="15"/>
      <c r="C118" s="9">
        <f>IFERROR(__xludf.DUMMYFUNCTION("""COMPUTED_VALUE"""),44604.3366515624)</f>
        <v>44604.33665</v>
      </c>
      <c r="D118" s="15">
        <f>IFERROR(__xludf.DUMMYFUNCTION("""COMPUTED_VALUE"""),0.999)</f>
        <v>0.999</v>
      </c>
      <c r="E118" s="16">
        <f>IFERROR(__xludf.DUMMYFUNCTION("""COMPUTED_VALUE"""),63.0)</f>
        <v>63</v>
      </c>
      <c r="F118" s="19" t="str">
        <f>IFERROR(__xludf.DUMMYFUNCTION("""COMPUTED_VALUE"""),"BLUE")</f>
        <v>BLUE</v>
      </c>
      <c r="G118" s="20" t="str">
        <f>IFERROR(__xludf.DUMMYFUNCTION("""COMPUTED_VALUE"""),"Uncle Sams Cider (11/12/2021) (Blue)")</f>
        <v>Uncle Sams Cider (11/12/2021) (Blue)</v>
      </c>
      <c r="H118" s="19"/>
    </row>
    <row r="119">
      <c r="A119" s="9"/>
      <c r="B119" s="15"/>
      <c r="C119" s="9">
        <f>IFERROR(__xludf.DUMMYFUNCTION("""COMPUTED_VALUE"""),44604.3262173958)</f>
        <v>44604.32622</v>
      </c>
      <c r="D119" s="15">
        <f>IFERROR(__xludf.DUMMYFUNCTION("""COMPUTED_VALUE"""),0.999)</f>
        <v>0.999</v>
      </c>
      <c r="E119" s="16">
        <f>IFERROR(__xludf.DUMMYFUNCTION("""COMPUTED_VALUE"""),63.0)</f>
        <v>63</v>
      </c>
      <c r="F119" s="19" t="str">
        <f>IFERROR(__xludf.DUMMYFUNCTION("""COMPUTED_VALUE"""),"BLUE")</f>
        <v>BLUE</v>
      </c>
      <c r="G119" s="20" t="str">
        <f>IFERROR(__xludf.DUMMYFUNCTION("""COMPUTED_VALUE"""),"Uncle Sams Cider (11/12/2021) (Blue)")</f>
        <v>Uncle Sams Cider (11/12/2021) (Blue)</v>
      </c>
      <c r="H119" s="19"/>
    </row>
    <row r="120">
      <c r="A120" s="9"/>
      <c r="B120" s="15"/>
      <c r="C120" s="9">
        <f>IFERROR(__xludf.DUMMYFUNCTION("""COMPUTED_VALUE"""),44604.3157977777)</f>
        <v>44604.3158</v>
      </c>
      <c r="D120" s="15">
        <f>IFERROR(__xludf.DUMMYFUNCTION("""COMPUTED_VALUE"""),0.999)</f>
        <v>0.999</v>
      </c>
      <c r="E120" s="16">
        <f>IFERROR(__xludf.DUMMYFUNCTION("""COMPUTED_VALUE"""),63.0)</f>
        <v>63</v>
      </c>
      <c r="F120" s="19" t="str">
        <f>IFERROR(__xludf.DUMMYFUNCTION("""COMPUTED_VALUE"""),"BLUE")</f>
        <v>BLUE</v>
      </c>
      <c r="G120" s="20" t="str">
        <f>IFERROR(__xludf.DUMMYFUNCTION("""COMPUTED_VALUE"""),"Uncle Sams Cider (11/12/2021) (Blue)")</f>
        <v>Uncle Sams Cider (11/12/2021) (Blue)</v>
      </c>
      <c r="H120" s="19"/>
    </row>
    <row r="121">
      <c r="A121" s="9"/>
      <c r="B121" s="15"/>
      <c r="C121" s="9">
        <f>IFERROR(__xludf.DUMMYFUNCTION("""COMPUTED_VALUE"""),44604.3053766319)</f>
        <v>44604.30538</v>
      </c>
      <c r="D121" s="15">
        <f>IFERROR(__xludf.DUMMYFUNCTION("""COMPUTED_VALUE"""),0.999)</f>
        <v>0.999</v>
      </c>
      <c r="E121" s="16">
        <f>IFERROR(__xludf.DUMMYFUNCTION("""COMPUTED_VALUE"""),63.0)</f>
        <v>63</v>
      </c>
      <c r="F121" s="19" t="str">
        <f>IFERROR(__xludf.DUMMYFUNCTION("""COMPUTED_VALUE"""),"BLUE")</f>
        <v>BLUE</v>
      </c>
      <c r="G121" s="20" t="str">
        <f>IFERROR(__xludf.DUMMYFUNCTION("""COMPUTED_VALUE"""),"Uncle Sams Cider (11/12/2021) (Blue)")</f>
        <v>Uncle Sams Cider (11/12/2021) (Blue)</v>
      </c>
      <c r="H121" s="19"/>
    </row>
    <row r="122">
      <c r="A122" s="9"/>
      <c r="B122" s="15"/>
      <c r="C122" s="9">
        <f>IFERROR(__xludf.DUMMYFUNCTION("""COMPUTED_VALUE"""),44604.2949545486)</f>
        <v>44604.29495</v>
      </c>
      <c r="D122" s="15">
        <f>IFERROR(__xludf.DUMMYFUNCTION("""COMPUTED_VALUE"""),0.999)</f>
        <v>0.999</v>
      </c>
      <c r="E122" s="16">
        <f>IFERROR(__xludf.DUMMYFUNCTION("""COMPUTED_VALUE"""),63.0)</f>
        <v>63</v>
      </c>
      <c r="F122" s="19" t="str">
        <f>IFERROR(__xludf.DUMMYFUNCTION("""COMPUTED_VALUE"""),"BLUE")</f>
        <v>BLUE</v>
      </c>
      <c r="G122" s="20" t="str">
        <f>IFERROR(__xludf.DUMMYFUNCTION("""COMPUTED_VALUE"""),"Uncle Sams Cider (11/12/2021) (Blue)")</f>
        <v>Uncle Sams Cider (11/12/2021) (Blue)</v>
      </c>
      <c r="H122" s="19"/>
    </row>
    <row r="123">
      <c r="A123" s="9"/>
      <c r="B123" s="15"/>
      <c r="C123" s="9">
        <f>IFERROR(__xludf.DUMMYFUNCTION("""COMPUTED_VALUE"""),44604.2845345486)</f>
        <v>44604.28453</v>
      </c>
      <c r="D123" s="15">
        <f>IFERROR(__xludf.DUMMYFUNCTION("""COMPUTED_VALUE"""),0.999)</f>
        <v>0.999</v>
      </c>
      <c r="E123" s="16">
        <f>IFERROR(__xludf.DUMMYFUNCTION("""COMPUTED_VALUE"""),63.0)</f>
        <v>63</v>
      </c>
      <c r="F123" s="19" t="str">
        <f>IFERROR(__xludf.DUMMYFUNCTION("""COMPUTED_VALUE"""),"BLUE")</f>
        <v>BLUE</v>
      </c>
      <c r="G123" s="20" t="str">
        <f>IFERROR(__xludf.DUMMYFUNCTION("""COMPUTED_VALUE"""),"Uncle Sams Cider (11/12/2021) (Blue)")</f>
        <v>Uncle Sams Cider (11/12/2021) (Blue)</v>
      </c>
      <c r="H123" s="19"/>
    </row>
    <row r="124">
      <c r="A124" s="9"/>
      <c r="B124" s="15"/>
      <c r="C124" s="9">
        <f>IFERROR(__xludf.DUMMYFUNCTION("""COMPUTED_VALUE"""),44604.2741002199)</f>
        <v>44604.2741</v>
      </c>
      <c r="D124" s="15">
        <f>IFERROR(__xludf.DUMMYFUNCTION("""COMPUTED_VALUE"""),0.999)</f>
        <v>0.999</v>
      </c>
      <c r="E124" s="16">
        <f>IFERROR(__xludf.DUMMYFUNCTION("""COMPUTED_VALUE"""),63.0)</f>
        <v>63</v>
      </c>
      <c r="F124" s="19" t="str">
        <f>IFERROR(__xludf.DUMMYFUNCTION("""COMPUTED_VALUE"""),"BLUE")</f>
        <v>BLUE</v>
      </c>
      <c r="G124" s="20" t="str">
        <f>IFERROR(__xludf.DUMMYFUNCTION("""COMPUTED_VALUE"""),"Uncle Sams Cider (11/12/2021) (Blue)")</f>
        <v>Uncle Sams Cider (11/12/2021) (Blue)</v>
      </c>
      <c r="H124" s="19"/>
    </row>
    <row r="125">
      <c r="A125" s="9"/>
      <c r="B125" s="15"/>
      <c r="C125" s="9">
        <f>IFERROR(__xludf.DUMMYFUNCTION("""COMPUTED_VALUE"""),44604.2636444212)</f>
        <v>44604.26364</v>
      </c>
      <c r="D125" s="15">
        <f>IFERROR(__xludf.DUMMYFUNCTION("""COMPUTED_VALUE"""),0.999)</f>
        <v>0.999</v>
      </c>
      <c r="E125" s="16">
        <f>IFERROR(__xludf.DUMMYFUNCTION("""COMPUTED_VALUE"""),63.0)</f>
        <v>63</v>
      </c>
      <c r="F125" s="19" t="str">
        <f>IFERROR(__xludf.DUMMYFUNCTION("""COMPUTED_VALUE"""),"BLUE")</f>
        <v>BLUE</v>
      </c>
      <c r="G125" s="20" t="str">
        <f>IFERROR(__xludf.DUMMYFUNCTION("""COMPUTED_VALUE"""),"Uncle Sams Cider (11/12/2021) (Blue)")</f>
        <v>Uncle Sams Cider (11/12/2021) (Blue)</v>
      </c>
      <c r="H125" s="19"/>
    </row>
    <row r="126">
      <c r="A126" s="9"/>
      <c r="B126" s="15"/>
      <c r="C126" s="9">
        <f>IFERROR(__xludf.DUMMYFUNCTION("""COMPUTED_VALUE"""),44604.2532248379)</f>
        <v>44604.25322</v>
      </c>
      <c r="D126" s="15">
        <f>IFERROR(__xludf.DUMMYFUNCTION("""COMPUTED_VALUE"""),0.999)</f>
        <v>0.999</v>
      </c>
      <c r="E126" s="16">
        <f>IFERROR(__xludf.DUMMYFUNCTION("""COMPUTED_VALUE"""),63.0)</f>
        <v>63</v>
      </c>
      <c r="F126" s="19" t="str">
        <f>IFERROR(__xludf.DUMMYFUNCTION("""COMPUTED_VALUE"""),"BLUE")</f>
        <v>BLUE</v>
      </c>
      <c r="G126" s="20" t="str">
        <f>IFERROR(__xludf.DUMMYFUNCTION("""COMPUTED_VALUE"""),"Uncle Sams Cider (11/12/2021) (Blue)")</f>
        <v>Uncle Sams Cider (11/12/2021) (Blue)</v>
      </c>
      <c r="H126" s="19"/>
    </row>
    <row r="127">
      <c r="A127" s="9"/>
      <c r="B127" s="15"/>
      <c r="C127" s="9">
        <f>IFERROR(__xludf.DUMMYFUNCTION("""COMPUTED_VALUE"""),44604.242802662)</f>
        <v>44604.2428</v>
      </c>
      <c r="D127" s="15">
        <f>IFERROR(__xludf.DUMMYFUNCTION("""COMPUTED_VALUE"""),0.999)</f>
        <v>0.999</v>
      </c>
      <c r="E127" s="16">
        <f>IFERROR(__xludf.DUMMYFUNCTION("""COMPUTED_VALUE"""),63.0)</f>
        <v>63</v>
      </c>
      <c r="F127" s="19" t="str">
        <f>IFERROR(__xludf.DUMMYFUNCTION("""COMPUTED_VALUE"""),"BLUE")</f>
        <v>BLUE</v>
      </c>
      <c r="G127" s="20" t="str">
        <f>IFERROR(__xludf.DUMMYFUNCTION("""COMPUTED_VALUE"""),"Uncle Sams Cider (11/12/2021) (Blue)")</f>
        <v>Uncle Sams Cider (11/12/2021) (Blue)</v>
      </c>
      <c r="H127" s="19"/>
    </row>
    <row r="128">
      <c r="A128" s="9"/>
      <c r="B128" s="15"/>
      <c r="C128" s="9">
        <f>IFERROR(__xludf.DUMMYFUNCTION("""COMPUTED_VALUE"""),44604.2323666319)</f>
        <v>44604.23237</v>
      </c>
      <c r="D128" s="15">
        <f>IFERROR(__xludf.DUMMYFUNCTION("""COMPUTED_VALUE"""),0.999)</f>
        <v>0.999</v>
      </c>
      <c r="E128" s="16">
        <f>IFERROR(__xludf.DUMMYFUNCTION("""COMPUTED_VALUE"""),63.0)</f>
        <v>63</v>
      </c>
      <c r="F128" s="19" t="str">
        <f>IFERROR(__xludf.DUMMYFUNCTION("""COMPUTED_VALUE"""),"BLUE")</f>
        <v>BLUE</v>
      </c>
      <c r="G128" s="20" t="str">
        <f>IFERROR(__xludf.DUMMYFUNCTION("""COMPUTED_VALUE"""),"Uncle Sams Cider (11/12/2021) (Blue)")</f>
        <v>Uncle Sams Cider (11/12/2021) (Blue)</v>
      </c>
      <c r="H128" s="19"/>
    </row>
    <row r="129">
      <c r="A129" s="9"/>
      <c r="B129" s="15"/>
      <c r="C129" s="9">
        <f>IFERROR(__xludf.DUMMYFUNCTION("""COMPUTED_VALUE"""),44604.2219345023)</f>
        <v>44604.22193</v>
      </c>
      <c r="D129" s="15">
        <f>IFERROR(__xludf.DUMMYFUNCTION("""COMPUTED_VALUE"""),0.999)</f>
        <v>0.999</v>
      </c>
      <c r="E129" s="16">
        <f>IFERROR(__xludf.DUMMYFUNCTION("""COMPUTED_VALUE"""),63.0)</f>
        <v>63</v>
      </c>
      <c r="F129" s="19" t="str">
        <f>IFERROR(__xludf.DUMMYFUNCTION("""COMPUTED_VALUE"""),"BLUE")</f>
        <v>BLUE</v>
      </c>
      <c r="G129" s="20" t="str">
        <f>IFERROR(__xludf.DUMMYFUNCTION("""COMPUTED_VALUE"""),"Uncle Sams Cider (11/12/2021) (Blue)")</f>
        <v>Uncle Sams Cider (11/12/2021) (Blue)</v>
      </c>
      <c r="H129" s="19"/>
    </row>
    <row r="130">
      <c r="A130" s="9"/>
      <c r="B130" s="15"/>
      <c r="C130" s="9">
        <f>IFERROR(__xludf.DUMMYFUNCTION("""COMPUTED_VALUE"""),44604.211513449)</f>
        <v>44604.21151</v>
      </c>
      <c r="D130" s="15">
        <f>IFERROR(__xludf.DUMMYFUNCTION("""COMPUTED_VALUE"""),0.999)</f>
        <v>0.999</v>
      </c>
      <c r="E130" s="16">
        <f>IFERROR(__xludf.DUMMYFUNCTION("""COMPUTED_VALUE"""),63.0)</f>
        <v>63</v>
      </c>
      <c r="F130" s="19" t="str">
        <f>IFERROR(__xludf.DUMMYFUNCTION("""COMPUTED_VALUE"""),"BLUE")</f>
        <v>BLUE</v>
      </c>
      <c r="G130" s="20" t="str">
        <f>IFERROR(__xludf.DUMMYFUNCTION("""COMPUTED_VALUE"""),"Uncle Sams Cider (11/12/2021) (Blue)")</f>
        <v>Uncle Sams Cider (11/12/2021) (Blue)</v>
      </c>
      <c r="H130" s="19"/>
    </row>
    <row r="131">
      <c r="A131" s="9"/>
      <c r="B131" s="15"/>
      <c r="C131" s="9">
        <f>IFERROR(__xludf.DUMMYFUNCTION("""COMPUTED_VALUE"""),44604.201080243)</f>
        <v>44604.20108</v>
      </c>
      <c r="D131" s="15">
        <f>IFERROR(__xludf.DUMMYFUNCTION("""COMPUTED_VALUE"""),0.999)</f>
        <v>0.999</v>
      </c>
      <c r="E131" s="16">
        <f>IFERROR(__xludf.DUMMYFUNCTION("""COMPUTED_VALUE"""),63.0)</f>
        <v>63</v>
      </c>
      <c r="F131" s="19" t="str">
        <f>IFERROR(__xludf.DUMMYFUNCTION("""COMPUTED_VALUE"""),"BLUE")</f>
        <v>BLUE</v>
      </c>
      <c r="G131" s="20" t="str">
        <f>IFERROR(__xludf.DUMMYFUNCTION("""COMPUTED_VALUE"""),"Uncle Sams Cider (11/12/2021) (Blue)")</f>
        <v>Uncle Sams Cider (11/12/2021) (Blue)</v>
      </c>
      <c r="H131" s="19"/>
    </row>
    <row r="132">
      <c r="A132" s="9"/>
      <c r="B132" s="15"/>
      <c r="C132" s="9">
        <f>IFERROR(__xludf.DUMMYFUNCTION("""COMPUTED_VALUE"""),44604.1906592013)</f>
        <v>44604.19066</v>
      </c>
      <c r="D132" s="15">
        <f>IFERROR(__xludf.DUMMYFUNCTION("""COMPUTED_VALUE"""),0.999)</f>
        <v>0.999</v>
      </c>
      <c r="E132" s="16">
        <f>IFERROR(__xludf.DUMMYFUNCTION("""COMPUTED_VALUE"""),63.0)</f>
        <v>63</v>
      </c>
      <c r="F132" s="19" t="str">
        <f>IFERROR(__xludf.DUMMYFUNCTION("""COMPUTED_VALUE"""),"BLUE")</f>
        <v>BLUE</v>
      </c>
      <c r="G132" s="20" t="str">
        <f>IFERROR(__xludf.DUMMYFUNCTION("""COMPUTED_VALUE"""),"Uncle Sams Cider (11/12/2021) (Blue)")</f>
        <v>Uncle Sams Cider (11/12/2021) (Blue)</v>
      </c>
      <c r="H132" s="19"/>
    </row>
    <row r="133">
      <c r="A133" s="9"/>
      <c r="B133" s="15"/>
      <c r="C133" s="9">
        <f>IFERROR(__xludf.DUMMYFUNCTION("""COMPUTED_VALUE"""),44604.1802376041)</f>
        <v>44604.18024</v>
      </c>
      <c r="D133" s="15">
        <f>IFERROR(__xludf.DUMMYFUNCTION("""COMPUTED_VALUE"""),0.999)</f>
        <v>0.999</v>
      </c>
      <c r="E133" s="16">
        <f>IFERROR(__xludf.DUMMYFUNCTION("""COMPUTED_VALUE"""),63.0)</f>
        <v>63</v>
      </c>
      <c r="F133" s="19" t="str">
        <f>IFERROR(__xludf.DUMMYFUNCTION("""COMPUTED_VALUE"""),"BLUE")</f>
        <v>BLUE</v>
      </c>
      <c r="G133" s="20" t="str">
        <f>IFERROR(__xludf.DUMMYFUNCTION("""COMPUTED_VALUE"""),"Uncle Sams Cider (11/12/2021) (Blue)")</f>
        <v>Uncle Sams Cider (11/12/2021) (Blue)</v>
      </c>
      <c r="H133" s="19"/>
    </row>
    <row r="134">
      <c r="A134" s="9"/>
      <c r="B134" s="15"/>
      <c r="C134" s="9">
        <f>IFERROR(__xludf.DUMMYFUNCTION("""COMPUTED_VALUE"""),44604.1698186342)</f>
        <v>44604.16982</v>
      </c>
      <c r="D134" s="15">
        <f>IFERROR(__xludf.DUMMYFUNCTION("""COMPUTED_VALUE"""),0.999)</f>
        <v>0.999</v>
      </c>
      <c r="E134" s="16">
        <f>IFERROR(__xludf.DUMMYFUNCTION("""COMPUTED_VALUE"""),63.0)</f>
        <v>63</v>
      </c>
      <c r="F134" s="19" t="str">
        <f>IFERROR(__xludf.DUMMYFUNCTION("""COMPUTED_VALUE"""),"BLUE")</f>
        <v>BLUE</v>
      </c>
      <c r="G134" s="20" t="str">
        <f>IFERROR(__xludf.DUMMYFUNCTION("""COMPUTED_VALUE"""),"Uncle Sams Cider (11/12/2021) (Blue)")</f>
        <v>Uncle Sams Cider (11/12/2021) (Blue)</v>
      </c>
      <c r="H134" s="19"/>
    </row>
    <row r="135">
      <c r="A135" s="9"/>
      <c r="B135" s="15"/>
      <c r="C135" s="9">
        <f>IFERROR(__xludf.DUMMYFUNCTION("""COMPUTED_VALUE"""),44604.1593981018)</f>
        <v>44604.1594</v>
      </c>
      <c r="D135" s="15">
        <f>IFERROR(__xludf.DUMMYFUNCTION("""COMPUTED_VALUE"""),0.999)</f>
        <v>0.999</v>
      </c>
      <c r="E135" s="16">
        <f>IFERROR(__xludf.DUMMYFUNCTION("""COMPUTED_VALUE"""),63.0)</f>
        <v>63</v>
      </c>
      <c r="F135" s="19" t="str">
        <f>IFERROR(__xludf.DUMMYFUNCTION("""COMPUTED_VALUE"""),"BLUE")</f>
        <v>BLUE</v>
      </c>
      <c r="G135" s="20" t="str">
        <f>IFERROR(__xludf.DUMMYFUNCTION("""COMPUTED_VALUE"""),"Uncle Sams Cider (11/12/2021) (Blue)")</f>
        <v>Uncle Sams Cider (11/12/2021) (Blue)</v>
      </c>
      <c r="H135" s="19"/>
    </row>
    <row r="136">
      <c r="A136" s="9"/>
      <c r="B136" s="15"/>
      <c r="C136" s="9">
        <f>IFERROR(__xludf.DUMMYFUNCTION("""COMPUTED_VALUE"""),44604.1489768634)</f>
        <v>44604.14898</v>
      </c>
      <c r="D136" s="15">
        <f>IFERROR(__xludf.DUMMYFUNCTION("""COMPUTED_VALUE"""),0.999)</f>
        <v>0.999</v>
      </c>
      <c r="E136" s="16">
        <f>IFERROR(__xludf.DUMMYFUNCTION("""COMPUTED_VALUE"""),63.0)</f>
        <v>63</v>
      </c>
      <c r="F136" s="19" t="str">
        <f>IFERROR(__xludf.DUMMYFUNCTION("""COMPUTED_VALUE"""),"BLUE")</f>
        <v>BLUE</v>
      </c>
      <c r="G136" s="20" t="str">
        <f>IFERROR(__xludf.DUMMYFUNCTION("""COMPUTED_VALUE"""),"Uncle Sams Cider (11/12/2021) (Blue)")</f>
        <v>Uncle Sams Cider (11/12/2021) (Blue)</v>
      </c>
      <c r="H136" s="19"/>
    </row>
    <row r="137">
      <c r="A137" s="9"/>
      <c r="B137" s="15"/>
      <c r="C137" s="9">
        <f>IFERROR(__xludf.DUMMYFUNCTION("""COMPUTED_VALUE"""),44604.1385531597)</f>
        <v>44604.13855</v>
      </c>
      <c r="D137" s="15">
        <f>IFERROR(__xludf.DUMMYFUNCTION("""COMPUTED_VALUE"""),0.999)</f>
        <v>0.999</v>
      </c>
      <c r="E137" s="16">
        <f>IFERROR(__xludf.DUMMYFUNCTION("""COMPUTED_VALUE"""),63.0)</f>
        <v>63</v>
      </c>
      <c r="F137" s="19" t="str">
        <f>IFERROR(__xludf.DUMMYFUNCTION("""COMPUTED_VALUE"""),"BLUE")</f>
        <v>BLUE</v>
      </c>
      <c r="G137" s="20" t="str">
        <f>IFERROR(__xludf.DUMMYFUNCTION("""COMPUTED_VALUE"""),"Uncle Sams Cider (11/12/2021) (Blue)")</f>
        <v>Uncle Sams Cider (11/12/2021) (Blue)</v>
      </c>
      <c r="H137" s="19"/>
    </row>
    <row r="138">
      <c r="A138" s="9"/>
      <c r="B138" s="15"/>
      <c r="C138" s="9">
        <f>IFERROR(__xludf.DUMMYFUNCTION("""COMPUTED_VALUE"""),44604.1281315856)</f>
        <v>44604.12813</v>
      </c>
      <c r="D138" s="15">
        <f>IFERROR(__xludf.DUMMYFUNCTION("""COMPUTED_VALUE"""),0.999)</f>
        <v>0.999</v>
      </c>
      <c r="E138" s="16">
        <f>IFERROR(__xludf.DUMMYFUNCTION("""COMPUTED_VALUE"""),63.0)</f>
        <v>63</v>
      </c>
      <c r="F138" s="19" t="str">
        <f>IFERROR(__xludf.DUMMYFUNCTION("""COMPUTED_VALUE"""),"BLUE")</f>
        <v>BLUE</v>
      </c>
      <c r="G138" s="20" t="str">
        <f>IFERROR(__xludf.DUMMYFUNCTION("""COMPUTED_VALUE"""),"Uncle Sams Cider (11/12/2021) (Blue)")</f>
        <v>Uncle Sams Cider (11/12/2021) (Blue)</v>
      </c>
      <c r="H138" s="19"/>
    </row>
    <row r="139">
      <c r="A139" s="9"/>
      <c r="B139" s="15"/>
      <c r="C139" s="9">
        <f>IFERROR(__xludf.DUMMYFUNCTION("""COMPUTED_VALUE"""),44604.1177105208)</f>
        <v>44604.11771</v>
      </c>
      <c r="D139" s="15">
        <f>IFERROR(__xludf.DUMMYFUNCTION("""COMPUTED_VALUE"""),0.999)</f>
        <v>0.999</v>
      </c>
      <c r="E139" s="16">
        <f>IFERROR(__xludf.DUMMYFUNCTION("""COMPUTED_VALUE"""),63.0)</f>
        <v>63</v>
      </c>
      <c r="F139" s="19" t="str">
        <f>IFERROR(__xludf.DUMMYFUNCTION("""COMPUTED_VALUE"""),"BLUE")</f>
        <v>BLUE</v>
      </c>
      <c r="G139" s="20" t="str">
        <f>IFERROR(__xludf.DUMMYFUNCTION("""COMPUTED_VALUE"""),"Uncle Sams Cider (11/12/2021) (Blue)")</f>
        <v>Uncle Sams Cider (11/12/2021) (Blue)</v>
      </c>
      <c r="H139" s="19"/>
    </row>
    <row r="140">
      <c r="A140" s="9"/>
      <c r="B140" s="15"/>
      <c r="C140" s="9">
        <f>IFERROR(__xludf.DUMMYFUNCTION("""COMPUTED_VALUE"""),44604.1072889699)</f>
        <v>44604.10729</v>
      </c>
      <c r="D140" s="15">
        <f>IFERROR(__xludf.DUMMYFUNCTION("""COMPUTED_VALUE"""),0.999)</f>
        <v>0.999</v>
      </c>
      <c r="E140" s="16">
        <f>IFERROR(__xludf.DUMMYFUNCTION("""COMPUTED_VALUE"""),63.0)</f>
        <v>63</v>
      </c>
      <c r="F140" s="19" t="str">
        <f>IFERROR(__xludf.DUMMYFUNCTION("""COMPUTED_VALUE"""),"BLUE")</f>
        <v>BLUE</v>
      </c>
      <c r="G140" s="20" t="str">
        <f>IFERROR(__xludf.DUMMYFUNCTION("""COMPUTED_VALUE"""),"Uncle Sams Cider (11/12/2021) (Blue)")</f>
        <v>Uncle Sams Cider (11/12/2021) (Blue)</v>
      </c>
      <c r="H140" s="19"/>
    </row>
    <row r="141">
      <c r="A141" s="9"/>
      <c r="B141" s="15"/>
      <c r="C141" s="9">
        <f>IFERROR(__xludf.DUMMYFUNCTION("""COMPUTED_VALUE"""),44604.0968566319)</f>
        <v>44604.09686</v>
      </c>
      <c r="D141" s="15">
        <f>IFERROR(__xludf.DUMMYFUNCTION("""COMPUTED_VALUE"""),0.999)</f>
        <v>0.999</v>
      </c>
      <c r="E141" s="16">
        <f>IFERROR(__xludf.DUMMYFUNCTION("""COMPUTED_VALUE"""),63.0)</f>
        <v>63</v>
      </c>
      <c r="F141" s="19" t="str">
        <f>IFERROR(__xludf.DUMMYFUNCTION("""COMPUTED_VALUE"""),"BLUE")</f>
        <v>BLUE</v>
      </c>
      <c r="G141" s="20" t="str">
        <f>IFERROR(__xludf.DUMMYFUNCTION("""COMPUTED_VALUE"""),"Uncle Sams Cider (11/12/2021) (Blue)")</f>
        <v>Uncle Sams Cider (11/12/2021) (Blue)</v>
      </c>
      <c r="H141" s="19"/>
    </row>
    <row r="142">
      <c r="A142" s="9"/>
      <c r="B142" s="15"/>
      <c r="C142" s="9">
        <f>IFERROR(__xludf.DUMMYFUNCTION("""COMPUTED_VALUE"""),44604.0864348495)</f>
        <v>44604.08643</v>
      </c>
      <c r="D142" s="15">
        <f>IFERROR(__xludf.DUMMYFUNCTION("""COMPUTED_VALUE"""),0.999)</f>
        <v>0.999</v>
      </c>
      <c r="E142" s="16">
        <f>IFERROR(__xludf.DUMMYFUNCTION("""COMPUTED_VALUE"""),63.0)</f>
        <v>63</v>
      </c>
      <c r="F142" s="19" t="str">
        <f>IFERROR(__xludf.DUMMYFUNCTION("""COMPUTED_VALUE"""),"BLUE")</f>
        <v>BLUE</v>
      </c>
      <c r="G142" s="20" t="str">
        <f>IFERROR(__xludf.DUMMYFUNCTION("""COMPUTED_VALUE"""),"Uncle Sams Cider (11/12/2021) (Blue)")</f>
        <v>Uncle Sams Cider (11/12/2021) (Blue)</v>
      </c>
      <c r="H142" s="19"/>
    </row>
    <row r="143">
      <c r="A143" s="9"/>
      <c r="B143" s="15"/>
      <c r="C143" s="9">
        <f>IFERROR(__xludf.DUMMYFUNCTION("""COMPUTED_VALUE"""),44604.0760154976)</f>
        <v>44604.07602</v>
      </c>
      <c r="D143" s="15">
        <f>IFERROR(__xludf.DUMMYFUNCTION("""COMPUTED_VALUE"""),0.999)</f>
        <v>0.999</v>
      </c>
      <c r="E143" s="16">
        <f>IFERROR(__xludf.DUMMYFUNCTION("""COMPUTED_VALUE"""),63.0)</f>
        <v>63</v>
      </c>
      <c r="F143" s="19" t="str">
        <f>IFERROR(__xludf.DUMMYFUNCTION("""COMPUTED_VALUE"""),"BLUE")</f>
        <v>BLUE</v>
      </c>
      <c r="G143" s="20" t="str">
        <f>IFERROR(__xludf.DUMMYFUNCTION("""COMPUTED_VALUE"""),"Uncle Sams Cider (11/12/2021) (Blue)")</f>
        <v>Uncle Sams Cider (11/12/2021) (Blue)</v>
      </c>
      <c r="H143" s="19"/>
    </row>
    <row r="144">
      <c r="A144" s="9"/>
      <c r="B144" s="15"/>
      <c r="C144" s="9">
        <f>IFERROR(__xludf.DUMMYFUNCTION("""COMPUTED_VALUE"""),44604.0655947685)</f>
        <v>44604.06559</v>
      </c>
      <c r="D144" s="15">
        <f>IFERROR(__xludf.DUMMYFUNCTION("""COMPUTED_VALUE"""),0.999)</f>
        <v>0.999</v>
      </c>
      <c r="E144" s="16">
        <f>IFERROR(__xludf.DUMMYFUNCTION("""COMPUTED_VALUE"""),63.0)</f>
        <v>63</v>
      </c>
      <c r="F144" s="19" t="str">
        <f>IFERROR(__xludf.DUMMYFUNCTION("""COMPUTED_VALUE"""),"BLUE")</f>
        <v>BLUE</v>
      </c>
      <c r="G144" s="20" t="str">
        <f>IFERROR(__xludf.DUMMYFUNCTION("""COMPUTED_VALUE"""),"Uncle Sams Cider (11/12/2021) (Blue)")</f>
        <v>Uncle Sams Cider (11/12/2021) (Blue)</v>
      </c>
      <c r="H144" s="19"/>
    </row>
    <row r="145">
      <c r="A145" s="9"/>
      <c r="B145" s="15"/>
      <c r="C145" s="9">
        <f>IFERROR(__xludf.DUMMYFUNCTION("""COMPUTED_VALUE"""),44604.0551713078)</f>
        <v>44604.05517</v>
      </c>
      <c r="D145" s="15">
        <f>IFERROR(__xludf.DUMMYFUNCTION("""COMPUTED_VALUE"""),0.999)</f>
        <v>0.999</v>
      </c>
      <c r="E145" s="16">
        <f>IFERROR(__xludf.DUMMYFUNCTION("""COMPUTED_VALUE"""),63.0)</f>
        <v>63</v>
      </c>
      <c r="F145" s="19" t="str">
        <f>IFERROR(__xludf.DUMMYFUNCTION("""COMPUTED_VALUE"""),"BLUE")</f>
        <v>BLUE</v>
      </c>
      <c r="G145" s="20" t="str">
        <f>IFERROR(__xludf.DUMMYFUNCTION("""COMPUTED_VALUE"""),"Uncle Sams Cider (11/12/2021) (Blue)")</f>
        <v>Uncle Sams Cider (11/12/2021) (Blue)</v>
      </c>
      <c r="H145" s="19"/>
    </row>
    <row r="146">
      <c r="A146" s="9"/>
      <c r="B146" s="15"/>
      <c r="C146" s="9">
        <f>IFERROR(__xludf.DUMMYFUNCTION("""COMPUTED_VALUE"""),44604.0447503472)</f>
        <v>44604.04475</v>
      </c>
      <c r="D146" s="15">
        <f>IFERROR(__xludf.DUMMYFUNCTION("""COMPUTED_VALUE"""),0.999)</f>
        <v>0.999</v>
      </c>
      <c r="E146" s="16">
        <f>IFERROR(__xludf.DUMMYFUNCTION("""COMPUTED_VALUE"""),63.0)</f>
        <v>63</v>
      </c>
      <c r="F146" s="19" t="str">
        <f>IFERROR(__xludf.DUMMYFUNCTION("""COMPUTED_VALUE"""),"BLUE")</f>
        <v>BLUE</v>
      </c>
      <c r="G146" s="20" t="str">
        <f>IFERROR(__xludf.DUMMYFUNCTION("""COMPUTED_VALUE"""),"Uncle Sams Cider (11/12/2021) (Blue)")</f>
        <v>Uncle Sams Cider (11/12/2021) (Blue)</v>
      </c>
      <c r="H146" s="19"/>
    </row>
    <row r="147">
      <c r="A147" s="9"/>
      <c r="B147" s="15"/>
      <c r="C147" s="9">
        <f>IFERROR(__xludf.DUMMYFUNCTION("""COMPUTED_VALUE"""),44604.0343191087)</f>
        <v>44604.03432</v>
      </c>
      <c r="D147" s="15">
        <f>IFERROR(__xludf.DUMMYFUNCTION("""COMPUTED_VALUE"""),0.999)</f>
        <v>0.999</v>
      </c>
      <c r="E147" s="16">
        <f>IFERROR(__xludf.DUMMYFUNCTION("""COMPUTED_VALUE"""),63.0)</f>
        <v>63</v>
      </c>
      <c r="F147" s="19" t="str">
        <f>IFERROR(__xludf.DUMMYFUNCTION("""COMPUTED_VALUE"""),"BLUE")</f>
        <v>BLUE</v>
      </c>
      <c r="G147" s="20" t="str">
        <f>IFERROR(__xludf.DUMMYFUNCTION("""COMPUTED_VALUE"""),"Uncle Sams Cider (11/12/2021) (Blue)")</f>
        <v>Uncle Sams Cider (11/12/2021) (Blue)</v>
      </c>
      <c r="H147" s="19"/>
    </row>
    <row r="148">
      <c r="A148" s="9"/>
      <c r="B148" s="15"/>
      <c r="C148" s="9">
        <f>IFERROR(__xludf.DUMMYFUNCTION("""COMPUTED_VALUE"""),44604.0238873726)</f>
        <v>44604.02389</v>
      </c>
      <c r="D148" s="15">
        <f>IFERROR(__xludf.DUMMYFUNCTION("""COMPUTED_VALUE"""),0.999)</f>
        <v>0.999</v>
      </c>
      <c r="E148" s="16">
        <f>IFERROR(__xludf.DUMMYFUNCTION("""COMPUTED_VALUE"""),63.0)</f>
        <v>63</v>
      </c>
      <c r="F148" s="19" t="str">
        <f>IFERROR(__xludf.DUMMYFUNCTION("""COMPUTED_VALUE"""),"BLUE")</f>
        <v>BLUE</v>
      </c>
      <c r="G148" s="20" t="str">
        <f>IFERROR(__xludf.DUMMYFUNCTION("""COMPUTED_VALUE"""),"Uncle Sams Cider (11/12/2021) (Blue)")</f>
        <v>Uncle Sams Cider (11/12/2021) (Blue)</v>
      </c>
      <c r="H148" s="19"/>
    </row>
    <row r="149">
      <c r="A149" s="9"/>
      <c r="B149" s="15"/>
      <c r="C149" s="9">
        <f>IFERROR(__xludf.DUMMYFUNCTION("""COMPUTED_VALUE"""),44604.0134540162)</f>
        <v>44604.01345</v>
      </c>
      <c r="D149" s="15">
        <f>IFERROR(__xludf.DUMMYFUNCTION("""COMPUTED_VALUE"""),0.999)</f>
        <v>0.999</v>
      </c>
      <c r="E149" s="16">
        <f>IFERROR(__xludf.DUMMYFUNCTION("""COMPUTED_VALUE"""),63.0)</f>
        <v>63</v>
      </c>
      <c r="F149" s="19" t="str">
        <f>IFERROR(__xludf.DUMMYFUNCTION("""COMPUTED_VALUE"""),"BLUE")</f>
        <v>BLUE</v>
      </c>
      <c r="G149" s="20" t="str">
        <f>IFERROR(__xludf.DUMMYFUNCTION("""COMPUTED_VALUE"""),"Uncle Sams Cider (11/12/2021) (Blue)")</f>
        <v>Uncle Sams Cider (11/12/2021) (Blue)</v>
      </c>
      <c r="H149" s="19"/>
    </row>
    <row r="150">
      <c r="A150" s="9"/>
      <c r="B150" s="15"/>
      <c r="C150" s="9">
        <f>IFERROR(__xludf.DUMMYFUNCTION("""COMPUTED_VALUE"""),44604.0030331018)</f>
        <v>44604.00303</v>
      </c>
      <c r="D150" s="15">
        <f>IFERROR(__xludf.DUMMYFUNCTION("""COMPUTED_VALUE"""),0.999)</f>
        <v>0.999</v>
      </c>
      <c r="E150" s="16">
        <f>IFERROR(__xludf.DUMMYFUNCTION("""COMPUTED_VALUE"""),63.0)</f>
        <v>63</v>
      </c>
      <c r="F150" s="19" t="str">
        <f>IFERROR(__xludf.DUMMYFUNCTION("""COMPUTED_VALUE"""),"BLUE")</f>
        <v>BLUE</v>
      </c>
      <c r="G150" s="20" t="str">
        <f>IFERROR(__xludf.DUMMYFUNCTION("""COMPUTED_VALUE"""),"Uncle Sams Cider (11/12/2021) (Blue)")</f>
        <v>Uncle Sams Cider (11/12/2021) (Blue)</v>
      </c>
      <c r="H150" s="19"/>
    </row>
    <row r="151">
      <c r="A151" s="9"/>
      <c r="B151" s="15"/>
      <c r="C151" s="9">
        <f>IFERROR(__xludf.DUMMYFUNCTION("""COMPUTED_VALUE"""),44603.9926110185)</f>
        <v>44603.99261</v>
      </c>
      <c r="D151" s="15">
        <f>IFERROR(__xludf.DUMMYFUNCTION("""COMPUTED_VALUE"""),0.999)</f>
        <v>0.999</v>
      </c>
      <c r="E151" s="16">
        <f>IFERROR(__xludf.DUMMYFUNCTION("""COMPUTED_VALUE"""),63.0)</f>
        <v>63</v>
      </c>
      <c r="F151" s="19" t="str">
        <f>IFERROR(__xludf.DUMMYFUNCTION("""COMPUTED_VALUE"""),"BLUE")</f>
        <v>BLUE</v>
      </c>
      <c r="G151" s="20" t="str">
        <f>IFERROR(__xludf.DUMMYFUNCTION("""COMPUTED_VALUE"""),"Uncle Sams Cider (11/12/2021) (Blue)")</f>
        <v>Uncle Sams Cider (11/12/2021) (Blue)</v>
      </c>
      <c r="H151" s="19"/>
    </row>
    <row r="152">
      <c r="A152" s="9"/>
      <c r="B152" s="15"/>
      <c r="C152" s="9">
        <f>IFERROR(__xludf.DUMMYFUNCTION("""COMPUTED_VALUE"""),44603.982191412)</f>
        <v>44603.98219</v>
      </c>
      <c r="D152" s="15">
        <f>IFERROR(__xludf.DUMMYFUNCTION("""COMPUTED_VALUE"""),0.999)</f>
        <v>0.999</v>
      </c>
      <c r="E152" s="16">
        <f>IFERROR(__xludf.DUMMYFUNCTION("""COMPUTED_VALUE"""),63.0)</f>
        <v>63</v>
      </c>
      <c r="F152" s="19" t="str">
        <f>IFERROR(__xludf.DUMMYFUNCTION("""COMPUTED_VALUE"""),"BLUE")</f>
        <v>BLUE</v>
      </c>
      <c r="G152" s="20" t="str">
        <f>IFERROR(__xludf.DUMMYFUNCTION("""COMPUTED_VALUE"""),"Uncle Sams Cider (11/12/2021) (Blue)")</f>
        <v>Uncle Sams Cider (11/12/2021) (Blue)</v>
      </c>
      <c r="H152" s="19"/>
    </row>
    <row r="153">
      <c r="A153" s="9"/>
      <c r="B153" s="15"/>
      <c r="C153" s="9">
        <f>IFERROR(__xludf.DUMMYFUNCTION("""COMPUTED_VALUE"""),44603.9717684953)</f>
        <v>44603.97177</v>
      </c>
      <c r="D153" s="15">
        <f>IFERROR(__xludf.DUMMYFUNCTION("""COMPUTED_VALUE"""),0.999)</f>
        <v>0.999</v>
      </c>
      <c r="E153" s="16">
        <f>IFERROR(__xludf.DUMMYFUNCTION("""COMPUTED_VALUE"""),63.0)</f>
        <v>63</v>
      </c>
      <c r="F153" s="19" t="str">
        <f>IFERROR(__xludf.DUMMYFUNCTION("""COMPUTED_VALUE"""),"BLUE")</f>
        <v>BLUE</v>
      </c>
      <c r="G153" s="20" t="str">
        <f>IFERROR(__xludf.DUMMYFUNCTION("""COMPUTED_VALUE"""),"Uncle Sams Cider (11/12/2021) (Blue)")</f>
        <v>Uncle Sams Cider (11/12/2021) (Blue)</v>
      </c>
      <c r="H153" s="19"/>
    </row>
    <row r="154">
      <c r="A154" s="9"/>
      <c r="B154" s="15"/>
      <c r="C154" s="9">
        <f>IFERROR(__xludf.DUMMYFUNCTION("""COMPUTED_VALUE"""),44603.9613476041)</f>
        <v>44603.96135</v>
      </c>
      <c r="D154" s="15">
        <f>IFERROR(__xludf.DUMMYFUNCTION("""COMPUTED_VALUE"""),0.999)</f>
        <v>0.999</v>
      </c>
      <c r="E154" s="16">
        <f>IFERROR(__xludf.DUMMYFUNCTION("""COMPUTED_VALUE"""),63.0)</f>
        <v>63</v>
      </c>
      <c r="F154" s="19" t="str">
        <f>IFERROR(__xludf.DUMMYFUNCTION("""COMPUTED_VALUE"""),"BLUE")</f>
        <v>BLUE</v>
      </c>
      <c r="G154" s="20" t="str">
        <f>IFERROR(__xludf.DUMMYFUNCTION("""COMPUTED_VALUE"""),"Uncle Sams Cider (11/12/2021) (Blue)")</f>
        <v>Uncle Sams Cider (11/12/2021) (Blue)</v>
      </c>
      <c r="H154" s="19"/>
    </row>
    <row r="155">
      <c r="A155" s="9"/>
      <c r="B155" s="15"/>
      <c r="C155" s="9">
        <f>IFERROR(__xludf.DUMMYFUNCTION("""COMPUTED_VALUE"""),44603.9509263657)</f>
        <v>44603.95093</v>
      </c>
      <c r="D155" s="15">
        <f>IFERROR(__xludf.DUMMYFUNCTION("""COMPUTED_VALUE"""),0.999)</f>
        <v>0.999</v>
      </c>
      <c r="E155" s="16">
        <f>IFERROR(__xludf.DUMMYFUNCTION("""COMPUTED_VALUE"""),63.0)</f>
        <v>63</v>
      </c>
      <c r="F155" s="19" t="str">
        <f>IFERROR(__xludf.DUMMYFUNCTION("""COMPUTED_VALUE"""),"BLUE")</f>
        <v>BLUE</v>
      </c>
      <c r="G155" s="20" t="str">
        <f>IFERROR(__xludf.DUMMYFUNCTION("""COMPUTED_VALUE"""),"Uncle Sams Cider (11/12/2021) (Blue)")</f>
        <v>Uncle Sams Cider (11/12/2021) (Blue)</v>
      </c>
      <c r="H155" s="19"/>
    </row>
    <row r="156">
      <c r="A156" s="9"/>
      <c r="B156" s="15"/>
      <c r="C156" s="9">
        <f>IFERROR(__xludf.DUMMYFUNCTION("""COMPUTED_VALUE"""),44603.9405061574)</f>
        <v>44603.94051</v>
      </c>
      <c r="D156" s="15">
        <f>IFERROR(__xludf.DUMMYFUNCTION("""COMPUTED_VALUE"""),0.999)</f>
        <v>0.999</v>
      </c>
      <c r="E156" s="16">
        <f>IFERROR(__xludf.DUMMYFUNCTION("""COMPUTED_VALUE"""),63.0)</f>
        <v>63</v>
      </c>
      <c r="F156" s="19" t="str">
        <f>IFERROR(__xludf.DUMMYFUNCTION("""COMPUTED_VALUE"""),"BLUE")</f>
        <v>BLUE</v>
      </c>
      <c r="G156" s="20" t="str">
        <f>IFERROR(__xludf.DUMMYFUNCTION("""COMPUTED_VALUE"""),"Uncle Sams Cider (11/12/2021) (Blue)")</f>
        <v>Uncle Sams Cider (11/12/2021) (Blue)</v>
      </c>
      <c r="H156" s="19"/>
    </row>
    <row r="157">
      <c r="A157" s="9"/>
      <c r="B157" s="15"/>
      <c r="C157" s="9">
        <f>IFERROR(__xludf.DUMMYFUNCTION("""COMPUTED_VALUE"""),44603.9300740393)</f>
        <v>44603.93007</v>
      </c>
      <c r="D157" s="15">
        <f>IFERROR(__xludf.DUMMYFUNCTION("""COMPUTED_VALUE"""),0.999)</f>
        <v>0.999</v>
      </c>
      <c r="E157" s="16">
        <f>IFERROR(__xludf.DUMMYFUNCTION("""COMPUTED_VALUE"""),63.0)</f>
        <v>63</v>
      </c>
      <c r="F157" s="19" t="str">
        <f>IFERROR(__xludf.DUMMYFUNCTION("""COMPUTED_VALUE"""),"BLUE")</f>
        <v>BLUE</v>
      </c>
      <c r="G157" s="20" t="str">
        <f>IFERROR(__xludf.DUMMYFUNCTION("""COMPUTED_VALUE"""),"Uncle Sams Cider (11/12/2021) (Blue)")</f>
        <v>Uncle Sams Cider (11/12/2021) (Blue)</v>
      </c>
      <c r="H157" s="19"/>
    </row>
    <row r="158">
      <c r="A158" s="9"/>
      <c r="B158" s="15"/>
      <c r="C158" s="9">
        <f>IFERROR(__xludf.DUMMYFUNCTION("""COMPUTED_VALUE"""),44603.9196518634)</f>
        <v>44603.91965</v>
      </c>
      <c r="D158" s="15">
        <f>IFERROR(__xludf.DUMMYFUNCTION("""COMPUTED_VALUE"""),0.999)</f>
        <v>0.999</v>
      </c>
      <c r="E158" s="16">
        <f>IFERROR(__xludf.DUMMYFUNCTION("""COMPUTED_VALUE"""),63.0)</f>
        <v>63</v>
      </c>
      <c r="F158" s="19" t="str">
        <f>IFERROR(__xludf.DUMMYFUNCTION("""COMPUTED_VALUE"""),"BLUE")</f>
        <v>BLUE</v>
      </c>
      <c r="G158" s="20" t="str">
        <f>IFERROR(__xludf.DUMMYFUNCTION("""COMPUTED_VALUE"""),"Uncle Sams Cider (11/12/2021) (Blue)")</f>
        <v>Uncle Sams Cider (11/12/2021) (Blue)</v>
      </c>
      <c r="H158" s="19"/>
    </row>
    <row r="159">
      <c r="A159" s="9"/>
      <c r="B159" s="15"/>
      <c r="C159" s="9">
        <f>IFERROR(__xludf.DUMMYFUNCTION("""COMPUTED_VALUE"""),44603.9092304861)</f>
        <v>44603.90923</v>
      </c>
      <c r="D159" s="15">
        <f>IFERROR(__xludf.DUMMYFUNCTION("""COMPUTED_VALUE"""),0.999)</f>
        <v>0.999</v>
      </c>
      <c r="E159" s="16">
        <f>IFERROR(__xludf.DUMMYFUNCTION("""COMPUTED_VALUE"""),63.0)</f>
        <v>63</v>
      </c>
      <c r="F159" s="19" t="str">
        <f>IFERROR(__xludf.DUMMYFUNCTION("""COMPUTED_VALUE"""),"BLUE")</f>
        <v>BLUE</v>
      </c>
      <c r="G159" s="20" t="str">
        <f>IFERROR(__xludf.DUMMYFUNCTION("""COMPUTED_VALUE"""),"Uncle Sams Cider (11/12/2021) (Blue)")</f>
        <v>Uncle Sams Cider (11/12/2021) (Blue)</v>
      </c>
      <c r="H159" s="19"/>
    </row>
    <row r="160">
      <c r="A160" s="9"/>
      <c r="B160" s="15"/>
      <c r="C160" s="9">
        <f>IFERROR(__xludf.DUMMYFUNCTION("""COMPUTED_VALUE"""),44603.8988104513)</f>
        <v>44603.89881</v>
      </c>
      <c r="D160" s="15">
        <f>IFERROR(__xludf.DUMMYFUNCTION("""COMPUTED_VALUE"""),0.999)</f>
        <v>0.999</v>
      </c>
      <c r="E160" s="16">
        <f>IFERROR(__xludf.DUMMYFUNCTION("""COMPUTED_VALUE"""),63.0)</f>
        <v>63</v>
      </c>
      <c r="F160" s="19" t="str">
        <f>IFERROR(__xludf.DUMMYFUNCTION("""COMPUTED_VALUE"""),"BLUE")</f>
        <v>BLUE</v>
      </c>
      <c r="G160" s="20" t="str">
        <f>IFERROR(__xludf.DUMMYFUNCTION("""COMPUTED_VALUE"""),"Uncle Sams Cider (11/12/2021) (Blue)")</f>
        <v>Uncle Sams Cider (11/12/2021) (Blue)</v>
      </c>
      <c r="H160" s="19"/>
    </row>
    <row r="161">
      <c r="A161" s="9"/>
      <c r="B161" s="15"/>
      <c r="C161" s="9">
        <f>IFERROR(__xludf.DUMMYFUNCTION("""COMPUTED_VALUE"""),44603.8883771759)</f>
        <v>44603.88838</v>
      </c>
      <c r="D161" s="15">
        <f>IFERROR(__xludf.DUMMYFUNCTION("""COMPUTED_VALUE"""),0.999)</f>
        <v>0.999</v>
      </c>
      <c r="E161" s="16">
        <f>IFERROR(__xludf.DUMMYFUNCTION("""COMPUTED_VALUE"""),63.0)</f>
        <v>63</v>
      </c>
      <c r="F161" s="19" t="str">
        <f>IFERROR(__xludf.DUMMYFUNCTION("""COMPUTED_VALUE"""),"BLUE")</f>
        <v>BLUE</v>
      </c>
      <c r="G161" s="20" t="str">
        <f>IFERROR(__xludf.DUMMYFUNCTION("""COMPUTED_VALUE"""),"Uncle Sams Cider (11/12/2021) (Blue)")</f>
        <v>Uncle Sams Cider (11/12/2021) (Blue)</v>
      </c>
      <c r="H161" s="19"/>
    </row>
    <row r="162">
      <c r="A162" s="9"/>
      <c r="B162" s="15"/>
      <c r="C162" s="9">
        <f>IFERROR(__xludf.DUMMYFUNCTION("""COMPUTED_VALUE"""),44603.877957905)</f>
        <v>44603.87796</v>
      </c>
      <c r="D162" s="15">
        <f>IFERROR(__xludf.DUMMYFUNCTION("""COMPUTED_VALUE"""),0.999)</f>
        <v>0.999</v>
      </c>
      <c r="E162" s="16">
        <f>IFERROR(__xludf.DUMMYFUNCTION("""COMPUTED_VALUE"""),63.0)</f>
        <v>63</v>
      </c>
      <c r="F162" s="19" t="str">
        <f>IFERROR(__xludf.DUMMYFUNCTION("""COMPUTED_VALUE"""),"BLUE")</f>
        <v>BLUE</v>
      </c>
      <c r="G162" s="20" t="str">
        <f>IFERROR(__xludf.DUMMYFUNCTION("""COMPUTED_VALUE"""),"Uncle Sams Cider (11/12/2021) (Blue)")</f>
        <v>Uncle Sams Cider (11/12/2021) (Blue)</v>
      </c>
      <c r="H162" s="19"/>
    </row>
    <row r="163">
      <c r="A163" s="9"/>
      <c r="B163" s="15"/>
      <c r="C163" s="9">
        <f>IFERROR(__xludf.DUMMYFUNCTION("""COMPUTED_VALUE"""),44603.8675367129)</f>
        <v>44603.86754</v>
      </c>
      <c r="D163" s="15">
        <f>IFERROR(__xludf.DUMMYFUNCTION("""COMPUTED_VALUE"""),0.999)</f>
        <v>0.999</v>
      </c>
      <c r="E163" s="16">
        <f>IFERROR(__xludf.DUMMYFUNCTION("""COMPUTED_VALUE"""),63.0)</f>
        <v>63</v>
      </c>
      <c r="F163" s="19" t="str">
        <f>IFERROR(__xludf.DUMMYFUNCTION("""COMPUTED_VALUE"""),"BLUE")</f>
        <v>BLUE</v>
      </c>
      <c r="G163" s="20" t="str">
        <f>IFERROR(__xludf.DUMMYFUNCTION("""COMPUTED_VALUE"""),"Uncle Sams Cider (11/12/2021) (Blue)")</f>
        <v>Uncle Sams Cider (11/12/2021) (Blue)</v>
      </c>
      <c r="H163" s="19"/>
    </row>
    <row r="164">
      <c r="A164" s="9"/>
      <c r="B164" s="15"/>
      <c r="C164" s="9">
        <f>IFERROR(__xludf.DUMMYFUNCTION("""COMPUTED_VALUE"""),44603.8571141782)</f>
        <v>44603.85711</v>
      </c>
      <c r="D164" s="15">
        <f>IFERROR(__xludf.DUMMYFUNCTION("""COMPUTED_VALUE"""),0.999)</f>
        <v>0.999</v>
      </c>
      <c r="E164" s="16">
        <f>IFERROR(__xludf.DUMMYFUNCTION("""COMPUTED_VALUE"""),63.0)</f>
        <v>63</v>
      </c>
      <c r="F164" s="19" t="str">
        <f>IFERROR(__xludf.DUMMYFUNCTION("""COMPUTED_VALUE"""),"BLUE")</f>
        <v>BLUE</v>
      </c>
      <c r="G164" s="20" t="str">
        <f>IFERROR(__xludf.DUMMYFUNCTION("""COMPUTED_VALUE"""),"Uncle Sams Cider (11/12/2021) (Blue)")</f>
        <v>Uncle Sams Cider (11/12/2021) (Blue)</v>
      </c>
      <c r="H164" s="19"/>
    </row>
    <row r="165">
      <c r="A165" s="9"/>
      <c r="B165" s="15"/>
      <c r="C165" s="9">
        <f>IFERROR(__xludf.DUMMYFUNCTION("""COMPUTED_VALUE"""),44603.8466942129)</f>
        <v>44603.84669</v>
      </c>
      <c r="D165" s="15">
        <f>IFERROR(__xludf.DUMMYFUNCTION("""COMPUTED_VALUE"""),0.999)</f>
        <v>0.999</v>
      </c>
      <c r="E165" s="16">
        <f>IFERROR(__xludf.DUMMYFUNCTION("""COMPUTED_VALUE"""),63.0)</f>
        <v>63</v>
      </c>
      <c r="F165" s="19" t="str">
        <f>IFERROR(__xludf.DUMMYFUNCTION("""COMPUTED_VALUE"""),"BLUE")</f>
        <v>BLUE</v>
      </c>
      <c r="G165" s="20" t="str">
        <f>IFERROR(__xludf.DUMMYFUNCTION("""COMPUTED_VALUE"""),"Uncle Sams Cider (11/12/2021) (Blue)")</f>
        <v>Uncle Sams Cider (11/12/2021) (Blue)</v>
      </c>
      <c r="H165" s="19"/>
    </row>
    <row r="166">
      <c r="A166" s="9"/>
      <c r="B166" s="15"/>
      <c r="C166" s="9">
        <f>IFERROR(__xludf.DUMMYFUNCTION("""COMPUTED_VALUE"""),44603.8362610995)</f>
        <v>44603.83626</v>
      </c>
      <c r="D166" s="15">
        <f>IFERROR(__xludf.DUMMYFUNCTION("""COMPUTED_VALUE"""),0.999)</f>
        <v>0.999</v>
      </c>
      <c r="E166" s="16">
        <f>IFERROR(__xludf.DUMMYFUNCTION("""COMPUTED_VALUE"""),63.0)</f>
        <v>63</v>
      </c>
      <c r="F166" s="19" t="str">
        <f>IFERROR(__xludf.DUMMYFUNCTION("""COMPUTED_VALUE"""),"BLUE")</f>
        <v>BLUE</v>
      </c>
      <c r="G166" s="20" t="str">
        <f>IFERROR(__xludf.DUMMYFUNCTION("""COMPUTED_VALUE"""),"Uncle Sams Cider (11/12/2021) (Blue)")</f>
        <v>Uncle Sams Cider (11/12/2021) (Blue)</v>
      </c>
      <c r="H166" s="19"/>
    </row>
    <row r="167">
      <c r="A167" s="9"/>
      <c r="B167" s="15"/>
      <c r="C167" s="9">
        <f>IFERROR(__xludf.DUMMYFUNCTION("""COMPUTED_VALUE"""),44603.8258410069)</f>
        <v>44603.82584</v>
      </c>
      <c r="D167" s="15">
        <f>IFERROR(__xludf.DUMMYFUNCTION("""COMPUTED_VALUE"""),0.999)</f>
        <v>0.999</v>
      </c>
      <c r="E167" s="16">
        <f>IFERROR(__xludf.DUMMYFUNCTION("""COMPUTED_VALUE"""),63.0)</f>
        <v>63</v>
      </c>
      <c r="F167" s="19" t="str">
        <f>IFERROR(__xludf.DUMMYFUNCTION("""COMPUTED_VALUE"""),"BLUE")</f>
        <v>BLUE</v>
      </c>
      <c r="G167" s="20" t="str">
        <f>IFERROR(__xludf.DUMMYFUNCTION("""COMPUTED_VALUE"""),"Uncle Sams Cider (11/12/2021) (Blue)")</f>
        <v>Uncle Sams Cider (11/12/2021) (Blue)</v>
      </c>
      <c r="H167" s="19"/>
    </row>
    <row r="168">
      <c r="A168" s="9"/>
      <c r="B168" s="15"/>
      <c r="C168" s="9">
        <f>IFERROR(__xludf.DUMMYFUNCTION("""COMPUTED_VALUE"""),44603.8153965162)</f>
        <v>44603.8154</v>
      </c>
      <c r="D168" s="15">
        <f>IFERROR(__xludf.DUMMYFUNCTION("""COMPUTED_VALUE"""),0.999)</f>
        <v>0.999</v>
      </c>
      <c r="E168" s="16">
        <f>IFERROR(__xludf.DUMMYFUNCTION("""COMPUTED_VALUE"""),63.0)</f>
        <v>63</v>
      </c>
      <c r="F168" s="19" t="str">
        <f>IFERROR(__xludf.DUMMYFUNCTION("""COMPUTED_VALUE"""),"BLUE")</f>
        <v>BLUE</v>
      </c>
      <c r="G168" s="20" t="str">
        <f>IFERROR(__xludf.DUMMYFUNCTION("""COMPUTED_VALUE"""),"Uncle Sams Cider (11/12/2021) (Blue)")</f>
        <v>Uncle Sams Cider (11/12/2021) (Blue)</v>
      </c>
      <c r="H168" s="19"/>
    </row>
    <row r="169">
      <c r="A169" s="9"/>
      <c r="B169" s="15"/>
      <c r="C169" s="9">
        <f>IFERROR(__xludf.DUMMYFUNCTION("""COMPUTED_VALUE"""),44603.8049737731)</f>
        <v>44603.80497</v>
      </c>
      <c r="D169" s="15">
        <f>IFERROR(__xludf.DUMMYFUNCTION("""COMPUTED_VALUE"""),0.999)</f>
        <v>0.999</v>
      </c>
      <c r="E169" s="16">
        <f>IFERROR(__xludf.DUMMYFUNCTION("""COMPUTED_VALUE"""),63.0)</f>
        <v>63</v>
      </c>
      <c r="F169" s="19" t="str">
        <f>IFERROR(__xludf.DUMMYFUNCTION("""COMPUTED_VALUE"""),"BLUE")</f>
        <v>BLUE</v>
      </c>
      <c r="G169" s="20" t="str">
        <f>IFERROR(__xludf.DUMMYFUNCTION("""COMPUTED_VALUE"""),"Uncle Sams Cider (11/12/2021) (Blue)")</f>
        <v>Uncle Sams Cider (11/12/2021) (Blue)</v>
      </c>
      <c r="H169" s="19"/>
    </row>
    <row r="170">
      <c r="A170" s="9"/>
      <c r="B170" s="15"/>
      <c r="C170" s="9">
        <f>IFERROR(__xludf.DUMMYFUNCTION("""COMPUTED_VALUE"""),44603.7945520138)</f>
        <v>44603.79455</v>
      </c>
      <c r="D170" s="15">
        <f>IFERROR(__xludf.DUMMYFUNCTION("""COMPUTED_VALUE"""),0.999)</f>
        <v>0.999</v>
      </c>
      <c r="E170" s="16">
        <f>IFERROR(__xludf.DUMMYFUNCTION("""COMPUTED_VALUE"""),63.0)</f>
        <v>63</v>
      </c>
      <c r="F170" s="19" t="str">
        <f>IFERROR(__xludf.DUMMYFUNCTION("""COMPUTED_VALUE"""),"BLUE")</f>
        <v>BLUE</v>
      </c>
      <c r="G170" s="20" t="str">
        <f>IFERROR(__xludf.DUMMYFUNCTION("""COMPUTED_VALUE"""),"Uncle Sams Cider (11/12/2021) (Blue)")</f>
        <v>Uncle Sams Cider (11/12/2021) (Blue)</v>
      </c>
      <c r="H170" s="19"/>
    </row>
    <row r="171">
      <c r="A171" s="9"/>
      <c r="B171" s="15"/>
      <c r="C171" s="9">
        <f>IFERROR(__xludf.DUMMYFUNCTION("""COMPUTED_VALUE"""),44603.7841316435)</f>
        <v>44603.78413</v>
      </c>
      <c r="D171" s="15">
        <f>IFERROR(__xludf.DUMMYFUNCTION("""COMPUTED_VALUE"""),0.999)</f>
        <v>0.999</v>
      </c>
      <c r="E171" s="16">
        <f>IFERROR(__xludf.DUMMYFUNCTION("""COMPUTED_VALUE"""),63.0)</f>
        <v>63</v>
      </c>
      <c r="F171" s="19" t="str">
        <f>IFERROR(__xludf.DUMMYFUNCTION("""COMPUTED_VALUE"""),"BLUE")</f>
        <v>BLUE</v>
      </c>
      <c r="G171" s="20" t="str">
        <f>IFERROR(__xludf.DUMMYFUNCTION("""COMPUTED_VALUE"""),"Uncle Sams Cider (11/12/2021) (Blue)")</f>
        <v>Uncle Sams Cider (11/12/2021) (Blue)</v>
      </c>
      <c r="H171" s="19"/>
    </row>
    <row r="172">
      <c r="A172" s="9"/>
      <c r="B172" s="15"/>
      <c r="C172" s="9">
        <f>IFERROR(__xludf.DUMMYFUNCTION("""COMPUTED_VALUE"""),44603.7736959722)</f>
        <v>44603.7737</v>
      </c>
      <c r="D172" s="15">
        <f>IFERROR(__xludf.DUMMYFUNCTION("""COMPUTED_VALUE"""),0.999)</f>
        <v>0.999</v>
      </c>
      <c r="E172" s="16">
        <f>IFERROR(__xludf.DUMMYFUNCTION("""COMPUTED_VALUE"""),63.0)</f>
        <v>63</v>
      </c>
      <c r="F172" s="19" t="str">
        <f>IFERROR(__xludf.DUMMYFUNCTION("""COMPUTED_VALUE"""),"BLUE")</f>
        <v>BLUE</v>
      </c>
      <c r="G172" s="20" t="str">
        <f>IFERROR(__xludf.DUMMYFUNCTION("""COMPUTED_VALUE"""),"Uncle Sams Cider (11/12/2021) (Blue)")</f>
        <v>Uncle Sams Cider (11/12/2021) (Blue)</v>
      </c>
      <c r="H172" s="19"/>
    </row>
    <row r="173">
      <c r="A173" s="9"/>
      <c r="B173" s="15"/>
      <c r="C173" s="9">
        <f>IFERROR(__xludf.DUMMYFUNCTION("""COMPUTED_VALUE"""),44603.7632733449)</f>
        <v>44603.76327</v>
      </c>
      <c r="D173" s="15">
        <f>IFERROR(__xludf.DUMMYFUNCTION("""COMPUTED_VALUE"""),0.999)</f>
        <v>0.999</v>
      </c>
      <c r="E173" s="16">
        <f>IFERROR(__xludf.DUMMYFUNCTION("""COMPUTED_VALUE"""),63.0)</f>
        <v>63</v>
      </c>
      <c r="F173" s="19" t="str">
        <f>IFERROR(__xludf.DUMMYFUNCTION("""COMPUTED_VALUE"""),"BLUE")</f>
        <v>BLUE</v>
      </c>
      <c r="G173" s="20" t="str">
        <f>IFERROR(__xludf.DUMMYFUNCTION("""COMPUTED_VALUE"""),"Uncle Sams Cider (11/12/2021) (Blue)")</f>
        <v>Uncle Sams Cider (11/12/2021) (Blue)</v>
      </c>
      <c r="H173" s="19"/>
    </row>
    <row r="174">
      <c r="A174" s="9"/>
      <c r="B174" s="15"/>
      <c r="C174" s="9">
        <f>IFERROR(__xludf.DUMMYFUNCTION("""COMPUTED_VALUE"""),44603.7528524537)</f>
        <v>44603.75285</v>
      </c>
      <c r="D174" s="15">
        <f>IFERROR(__xludf.DUMMYFUNCTION("""COMPUTED_VALUE"""),0.999)</f>
        <v>0.999</v>
      </c>
      <c r="E174" s="16">
        <f>IFERROR(__xludf.DUMMYFUNCTION("""COMPUTED_VALUE"""),63.0)</f>
        <v>63</v>
      </c>
      <c r="F174" s="19" t="str">
        <f>IFERROR(__xludf.DUMMYFUNCTION("""COMPUTED_VALUE"""),"BLUE")</f>
        <v>BLUE</v>
      </c>
      <c r="G174" s="20" t="str">
        <f>IFERROR(__xludf.DUMMYFUNCTION("""COMPUTED_VALUE"""),"Uncle Sams Cider (11/12/2021) (Blue)")</f>
        <v>Uncle Sams Cider (11/12/2021) (Blue)</v>
      </c>
      <c r="H174" s="19"/>
    </row>
    <row r="175">
      <c r="A175" s="9"/>
      <c r="B175" s="15"/>
      <c r="C175" s="9">
        <f>IFERROR(__xludf.DUMMYFUNCTION("""COMPUTED_VALUE"""),44603.7424300925)</f>
        <v>44603.74243</v>
      </c>
      <c r="D175" s="15">
        <f>IFERROR(__xludf.DUMMYFUNCTION("""COMPUTED_VALUE"""),0.999)</f>
        <v>0.999</v>
      </c>
      <c r="E175" s="16">
        <f>IFERROR(__xludf.DUMMYFUNCTION("""COMPUTED_VALUE"""),63.0)</f>
        <v>63</v>
      </c>
      <c r="F175" s="19" t="str">
        <f>IFERROR(__xludf.DUMMYFUNCTION("""COMPUTED_VALUE"""),"BLUE")</f>
        <v>BLUE</v>
      </c>
      <c r="G175" s="20" t="str">
        <f>IFERROR(__xludf.DUMMYFUNCTION("""COMPUTED_VALUE"""),"Uncle Sams Cider (11/12/2021) (Blue)")</f>
        <v>Uncle Sams Cider (11/12/2021) (Blue)</v>
      </c>
      <c r="H175" s="19"/>
    </row>
    <row r="176">
      <c r="A176" s="9"/>
      <c r="B176" s="15"/>
      <c r="C176" s="9">
        <f>IFERROR(__xludf.DUMMYFUNCTION("""COMPUTED_VALUE"""),44603.7320093981)</f>
        <v>44603.73201</v>
      </c>
      <c r="D176" s="15">
        <f>IFERROR(__xludf.DUMMYFUNCTION("""COMPUTED_VALUE"""),0.999)</f>
        <v>0.999</v>
      </c>
      <c r="E176" s="16">
        <f>IFERROR(__xludf.DUMMYFUNCTION("""COMPUTED_VALUE"""),63.0)</f>
        <v>63</v>
      </c>
      <c r="F176" s="19" t="str">
        <f>IFERROR(__xludf.DUMMYFUNCTION("""COMPUTED_VALUE"""),"BLUE")</f>
        <v>BLUE</v>
      </c>
      <c r="G176" s="20" t="str">
        <f>IFERROR(__xludf.DUMMYFUNCTION("""COMPUTED_VALUE"""),"Uncle Sams Cider (11/12/2021) (Blue)")</f>
        <v>Uncle Sams Cider (11/12/2021) (Blue)</v>
      </c>
      <c r="H176" s="19"/>
    </row>
    <row r="177">
      <c r="A177" s="9"/>
      <c r="B177" s="15"/>
      <c r="C177" s="9">
        <f>IFERROR(__xludf.DUMMYFUNCTION("""COMPUTED_VALUE"""),44603.7215873611)</f>
        <v>44603.72159</v>
      </c>
      <c r="D177" s="15">
        <f>IFERROR(__xludf.DUMMYFUNCTION("""COMPUTED_VALUE"""),0.999)</f>
        <v>0.999</v>
      </c>
      <c r="E177" s="16">
        <f>IFERROR(__xludf.DUMMYFUNCTION("""COMPUTED_VALUE"""),63.0)</f>
        <v>63</v>
      </c>
      <c r="F177" s="19" t="str">
        <f>IFERROR(__xludf.DUMMYFUNCTION("""COMPUTED_VALUE"""),"BLUE")</f>
        <v>BLUE</v>
      </c>
      <c r="G177" s="20" t="str">
        <f>IFERROR(__xludf.DUMMYFUNCTION("""COMPUTED_VALUE"""),"Uncle Sams Cider (11/12/2021) (Blue)")</f>
        <v>Uncle Sams Cider (11/12/2021) (Blue)</v>
      </c>
      <c r="H177" s="19"/>
    </row>
    <row r="178">
      <c r="A178" s="9"/>
      <c r="B178" s="15"/>
      <c r="C178" s="9">
        <f>IFERROR(__xludf.DUMMYFUNCTION("""COMPUTED_VALUE"""),44603.7111654745)</f>
        <v>44603.71117</v>
      </c>
      <c r="D178" s="15">
        <f>IFERROR(__xludf.DUMMYFUNCTION("""COMPUTED_VALUE"""),0.999)</f>
        <v>0.999</v>
      </c>
      <c r="E178" s="16">
        <f>IFERROR(__xludf.DUMMYFUNCTION("""COMPUTED_VALUE"""),63.0)</f>
        <v>63</v>
      </c>
      <c r="F178" s="19" t="str">
        <f>IFERROR(__xludf.DUMMYFUNCTION("""COMPUTED_VALUE"""),"BLUE")</f>
        <v>BLUE</v>
      </c>
      <c r="G178" s="20" t="str">
        <f>IFERROR(__xludf.DUMMYFUNCTION("""COMPUTED_VALUE"""),"Uncle Sams Cider (11/12/2021) (Blue)")</f>
        <v>Uncle Sams Cider (11/12/2021) (Blue)</v>
      </c>
      <c r="H178" s="19"/>
    </row>
    <row r="179">
      <c r="A179" s="9"/>
      <c r="B179" s="15"/>
      <c r="C179" s="9">
        <f>IFERROR(__xludf.DUMMYFUNCTION("""COMPUTED_VALUE"""),44603.700745324)</f>
        <v>44603.70075</v>
      </c>
      <c r="D179" s="15">
        <f>IFERROR(__xludf.DUMMYFUNCTION("""COMPUTED_VALUE"""),0.999)</f>
        <v>0.999</v>
      </c>
      <c r="E179" s="16">
        <f>IFERROR(__xludf.DUMMYFUNCTION("""COMPUTED_VALUE"""),63.0)</f>
        <v>63</v>
      </c>
      <c r="F179" s="19" t="str">
        <f>IFERROR(__xludf.DUMMYFUNCTION("""COMPUTED_VALUE"""),"BLUE")</f>
        <v>BLUE</v>
      </c>
      <c r="G179" s="20" t="str">
        <f>IFERROR(__xludf.DUMMYFUNCTION("""COMPUTED_VALUE"""),"Uncle Sams Cider (11/12/2021) (Blue)")</f>
        <v>Uncle Sams Cider (11/12/2021) (Blue)</v>
      </c>
      <c r="H179" s="19"/>
    </row>
    <row r="180">
      <c r="A180" s="9"/>
      <c r="B180" s="15"/>
      <c r="C180" s="9">
        <f>IFERROR(__xludf.DUMMYFUNCTION("""COMPUTED_VALUE"""),44603.6903239699)</f>
        <v>44603.69032</v>
      </c>
      <c r="D180" s="15">
        <f>IFERROR(__xludf.DUMMYFUNCTION("""COMPUTED_VALUE"""),0.999)</f>
        <v>0.999</v>
      </c>
      <c r="E180" s="16">
        <f>IFERROR(__xludf.DUMMYFUNCTION("""COMPUTED_VALUE"""),63.0)</f>
        <v>63</v>
      </c>
      <c r="F180" s="19" t="str">
        <f>IFERROR(__xludf.DUMMYFUNCTION("""COMPUTED_VALUE"""),"BLUE")</f>
        <v>BLUE</v>
      </c>
      <c r="G180" s="20" t="str">
        <f>IFERROR(__xludf.DUMMYFUNCTION("""COMPUTED_VALUE"""),"Uncle Sams Cider (11/12/2021) (Blue)")</f>
        <v>Uncle Sams Cider (11/12/2021) (Blue)</v>
      </c>
      <c r="H180" s="19"/>
    </row>
    <row r="181">
      <c r="A181" s="9"/>
      <c r="B181" s="15"/>
      <c r="C181" s="9">
        <f>IFERROR(__xludf.DUMMYFUNCTION("""COMPUTED_VALUE"""),44603.6799041203)</f>
        <v>44603.6799</v>
      </c>
      <c r="D181" s="15">
        <f>IFERROR(__xludf.DUMMYFUNCTION("""COMPUTED_VALUE"""),0.999)</f>
        <v>0.999</v>
      </c>
      <c r="E181" s="16">
        <f>IFERROR(__xludf.DUMMYFUNCTION("""COMPUTED_VALUE"""),63.0)</f>
        <v>63</v>
      </c>
      <c r="F181" s="19" t="str">
        <f>IFERROR(__xludf.DUMMYFUNCTION("""COMPUTED_VALUE"""),"BLUE")</f>
        <v>BLUE</v>
      </c>
      <c r="G181" s="20" t="str">
        <f>IFERROR(__xludf.DUMMYFUNCTION("""COMPUTED_VALUE"""),"Uncle Sams Cider (11/12/2021) (Blue)")</f>
        <v>Uncle Sams Cider (11/12/2021) (Blue)</v>
      </c>
      <c r="H181" s="19"/>
    </row>
    <row r="182">
      <c r="A182" s="9"/>
      <c r="B182" s="15"/>
      <c r="C182" s="9">
        <f>IFERROR(__xludf.DUMMYFUNCTION("""COMPUTED_VALUE"""),44603.6694828009)</f>
        <v>44603.66948</v>
      </c>
      <c r="D182" s="15">
        <f>IFERROR(__xludf.DUMMYFUNCTION("""COMPUTED_VALUE"""),0.999)</f>
        <v>0.999</v>
      </c>
      <c r="E182" s="16">
        <f>IFERROR(__xludf.DUMMYFUNCTION("""COMPUTED_VALUE"""),63.0)</f>
        <v>63</v>
      </c>
      <c r="F182" s="19" t="str">
        <f>IFERROR(__xludf.DUMMYFUNCTION("""COMPUTED_VALUE"""),"BLUE")</f>
        <v>BLUE</v>
      </c>
      <c r="G182" s="20" t="str">
        <f>IFERROR(__xludf.DUMMYFUNCTION("""COMPUTED_VALUE"""),"Uncle Sams Cider (11/12/2021) (Blue)")</f>
        <v>Uncle Sams Cider (11/12/2021) (Blue)</v>
      </c>
      <c r="H182" s="19"/>
    </row>
    <row r="183">
      <c r="A183" s="9"/>
      <c r="B183" s="15"/>
      <c r="C183" s="9">
        <f>IFERROR(__xludf.DUMMYFUNCTION("""COMPUTED_VALUE"""),44603.6590625578)</f>
        <v>44603.65906</v>
      </c>
      <c r="D183" s="15">
        <f>IFERROR(__xludf.DUMMYFUNCTION("""COMPUTED_VALUE"""),0.999)</f>
        <v>0.999</v>
      </c>
      <c r="E183" s="16">
        <f>IFERROR(__xludf.DUMMYFUNCTION("""COMPUTED_VALUE"""),63.0)</f>
        <v>63</v>
      </c>
      <c r="F183" s="19" t="str">
        <f>IFERROR(__xludf.DUMMYFUNCTION("""COMPUTED_VALUE"""),"BLUE")</f>
        <v>BLUE</v>
      </c>
      <c r="G183" s="20" t="str">
        <f>IFERROR(__xludf.DUMMYFUNCTION("""COMPUTED_VALUE"""),"Uncle Sams Cider (11/12/2021) (Blue)")</f>
        <v>Uncle Sams Cider (11/12/2021) (Blue)</v>
      </c>
      <c r="H183" s="19"/>
    </row>
    <row r="184">
      <c r="A184" s="9"/>
      <c r="B184" s="15"/>
      <c r="C184" s="9">
        <f>IFERROR(__xludf.DUMMYFUNCTION("""COMPUTED_VALUE"""),44603.6486196296)</f>
        <v>44603.64862</v>
      </c>
      <c r="D184" s="15">
        <f>IFERROR(__xludf.DUMMYFUNCTION("""COMPUTED_VALUE"""),0.999)</f>
        <v>0.999</v>
      </c>
      <c r="E184" s="16">
        <f>IFERROR(__xludf.DUMMYFUNCTION("""COMPUTED_VALUE"""),63.0)</f>
        <v>63</v>
      </c>
      <c r="F184" s="19" t="str">
        <f>IFERROR(__xludf.DUMMYFUNCTION("""COMPUTED_VALUE"""),"BLUE")</f>
        <v>BLUE</v>
      </c>
      <c r="G184" s="20" t="str">
        <f>IFERROR(__xludf.DUMMYFUNCTION("""COMPUTED_VALUE"""),"Uncle Sams Cider (11/12/2021) (Blue)")</f>
        <v>Uncle Sams Cider (11/12/2021) (Blue)</v>
      </c>
      <c r="H184" s="19"/>
    </row>
    <row r="185">
      <c r="A185" s="9"/>
      <c r="B185" s="15"/>
      <c r="C185" s="9">
        <f>IFERROR(__xludf.DUMMYFUNCTION("""COMPUTED_VALUE"""),44603.6381980439)</f>
        <v>44603.6382</v>
      </c>
      <c r="D185" s="15">
        <f>IFERROR(__xludf.DUMMYFUNCTION("""COMPUTED_VALUE"""),0.999)</f>
        <v>0.999</v>
      </c>
      <c r="E185" s="16">
        <f>IFERROR(__xludf.DUMMYFUNCTION("""COMPUTED_VALUE"""),63.0)</f>
        <v>63</v>
      </c>
      <c r="F185" s="19" t="str">
        <f>IFERROR(__xludf.DUMMYFUNCTION("""COMPUTED_VALUE"""),"BLUE")</f>
        <v>BLUE</v>
      </c>
      <c r="G185" s="20" t="str">
        <f>IFERROR(__xludf.DUMMYFUNCTION("""COMPUTED_VALUE"""),"Uncle Sams Cider (11/12/2021) (Blue)")</f>
        <v>Uncle Sams Cider (11/12/2021) (Blue)</v>
      </c>
      <c r="H185" s="19"/>
    </row>
    <row r="186">
      <c r="A186" s="9"/>
      <c r="B186" s="15"/>
      <c r="C186" s="9">
        <f>IFERROR(__xludf.DUMMYFUNCTION("""COMPUTED_VALUE"""),44603.6277771296)</f>
        <v>44603.62778</v>
      </c>
      <c r="D186" s="15">
        <f>IFERROR(__xludf.DUMMYFUNCTION("""COMPUTED_VALUE"""),0.999)</f>
        <v>0.999</v>
      </c>
      <c r="E186" s="16">
        <f>IFERROR(__xludf.DUMMYFUNCTION("""COMPUTED_VALUE"""),63.0)</f>
        <v>63</v>
      </c>
      <c r="F186" s="19" t="str">
        <f>IFERROR(__xludf.DUMMYFUNCTION("""COMPUTED_VALUE"""),"BLUE")</f>
        <v>BLUE</v>
      </c>
      <c r="G186" s="20" t="str">
        <f>IFERROR(__xludf.DUMMYFUNCTION("""COMPUTED_VALUE"""),"Uncle Sams Cider (11/12/2021) (Blue)")</f>
        <v>Uncle Sams Cider (11/12/2021) (Blue)</v>
      </c>
      <c r="H186" s="19"/>
    </row>
    <row r="187">
      <c r="A187" s="9"/>
      <c r="B187" s="15"/>
      <c r="C187" s="9">
        <f>IFERROR(__xludf.DUMMYFUNCTION("""COMPUTED_VALUE"""),44603.6173565972)</f>
        <v>44603.61736</v>
      </c>
      <c r="D187" s="15">
        <f>IFERROR(__xludf.DUMMYFUNCTION("""COMPUTED_VALUE"""),0.999)</f>
        <v>0.999</v>
      </c>
      <c r="E187" s="16">
        <f>IFERROR(__xludf.DUMMYFUNCTION("""COMPUTED_VALUE"""),63.0)</f>
        <v>63</v>
      </c>
      <c r="F187" s="19" t="str">
        <f>IFERROR(__xludf.DUMMYFUNCTION("""COMPUTED_VALUE"""),"BLUE")</f>
        <v>BLUE</v>
      </c>
      <c r="G187" s="20" t="str">
        <f>IFERROR(__xludf.DUMMYFUNCTION("""COMPUTED_VALUE"""),"Uncle Sams Cider (11/12/2021) (Blue)")</f>
        <v>Uncle Sams Cider (11/12/2021) (Blue)</v>
      </c>
      <c r="H187" s="19"/>
    </row>
    <row r="188">
      <c r="A188" s="9"/>
      <c r="B188" s="15"/>
      <c r="C188" s="9">
        <f>IFERROR(__xludf.DUMMYFUNCTION("""COMPUTED_VALUE"""),44603.6069231481)</f>
        <v>44603.60692</v>
      </c>
      <c r="D188" s="15">
        <f>IFERROR(__xludf.DUMMYFUNCTION("""COMPUTED_VALUE"""),0.999)</f>
        <v>0.999</v>
      </c>
      <c r="E188" s="16">
        <f>IFERROR(__xludf.DUMMYFUNCTION("""COMPUTED_VALUE"""),63.0)</f>
        <v>63</v>
      </c>
      <c r="F188" s="19" t="str">
        <f>IFERROR(__xludf.DUMMYFUNCTION("""COMPUTED_VALUE"""),"BLUE")</f>
        <v>BLUE</v>
      </c>
      <c r="G188" s="20" t="str">
        <f>IFERROR(__xludf.DUMMYFUNCTION("""COMPUTED_VALUE"""),"Uncle Sams Cider (11/12/2021) (Blue)")</f>
        <v>Uncle Sams Cider (11/12/2021) (Blue)</v>
      </c>
      <c r="H188" s="19"/>
    </row>
    <row r="189">
      <c r="A189" s="9"/>
      <c r="B189" s="15"/>
      <c r="C189" s="9">
        <f>IFERROR(__xludf.DUMMYFUNCTION("""COMPUTED_VALUE"""),44603.596501412)</f>
        <v>44603.5965</v>
      </c>
      <c r="D189" s="15">
        <f>IFERROR(__xludf.DUMMYFUNCTION("""COMPUTED_VALUE"""),0.999)</f>
        <v>0.999</v>
      </c>
      <c r="E189" s="16">
        <f>IFERROR(__xludf.DUMMYFUNCTION("""COMPUTED_VALUE"""),63.0)</f>
        <v>63</v>
      </c>
      <c r="F189" s="19" t="str">
        <f>IFERROR(__xludf.DUMMYFUNCTION("""COMPUTED_VALUE"""),"BLUE")</f>
        <v>BLUE</v>
      </c>
      <c r="G189" s="20" t="str">
        <f>IFERROR(__xludf.DUMMYFUNCTION("""COMPUTED_VALUE"""),"Uncle Sams Cider (11/12/2021) (Blue)")</f>
        <v>Uncle Sams Cider (11/12/2021) (Blue)</v>
      </c>
      <c r="H189" s="19"/>
    </row>
    <row r="190">
      <c r="A190" s="9"/>
      <c r="B190" s="15"/>
      <c r="C190" s="9">
        <f>IFERROR(__xludf.DUMMYFUNCTION("""COMPUTED_VALUE"""),44603.5860793402)</f>
        <v>44603.58608</v>
      </c>
      <c r="D190" s="15">
        <f>IFERROR(__xludf.DUMMYFUNCTION("""COMPUTED_VALUE"""),0.999)</f>
        <v>0.999</v>
      </c>
      <c r="E190" s="16">
        <f>IFERROR(__xludf.DUMMYFUNCTION("""COMPUTED_VALUE"""),63.0)</f>
        <v>63</v>
      </c>
      <c r="F190" s="19" t="str">
        <f>IFERROR(__xludf.DUMMYFUNCTION("""COMPUTED_VALUE"""),"BLUE")</f>
        <v>BLUE</v>
      </c>
      <c r="G190" s="20" t="str">
        <f>IFERROR(__xludf.DUMMYFUNCTION("""COMPUTED_VALUE"""),"Uncle Sams Cider (11/12/2021) (Blue)")</f>
        <v>Uncle Sams Cider (11/12/2021) (Blue)</v>
      </c>
      <c r="H190" s="19"/>
    </row>
    <row r="191">
      <c r="A191" s="9"/>
      <c r="B191" s="15"/>
      <c r="C191" s="9">
        <f>IFERROR(__xludf.DUMMYFUNCTION("""COMPUTED_VALUE"""),44603.5756586342)</f>
        <v>44603.57566</v>
      </c>
      <c r="D191" s="15">
        <f>IFERROR(__xludf.DUMMYFUNCTION("""COMPUTED_VALUE"""),0.999)</f>
        <v>0.999</v>
      </c>
      <c r="E191" s="16">
        <f>IFERROR(__xludf.DUMMYFUNCTION("""COMPUTED_VALUE"""),63.0)</f>
        <v>63</v>
      </c>
      <c r="F191" s="19" t="str">
        <f>IFERROR(__xludf.DUMMYFUNCTION("""COMPUTED_VALUE"""),"BLUE")</f>
        <v>BLUE</v>
      </c>
      <c r="G191" s="20" t="str">
        <f>IFERROR(__xludf.DUMMYFUNCTION("""COMPUTED_VALUE"""),"Uncle Sams Cider (11/12/2021) (Blue)")</f>
        <v>Uncle Sams Cider (11/12/2021) (Blue)</v>
      </c>
      <c r="H191" s="19"/>
    </row>
    <row r="192">
      <c r="A192" s="9"/>
      <c r="B192" s="15"/>
      <c r="C192" s="9">
        <f>IFERROR(__xludf.DUMMYFUNCTION("""COMPUTED_VALUE"""),44603.5652366203)</f>
        <v>44603.56524</v>
      </c>
      <c r="D192" s="15">
        <f>IFERROR(__xludf.DUMMYFUNCTION("""COMPUTED_VALUE"""),0.999)</f>
        <v>0.999</v>
      </c>
      <c r="E192" s="16">
        <f>IFERROR(__xludf.DUMMYFUNCTION("""COMPUTED_VALUE"""),63.0)</f>
        <v>63</v>
      </c>
      <c r="F192" s="19" t="str">
        <f>IFERROR(__xludf.DUMMYFUNCTION("""COMPUTED_VALUE"""),"BLUE")</f>
        <v>BLUE</v>
      </c>
      <c r="G192" s="20" t="str">
        <f>IFERROR(__xludf.DUMMYFUNCTION("""COMPUTED_VALUE"""),"Uncle Sams Cider (11/12/2021) (Blue)")</f>
        <v>Uncle Sams Cider (11/12/2021) (Blue)</v>
      </c>
      <c r="H192" s="19"/>
    </row>
    <row r="193">
      <c r="A193" s="9"/>
      <c r="B193" s="15"/>
      <c r="C193" s="9">
        <f>IFERROR(__xludf.DUMMYFUNCTION("""COMPUTED_VALUE"""),44603.5548163773)</f>
        <v>44603.55482</v>
      </c>
      <c r="D193" s="15">
        <f>IFERROR(__xludf.DUMMYFUNCTION("""COMPUTED_VALUE"""),0.999)</f>
        <v>0.999</v>
      </c>
      <c r="E193" s="16">
        <f>IFERROR(__xludf.DUMMYFUNCTION("""COMPUTED_VALUE"""),63.0)</f>
        <v>63</v>
      </c>
      <c r="F193" s="19" t="str">
        <f>IFERROR(__xludf.DUMMYFUNCTION("""COMPUTED_VALUE"""),"BLUE")</f>
        <v>BLUE</v>
      </c>
      <c r="G193" s="20" t="str">
        <f>IFERROR(__xludf.DUMMYFUNCTION("""COMPUTED_VALUE"""),"Uncle Sams Cider (11/12/2021) (Blue)")</f>
        <v>Uncle Sams Cider (11/12/2021) (Blue)</v>
      </c>
      <c r="H193" s="19"/>
    </row>
    <row r="194">
      <c r="A194" s="9"/>
      <c r="B194" s="15"/>
      <c r="C194" s="9">
        <f>IFERROR(__xludf.DUMMYFUNCTION("""COMPUTED_VALUE"""),44603.5443950694)</f>
        <v>44603.5444</v>
      </c>
      <c r="D194" s="15">
        <f>IFERROR(__xludf.DUMMYFUNCTION("""COMPUTED_VALUE"""),0.999)</f>
        <v>0.999</v>
      </c>
      <c r="E194" s="16">
        <f>IFERROR(__xludf.DUMMYFUNCTION("""COMPUTED_VALUE"""),63.0)</f>
        <v>63</v>
      </c>
      <c r="F194" s="19" t="str">
        <f>IFERROR(__xludf.DUMMYFUNCTION("""COMPUTED_VALUE"""),"BLUE")</f>
        <v>BLUE</v>
      </c>
      <c r="G194" s="20" t="str">
        <f>IFERROR(__xludf.DUMMYFUNCTION("""COMPUTED_VALUE"""),"Uncle Sams Cider (11/12/2021) (Blue)")</f>
        <v>Uncle Sams Cider (11/12/2021) (Blue)</v>
      </c>
      <c r="H194" s="19"/>
    </row>
    <row r="195">
      <c r="A195" s="9"/>
      <c r="B195" s="15"/>
      <c r="C195" s="9">
        <f>IFERROR(__xludf.DUMMYFUNCTION("""COMPUTED_VALUE"""),44603.5339739467)</f>
        <v>44603.53397</v>
      </c>
      <c r="D195" s="15">
        <f>IFERROR(__xludf.DUMMYFUNCTION("""COMPUTED_VALUE"""),0.999)</f>
        <v>0.999</v>
      </c>
      <c r="E195" s="16">
        <f>IFERROR(__xludf.DUMMYFUNCTION("""COMPUTED_VALUE"""),63.0)</f>
        <v>63</v>
      </c>
      <c r="F195" s="19" t="str">
        <f>IFERROR(__xludf.DUMMYFUNCTION("""COMPUTED_VALUE"""),"BLUE")</f>
        <v>BLUE</v>
      </c>
      <c r="G195" s="20" t="str">
        <f>IFERROR(__xludf.DUMMYFUNCTION("""COMPUTED_VALUE"""),"Uncle Sams Cider (11/12/2021) (Blue)")</f>
        <v>Uncle Sams Cider (11/12/2021) (Blue)</v>
      </c>
      <c r="H195" s="19"/>
    </row>
    <row r="196">
      <c r="A196" s="9"/>
      <c r="B196" s="15"/>
      <c r="C196" s="9">
        <f>IFERROR(__xludf.DUMMYFUNCTION("""COMPUTED_VALUE"""),44603.5235535995)</f>
        <v>44603.52355</v>
      </c>
      <c r="D196" s="15">
        <f>IFERROR(__xludf.DUMMYFUNCTION("""COMPUTED_VALUE"""),0.999)</f>
        <v>0.999</v>
      </c>
      <c r="E196" s="16">
        <f>IFERROR(__xludf.DUMMYFUNCTION("""COMPUTED_VALUE"""),63.0)</f>
        <v>63</v>
      </c>
      <c r="F196" s="19" t="str">
        <f>IFERROR(__xludf.DUMMYFUNCTION("""COMPUTED_VALUE"""),"BLUE")</f>
        <v>BLUE</v>
      </c>
      <c r="G196" s="20" t="str">
        <f>IFERROR(__xludf.DUMMYFUNCTION("""COMPUTED_VALUE"""),"Uncle Sams Cider (11/12/2021) (Blue)")</f>
        <v>Uncle Sams Cider (11/12/2021) (Blue)</v>
      </c>
      <c r="H196" s="19"/>
    </row>
    <row r="197">
      <c r="A197" s="9"/>
      <c r="B197" s="15"/>
      <c r="C197" s="9">
        <f>IFERROR(__xludf.DUMMYFUNCTION("""COMPUTED_VALUE"""),44603.5131341203)</f>
        <v>44603.51313</v>
      </c>
      <c r="D197" s="15">
        <f>IFERROR(__xludf.DUMMYFUNCTION("""COMPUTED_VALUE"""),0.999)</f>
        <v>0.999</v>
      </c>
      <c r="E197" s="16">
        <f>IFERROR(__xludf.DUMMYFUNCTION("""COMPUTED_VALUE"""),63.0)</f>
        <v>63</v>
      </c>
      <c r="F197" s="19" t="str">
        <f>IFERROR(__xludf.DUMMYFUNCTION("""COMPUTED_VALUE"""),"BLUE")</f>
        <v>BLUE</v>
      </c>
      <c r="G197" s="20" t="str">
        <f>IFERROR(__xludf.DUMMYFUNCTION("""COMPUTED_VALUE"""),"Uncle Sams Cider (11/12/2021) (Blue)")</f>
        <v>Uncle Sams Cider (11/12/2021) (Blue)</v>
      </c>
      <c r="H197" s="19"/>
    </row>
    <row r="198">
      <c r="A198" s="9"/>
      <c r="B198" s="15"/>
      <c r="C198" s="9">
        <f>IFERROR(__xludf.DUMMYFUNCTION("""COMPUTED_VALUE"""),44603.5027133796)</f>
        <v>44603.50271</v>
      </c>
      <c r="D198" s="15">
        <f>IFERROR(__xludf.DUMMYFUNCTION("""COMPUTED_VALUE"""),0.999)</f>
        <v>0.999</v>
      </c>
      <c r="E198" s="16">
        <f>IFERROR(__xludf.DUMMYFUNCTION("""COMPUTED_VALUE"""),63.0)</f>
        <v>63</v>
      </c>
      <c r="F198" s="19" t="str">
        <f>IFERROR(__xludf.DUMMYFUNCTION("""COMPUTED_VALUE"""),"BLUE")</f>
        <v>BLUE</v>
      </c>
      <c r="G198" s="20" t="str">
        <f>IFERROR(__xludf.DUMMYFUNCTION("""COMPUTED_VALUE"""),"Uncle Sams Cider (11/12/2021) (Blue)")</f>
        <v>Uncle Sams Cider (11/12/2021) (Blue)</v>
      </c>
      <c r="H198" s="19"/>
    </row>
    <row r="199">
      <c r="A199" s="9"/>
      <c r="B199" s="15"/>
      <c r="C199" s="9">
        <f>IFERROR(__xludf.DUMMYFUNCTION("""COMPUTED_VALUE"""),44603.4922919907)</f>
        <v>44603.49229</v>
      </c>
      <c r="D199" s="15">
        <f>IFERROR(__xludf.DUMMYFUNCTION("""COMPUTED_VALUE"""),0.999)</f>
        <v>0.999</v>
      </c>
      <c r="E199" s="16">
        <f>IFERROR(__xludf.DUMMYFUNCTION("""COMPUTED_VALUE"""),63.0)</f>
        <v>63</v>
      </c>
      <c r="F199" s="19" t="str">
        <f>IFERROR(__xludf.DUMMYFUNCTION("""COMPUTED_VALUE"""),"BLUE")</f>
        <v>BLUE</v>
      </c>
      <c r="G199" s="20" t="str">
        <f>IFERROR(__xludf.DUMMYFUNCTION("""COMPUTED_VALUE"""),"Uncle Sams Cider (11/12/2021) (Blue)")</f>
        <v>Uncle Sams Cider (11/12/2021) (Blue)</v>
      </c>
      <c r="H199" s="19"/>
    </row>
    <row r="200">
      <c r="A200" s="9"/>
      <c r="B200" s="15"/>
      <c r="C200" s="9">
        <f>IFERROR(__xludf.DUMMYFUNCTION("""COMPUTED_VALUE"""),44603.4818692939)</f>
        <v>44603.48187</v>
      </c>
      <c r="D200" s="15">
        <f>IFERROR(__xludf.DUMMYFUNCTION("""COMPUTED_VALUE"""),0.999)</f>
        <v>0.999</v>
      </c>
      <c r="E200" s="16">
        <f>IFERROR(__xludf.DUMMYFUNCTION("""COMPUTED_VALUE"""),63.0)</f>
        <v>63</v>
      </c>
      <c r="F200" s="19" t="str">
        <f>IFERROR(__xludf.DUMMYFUNCTION("""COMPUTED_VALUE"""),"BLUE")</f>
        <v>BLUE</v>
      </c>
      <c r="G200" s="20" t="str">
        <f>IFERROR(__xludf.DUMMYFUNCTION("""COMPUTED_VALUE"""),"Uncle Sams Cider (11/12/2021) (Blue)")</f>
        <v>Uncle Sams Cider (11/12/2021) (Blue)</v>
      </c>
      <c r="H200" s="19"/>
    </row>
    <row r="201">
      <c r="A201" s="9"/>
      <c r="B201" s="15"/>
      <c r="C201" s="9">
        <f>IFERROR(__xludf.DUMMYFUNCTION("""COMPUTED_VALUE"""),44603.4714471296)</f>
        <v>44603.47145</v>
      </c>
      <c r="D201" s="15">
        <f>IFERROR(__xludf.DUMMYFUNCTION("""COMPUTED_VALUE"""),0.999)</f>
        <v>0.999</v>
      </c>
      <c r="E201" s="16">
        <f>IFERROR(__xludf.DUMMYFUNCTION("""COMPUTED_VALUE"""),63.0)</f>
        <v>63</v>
      </c>
      <c r="F201" s="19" t="str">
        <f>IFERROR(__xludf.DUMMYFUNCTION("""COMPUTED_VALUE"""),"BLUE")</f>
        <v>BLUE</v>
      </c>
      <c r="G201" s="20" t="str">
        <f>IFERROR(__xludf.DUMMYFUNCTION("""COMPUTED_VALUE"""),"Uncle Sams Cider (11/12/2021) (Blue)")</f>
        <v>Uncle Sams Cider (11/12/2021) (Blue)</v>
      </c>
      <c r="H201" s="19"/>
    </row>
    <row r="202">
      <c r="A202" s="9"/>
      <c r="B202" s="15"/>
      <c r="C202" s="9">
        <f>IFERROR(__xludf.DUMMYFUNCTION("""COMPUTED_VALUE"""),44603.4610260648)</f>
        <v>44603.46103</v>
      </c>
      <c r="D202" s="15">
        <f>IFERROR(__xludf.DUMMYFUNCTION("""COMPUTED_VALUE"""),0.999)</f>
        <v>0.999</v>
      </c>
      <c r="E202" s="16">
        <f>IFERROR(__xludf.DUMMYFUNCTION("""COMPUTED_VALUE"""),63.0)</f>
        <v>63</v>
      </c>
      <c r="F202" s="19" t="str">
        <f>IFERROR(__xludf.DUMMYFUNCTION("""COMPUTED_VALUE"""),"BLUE")</f>
        <v>BLUE</v>
      </c>
      <c r="G202" s="20" t="str">
        <f>IFERROR(__xludf.DUMMYFUNCTION("""COMPUTED_VALUE"""),"Uncle Sams Cider (11/12/2021) (Blue)")</f>
        <v>Uncle Sams Cider (11/12/2021) (Blue)</v>
      </c>
      <c r="H202" s="19"/>
    </row>
    <row r="203">
      <c r="A203" s="9"/>
      <c r="B203" s="15"/>
      <c r="C203" s="9">
        <f>IFERROR(__xludf.DUMMYFUNCTION("""COMPUTED_VALUE"""),44603.450605324)</f>
        <v>44603.45061</v>
      </c>
      <c r="D203" s="15">
        <f>IFERROR(__xludf.DUMMYFUNCTION("""COMPUTED_VALUE"""),0.999)</f>
        <v>0.999</v>
      </c>
      <c r="E203" s="16">
        <f>IFERROR(__xludf.DUMMYFUNCTION("""COMPUTED_VALUE"""),63.0)</f>
        <v>63</v>
      </c>
      <c r="F203" s="19" t="str">
        <f>IFERROR(__xludf.DUMMYFUNCTION("""COMPUTED_VALUE"""),"BLUE")</f>
        <v>BLUE</v>
      </c>
      <c r="G203" s="20" t="str">
        <f>IFERROR(__xludf.DUMMYFUNCTION("""COMPUTED_VALUE"""),"Uncle Sams Cider (11/12/2021) (Blue)")</f>
        <v>Uncle Sams Cider (11/12/2021) (Blue)</v>
      </c>
      <c r="H203" s="19"/>
    </row>
    <row r="204">
      <c r="A204" s="9"/>
      <c r="B204" s="15"/>
      <c r="C204" s="9">
        <f>IFERROR(__xludf.DUMMYFUNCTION("""COMPUTED_VALUE"""),44603.440185706)</f>
        <v>44603.44019</v>
      </c>
      <c r="D204" s="15">
        <f>IFERROR(__xludf.DUMMYFUNCTION("""COMPUTED_VALUE"""),0.999)</f>
        <v>0.999</v>
      </c>
      <c r="E204" s="16">
        <f>IFERROR(__xludf.DUMMYFUNCTION("""COMPUTED_VALUE"""),63.0)</f>
        <v>63</v>
      </c>
      <c r="F204" s="19" t="str">
        <f>IFERROR(__xludf.DUMMYFUNCTION("""COMPUTED_VALUE"""),"BLUE")</f>
        <v>BLUE</v>
      </c>
      <c r="G204" s="20" t="str">
        <f>IFERROR(__xludf.DUMMYFUNCTION("""COMPUTED_VALUE"""),"Uncle Sams Cider (11/12/2021) (Blue)")</f>
        <v>Uncle Sams Cider (11/12/2021) (Blue)</v>
      </c>
      <c r="H204" s="19"/>
    </row>
    <row r="205">
      <c r="A205" s="9"/>
      <c r="B205" s="15"/>
      <c r="C205" s="9">
        <f>IFERROR(__xludf.DUMMYFUNCTION("""COMPUTED_VALUE"""),44603.4297637152)</f>
        <v>44603.42976</v>
      </c>
      <c r="D205" s="15">
        <f>IFERROR(__xludf.DUMMYFUNCTION("""COMPUTED_VALUE"""),0.999)</f>
        <v>0.999</v>
      </c>
      <c r="E205" s="16">
        <f>IFERROR(__xludf.DUMMYFUNCTION("""COMPUTED_VALUE"""),63.0)</f>
        <v>63</v>
      </c>
      <c r="F205" s="19" t="str">
        <f>IFERROR(__xludf.DUMMYFUNCTION("""COMPUTED_VALUE"""),"BLUE")</f>
        <v>BLUE</v>
      </c>
      <c r="G205" s="20" t="str">
        <f>IFERROR(__xludf.DUMMYFUNCTION("""COMPUTED_VALUE"""),"Uncle Sams Cider (11/12/2021) (Blue)")</f>
        <v>Uncle Sams Cider (11/12/2021) (Blue)</v>
      </c>
      <c r="H205" s="19"/>
    </row>
    <row r="206">
      <c r="A206" s="9"/>
      <c r="B206" s="15"/>
      <c r="C206" s="9">
        <f>IFERROR(__xludf.DUMMYFUNCTION("""COMPUTED_VALUE"""),44603.4193435648)</f>
        <v>44603.41934</v>
      </c>
      <c r="D206" s="15">
        <f>IFERROR(__xludf.DUMMYFUNCTION("""COMPUTED_VALUE"""),0.999)</f>
        <v>0.999</v>
      </c>
      <c r="E206" s="16">
        <f>IFERROR(__xludf.DUMMYFUNCTION("""COMPUTED_VALUE"""),63.0)</f>
        <v>63</v>
      </c>
      <c r="F206" s="19" t="str">
        <f>IFERROR(__xludf.DUMMYFUNCTION("""COMPUTED_VALUE"""),"BLUE")</f>
        <v>BLUE</v>
      </c>
      <c r="G206" s="20" t="str">
        <f>IFERROR(__xludf.DUMMYFUNCTION("""COMPUTED_VALUE"""),"Uncle Sams Cider (11/12/2021) (Blue)")</f>
        <v>Uncle Sams Cider (11/12/2021) (Blue)</v>
      </c>
      <c r="H206" s="19"/>
    </row>
    <row r="207">
      <c r="A207" s="9"/>
      <c r="B207" s="15"/>
      <c r="C207" s="9">
        <f>IFERROR(__xludf.DUMMYFUNCTION("""COMPUTED_VALUE"""),44603.4089219097)</f>
        <v>44603.40892</v>
      </c>
      <c r="D207" s="15">
        <f>IFERROR(__xludf.DUMMYFUNCTION("""COMPUTED_VALUE"""),0.999)</f>
        <v>0.999</v>
      </c>
      <c r="E207" s="16">
        <f>IFERROR(__xludf.DUMMYFUNCTION("""COMPUTED_VALUE"""),63.0)</f>
        <v>63</v>
      </c>
      <c r="F207" s="19" t="str">
        <f>IFERROR(__xludf.DUMMYFUNCTION("""COMPUTED_VALUE"""),"BLUE")</f>
        <v>BLUE</v>
      </c>
      <c r="G207" s="20" t="str">
        <f>IFERROR(__xludf.DUMMYFUNCTION("""COMPUTED_VALUE"""),"Uncle Sams Cider (11/12/2021) (Blue)")</f>
        <v>Uncle Sams Cider (11/12/2021) (Blue)</v>
      </c>
      <c r="H207" s="19"/>
    </row>
    <row r="208">
      <c r="A208" s="9"/>
      <c r="B208" s="15"/>
      <c r="C208" s="9">
        <f>IFERROR(__xludf.DUMMYFUNCTION("""COMPUTED_VALUE"""),44603.3985016898)</f>
        <v>44603.3985</v>
      </c>
      <c r="D208" s="15">
        <f>IFERROR(__xludf.DUMMYFUNCTION("""COMPUTED_VALUE"""),0.999)</f>
        <v>0.999</v>
      </c>
      <c r="E208" s="16">
        <f>IFERROR(__xludf.DUMMYFUNCTION("""COMPUTED_VALUE"""),63.0)</f>
        <v>63</v>
      </c>
      <c r="F208" s="19" t="str">
        <f>IFERROR(__xludf.DUMMYFUNCTION("""COMPUTED_VALUE"""),"BLUE")</f>
        <v>BLUE</v>
      </c>
      <c r="G208" s="20" t="str">
        <f>IFERROR(__xludf.DUMMYFUNCTION("""COMPUTED_VALUE"""),"Uncle Sams Cider (11/12/2021) (Blue)")</f>
        <v>Uncle Sams Cider (11/12/2021) (Blue)</v>
      </c>
      <c r="H208" s="19"/>
    </row>
    <row r="209">
      <c r="A209" s="9"/>
      <c r="B209" s="15"/>
      <c r="C209" s="9">
        <f>IFERROR(__xludf.DUMMYFUNCTION("""COMPUTED_VALUE"""),44603.3880804282)</f>
        <v>44603.38808</v>
      </c>
      <c r="D209" s="15">
        <f>IFERROR(__xludf.DUMMYFUNCTION("""COMPUTED_VALUE"""),0.999)</f>
        <v>0.999</v>
      </c>
      <c r="E209" s="16">
        <f>IFERROR(__xludf.DUMMYFUNCTION("""COMPUTED_VALUE"""),63.0)</f>
        <v>63</v>
      </c>
      <c r="F209" s="19" t="str">
        <f>IFERROR(__xludf.DUMMYFUNCTION("""COMPUTED_VALUE"""),"BLUE")</f>
        <v>BLUE</v>
      </c>
      <c r="G209" s="20" t="str">
        <f>IFERROR(__xludf.DUMMYFUNCTION("""COMPUTED_VALUE"""),"Uncle Sams Cider (11/12/2021) (Blue)")</f>
        <v>Uncle Sams Cider (11/12/2021) (Blue)</v>
      </c>
      <c r="H209" s="19"/>
    </row>
    <row r="210">
      <c r="A210" s="9"/>
      <c r="B210" s="15"/>
      <c r="C210" s="9">
        <f>IFERROR(__xludf.DUMMYFUNCTION("""COMPUTED_VALUE"""),44603.3776603472)</f>
        <v>44603.37766</v>
      </c>
      <c r="D210" s="15">
        <f>IFERROR(__xludf.DUMMYFUNCTION("""COMPUTED_VALUE"""),0.999)</f>
        <v>0.999</v>
      </c>
      <c r="E210" s="16">
        <f>IFERROR(__xludf.DUMMYFUNCTION("""COMPUTED_VALUE"""),63.0)</f>
        <v>63</v>
      </c>
      <c r="F210" s="19" t="str">
        <f>IFERROR(__xludf.DUMMYFUNCTION("""COMPUTED_VALUE"""),"BLUE")</f>
        <v>BLUE</v>
      </c>
      <c r="G210" s="20" t="str">
        <f>IFERROR(__xludf.DUMMYFUNCTION("""COMPUTED_VALUE"""),"Uncle Sams Cider (11/12/2021) (Blue)")</f>
        <v>Uncle Sams Cider (11/12/2021) (Blue)</v>
      </c>
      <c r="H210" s="19"/>
    </row>
    <row r="211">
      <c r="A211" s="9"/>
      <c r="B211" s="15"/>
      <c r="C211" s="9">
        <f>IFERROR(__xludf.DUMMYFUNCTION("""COMPUTED_VALUE"""),44603.3672399652)</f>
        <v>44603.36724</v>
      </c>
      <c r="D211" s="15">
        <f>IFERROR(__xludf.DUMMYFUNCTION("""COMPUTED_VALUE"""),0.999)</f>
        <v>0.999</v>
      </c>
      <c r="E211" s="16">
        <f>IFERROR(__xludf.DUMMYFUNCTION("""COMPUTED_VALUE"""),63.0)</f>
        <v>63</v>
      </c>
      <c r="F211" s="19" t="str">
        <f>IFERROR(__xludf.DUMMYFUNCTION("""COMPUTED_VALUE"""),"BLUE")</f>
        <v>BLUE</v>
      </c>
      <c r="G211" s="20" t="str">
        <f>IFERROR(__xludf.DUMMYFUNCTION("""COMPUTED_VALUE"""),"Uncle Sams Cider (11/12/2021) (Blue)")</f>
        <v>Uncle Sams Cider (11/12/2021) (Blue)</v>
      </c>
      <c r="H211" s="19"/>
    </row>
    <row r="212">
      <c r="A212" s="9"/>
      <c r="B212" s="15"/>
      <c r="C212" s="9">
        <f>IFERROR(__xludf.DUMMYFUNCTION("""COMPUTED_VALUE"""),44603.3568182291)</f>
        <v>44603.35682</v>
      </c>
      <c r="D212" s="15">
        <f>IFERROR(__xludf.DUMMYFUNCTION("""COMPUTED_VALUE"""),0.999)</f>
        <v>0.999</v>
      </c>
      <c r="E212" s="16">
        <f>IFERROR(__xludf.DUMMYFUNCTION("""COMPUTED_VALUE"""),63.0)</f>
        <v>63</v>
      </c>
      <c r="F212" s="19" t="str">
        <f>IFERROR(__xludf.DUMMYFUNCTION("""COMPUTED_VALUE"""),"BLUE")</f>
        <v>BLUE</v>
      </c>
      <c r="G212" s="20" t="str">
        <f>IFERROR(__xludf.DUMMYFUNCTION("""COMPUTED_VALUE"""),"Uncle Sams Cider (11/12/2021) (Blue)")</f>
        <v>Uncle Sams Cider (11/12/2021) (Blue)</v>
      </c>
      <c r="H212" s="19"/>
    </row>
    <row r="213">
      <c r="A213" s="9"/>
      <c r="B213" s="15"/>
      <c r="C213" s="9">
        <f>IFERROR(__xludf.DUMMYFUNCTION("""COMPUTED_VALUE"""),44603.3463984027)</f>
        <v>44603.3464</v>
      </c>
      <c r="D213" s="15">
        <f>IFERROR(__xludf.DUMMYFUNCTION("""COMPUTED_VALUE"""),0.999)</f>
        <v>0.999</v>
      </c>
      <c r="E213" s="16">
        <f>IFERROR(__xludf.DUMMYFUNCTION("""COMPUTED_VALUE"""),63.0)</f>
        <v>63</v>
      </c>
      <c r="F213" s="19" t="str">
        <f>IFERROR(__xludf.DUMMYFUNCTION("""COMPUTED_VALUE"""),"BLUE")</f>
        <v>BLUE</v>
      </c>
      <c r="G213" s="20" t="str">
        <f>IFERROR(__xludf.DUMMYFUNCTION("""COMPUTED_VALUE"""),"Uncle Sams Cider (11/12/2021) (Blue)")</f>
        <v>Uncle Sams Cider (11/12/2021) (Blue)</v>
      </c>
      <c r="H213" s="19"/>
    </row>
    <row r="214">
      <c r="A214" s="9"/>
      <c r="B214" s="15"/>
      <c r="C214" s="9">
        <f>IFERROR(__xludf.DUMMYFUNCTION("""COMPUTED_VALUE"""),44603.3359773495)</f>
        <v>44603.33598</v>
      </c>
      <c r="D214" s="15">
        <f>IFERROR(__xludf.DUMMYFUNCTION("""COMPUTED_VALUE"""),0.999)</f>
        <v>0.999</v>
      </c>
      <c r="E214" s="16">
        <f>IFERROR(__xludf.DUMMYFUNCTION("""COMPUTED_VALUE"""),63.0)</f>
        <v>63</v>
      </c>
      <c r="F214" s="19" t="str">
        <f>IFERROR(__xludf.DUMMYFUNCTION("""COMPUTED_VALUE"""),"BLUE")</f>
        <v>BLUE</v>
      </c>
      <c r="G214" s="20" t="str">
        <f>IFERROR(__xludf.DUMMYFUNCTION("""COMPUTED_VALUE"""),"Uncle Sams Cider (11/12/2021) (Blue)")</f>
        <v>Uncle Sams Cider (11/12/2021) (Blue)</v>
      </c>
      <c r="H214" s="19"/>
    </row>
    <row r="215">
      <c r="A215" s="9"/>
      <c r="B215" s="15"/>
      <c r="C215" s="9">
        <f>IFERROR(__xludf.DUMMYFUNCTION("""COMPUTED_VALUE"""),44603.3255451388)</f>
        <v>44603.32555</v>
      </c>
      <c r="D215" s="15">
        <f>IFERROR(__xludf.DUMMYFUNCTION("""COMPUTED_VALUE"""),0.999)</f>
        <v>0.999</v>
      </c>
      <c r="E215" s="16">
        <f>IFERROR(__xludf.DUMMYFUNCTION("""COMPUTED_VALUE"""),63.0)</f>
        <v>63</v>
      </c>
      <c r="F215" s="19" t="str">
        <f>IFERROR(__xludf.DUMMYFUNCTION("""COMPUTED_VALUE"""),"BLUE")</f>
        <v>BLUE</v>
      </c>
      <c r="G215" s="20" t="str">
        <f>IFERROR(__xludf.DUMMYFUNCTION("""COMPUTED_VALUE"""),"Uncle Sams Cider (11/12/2021) (Blue)")</f>
        <v>Uncle Sams Cider (11/12/2021) (Blue)</v>
      </c>
      <c r="H215" s="19"/>
    </row>
    <row r="216">
      <c r="A216" s="9"/>
      <c r="B216" s="15"/>
      <c r="C216" s="9">
        <f>IFERROR(__xludf.DUMMYFUNCTION("""COMPUTED_VALUE"""),44603.3151249421)</f>
        <v>44603.31512</v>
      </c>
      <c r="D216" s="15">
        <f>IFERROR(__xludf.DUMMYFUNCTION("""COMPUTED_VALUE"""),0.999)</f>
        <v>0.999</v>
      </c>
      <c r="E216" s="16">
        <f>IFERROR(__xludf.DUMMYFUNCTION("""COMPUTED_VALUE"""),63.0)</f>
        <v>63</v>
      </c>
      <c r="F216" s="19" t="str">
        <f>IFERROR(__xludf.DUMMYFUNCTION("""COMPUTED_VALUE"""),"BLUE")</f>
        <v>BLUE</v>
      </c>
      <c r="G216" s="20" t="str">
        <f>IFERROR(__xludf.DUMMYFUNCTION("""COMPUTED_VALUE"""),"Uncle Sams Cider (11/12/2021) (Blue)")</f>
        <v>Uncle Sams Cider (11/12/2021) (Blue)</v>
      </c>
      <c r="H216" s="19"/>
    </row>
    <row r="217">
      <c r="A217" s="9"/>
      <c r="B217" s="15"/>
      <c r="C217" s="9">
        <f>IFERROR(__xludf.DUMMYFUNCTION("""COMPUTED_VALUE"""),44603.3047042361)</f>
        <v>44603.3047</v>
      </c>
      <c r="D217" s="15">
        <f>IFERROR(__xludf.DUMMYFUNCTION("""COMPUTED_VALUE"""),0.999)</f>
        <v>0.999</v>
      </c>
      <c r="E217" s="16">
        <f>IFERROR(__xludf.DUMMYFUNCTION("""COMPUTED_VALUE"""),63.0)</f>
        <v>63</v>
      </c>
      <c r="F217" s="19" t="str">
        <f>IFERROR(__xludf.DUMMYFUNCTION("""COMPUTED_VALUE"""),"BLUE")</f>
        <v>BLUE</v>
      </c>
      <c r="G217" s="20" t="str">
        <f>IFERROR(__xludf.DUMMYFUNCTION("""COMPUTED_VALUE"""),"Uncle Sams Cider (11/12/2021) (Blue)")</f>
        <v>Uncle Sams Cider (11/12/2021) (Blue)</v>
      </c>
      <c r="H217" s="19"/>
    </row>
    <row r="218">
      <c r="A218" s="9"/>
      <c r="B218" s="15"/>
      <c r="C218" s="9">
        <f>IFERROR(__xludf.DUMMYFUNCTION("""COMPUTED_VALUE"""),44603.2942739814)</f>
        <v>44603.29427</v>
      </c>
      <c r="D218" s="15">
        <f>IFERROR(__xludf.DUMMYFUNCTION("""COMPUTED_VALUE"""),0.999)</f>
        <v>0.999</v>
      </c>
      <c r="E218" s="16">
        <f>IFERROR(__xludf.DUMMYFUNCTION("""COMPUTED_VALUE"""),63.0)</f>
        <v>63</v>
      </c>
      <c r="F218" s="19" t="str">
        <f>IFERROR(__xludf.DUMMYFUNCTION("""COMPUTED_VALUE"""),"BLUE")</f>
        <v>BLUE</v>
      </c>
      <c r="G218" s="20" t="str">
        <f>IFERROR(__xludf.DUMMYFUNCTION("""COMPUTED_VALUE"""),"Uncle Sams Cider (11/12/2021) (Blue)")</f>
        <v>Uncle Sams Cider (11/12/2021) (Blue)</v>
      </c>
      <c r="H218" s="19"/>
    </row>
    <row r="219">
      <c r="A219" s="9"/>
      <c r="B219" s="15"/>
      <c r="C219" s="9">
        <f>IFERROR(__xludf.DUMMYFUNCTION("""COMPUTED_VALUE"""),44603.2838534375)</f>
        <v>44603.28385</v>
      </c>
      <c r="D219" s="15">
        <f>IFERROR(__xludf.DUMMYFUNCTION("""COMPUTED_VALUE"""),0.999)</f>
        <v>0.999</v>
      </c>
      <c r="E219" s="16">
        <f>IFERROR(__xludf.DUMMYFUNCTION("""COMPUTED_VALUE"""),63.0)</f>
        <v>63</v>
      </c>
      <c r="F219" s="19" t="str">
        <f>IFERROR(__xludf.DUMMYFUNCTION("""COMPUTED_VALUE"""),"BLUE")</f>
        <v>BLUE</v>
      </c>
      <c r="G219" s="20" t="str">
        <f>IFERROR(__xludf.DUMMYFUNCTION("""COMPUTED_VALUE"""),"Uncle Sams Cider (11/12/2021) (Blue)")</f>
        <v>Uncle Sams Cider (11/12/2021) (Blue)</v>
      </c>
      <c r="H219" s="19"/>
    </row>
    <row r="220">
      <c r="A220" s="9"/>
      <c r="B220" s="15"/>
      <c r="C220" s="9">
        <f>IFERROR(__xludf.DUMMYFUNCTION("""COMPUTED_VALUE"""),44603.2734321874)</f>
        <v>44603.27343</v>
      </c>
      <c r="D220" s="15">
        <f>IFERROR(__xludf.DUMMYFUNCTION("""COMPUTED_VALUE"""),0.999)</f>
        <v>0.999</v>
      </c>
      <c r="E220" s="16">
        <f>IFERROR(__xludf.DUMMYFUNCTION("""COMPUTED_VALUE"""),63.0)</f>
        <v>63</v>
      </c>
      <c r="F220" s="19" t="str">
        <f>IFERROR(__xludf.DUMMYFUNCTION("""COMPUTED_VALUE"""),"BLUE")</f>
        <v>BLUE</v>
      </c>
      <c r="G220" s="20" t="str">
        <f>IFERROR(__xludf.DUMMYFUNCTION("""COMPUTED_VALUE"""),"Uncle Sams Cider (11/12/2021) (Blue)")</f>
        <v>Uncle Sams Cider (11/12/2021) (Blue)</v>
      </c>
      <c r="H220" s="19"/>
    </row>
    <row r="221">
      <c r="A221" s="9"/>
      <c r="B221" s="15"/>
      <c r="C221" s="9">
        <f>IFERROR(__xludf.DUMMYFUNCTION("""COMPUTED_VALUE"""),44603.2630129976)</f>
        <v>44603.26301</v>
      </c>
      <c r="D221" s="15">
        <f>IFERROR(__xludf.DUMMYFUNCTION("""COMPUTED_VALUE"""),0.999)</f>
        <v>0.999</v>
      </c>
      <c r="E221" s="16">
        <f>IFERROR(__xludf.DUMMYFUNCTION("""COMPUTED_VALUE"""),63.0)</f>
        <v>63</v>
      </c>
      <c r="F221" s="19" t="str">
        <f>IFERROR(__xludf.DUMMYFUNCTION("""COMPUTED_VALUE"""),"BLUE")</f>
        <v>BLUE</v>
      </c>
      <c r="G221" s="20" t="str">
        <f>IFERROR(__xludf.DUMMYFUNCTION("""COMPUTED_VALUE"""),"Uncle Sams Cider (11/12/2021) (Blue)")</f>
        <v>Uncle Sams Cider (11/12/2021) (Blue)</v>
      </c>
      <c r="H221" s="19"/>
    </row>
    <row r="222">
      <c r="A222" s="9"/>
      <c r="B222" s="15"/>
      <c r="C222" s="9">
        <f>IFERROR(__xludf.DUMMYFUNCTION("""COMPUTED_VALUE"""),44603.2525797569)</f>
        <v>44603.25258</v>
      </c>
      <c r="D222" s="15">
        <f>IFERROR(__xludf.DUMMYFUNCTION("""COMPUTED_VALUE"""),0.999)</f>
        <v>0.999</v>
      </c>
      <c r="E222" s="16">
        <f>IFERROR(__xludf.DUMMYFUNCTION("""COMPUTED_VALUE"""),63.0)</f>
        <v>63</v>
      </c>
      <c r="F222" s="19" t="str">
        <f>IFERROR(__xludf.DUMMYFUNCTION("""COMPUTED_VALUE"""),"BLUE")</f>
        <v>BLUE</v>
      </c>
      <c r="G222" s="20" t="str">
        <f>IFERROR(__xludf.DUMMYFUNCTION("""COMPUTED_VALUE"""),"Uncle Sams Cider (11/12/2021) (Blue)")</f>
        <v>Uncle Sams Cider (11/12/2021) (Blue)</v>
      </c>
      <c r="H222" s="19"/>
    </row>
    <row r="223">
      <c r="A223" s="9"/>
      <c r="B223" s="15"/>
      <c r="C223" s="9">
        <f>IFERROR(__xludf.DUMMYFUNCTION("""COMPUTED_VALUE"""),44603.2421471643)</f>
        <v>44603.24215</v>
      </c>
      <c r="D223" s="15">
        <f>IFERROR(__xludf.DUMMYFUNCTION("""COMPUTED_VALUE"""),0.999)</f>
        <v>0.999</v>
      </c>
      <c r="E223" s="16">
        <f>IFERROR(__xludf.DUMMYFUNCTION("""COMPUTED_VALUE"""),63.0)</f>
        <v>63</v>
      </c>
      <c r="F223" s="19" t="str">
        <f>IFERROR(__xludf.DUMMYFUNCTION("""COMPUTED_VALUE"""),"BLUE")</f>
        <v>BLUE</v>
      </c>
      <c r="G223" s="20" t="str">
        <f>IFERROR(__xludf.DUMMYFUNCTION("""COMPUTED_VALUE"""),"Uncle Sams Cider (11/12/2021) (Blue)")</f>
        <v>Uncle Sams Cider (11/12/2021) (Blue)</v>
      </c>
      <c r="H223" s="19"/>
    </row>
    <row r="224">
      <c r="A224" s="9"/>
      <c r="B224" s="15"/>
      <c r="C224" s="9">
        <f>IFERROR(__xludf.DUMMYFUNCTION("""COMPUTED_VALUE"""),44603.2317245138)</f>
        <v>44603.23172</v>
      </c>
      <c r="D224" s="15">
        <f>IFERROR(__xludf.DUMMYFUNCTION("""COMPUTED_VALUE"""),0.999)</f>
        <v>0.999</v>
      </c>
      <c r="E224" s="16">
        <f>IFERROR(__xludf.DUMMYFUNCTION("""COMPUTED_VALUE"""),63.0)</f>
        <v>63</v>
      </c>
      <c r="F224" s="19" t="str">
        <f>IFERROR(__xludf.DUMMYFUNCTION("""COMPUTED_VALUE"""),"BLUE")</f>
        <v>BLUE</v>
      </c>
      <c r="G224" s="20" t="str">
        <f>IFERROR(__xludf.DUMMYFUNCTION("""COMPUTED_VALUE"""),"Uncle Sams Cider (11/12/2021) (Blue)")</f>
        <v>Uncle Sams Cider (11/12/2021) (Blue)</v>
      </c>
      <c r="H224" s="19"/>
    </row>
    <row r="225">
      <c r="A225" s="9"/>
      <c r="B225" s="15"/>
      <c r="C225" s="9">
        <f>IFERROR(__xludf.DUMMYFUNCTION("""COMPUTED_VALUE"""),44603.2213035069)</f>
        <v>44603.2213</v>
      </c>
      <c r="D225" s="15">
        <f>IFERROR(__xludf.DUMMYFUNCTION("""COMPUTED_VALUE"""),0.999)</f>
        <v>0.999</v>
      </c>
      <c r="E225" s="16">
        <f>IFERROR(__xludf.DUMMYFUNCTION("""COMPUTED_VALUE"""),63.0)</f>
        <v>63</v>
      </c>
      <c r="F225" s="19" t="str">
        <f>IFERROR(__xludf.DUMMYFUNCTION("""COMPUTED_VALUE"""),"BLUE")</f>
        <v>BLUE</v>
      </c>
      <c r="G225" s="20" t="str">
        <f>IFERROR(__xludf.DUMMYFUNCTION("""COMPUTED_VALUE"""),"Uncle Sams Cider (11/12/2021) (Blue)")</f>
        <v>Uncle Sams Cider (11/12/2021) (Blue)</v>
      </c>
      <c r="H225" s="19"/>
    </row>
    <row r="226">
      <c r="A226" s="9"/>
      <c r="B226" s="15"/>
      <c r="C226" s="9">
        <f>IFERROR(__xludf.DUMMYFUNCTION("""COMPUTED_VALUE"""),44603.2108825463)</f>
        <v>44603.21088</v>
      </c>
      <c r="D226" s="15">
        <f>IFERROR(__xludf.DUMMYFUNCTION("""COMPUTED_VALUE"""),0.999)</f>
        <v>0.999</v>
      </c>
      <c r="E226" s="16">
        <f>IFERROR(__xludf.DUMMYFUNCTION("""COMPUTED_VALUE"""),63.0)</f>
        <v>63</v>
      </c>
      <c r="F226" s="19" t="str">
        <f>IFERROR(__xludf.DUMMYFUNCTION("""COMPUTED_VALUE"""),"BLUE")</f>
        <v>BLUE</v>
      </c>
      <c r="G226" s="20" t="str">
        <f>IFERROR(__xludf.DUMMYFUNCTION("""COMPUTED_VALUE"""),"Uncle Sams Cider (11/12/2021) (Blue)")</f>
        <v>Uncle Sams Cider (11/12/2021) (Blue)</v>
      </c>
      <c r="H226" s="19"/>
    </row>
    <row r="227">
      <c r="A227" s="9"/>
      <c r="B227" s="15"/>
      <c r="C227" s="9">
        <f>IFERROR(__xludf.DUMMYFUNCTION("""COMPUTED_VALUE"""),44603.2004618171)</f>
        <v>44603.20046</v>
      </c>
      <c r="D227" s="15">
        <f>IFERROR(__xludf.DUMMYFUNCTION("""COMPUTED_VALUE"""),0.999)</f>
        <v>0.999</v>
      </c>
      <c r="E227" s="16">
        <f>IFERROR(__xludf.DUMMYFUNCTION("""COMPUTED_VALUE"""),63.0)</f>
        <v>63</v>
      </c>
      <c r="F227" s="19" t="str">
        <f>IFERROR(__xludf.DUMMYFUNCTION("""COMPUTED_VALUE"""),"BLUE")</f>
        <v>BLUE</v>
      </c>
      <c r="G227" s="20" t="str">
        <f>IFERROR(__xludf.DUMMYFUNCTION("""COMPUTED_VALUE"""),"Uncle Sams Cider (11/12/2021) (Blue)")</f>
        <v>Uncle Sams Cider (11/12/2021) (Blue)</v>
      </c>
      <c r="H227" s="19"/>
    </row>
    <row r="228">
      <c r="A228" s="9"/>
      <c r="B228" s="15"/>
      <c r="C228" s="9">
        <f>IFERROR(__xludf.DUMMYFUNCTION("""COMPUTED_VALUE"""),44603.1900177314)</f>
        <v>44603.19002</v>
      </c>
      <c r="D228" s="15">
        <f>IFERROR(__xludf.DUMMYFUNCTION("""COMPUTED_VALUE"""),0.999)</f>
        <v>0.999</v>
      </c>
      <c r="E228" s="16">
        <f>IFERROR(__xludf.DUMMYFUNCTION("""COMPUTED_VALUE"""),63.0)</f>
        <v>63</v>
      </c>
      <c r="F228" s="19" t="str">
        <f>IFERROR(__xludf.DUMMYFUNCTION("""COMPUTED_VALUE"""),"BLUE")</f>
        <v>BLUE</v>
      </c>
      <c r="G228" s="20" t="str">
        <f>IFERROR(__xludf.DUMMYFUNCTION("""COMPUTED_VALUE"""),"Uncle Sams Cider (11/12/2021) (Blue)")</f>
        <v>Uncle Sams Cider (11/12/2021) (Blue)</v>
      </c>
      <c r="H228" s="19"/>
    </row>
    <row r="229">
      <c r="A229" s="9"/>
      <c r="B229" s="15"/>
      <c r="C229" s="9">
        <f>IFERROR(__xludf.DUMMYFUNCTION("""COMPUTED_VALUE"""),44603.1795966319)</f>
        <v>44603.1796</v>
      </c>
      <c r="D229" s="15">
        <f>IFERROR(__xludf.DUMMYFUNCTION("""COMPUTED_VALUE"""),0.999)</f>
        <v>0.999</v>
      </c>
      <c r="E229" s="16">
        <f>IFERROR(__xludf.DUMMYFUNCTION("""COMPUTED_VALUE"""),63.0)</f>
        <v>63</v>
      </c>
      <c r="F229" s="19" t="str">
        <f>IFERROR(__xludf.DUMMYFUNCTION("""COMPUTED_VALUE"""),"BLUE")</f>
        <v>BLUE</v>
      </c>
      <c r="G229" s="20" t="str">
        <f>IFERROR(__xludf.DUMMYFUNCTION("""COMPUTED_VALUE"""),"Uncle Sams Cider (11/12/2021) (Blue)")</f>
        <v>Uncle Sams Cider (11/12/2021) (Blue)</v>
      </c>
      <c r="H229" s="19"/>
    </row>
    <row r="230">
      <c r="A230" s="9"/>
      <c r="B230" s="15"/>
      <c r="C230" s="9">
        <f>IFERROR(__xludf.DUMMYFUNCTION("""COMPUTED_VALUE"""),44603.1691531134)</f>
        <v>44603.16915</v>
      </c>
      <c r="D230" s="15">
        <f>IFERROR(__xludf.DUMMYFUNCTION("""COMPUTED_VALUE"""),0.999)</f>
        <v>0.999</v>
      </c>
      <c r="E230" s="16">
        <f>IFERROR(__xludf.DUMMYFUNCTION("""COMPUTED_VALUE"""),63.0)</f>
        <v>63</v>
      </c>
      <c r="F230" s="19" t="str">
        <f>IFERROR(__xludf.DUMMYFUNCTION("""COMPUTED_VALUE"""),"BLUE")</f>
        <v>BLUE</v>
      </c>
      <c r="G230" s="20" t="str">
        <f>IFERROR(__xludf.DUMMYFUNCTION("""COMPUTED_VALUE"""),"Uncle Sams Cider (11/12/2021) (Blue)")</f>
        <v>Uncle Sams Cider (11/12/2021) (Blue)</v>
      </c>
      <c r="H230" s="19"/>
    </row>
    <row r="231">
      <c r="A231" s="9"/>
      <c r="B231" s="15"/>
      <c r="C231" s="9">
        <f>IFERROR(__xludf.DUMMYFUNCTION("""COMPUTED_VALUE"""),44603.1587338888)</f>
        <v>44603.15873</v>
      </c>
      <c r="D231" s="15">
        <f>IFERROR(__xludf.DUMMYFUNCTION("""COMPUTED_VALUE"""),0.999)</f>
        <v>0.999</v>
      </c>
      <c r="E231" s="16">
        <f>IFERROR(__xludf.DUMMYFUNCTION("""COMPUTED_VALUE"""),63.0)</f>
        <v>63</v>
      </c>
      <c r="F231" s="19" t="str">
        <f>IFERROR(__xludf.DUMMYFUNCTION("""COMPUTED_VALUE"""),"BLUE")</f>
        <v>BLUE</v>
      </c>
      <c r="G231" s="20" t="str">
        <f>IFERROR(__xludf.DUMMYFUNCTION("""COMPUTED_VALUE"""),"Uncle Sams Cider (11/12/2021) (Blue)")</f>
        <v>Uncle Sams Cider (11/12/2021) (Blue)</v>
      </c>
      <c r="H231" s="19"/>
    </row>
    <row r="232">
      <c r="A232" s="9"/>
      <c r="B232" s="15"/>
      <c r="C232" s="9">
        <f>IFERROR(__xludf.DUMMYFUNCTION("""COMPUTED_VALUE"""),44603.1483138425)</f>
        <v>44603.14831</v>
      </c>
      <c r="D232" s="15">
        <f>IFERROR(__xludf.DUMMYFUNCTION("""COMPUTED_VALUE"""),0.999)</f>
        <v>0.999</v>
      </c>
      <c r="E232" s="16">
        <f>IFERROR(__xludf.DUMMYFUNCTION("""COMPUTED_VALUE"""),63.0)</f>
        <v>63</v>
      </c>
      <c r="F232" s="19" t="str">
        <f>IFERROR(__xludf.DUMMYFUNCTION("""COMPUTED_VALUE"""),"BLUE")</f>
        <v>BLUE</v>
      </c>
      <c r="G232" s="20" t="str">
        <f>IFERROR(__xludf.DUMMYFUNCTION("""COMPUTED_VALUE"""),"Uncle Sams Cider (11/12/2021) (Blue)")</f>
        <v>Uncle Sams Cider (11/12/2021) (Blue)</v>
      </c>
      <c r="H232" s="19"/>
    </row>
    <row r="233">
      <c r="A233" s="9"/>
      <c r="B233" s="15"/>
      <c r="C233" s="9">
        <f>IFERROR(__xludf.DUMMYFUNCTION("""COMPUTED_VALUE"""),44603.1378939351)</f>
        <v>44603.13789</v>
      </c>
      <c r="D233" s="15">
        <f>IFERROR(__xludf.DUMMYFUNCTION("""COMPUTED_VALUE"""),0.999)</f>
        <v>0.999</v>
      </c>
      <c r="E233" s="16">
        <f>IFERROR(__xludf.DUMMYFUNCTION("""COMPUTED_VALUE"""),63.0)</f>
        <v>63</v>
      </c>
      <c r="F233" s="19" t="str">
        <f>IFERROR(__xludf.DUMMYFUNCTION("""COMPUTED_VALUE"""),"BLUE")</f>
        <v>BLUE</v>
      </c>
      <c r="G233" s="20" t="str">
        <f>IFERROR(__xludf.DUMMYFUNCTION("""COMPUTED_VALUE"""),"Uncle Sams Cider (11/12/2021) (Blue)")</f>
        <v>Uncle Sams Cider (11/12/2021) (Blue)</v>
      </c>
      <c r="H233" s="19"/>
    </row>
    <row r="234">
      <c r="A234" s="9"/>
      <c r="B234" s="15"/>
      <c r="C234" s="9">
        <f>IFERROR(__xludf.DUMMYFUNCTION("""COMPUTED_VALUE"""),44603.1274617592)</f>
        <v>44603.12746</v>
      </c>
      <c r="D234" s="15">
        <f>IFERROR(__xludf.DUMMYFUNCTION("""COMPUTED_VALUE"""),0.999)</f>
        <v>0.999</v>
      </c>
      <c r="E234" s="16">
        <f>IFERROR(__xludf.DUMMYFUNCTION("""COMPUTED_VALUE"""),63.0)</f>
        <v>63</v>
      </c>
      <c r="F234" s="19" t="str">
        <f>IFERROR(__xludf.DUMMYFUNCTION("""COMPUTED_VALUE"""),"BLUE")</f>
        <v>BLUE</v>
      </c>
      <c r="G234" s="20" t="str">
        <f>IFERROR(__xludf.DUMMYFUNCTION("""COMPUTED_VALUE"""),"Uncle Sams Cider (11/12/2021) (Blue)")</f>
        <v>Uncle Sams Cider (11/12/2021) (Blue)</v>
      </c>
      <c r="H234" s="19"/>
    </row>
    <row r="235">
      <c r="A235" s="9"/>
      <c r="B235" s="15"/>
      <c r="C235" s="9">
        <f>IFERROR(__xludf.DUMMYFUNCTION("""COMPUTED_VALUE"""),44603.1170049074)</f>
        <v>44603.117</v>
      </c>
      <c r="D235" s="15">
        <f>IFERROR(__xludf.DUMMYFUNCTION("""COMPUTED_VALUE"""),0.999)</f>
        <v>0.999</v>
      </c>
      <c r="E235" s="16">
        <f>IFERROR(__xludf.DUMMYFUNCTION("""COMPUTED_VALUE"""),63.0)</f>
        <v>63</v>
      </c>
      <c r="F235" s="19" t="str">
        <f>IFERROR(__xludf.DUMMYFUNCTION("""COMPUTED_VALUE"""),"BLUE")</f>
        <v>BLUE</v>
      </c>
      <c r="G235" s="20" t="str">
        <f>IFERROR(__xludf.DUMMYFUNCTION("""COMPUTED_VALUE"""),"Uncle Sams Cider (11/12/2021) (Blue)")</f>
        <v>Uncle Sams Cider (11/12/2021) (Blue)</v>
      </c>
      <c r="H235" s="19"/>
    </row>
    <row r="236">
      <c r="A236" s="9"/>
      <c r="B236" s="15"/>
      <c r="C236" s="9">
        <f>IFERROR(__xludf.DUMMYFUNCTION("""COMPUTED_VALUE"""),44603.10658478)</f>
        <v>44603.10658</v>
      </c>
      <c r="D236" s="15">
        <f>IFERROR(__xludf.DUMMYFUNCTION("""COMPUTED_VALUE"""),0.999)</f>
        <v>0.999</v>
      </c>
      <c r="E236" s="16">
        <f>IFERROR(__xludf.DUMMYFUNCTION("""COMPUTED_VALUE"""),63.0)</f>
        <v>63</v>
      </c>
      <c r="F236" s="19" t="str">
        <f>IFERROR(__xludf.DUMMYFUNCTION("""COMPUTED_VALUE"""),"BLUE")</f>
        <v>BLUE</v>
      </c>
      <c r="G236" s="20" t="str">
        <f>IFERROR(__xludf.DUMMYFUNCTION("""COMPUTED_VALUE"""),"Uncle Sams Cider (11/12/2021) (Blue)")</f>
        <v>Uncle Sams Cider (11/12/2021) (Blue)</v>
      </c>
      <c r="H236" s="19"/>
    </row>
    <row r="237">
      <c r="A237" s="9"/>
      <c r="B237" s="15"/>
      <c r="C237" s="9">
        <f>IFERROR(__xludf.DUMMYFUNCTION("""COMPUTED_VALUE"""),44603.0961646527)</f>
        <v>44603.09616</v>
      </c>
      <c r="D237" s="15">
        <f>IFERROR(__xludf.DUMMYFUNCTION("""COMPUTED_VALUE"""),0.999)</f>
        <v>0.999</v>
      </c>
      <c r="E237" s="16">
        <f>IFERROR(__xludf.DUMMYFUNCTION("""COMPUTED_VALUE"""),63.0)</f>
        <v>63</v>
      </c>
      <c r="F237" s="19" t="str">
        <f>IFERROR(__xludf.DUMMYFUNCTION("""COMPUTED_VALUE"""),"BLUE")</f>
        <v>BLUE</v>
      </c>
      <c r="G237" s="20" t="str">
        <f>IFERROR(__xludf.DUMMYFUNCTION("""COMPUTED_VALUE"""),"Uncle Sams Cider (11/12/2021) (Blue)")</f>
        <v>Uncle Sams Cider (11/12/2021) (Blue)</v>
      </c>
      <c r="H237" s="19"/>
    </row>
    <row r="238">
      <c r="A238" s="9"/>
      <c r="B238" s="15"/>
      <c r="C238" s="9">
        <f>IFERROR(__xludf.DUMMYFUNCTION("""COMPUTED_VALUE"""),44603.0857438888)</f>
        <v>44603.08574</v>
      </c>
      <c r="D238" s="15">
        <f>IFERROR(__xludf.DUMMYFUNCTION("""COMPUTED_VALUE"""),0.999)</f>
        <v>0.999</v>
      </c>
      <c r="E238" s="16">
        <f>IFERROR(__xludf.DUMMYFUNCTION("""COMPUTED_VALUE"""),63.0)</f>
        <v>63</v>
      </c>
      <c r="F238" s="19" t="str">
        <f>IFERROR(__xludf.DUMMYFUNCTION("""COMPUTED_VALUE"""),"BLUE")</f>
        <v>BLUE</v>
      </c>
      <c r="G238" s="20" t="str">
        <f>IFERROR(__xludf.DUMMYFUNCTION("""COMPUTED_VALUE"""),"Uncle Sams Cider (11/12/2021) (Blue)")</f>
        <v>Uncle Sams Cider (11/12/2021) (Blue)</v>
      </c>
      <c r="H238" s="19"/>
    </row>
    <row r="239">
      <c r="A239" s="9"/>
      <c r="B239" s="15"/>
      <c r="C239" s="9">
        <f>IFERROR(__xludf.DUMMYFUNCTION("""COMPUTED_VALUE"""),44603.0753233796)</f>
        <v>44603.07532</v>
      </c>
      <c r="D239" s="15">
        <f>IFERROR(__xludf.DUMMYFUNCTION("""COMPUTED_VALUE"""),0.999)</f>
        <v>0.999</v>
      </c>
      <c r="E239" s="16">
        <f>IFERROR(__xludf.DUMMYFUNCTION("""COMPUTED_VALUE"""),63.0)</f>
        <v>63</v>
      </c>
      <c r="F239" s="19" t="str">
        <f>IFERROR(__xludf.DUMMYFUNCTION("""COMPUTED_VALUE"""),"BLUE")</f>
        <v>BLUE</v>
      </c>
      <c r="G239" s="20" t="str">
        <f>IFERROR(__xludf.DUMMYFUNCTION("""COMPUTED_VALUE"""),"Uncle Sams Cider (11/12/2021) (Blue)")</f>
        <v>Uncle Sams Cider (11/12/2021) (Blue)</v>
      </c>
      <c r="H239" s="19"/>
    </row>
    <row r="240">
      <c r="A240" s="9"/>
      <c r="B240" s="15"/>
      <c r="C240" s="9">
        <f>IFERROR(__xludf.DUMMYFUNCTION("""COMPUTED_VALUE"""),44603.0649025578)</f>
        <v>44603.0649</v>
      </c>
      <c r="D240" s="15">
        <f>IFERROR(__xludf.DUMMYFUNCTION("""COMPUTED_VALUE"""),0.999)</f>
        <v>0.999</v>
      </c>
      <c r="E240" s="16">
        <f>IFERROR(__xludf.DUMMYFUNCTION("""COMPUTED_VALUE"""),63.0)</f>
        <v>63</v>
      </c>
      <c r="F240" s="19" t="str">
        <f>IFERROR(__xludf.DUMMYFUNCTION("""COMPUTED_VALUE"""),"BLUE")</f>
        <v>BLUE</v>
      </c>
      <c r="G240" s="20" t="str">
        <f>IFERROR(__xludf.DUMMYFUNCTION("""COMPUTED_VALUE"""),"Uncle Sams Cider (11/12/2021) (Blue)")</f>
        <v>Uncle Sams Cider (11/12/2021) (Blue)</v>
      </c>
      <c r="H240" s="19"/>
    </row>
    <row r="241">
      <c r="A241" s="9"/>
      <c r="B241" s="15"/>
      <c r="C241" s="9">
        <f>IFERROR(__xludf.DUMMYFUNCTION("""COMPUTED_VALUE"""),44603.0544679166)</f>
        <v>44603.05447</v>
      </c>
      <c r="D241" s="15">
        <f>IFERROR(__xludf.DUMMYFUNCTION("""COMPUTED_VALUE"""),0.999)</f>
        <v>0.999</v>
      </c>
      <c r="E241" s="16">
        <f>IFERROR(__xludf.DUMMYFUNCTION("""COMPUTED_VALUE"""),63.0)</f>
        <v>63</v>
      </c>
      <c r="F241" s="19" t="str">
        <f>IFERROR(__xludf.DUMMYFUNCTION("""COMPUTED_VALUE"""),"BLUE")</f>
        <v>BLUE</v>
      </c>
      <c r="G241" s="20" t="str">
        <f>IFERROR(__xludf.DUMMYFUNCTION("""COMPUTED_VALUE"""),"Uncle Sams Cider (11/12/2021) (Blue)")</f>
        <v>Uncle Sams Cider (11/12/2021) (Blue)</v>
      </c>
      <c r="H241" s="19"/>
    </row>
    <row r="242">
      <c r="A242" s="9"/>
      <c r="B242" s="15"/>
      <c r="C242" s="9">
        <f>IFERROR(__xludf.DUMMYFUNCTION("""COMPUTED_VALUE"""),44603.0440467476)</f>
        <v>44603.04405</v>
      </c>
      <c r="D242" s="15">
        <f>IFERROR(__xludf.DUMMYFUNCTION("""COMPUTED_VALUE"""),0.999)</f>
        <v>0.999</v>
      </c>
      <c r="E242" s="16">
        <f>IFERROR(__xludf.DUMMYFUNCTION("""COMPUTED_VALUE"""),63.0)</f>
        <v>63</v>
      </c>
      <c r="F242" s="19" t="str">
        <f>IFERROR(__xludf.DUMMYFUNCTION("""COMPUTED_VALUE"""),"BLUE")</f>
        <v>BLUE</v>
      </c>
      <c r="G242" s="20" t="str">
        <f>IFERROR(__xludf.DUMMYFUNCTION("""COMPUTED_VALUE"""),"Uncle Sams Cider (11/12/2021) (Blue)")</f>
        <v>Uncle Sams Cider (11/12/2021) (Blue)</v>
      </c>
      <c r="H242" s="19"/>
    </row>
    <row r="243">
      <c r="A243" s="9"/>
      <c r="B243" s="15"/>
      <c r="C243" s="9">
        <f>IFERROR(__xludf.DUMMYFUNCTION("""COMPUTED_VALUE"""),44603.0336258449)</f>
        <v>44603.03363</v>
      </c>
      <c r="D243" s="15">
        <f>IFERROR(__xludf.DUMMYFUNCTION("""COMPUTED_VALUE"""),0.999)</f>
        <v>0.999</v>
      </c>
      <c r="E243" s="16">
        <f>IFERROR(__xludf.DUMMYFUNCTION("""COMPUTED_VALUE"""),63.0)</f>
        <v>63</v>
      </c>
      <c r="F243" s="19" t="str">
        <f>IFERROR(__xludf.DUMMYFUNCTION("""COMPUTED_VALUE"""),"BLUE")</f>
        <v>BLUE</v>
      </c>
      <c r="G243" s="20" t="str">
        <f>IFERROR(__xludf.DUMMYFUNCTION("""COMPUTED_VALUE"""),"Uncle Sams Cider (11/12/2021) (Blue)")</f>
        <v>Uncle Sams Cider (11/12/2021) (Blue)</v>
      </c>
      <c r="H243" s="19"/>
    </row>
    <row r="244">
      <c r="A244" s="9"/>
      <c r="B244" s="15"/>
      <c r="C244" s="9">
        <f>IFERROR(__xludf.DUMMYFUNCTION("""COMPUTED_VALUE"""),44603.0232035879)</f>
        <v>44603.0232</v>
      </c>
      <c r="D244" s="15">
        <f>IFERROR(__xludf.DUMMYFUNCTION("""COMPUTED_VALUE"""),0.999)</f>
        <v>0.999</v>
      </c>
      <c r="E244" s="16">
        <f>IFERROR(__xludf.DUMMYFUNCTION("""COMPUTED_VALUE"""),63.0)</f>
        <v>63</v>
      </c>
      <c r="F244" s="19" t="str">
        <f>IFERROR(__xludf.DUMMYFUNCTION("""COMPUTED_VALUE"""),"BLUE")</f>
        <v>BLUE</v>
      </c>
      <c r="G244" s="20" t="str">
        <f>IFERROR(__xludf.DUMMYFUNCTION("""COMPUTED_VALUE"""),"Uncle Sams Cider (11/12/2021) (Blue)")</f>
        <v>Uncle Sams Cider (11/12/2021) (Blue)</v>
      </c>
      <c r="H244" s="19"/>
    </row>
    <row r="245">
      <c r="A245" s="9"/>
      <c r="B245" s="15"/>
      <c r="C245" s="9">
        <f>IFERROR(__xludf.DUMMYFUNCTION("""COMPUTED_VALUE"""),44603.0127838657)</f>
        <v>44603.01278</v>
      </c>
      <c r="D245" s="15">
        <f>IFERROR(__xludf.DUMMYFUNCTION("""COMPUTED_VALUE"""),0.999)</f>
        <v>0.999</v>
      </c>
      <c r="E245" s="16">
        <f>IFERROR(__xludf.DUMMYFUNCTION("""COMPUTED_VALUE"""),63.0)</f>
        <v>63</v>
      </c>
      <c r="F245" s="19" t="str">
        <f>IFERROR(__xludf.DUMMYFUNCTION("""COMPUTED_VALUE"""),"BLUE")</f>
        <v>BLUE</v>
      </c>
      <c r="G245" s="20" t="str">
        <f>IFERROR(__xludf.DUMMYFUNCTION("""COMPUTED_VALUE"""),"Uncle Sams Cider (11/12/2021) (Blue)")</f>
        <v>Uncle Sams Cider (11/12/2021) (Blue)</v>
      </c>
      <c r="H245" s="19"/>
    </row>
    <row r="246">
      <c r="A246" s="9"/>
      <c r="B246" s="15"/>
      <c r="C246" s="9">
        <f>IFERROR(__xludf.DUMMYFUNCTION("""COMPUTED_VALUE"""),44603.0023630671)</f>
        <v>44603.00236</v>
      </c>
      <c r="D246" s="15">
        <f>IFERROR(__xludf.DUMMYFUNCTION("""COMPUTED_VALUE"""),0.999)</f>
        <v>0.999</v>
      </c>
      <c r="E246" s="16">
        <f>IFERROR(__xludf.DUMMYFUNCTION("""COMPUTED_VALUE"""),63.0)</f>
        <v>63</v>
      </c>
      <c r="F246" s="19" t="str">
        <f>IFERROR(__xludf.DUMMYFUNCTION("""COMPUTED_VALUE"""),"BLUE")</f>
        <v>BLUE</v>
      </c>
      <c r="G246" s="20" t="str">
        <f>IFERROR(__xludf.DUMMYFUNCTION("""COMPUTED_VALUE"""),"Uncle Sams Cider (11/12/2021) (Blue)")</f>
        <v>Uncle Sams Cider (11/12/2021) (Blue)</v>
      </c>
      <c r="H246" s="19"/>
    </row>
    <row r="247">
      <c r="A247" s="9"/>
      <c r="B247" s="15"/>
      <c r="C247" s="9">
        <f>IFERROR(__xludf.DUMMYFUNCTION("""COMPUTED_VALUE"""),44602.9919295949)</f>
        <v>44602.99193</v>
      </c>
      <c r="D247" s="15">
        <f>IFERROR(__xludf.DUMMYFUNCTION("""COMPUTED_VALUE"""),0.999)</f>
        <v>0.999</v>
      </c>
      <c r="E247" s="16">
        <f>IFERROR(__xludf.DUMMYFUNCTION("""COMPUTED_VALUE"""),63.0)</f>
        <v>63</v>
      </c>
      <c r="F247" s="19" t="str">
        <f>IFERROR(__xludf.DUMMYFUNCTION("""COMPUTED_VALUE"""),"BLUE")</f>
        <v>BLUE</v>
      </c>
      <c r="G247" s="20" t="str">
        <f>IFERROR(__xludf.DUMMYFUNCTION("""COMPUTED_VALUE"""),"Uncle Sams Cider (11/12/2021) (Blue)")</f>
        <v>Uncle Sams Cider (11/12/2021) (Blue)</v>
      </c>
      <c r="H247" s="19"/>
    </row>
    <row r="248">
      <c r="A248" s="9"/>
      <c r="B248" s="15"/>
      <c r="C248" s="9">
        <f>IFERROR(__xludf.DUMMYFUNCTION("""COMPUTED_VALUE"""),44602.9815079745)</f>
        <v>44602.98151</v>
      </c>
      <c r="D248" s="15">
        <f>IFERROR(__xludf.DUMMYFUNCTION("""COMPUTED_VALUE"""),0.999)</f>
        <v>0.999</v>
      </c>
      <c r="E248" s="16">
        <f>IFERROR(__xludf.DUMMYFUNCTION("""COMPUTED_VALUE"""),63.0)</f>
        <v>63</v>
      </c>
      <c r="F248" s="19" t="str">
        <f>IFERROR(__xludf.DUMMYFUNCTION("""COMPUTED_VALUE"""),"BLUE")</f>
        <v>BLUE</v>
      </c>
      <c r="G248" s="20" t="str">
        <f>IFERROR(__xludf.DUMMYFUNCTION("""COMPUTED_VALUE"""),"Uncle Sams Cider (11/12/2021) (Blue)")</f>
        <v>Uncle Sams Cider (11/12/2021) (Blue)</v>
      </c>
      <c r="H248" s="19"/>
    </row>
    <row r="249">
      <c r="A249" s="9"/>
      <c r="B249" s="15"/>
      <c r="C249" s="9">
        <f>IFERROR(__xludf.DUMMYFUNCTION("""COMPUTED_VALUE"""),44602.9710861111)</f>
        <v>44602.97109</v>
      </c>
      <c r="D249" s="15">
        <f>IFERROR(__xludf.DUMMYFUNCTION("""COMPUTED_VALUE"""),0.999)</f>
        <v>0.999</v>
      </c>
      <c r="E249" s="16">
        <f>IFERROR(__xludf.DUMMYFUNCTION("""COMPUTED_VALUE"""),64.0)</f>
        <v>64</v>
      </c>
      <c r="F249" s="19" t="str">
        <f>IFERROR(__xludf.DUMMYFUNCTION("""COMPUTED_VALUE"""),"BLUE")</f>
        <v>BLUE</v>
      </c>
      <c r="G249" s="20" t="str">
        <f>IFERROR(__xludf.DUMMYFUNCTION("""COMPUTED_VALUE"""),"Uncle Sams Cider (11/12/2021) (Blue)")</f>
        <v>Uncle Sams Cider (11/12/2021) (Blue)</v>
      </c>
      <c r="H249" s="19"/>
    </row>
    <row r="250">
      <c r="A250" s="9"/>
      <c r="B250" s="15"/>
      <c r="C250" s="9">
        <f>IFERROR(__xludf.DUMMYFUNCTION("""COMPUTED_VALUE"""),44602.9606664004)</f>
        <v>44602.96067</v>
      </c>
      <c r="D250" s="15">
        <f>IFERROR(__xludf.DUMMYFUNCTION("""COMPUTED_VALUE"""),0.999)</f>
        <v>0.999</v>
      </c>
      <c r="E250" s="16">
        <f>IFERROR(__xludf.DUMMYFUNCTION("""COMPUTED_VALUE"""),63.0)</f>
        <v>63</v>
      </c>
      <c r="F250" s="19" t="str">
        <f>IFERROR(__xludf.DUMMYFUNCTION("""COMPUTED_VALUE"""),"BLUE")</f>
        <v>BLUE</v>
      </c>
      <c r="G250" s="20" t="str">
        <f>IFERROR(__xludf.DUMMYFUNCTION("""COMPUTED_VALUE"""),"Uncle Sams Cider (11/12/2021) (Blue)")</f>
        <v>Uncle Sams Cider (11/12/2021) (Blue)</v>
      </c>
      <c r="H250" s="19"/>
    </row>
    <row r="251">
      <c r="A251" s="9"/>
      <c r="B251" s="15"/>
      <c r="C251" s="9">
        <f>IFERROR(__xludf.DUMMYFUNCTION("""COMPUTED_VALUE"""),44602.9502445254)</f>
        <v>44602.95024</v>
      </c>
      <c r="D251" s="15">
        <f>IFERROR(__xludf.DUMMYFUNCTION("""COMPUTED_VALUE"""),0.999)</f>
        <v>0.999</v>
      </c>
      <c r="E251" s="16">
        <f>IFERROR(__xludf.DUMMYFUNCTION("""COMPUTED_VALUE"""),63.0)</f>
        <v>63</v>
      </c>
      <c r="F251" s="19" t="str">
        <f>IFERROR(__xludf.DUMMYFUNCTION("""COMPUTED_VALUE"""),"BLUE")</f>
        <v>BLUE</v>
      </c>
      <c r="G251" s="20" t="str">
        <f>IFERROR(__xludf.DUMMYFUNCTION("""COMPUTED_VALUE"""),"Uncle Sams Cider (11/12/2021) (Blue)")</f>
        <v>Uncle Sams Cider (11/12/2021) (Blue)</v>
      </c>
      <c r="H251" s="19"/>
    </row>
    <row r="252">
      <c r="A252" s="9"/>
      <c r="B252" s="15"/>
      <c r="C252" s="9">
        <f>IFERROR(__xludf.DUMMYFUNCTION("""COMPUTED_VALUE"""),44602.9398238541)</f>
        <v>44602.93982</v>
      </c>
      <c r="D252" s="15">
        <f>IFERROR(__xludf.DUMMYFUNCTION("""COMPUTED_VALUE"""),0.999)</f>
        <v>0.999</v>
      </c>
      <c r="E252" s="16">
        <f>IFERROR(__xludf.DUMMYFUNCTION("""COMPUTED_VALUE"""),63.0)</f>
        <v>63</v>
      </c>
      <c r="F252" s="19" t="str">
        <f>IFERROR(__xludf.DUMMYFUNCTION("""COMPUTED_VALUE"""),"BLUE")</f>
        <v>BLUE</v>
      </c>
      <c r="G252" s="20" t="str">
        <f>IFERROR(__xludf.DUMMYFUNCTION("""COMPUTED_VALUE"""),"Uncle Sams Cider (11/12/2021) (Blue)")</f>
        <v>Uncle Sams Cider (11/12/2021) (Blue)</v>
      </c>
      <c r="H252" s="19"/>
    </row>
    <row r="253">
      <c r="A253" s="9"/>
      <c r="B253" s="15"/>
      <c r="C253" s="9">
        <f>IFERROR(__xludf.DUMMYFUNCTION("""COMPUTED_VALUE"""),44602.9294025231)</f>
        <v>44602.9294</v>
      </c>
      <c r="D253" s="15">
        <f>IFERROR(__xludf.DUMMYFUNCTION("""COMPUTED_VALUE"""),0.999)</f>
        <v>0.999</v>
      </c>
      <c r="E253" s="16">
        <f>IFERROR(__xludf.DUMMYFUNCTION("""COMPUTED_VALUE"""),63.0)</f>
        <v>63</v>
      </c>
      <c r="F253" s="19" t="str">
        <f>IFERROR(__xludf.DUMMYFUNCTION("""COMPUTED_VALUE"""),"BLUE")</f>
        <v>BLUE</v>
      </c>
      <c r="G253" s="20" t="str">
        <f>IFERROR(__xludf.DUMMYFUNCTION("""COMPUTED_VALUE"""),"Uncle Sams Cider (11/12/2021) (Blue)")</f>
        <v>Uncle Sams Cider (11/12/2021) (Blue)</v>
      </c>
      <c r="H253" s="19"/>
    </row>
    <row r="254">
      <c r="A254" s="9"/>
      <c r="B254" s="15"/>
      <c r="C254" s="9">
        <f>IFERROR(__xludf.DUMMYFUNCTION("""COMPUTED_VALUE"""),44602.9189706249)</f>
        <v>44602.91897</v>
      </c>
      <c r="D254" s="15">
        <f>IFERROR(__xludf.DUMMYFUNCTION("""COMPUTED_VALUE"""),0.999)</f>
        <v>0.999</v>
      </c>
      <c r="E254" s="16">
        <f>IFERROR(__xludf.DUMMYFUNCTION("""COMPUTED_VALUE"""),63.0)</f>
        <v>63</v>
      </c>
      <c r="F254" s="19" t="str">
        <f>IFERROR(__xludf.DUMMYFUNCTION("""COMPUTED_VALUE"""),"BLUE")</f>
        <v>BLUE</v>
      </c>
      <c r="G254" s="20" t="str">
        <f>IFERROR(__xludf.DUMMYFUNCTION("""COMPUTED_VALUE"""),"Uncle Sams Cider (11/12/2021) (Blue)")</f>
        <v>Uncle Sams Cider (11/12/2021) (Blue)</v>
      </c>
      <c r="H254" s="19"/>
    </row>
    <row r="255">
      <c r="A255" s="9"/>
      <c r="B255" s="15"/>
      <c r="C255" s="9">
        <f>IFERROR(__xludf.DUMMYFUNCTION("""COMPUTED_VALUE"""),44602.9085497685)</f>
        <v>44602.90855</v>
      </c>
      <c r="D255" s="15">
        <f>IFERROR(__xludf.DUMMYFUNCTION("""COMPUTED_VALUE"""),0.999)</f>
        <v>0.999</v>
      </c>
      <c r="E255" s="16">
        <f>IFERROR(__xludf.DUMMYFUNCTION("""COMPUTED_VALUE"""),63.0)</f>
        <v>63</v>
      </c>
      <c r="F255" s="19" t="str">
        <f>IFERROR(__xludf.DUMMYFUNCTION("""COMPUTED_VALUE"""),"BLUE")</f>
        <v>BLUE</v>
      </c>
      <c r="G255" s="20" t="str">
        <f>IFERROR(__xludf.DUMMYFUNCTION("""COMPUTED_VALUE"""),"Uncle Sams Cider (11/12/2021) (Blue)")</f>
        <v>Uncle Sams Cider (11/12/2021) (Blue)</v>
      </c>
      <c r="H255" s="19"/>
    </row>
    <row r="256">
      <c r="A256" s="9"/>
      <c r="B256" s="15"/>
      <c r="C256" s="9">
        <f>IFERROR(__xludf.DUMMYFUNCTION("""COMPUTED_VALUE"""),44602.8981291435)</f>
        <v>44602.89813</v>
      </c>
      <c r="D256" s="15">
        <f>IFERROR(__xludf.DUMMYFUNCTION("""COMPUTED_VALUE"""),0.999)</f>
        <v>0.999</v>
      </c>
      <c r="E256" s="16">
        <f>IFERROR(__xludf.DUMMYFUNCTION("""COMPUTED_VALUE"""),63.0)</f>
        <v>63</v>
      </c>
      <c r="F256" s="19" t="str">
        <f>IFERROR(__xludf.DUMMYFUNCTION("""COMPUTED_VALUE"""),"BLUE")</f>
        <v>BLUE</v>
      </c>
      <c r="G256" s="20" t="str">
        <f>IFERROR(__xludf.DUMMYFUNCTION("""COMPUTED_VALUE"""),"Uncle Sams Cider (11/12/2021) (Blue)")</f>
        <v>Uncle Sams Cider (11/12/2021) (Blue)</v>
      </c>
      <c r="H256" s="19"/>
    </row>
    <row r="257">
      <c r="A257" s="9"/>
      <c r="B257" s="15"/>
      <c r="C257" s="9">
        <f>IFERROR(__xludf.DUMMYFUNCTION("""COMPUTED_VALUE"""),44602.8877076157)</f>
        <v>44602.88771</v>
      </c>
      <c r="D257" s="15">
        <f>IFERROR(__xludf.DUMMYFUNCTION("""COMPUTED_VALUE"""),0.999)</f>
        <v>0.999</v>
      </c>
      <c r="E257" s="16">
        <f>IFERROR(__xludf.DUMMYFUNCTION("""COMPUTED_VALUE"""),63.0)</f>
        <v>63</v>
      </c>
      <c r="F257" s="19" t="str">
        <f>IFERROR(__xludf.DUMMYFUNCTION("""COMPUTED_VALUE"""),"BLUE")</f>
        <v>BLUE</v>
      </c>
      <c r="G257" s="20" t="str">
        <f>IFERROR(__xludf.DUMMYFUNCTION("""COMPUTED_VALUE"""),"Uncle Sams Cider (11/12/2021) (Blue)")</f>
        <v>Uncle Sams Cider (11/12/2021) (Blue)</v>
      </c>
      <c r="H257" s="19"/>
    </row>
    <row r="258">
      <c r="A258" s="9"/>
      <c r="B258" s="15"/>
      <c r="C258" s="9">
        <f>IFERROR(__xludf.DUMMYFUNCTION("""COMPUTED_VALUE"""),44602.8772880787)</f>
        <v>44602.87729</v>
      </c>
      <c r="D258" s="15">
        <f>IFERROR(__xludf.DUMMYFUNCTION("""COMPUTED_VALUE"""),0.999)</f>
        <v>0.999</v>
      </c>
      <c r="E258" s="16">
        <f>IFERROR(__xludf.DUMMYFUNCTION("""COMPUTED_VALUE"""),63.0)</f>
        <v>63</v>
      </c>
      <c r="F258" s="19" t="str">
        <f>IFERROR(__xludf.DUMMYFUNCTION("""COMPUTED_VALUE"""),"BLUE")</f>
        <v>BLUE</v>
      </c>
      <c r="G258" s="20" t="str">
        <f>IFERROR(__xludf.DUMMYFUNCTION("""COMPUTED_VALUE"""),"Uncle Sams Cider (11/12/2021) (Blue)")</f>
        <v>Uncle Sams Cider (11/12/2021) (Blue)</v>
      </c>
      <c r="H258" s="19"/>
    </row>
    <row r="259">
      <c r="A259" s="9"/>
      <c r="B259" s="15"/>
      <c r="C259" s="9">
        <f>IFERROR(__xludf.DUMMYFUNCTION("""COMPUTED_VALUE"""),44602.8668642592)</f>
        <v>44602.86686</v>
      </c>
      <c r="D259" s="15">
        <f>IFERROR(__xludf.DUMMYFUNCTION("""COMPUTED_VALUE"""),0.999)</f>
        <v>0.999</v>
      </c>
      <c r="E259" s="16">
        <f>IFERROR(__xludf.DUMMYFUNCTION("""COMPUTED_VALUE"""),64.0)</f>
        <v>64</v>
      </c>
      <c r="F259" s="19" t="str">
        <f>IFERROR(__xludf.DUMMYFUNCTION("""COMPUTED_VALUE"""),"BLUE")</f>
        <v>BLUE</v>
      </c>
      <c r="G259" s="20" t="str">
        <f>IFERROR(__xludf.DUMMYFUNCTION("""COMPUTED_VALUE"""),"Uncle Sams Cider (11/12/2021) (Blue)")</f>
        <v>Uncle Sams Cider (11/12/2021) (Blue)</v>
      </c>
      <c r="H259" s="19"/>
    </row>
    <row r="260">
      <c r="A260" s="9"/>
      <c r="B260" s="15"/>
      <c r="C260" s="9">
        <f>IFERROR(__xludf.DUMMYFUNCTION("""COMPUTED_VALUE"""),44602.8564455787)</f>
        <v>44602.85645</v>
      </c>
      <c r="D260" s="15">
        <f>IFERROR(__xludf.DUMMYFUNCTION("""COMPUTED_VALUE"""),0.999)</f>
        <v>0.999</v>
      </c>
      <c r="E260" s="16">
        <f>IFERROR(__xludf.DUMMYFUNCTION("""COMPUTED_VALUE"""),63.0)</f>
        <v>63</v>
      </c>
      <c r="F260" s="19" t="str">
        <f>IFERROR(__xludf.DUMMYFUNCTION("""COMPUTED_VALUE"""),"BLUE")</f>
        <v>BLUE</v>
      </c>
      <c r="G260" s="20" t="str">
        <f>IFERROR(__xludf.DUMMYFUNCTION("""COMPUTED_VALUE"""),"Uncle Sams Cider (11/12/2021) (Blue)")</f>
        <v>Uncle Sams Cider (11/12/2021) (Blue)</v>
      </c>
      <c r="H260" s="19"/>
    </row>
    <row r="261">
      <c r="A261" s="9"/>
      <c r="B261" s="15"/>
      <c r="C261" s="9">
        <f>IFERROR(__xludf.DUMMYFUNCTION("""COMPUTED_VALUE"""),44602.8460231828)</f>
        <v>44602.84602</v>
      </c>
      <c r="D261" s="15">
        <f>IFERROR(__xludf.DUMMYFUNCTION("""COMPUTED_VALUE"""),0.999)</f>
        <v>0.999</v>
      </c>
      <c r="E261" s="16">
        <f>IFERROR(__xludf.DUMMYFUNCTION("""COMPUTED_VALUE"""),64.0)</f>
        <v>64</v>
      </c>
      <c r="F261" s="19" t="str">
        <f>IFERROR(__xludf.DUMMYFUNCTION("""COMPUTED_VALUE"""),"BLUE")</f>
        <v>BLUE</v>
      </c>
      <c r="G261" s="20" t="str">
        <f>IFERROR(__xludf.DUMMYFUNCTION("""COMPUTED_VALUE"""),"Uncle Sams Cider (11/12/2021) (Blue)")</f>
        <v>Uncle Sams Cider (11/12/2021) (Blue)</v>
      </c>
      <c r="H261" s="19"/>
    </row>
    <row r="262">
      <c r="A262" s="9"/>
      <c r="B262" s="15"/>
      <c r="C262" s="9">
        <f>IFERROR(__xludf.DUMMYFUNCTION("""COMPUTED_VALUE"""),44602.8356020254)</f>
        <v>44602.8356</v>
      </c>
      <c r="D262" s="15">
        <f>IFERROR(__xludf.DUMMYFUNCTION("""COMPUTED_VALUE"""),0.999)</f>
        <v>0.999</v>
      </c>
      <c r="E262" s="16">
        <f>IFERROR(__xludf.DUMMYFUNCTION("""COMPUTED_VALUE"""),64.0)</f>
        <v>64</v>
      </c>
      <c r="F262" s="19" t="str">
        <f>IFERROR(__xludf.DUMMYFUNCTION("""COMPUTED_VALUE"""),"BLUE")</f>
        <v>BLUE</v>
      </c>
      <c r="G262" s="20" t="str">
        <f>IFERROR(__xludf.DUMMYFUNCTION("""COMPUTED_VALUE"""),"Uncle Sams Cider (11/12/2021) (Blue)")</f>
        <v>Uncle Sams Cider (11/12/2021) (Blue)</v>
      </c>
      <c r="H262" s="19"/>
    </row>
    <row r="263">
      <c r="A263" s="9"/>
      <c r="B263" s="15"/>
      <c r="C263" s="9">
        <f>IFERROR(__xludf.DUMMYFUNCTION("""COMPUTED_VALUE"""),44602.8251837731)</f>
        <v>44602.82518</v>
      </c>
      <c r="D263" s="15">
        <f>IFERROR(__xludf.DUMMYFUNCTION("""COMPUTED_VALUE"""),0.999)</f>
        <v>0.999</v>
      </c>
      <c r="E263" s="16">
        <f>IFERROR(__xludf.DUMMYFUNCTION("""COMPUTED_VALUE"""),64.0)</f>
        <v>64</v>
      </c>
      <c r="F263" s="19" t="str">
        <f>IFERROR(__xludf.DUMMYFUNCTION("""COMPUTED_VALUE"""),"BLUE")</f>
        <v>BLUE</v>
      </c>
      <c r="G263" s="20" t="str">
        <f>IFERROR(__xludf.DUMMYFUNCTION("""COMPUTED_VALUE"""),"Uncle Sams Cider (11/12/2021) (Blue)")</f>
        <v>Uncle Sams Cider (11/12/2021) (Blue)</v>
      </c>
      <c r="H263" s="19"/>
    </row>
    <row r="264">
      <c r="A264" s="9"/>
      <c r="B264" s="15"/>
      <c r="C264" s="9">
        <f>IFERROR(__xludf.DUMMYFUNCTION("""COMPUTED_VALUE"""),44602.8147622453)</f>
        <v>44602.81476</v>
      </c>
      <c r="D264" s="15">
        <f>IFERROR(__xludf.DUMMYFUNCTION("""COMPUTED_VALUE"""),0.999)</f>
        <v>0.999</v>
      </c>
      <c r="E264" s="16">
        <f>IFERROR(__xludf.DUMMYFUNCTION("""COMPUTED_VALUE"""),64.0)</f>
        <v>64</v>
      </c>
      <c r="F264" s="19" t="str">
        <f>IFERROR(__xludf.DUMMYFUNCTION("""COMPUTED_VALUE"""),"BLUE")</f>
        <v>BLUE</v>
      </c>
      <c r="G264" s="20" t="str">
        <f>IFERROR(__xludf.DUMMYFUNCTION("""COMPUTED_VALUE"""),"Uncle Sams Cider (11/12/2021) (Blue)")</f>
        <v>Uncle Sams Cider (11/12/2021) (Blue)</v>
      </c>
      <c r="H264" s="19"/>
    </row>
    <row r="265">
      <c r="A265" s="9"/>
      <c r="B265" s="15"/>
      <c r="C265" s="9">
        <f>IFERROR(__xludf.DUMMYFUNCTION("""COMPUTED_VALUE"""),44602.804340405)</f>
        <v>44602.80434</v>
      </c>
      <c r="D265" s="15">
        <f>IFERROR(__xludf.DUMMYFUNCTION("""COMPUTED_VALUE"""),0.999)</f>
        <v>0.999</v>
      </c>
      <c r="E265" s="16">
        <f>IFERROR(__xludf.DUMMYFUNCTION("""COMPUTED_VALUE"""),64.0)</f>
        <v>64</v>
      </c>
      <c r="F265" s="19" t="str">
        <f>IFERROR(__xludf.DUMMYFUNCTION("""COMPUTED_VALUE"""),"BLUE")</f>
        <v>BLUE</v>
      </c>
      <c r="G265" s="20" t="str">
        <f>IFERROR(__xludf.DUMMYFUNCTION("""COMPUTED_VALUE"""),"Uncle Sams Cider (11/12/2021) (Blue)")</f>
        <v>Uncle Sams Cider (11/12/2021) (Blue)</v>
      </c>
      <c r="H265" s="19"/>
    </row>
    <row r="266">
      <c r="A266" s="9"/>
      <c r="B266" s="15"/>
      <c r="C266" s="9">
        <f>IFERROR(__xludf.DUMMYFUNCTION("""COMPUTED_VALUE"""),44602.793917743)</f>
        <v>44602.79392</v>
      </c>
      <c r="D266" s="15">
        <f>IFERROR(__xludf.DUMMYFUNCTION("""COMPUTED_VALUE"""),0.999)</f>
        <v>0.999</v>
      </c>
      <c r="E266" s="16">
        <f>IFERROR(__xludf.DUMMYFUNCTION("""COMPUTED_VALUE"""),64.0)</f>
        <v>64</v>
      </c>
      <c r="F266" s="19" t="str">
        <f>IFERROR(__xludf.DUMMYFUNCTION("""COMPUTED_VALUE"""),"BLUE")</f>
        <v>BLUE</v>
      </c>
      <c r="G266" s="20" t="str">
        <f>IFERROR(__xludf.DUMMYFUNCTION("""COMPUTED_VALUE"""),"Uncle Sams Cider (11/12/2021) (Blue)")</f>
        <v>Uncle Sams Cider (11/12/2021) (Blue)</v>
      </c>
      <c r="H266" s="19"/>
    </row>
    <row r="267">
      <c r="A267" s="9"/>
      <c r="B267" s="15"/>
      <c r="C267" s="9">
        <f>IFERROR(__xludf.DUMMYFUNCTION("""COMPUTED_VALUE"""),44602.7834959259)</f>
        <v>44602.7835</v>
      </c>
      <c r="D267" s="15">
        <f>IFERROR(__xludf.DUMMYFUNCTION("""COMPUTED_VALUE"""),0.999)</f>
        <v>0.999</v>
      </c>
      <c r="E267" s="16">
        <f>IFERROR(__xludf.DUMMYFUNCTION("""COMPUTED_VALUE"""),64.0)</f>
        <v>64</v>
      </c>
      <c r="F267" s="19" t="str">
        <f>IFERROR(__xludf.DUMMYFUNCTION("""COMPUTED_VALUE"""),"BLUE")</f>
        <v>BLUE</v>
      </c>
      <c r="G267" s="20" t="str">
        <f>IFERROR(__xludf.DUMMYFUNCTION("""COMPUTED_VALUE"""),"Uncle Sams Cider (11/12/2021) (Blue)")</f>
        <v>Uncle Sams Cider (11/12/2021) (Blue)</v>
      </c>
      <c r="H267" s="19"/>
    </row>
    <row r="268">
      <c r="A268" s="9"/>
      <c r="B268" s="15"/>
      <c r="C268" s="9">
        <f>IFERROR(__xludf.DUMMYFUNCTION("""COMPUTED_VALUE"""),44602.7730730439)</f>
        <v>44602.77307</v>
      </c>
      <c r="D268" s="15">
        <f>IFERROR(__xludf.DUMMYFUNCTION("""COMPUTED_VALUE"""),0.999)</f>
        <v>0.999</v>
      </c>
      <c r="E268" s="16">
        <f>IFERROR(__xludf.DUMMYFUNCTION("""COMPUTED_VALUE"""),64.0)</f>
        <v>64</v>
      </c>
      <c r="F268" s="19" t="str">
        <f>IFERROR(__xludf.DUMMYFUNCTION("""COMPUTED_VALUE"""),"BLUE")</f>
        <v>BLUE</v>
      </c>
      <c r="G268" s="20" t="str">
        <f>IFERROR(__xludf.DUMMYFUNCTION("""COMPUTED_VALUE"""),"Uncle Sams Cider (11/12/2021) (Blue)")</f>
        <v>Uncle Sams Cider (11/12/2021) (Blue)</v>
      </c>
      <c r="H268" s="19"/>
    </row>
    <row r="269">
      <c r="A269" s="9"/>
      <c r="B269" s="15"/>
      <c r="C269" s="9">
        <f>IFERROR(__xludf.DUMMYFUNCTION("""COMPUTED_VALUE"""),44602.7626516435)</f>
        <v>44602.76265</v>
      </c>
      <c r="D269" s="15">
        <f>IFERROR(__xludf.DUMMYFUNCTION("""COMPUTED_VALUE"""),0.999)</f>
        <v>0.999</v>
      </c>
      <c r="E269" s="16">
        <f>IFERROR(__xludf.DUMMYFUNCTION("""COMPUTED_VALUE"""),64.0)</f>
        <v>64</v>
      </c>
      <c r="F269" s="19" t="str">
        <f>IFERROR(__xludf.DUMMYFUNCTION("""COMPUTED_VALUE"""),"BLUE")</f>
        <v>BLUE</v>
      </c>
      <c r="G269" s="20" t="str">
        <f>IFERROR(__xludf.DUMMYFUNCTION("""COMPUTED_VALUE"""),"Uncle Sams Cider (11/12/2021) (Blue)")</f>
        <v>Uncle Sams Cider (11/12/2021) (Blue)</v>
      </c>
      <c r="H269" s="19"/>
    </row>
    <row r="270">
      <c r="A270" s="9"/>
      <c r="B270" s="15"/>
      <c r="C270" s="9">
        <f>IFERROR(__xludf.DUMMYFUNCTION("""COMPUTED_VALUE"""),44602.7522303356)</f>
        <v>44602.75223</v>
      </c>
      <c r="D270" s="15">
        <f>IFERROR(__xludf.DUMMYFUNCTION("""COMPUTED_VALUE"""),0.999)</f>
        <v>0.999</v>
      </c>
      <c r="E270" s="16">
        <f>IFERROR(__xludf.DUMMYFUNCTION("""COMPUTED_VALUE"""),64.0)</f>
        <v>64</v>
      </c>
      <c r="F270" s="19" t="str">
        <f>IFERROR(__xludf.DUMMYFUNCTION("""COMPUTED_VALUE"""),"BLUE")</f>
        <v>BLUE</v>
      </c>
      <c r="G270" s="20" t="str">
        <f>IFERROR(__xludf.DUMMYFUNCTION("""COMPUTED_VALUE"""),"Uncle Sams Cider (11/12/2021) (Blue)")</f>
        <v>Uncle Sams Cider (11/12/2021) (Blue)</v>
      </c>
      <c r="H270" s="19"/>
    </row>
    <row r="271">
      <c r="A271" s="9"/>
      <c r="B271" s="15"/>
      <c r="C271" s="9">
        <f>IFERROR(__xludf.DUMMYFUNCTION("""COMPUTED_VALUE"""),44602.7417613541)</f>
        <v>44602.74176</v>
      </c>
      <c r="D271" s="15">
        <f>IFERROR(__xludf.DUMMYFUNCTION("""COMPUTED_VALUE"""),0.999)</f>
        <v>0.999</v>
      </c>
      <c r="E271" s="16">
        <f>IFERROR(__xludf.DUMMYFUNCTION("""COMPUTED_VALUE"""),64.0)</f>
        <v>64</v>
      </c>
      <c r="F271" s="19" t="str">
        <f>IFERROR(__xludf.DUMMYFUNCTION("""COMPUTED_VALUE"""),"BLUE")</f>
        <v>BLUE</v>
      </c>
      <c r="G271" s="20" t="str">
        <f>IFERROR(__xludf.DUMMYFUNCTION("""COMPUTED_VALUE"""),"Uncle Sams Cider (11/12/2021) (Blue)")</f>
        <v>Uncle Sams Cider (11/12/2021) (Blue)</v>
      </c>
      <c r="H271" s="19"/>
    </row>
    <row r="272">
      <c r="A272" s="9"/>
      <c r="B272" s="15"/>
      <c r="C272" s="9">
        <f>IFERROR(__xludf.DUMMYFUNCTION("""COMPUTED_VALUE"""),44602.7313395717)</f>
        <v>44602.73134</v>
      </c>
      <c r="D272" s="15">
        <f>IFERROR(__xludf.DUMMYFUNCTION("""COMPUTED_VALUE"""),0.999)</f>
        <v>0.999</v>
      </c>
      <c r="E272" s="16">
        <f>IFERROR(__xludf.DUMMYFUNCTION("""COMPUTED_VALUE"""),64.0)</f>
        <v>64</v>
      </c>
      <c r="F272" s="19" t="str">
        <f>IFERROR(__xludf.DUMMYFUNCTION("""COMPUTED_VALUE"""),"BLUE")</f>
        <v>BLUE</v>
      </c>
      <c r="G272" s="20" t="str">
        <f>IFERROR(__xludf.DUMMYFUNCTION("""COMPUTED_VALUE"""),"Uncle Sams Cider (11/12/2021) (Blue)")</f>
        <v>Uncle Sams Cider (11/12/2021) (Blue)</v>
      </c>
      <c r="H272" s="19"/>
    </row>
    <row r="273">
      <c r="A273" s="9"/>
      <c r="B273" s="15"/>
      <c r="C273" s="9">
        <f>IFERROR(__xludf.DUMMYFUNCTION("""COMPUTED_VALUE"""),44602.7209083911)</f>
        <v>44602.72091</v>
      </c>
      <c r="D273" s="15">
        <f>IFERROR(__xludf.DUMMYFUNCTION("""COMPUTED_VALUE"""),0.999)</f>
        <v>0.999</v>
      </c>
      <c r="E273" s="16">
        <f>IFERROR(__xludf.DUMMYFUNCTION("""COMPUTED_VALUE"""),64.0)</f>
        <v>64</v>
      </c>
      <c r="F273" s="19" t="str">
        <f>IFERROR(__xludf.DUMMYFUNCTION("""COMPUTED_VALUE"""),"BLUE")</f>
        <v>BLUE</v>
      </c>
      <c r="G273" s="20" t="str">
        <f>IFERROR(__xludf.DUMMYFUNCTION("""COMPUTED_VALUE"""),"Uncle Sams Cider (11/12/2021) (Blue)")</f>
        <v>Uncle Sams Cider (11/12/2021) (Blue)</v>
      </c>
      <c r="H273" s="19"/>
    </row>
    <row r="274">
      <c r="A274" s="9"/>
      <c r="B274" s="15"/>
      <c r="C274" s="9">
        <f>IFERROR(__xludf.DUMMYFUNCTION("""COMPUTED_VALUE"""),44602.7104746296)</f>
        <v>44602.71047</v>
      </c>
      <c r="D274" s="15">
        <f>IFERROR(__xludf.DUMMYFUNCTION("""COMPUTED_VALUE"""),0.999)</f>
        <v>0.999</v>
      </c>
      <c r="E274" s="16">
        <f>IFERROR(__xludf.DUMMYFUNCTION("""COMPUTED_VALUE"""),64.0)</f>
        <v>64</v>
      </c>
      <c r="F274" s="19" t="str">
        <f>IFERROR(__xludf.DUMMYFUNCTION("""COMPUTED_VALUE"""),"BLUE")</f>
        <v>BLUE</v>
      </c>
      <c r="G274" s="20" t="str">
        <f>IFERROR(__xludf.DUMMYFUNCTION("""COMPUTED_VALUE"""),"Uncle Sams Cider (11/12/2021) (Blue)")</f>
        <v>Uncle Sams Cider (11/12/2021) (Blue)</v>
      </c>
      <c r="H274" s="19"/>
    </row>
    <row r="275">
      <c r="A275" s="9"/>
      <c r="B275" s="15"/>
      <c r="C275" s="9">
        <f>IFERROR(__xludf.DUMMYFUNCTION("""COMPUTED_VALUE"""),44602.7000426041)</f>
        <v>44602.70004</v>
      </c>
      <c r="D275" s="15">
        <f>IFERROR(__xludf.DUMMYFUNCTION("""COMPUTED_VALUE"""),0.999)</f>
        <v>0.999</v>
      </c>
      <c r="E275" s="16">
        <f>IFERROR(__xludf.DUMMYFUNCTION("""COMPUTED_VALUE"""),64.0)</f>
        <v>64</v>
      </c>
      <c r="F275" s="19" t="str">
        <f>IFERROR(__xludf.DUMMYFUNCTION("""COMPUTED_VALUE"""),"BLUE")</f>
        <v>BLUE</v>
      </c>
      <c r="G275" s="20" t="str">
        <f>IFERROR(__xludf.DUMMYFUNCTION("""COMPUTED_VALUE"""),"Uncle Sams Cider (11/12/2021) (Blue)")</f>
        <v>Uncle Sams Cider (11/12/2021) (Blue)</v>
      </c>
      <c r="H275" s="19"/>
    </row>
    <row r="276">
      <c r="A276" s="9"/>
      <c r="B276" s="15"/>
      <c r="C276" s="9">
        <f>IFERROR(__xludf.DUMMYFUNCTION("""COMPUTED_VALUE"""),44602.6896107523)</f>
        <v>44602.68961</v>
      </c>
      <c r="D276" s="15">
        <f>IFERROR(__xludf.DUMMYFUNCTION("""COMPUTED_VALUE"""),0.999)</f>
        <v>0.999</v>
      </c>
      <c r="E276" s="16">
        <f>IFERROR(__xludf.DUMMYFUNCTION("""COMPUTED_VALUE"""),64.0)</f>
        <v>64</v>
      </c>
      <c r="F276" s="19" t="str">
        <f>IFERROR(__xludf.DUMMYFUNCTION("""COMPUTED_VALUE"""),"BLUE")</f>
        <v>BLUE</v>
      </c>
      <c r="G276" s="20" t="str">
        <f>IFERROR(__xludf.DUMMYFUNCTION("""COMPUTED_VALUE"""),"Uncle Sams Cider (11/12/2021) (Blue)")</f>
        <v>Uncle Sams Cider (11/12/2021) (Blue)</v>
      </c>
      <c r="H276" s="19"/>
    </row>
    <row r="277">
      <c r="A277" s="9"/>
      <c r="B277" s="15"/>
      <c r="C277" s="9">
        <f>IFERROR(__xludf.DUMMYFUNCTION("""COMPUTED_VALUE"""),44602.6791875925)</f>
        <v>44602.67919</v>
      </c>
      <c r="D277" s="15">
        <f>IFERROR(__xludf.DUMMYFUNCTION("""COMPUTED_VALUE"""),0.999)</f>
        <v>0.999</v>
      </c>
      <c r="E277" s="16">
        <f>IFERROR(__xludf.DUMMYFUNCTION("""COMPUTED_VALUE"""),64.0)</f>
        <v>64</v>
      </c>
      <c r="F277" s="19" t="str">
        <f>IFERROR(__xludf.DUMMYFUNCTION("""COMPUTED_VALUE"""),"BLUE")</f>
        <v>BLUE</v>
      </c>
      <c r="G277" s="20" t="str">
        <f>IFERROR(__xludf.DUMMYFUNCTION("""COMPUTED_VALUE"""),"Uncle Sams Cider (11/12/2021) (Blue)")</f>
        <v>Uncle Sams Cider (11/12/2021) (Blue)</v>
      </c>
      <c r="H277" s="19"/>
    </row>
    <row r="278">
      <c r="A278" s="9"/>
      <c r="B278" s="15"/>
      <c r="C278" s="9">
        <f>IFERROR(__xludf.DUMMYFUNCTION("""COMPUTED_VALUE"""),44602.6687675462)</f>
        <v>44602.66877</v>
      </c>
      <c r="D278" s="15">
        <f>IFERROR(__xludf.DUMMYFUNCTION("""COMPUTED_VALUE"""),0.999)</f>
        <v>0.999</v>
      </c>
      <c r="E278" s="16">
        <f>IFERROR(__xludf.DUMMYFUNCTION("""COMPUTED_VALUE"""),64.0)</f>
        <v>64</v>
      </c>
      <c r="F278" s="19" t="str">
        <f>IFERROR(__xludf.DUMMYFUNCTION("""COMPUTED_VALUE"""),"BLUE")</f>
        <v>BLUE</v>
      </c>
      <c r="G278" s="20" t="str">
        <f>IFERROR(__xludf.DUMMYFUNCTION("""COMPUTED_VALUE"""),"Uncle Sams Cider (11/12/2021) (Blue)")</f>
        <v>Uncle Sams Cider (11/12/2021) (Blue)</v>
      </c>
      <c r="H278" s="19"/>
    </row>
    <row r="279">
      <c r="A279" s="9"/>
      <c r="B279" s="15"/>
      <c r="C279" s="9">
        <f>IFERROR(__xludf.DUMMYFUNCTION("""COMPUTED_VALUE"""),44602.6583452893)</f>
        <v>44602.65835</v>
      </c>
      <c r="D279" s="15">
        <f>IFERROR(__xludf.DUMMYFUNCTION("""COMPUTED_VALUE"""),0.999)</f>
        <v>0.999</v>
      </c>
      <c r="E279" s="16">
        <f>IFERROR(__xludf.DUMMYFUNCTION("""COMPUTED_VALUE"""),64.0)</f>
        <v>64</v>
      </c>
      <c r="F279" s="19" t="str">
        <f>IFERROR(__xludf.DUMMYFUNCTION("""COMPUTED_VALUE"""),"BLUE")</f>
        <v>BLUE</v>
      </c>
      <c r="G279" s="20" t="str">
        <f>IFERROR(__xludf.DUMMYFUNCTION("""COMPUTED_VALUE"""),"Uncle Sams Cider (11/12/2021) (Blue)")</f>
        <v>Uncle Sams Cider (11/12/2021) (Blue)</v>
      </c>
      <c r="H279" s="19"/>
    </row>
    <row r="280">
      <c r="A280" s="9"/>
      <c r="B280" s="15"/>
      <c r="C280" s="9">
        <f>IFERROR(__xludf.DUMMYFUNCTION("""COMPUTED_VALUE"""),44602.647925787)</f>
        <v>44602.64793</v>
      </c>
      <c r="D280" s="15">
        <f>IFERROR(__xludf.DUMMYFUNCTION("""COMPUTED_VALUE"""),0.999)</f>
        <v>0.999</v>
      </c>
      <c r="E280" s="16">
        <f>IFERROR(__xludf.DUMMYFUNCTION("""COMPUTED_VALUE"""),64.0)</f>
        <v>64</v>
      </c>
      <c r="F280" s="19" t="str">
        <f>IFERROR(__xludf.DUMMYFUNCTION("""COMPUTED_VALUE"""),"BLUE")</f>
        <v>BLUE</v>
      </c>
      <c r="G280" s="20" t="str">
        <f>IFERROR(__xludf.DUMMYFUNCTION("""COMPUTED_VALUE"""),"Uncle Sams Cider (11/12/2021) (Blue)")</f>
        <v>Uncle Sams Cider (11/12/2021) (Blue)</v>
      </c>
      <c r="H280" s="19"/>
    </row>
    <row r="281">
      <c r="A281" s="9"/>
      <c r="B281" s="15"/>
      <c r="C281" s="9">
        <f>IFERROR(__xludf.DUMMYFUNCTION("""COMPUTED_VALUE"""),44602.6375055208)</f>
        <v>44602.63751</v>
      </c>
      <c r="D281" s="15">
        <f>IFERROR(__xludf.DUMMYFUNCTION("""COMPUTED_VALUE"""),0.999)</f>
        <v>0.999</v>
      </c>
      <c r="E281" s="16">
        <f>IFERROR(__xludf.DUMMYFUNCTION("""COMPUTED_VALUE"""),64.0)</f>
        <v>64</v>
      </c>
      <c r="F281" s="19" t="str">
        <f>IFERROR(__xludf.DUMMYFUNCTION("""COMPUTED_VALUE"""),"BLUE")</f>
        <v>BLUE</v>
      </c>
      <c r="G281" s="20" t="str">
        <f>IFERROR(__xludf.DUMMYFUNCTION("""COMPUTED_VALUE"""),"Uncle Sams Cider (11/12/2021) (Blue)")</f>
        <v>Uncle Sams Cider (11/12/2021) (Blue)</v>
      </c>
      <c r="H281" s="19"/>
    </row>
    <row r="282">
      <c r="A282" s="9"/>
      <c r="B282" s="15"/>
      <c r="C282" s="9">
        <f>IFERROR(__xludf.DUMMYFUNCTION("""COMPUTED_VALUE"""),44602.6270854513)</f>
        <v>44602.62709</v>
      </c>
      <c r="D282" s="15">
        <f>IFERROR(__xludf.DUMMYFUNCTION("""COMPUTED_VALUE"""),0.999)</f>
        <v>0.999</v>
      </c>
      <c r="E282" s="16">
        <f>IFERROR(__xludf.DUMMYFUNCTION("""COMPUTED_VALUE"""),64.0)</f>
        <v>64</v>
      </c>
      <c r="F282" s="19" t="str">
        <f>IFERROR(__xludf.DUMMYFUNCTION("""COMPUTED_VALUE"""),"BLUE")</f>
        <v>BLUE</v>
      </c>
      <c r="G282" s="20" t="str">
        <f>IFERROR(__xludf.DUMMYFUNCTION("""COMPUTED_VALUE"""),"Uncle Sams Cider (11/12/2021) (Blue)")</f>
        <v>Uncle Sams Cider (11/12/2021) (Blue)</v>
      </c>
      <c r="H282" s="19"/>
    </row>
    <row r="283">
      <c r="A283" s="9"/>
      <c r="B283" s="15"/>
      <c r="C283" s="9">
        <f>IFERROR(__xludf.DUMMYFUNCTION("""COMPUTED_VALUE"""),44602.6166643055)</f>
        <v>44602.61666</v>
      </c>
      <c r="D283" s="15">
        <f>IFERROR(__xludf.DUMMYFUNCTION("""COMPUTED_VALUE"""),0.999)</f>
        <v>0.999</v>
      </c>
      <c r="E283" s="16">
        <f>IFERROR(__xludf.DUMMYFUNCTION("""COMPUTED_VALUE"""),64.0)</f>
        <v>64</v>
      </c>
      <c r="F283" s="19" t="str">
        <f>IFERROR(__xludf.DUMMYFUNCTION("""COMPUTED_VALUE"""),"BLUE")</f>
        <v>BLUE</v>
      </c>
      <c r="G283" s="20" t="str">
        <f>IFERROR(__xludf.DUMMYFUNCTION("""COMPUTED_VALUE"""),"Uncle Sams Cider (11/12/2021) (Blue)")</f>
        <v>Uncle Sams Cider (11/12/2021) (Blue)</v>
      </c>
      <c r="H283" s="19"/>
    </row>
    <row r="284">
      <c r="A284" s="9"/>
      <c r="B284" s="15"/>
      <c r="C284" s="9">
        <f>IFERROR(__xludf.DUMMYFUNCTION("""COMPUTED_VALUE"""),44602.6062426388)</f>
        <v>44602.60624</v>
      </c>
      <c r="D284" s="15">
        <f>IFERROR(__xludf.DUMMYFUNCTION("""COMPUTED_VALUE"""),0.999)</f>
        <v>0.999</v>
      </c>
      <c r="E284" s="16">
        <f>IFERROR(__xludf.DUMMYFUNCTION("""COMPUTED_VALUE"""),64.0)</f>
        <v>64</v>
      </c>
      <c r="F284" s="19" t="str">
        <f>IFERROR(__xludf.DUMMYFUNCTION("""COMPUTED_VALUE"""),"BLUE")</f>
        <v>BLUE</v>
      </c>
      <c r="G284" s="20" t="str">
        <f>IFERROR(__xludf.DUMMYFUNCTION("""COMPUTED_VALUE"""),"Uncle Sams Cider (11/12/2021) (Blue)")</f>
        <v>Uncle Sams Cider (11/12/2021) (Blue)</v>
      </c>
      <c r="H284" s="19"/>
    </row>
    <row r="285">
      <c r="A285" s="9"/>
      <c r="B285" s="15"/>
      <c r="C285" s="9">
        <f>IFERROR(__xludf.DUMMYFUNCTION("""COMPUTED_VALUE"""),44602.5958212962)</f>
        <v>44602.59582</v>
      </c>
      <c r="D285" s="15">
        <f>IFERROR(__xludf.DUMMYFUNCTION("""COMPUTED_VALUE"""),0.999)</f>
        <v>0.999</v>
      </c>
      <c r="E285" s="16">
        <f>IFERROR(__xludf.DUMMYFUNCTION("""COMPUTED_VALUE"""),64.0)</f>
        <v>64</v>
      </c>
      <c r="F285" s="19" t="str">
        <f>IFERROR(__xludf.DUMMYFUNCTION("""COMPUTED_VALUE"""),"BLUE")</f>
        <v>BLUE</v>
      </c>
      <c r="G285" s="20" t="str">
        <f>IFERROR(__xludf.DUMMYFUNCTION("""COMPUTED_VALUE"""),"Uncle Sams Cider (11/12/2021) (Blue)")</f>
        <v>Uncle Sams Cider (11/12/2021) (Blue)</v>
      </c>
      <c r="H285" s="19"/>
    </row>
    <row r="286">
      <c r="A286" s="9"/>
      <c r="B286" s="15"/>
      <c r="C286" s="9">
        <f>IFERROR(__xludf.DUMMYFUNCTION("""COMPUTED_VALUE"""),44602.5854009143)</f>
        <v>44602.5854</v>
      </c>
      <c r="D286" s="15">
        <f>IFERROR(__xludf.DUMMYFUNCTION("""COMPUTED_VALUE"""),0.999)</f>
        <v>0.999</v>
      </c>
      <c r="E286" s="16">
        <f>IFERROR(__xludf.DUMMYFUNCTION("""COMPUTED_VALUE"""),64.0)</f>
        <v>64</v>
      </c>
      <c r="F286" s="19" t="str">
        <f>IFERROR(__xludf.DUMMYFUNCTION("""COMPUTED_VALUE"""),"BLUE")</f>
        <v>BLUE</v>
      </c>
      <c r="G286" s="20" t="str">
        <f>IFERROR(__xludf.DUMMYFUNCTION("""COMPUTED_VALUE"""),"Uncle Sams Cider (11/12/2021) (Blue)")</f>
        <v>Uncle Sams Cider (11/12/2021) (Blue)</v>
      </c>
      <c r="H286" s="19"/>
    </row>
    <row r="287">
      <c r="A287" s="9"/>
      <c r="B287" s="15"/>
      <c r="C287" s="9">
        <f>IFERROR(__xludf.DUMMYFUNCTION("""COMPUTED_VALUE"""),44602.574978831)</f>
        <v>44602.57498</v>
      </c>
      <c r="D287" s="15">
        <f>IFERROR(__xludf.DUMMYFUNCTION("""COMPUTED_VALUE"""),0.999)</f>
        <v>0.999</v>
      </c>
      <c r="E287" s="16">
        <f>IFERROR(__xludf.DUMMYFUNCTION("""COMPUTED_VALUE"""),64.0)</f>
        <v>64</v>
      </c>
      <c r="F287" s="19" t="str">
        <f>IFERROR(__xludf.DUMMYFUNCTION("""COMPUTED_VALUE"""),"BLUE")</f>
        <v>BLUE</v>
      </c>
      <c r="G287" s="20" t="str">
        <f>IFERROR(__xludf.DUMMYFUNCTION("""COMPUTED_VALUE"""),"Uncle Sams Cider (11/12/2021) (Blue)")</f>
        <v>Uncle Sams Cider (11/12/2021) (Blue)</v>
      </c>
      <c r="H287" s="19"/>
    </row>
    <row r="288">
      <c r="A288" s="9"/>
      <c r="B288" s="15"/>
      <c r="C288" s="9">
        <f>IFERROR(__xludf.DUMMYFUNCTION("""COMPUTED_VALUE"""),44602.5645447337)</f>
        <v>44602.56454</v>
      </c>
      <c r="D288" s="15">
        <f>IFERROR(__xludf.DUMMYFUNCTION("""COMPUTED_VALUE"""),0.999)</f>
        <v>0.999</v>
      </c>
      <c r="E288" s="16">
        <f>IFERROR(__xludf.DUMMYFUNCTION("""COMPUTED_VALUE"""),64.0)</f>
        <v>64</v>
      </c>
      <c r="F288" s="19" t="str">
        <f>IFERROR(__xludf.DUMMYFUNCTION("""COMPUTED_VALUE"""),"BLUE")</f>
        <v>BLUE</v>
      </c>
      <c r="G288" s="20" t="str">
        <f>IFERROR(__xludf.DUMMYFUNCTION("""COMPUTED_VALUE"""),"Uncle Sams Cider (11/12/2021) (Blue)")</f>
        <v>Uncle Sams Cider (11/12/2021) (Blue)</v>
      </c>
      <c r="H288" s="19"/>
    </row>
    <row r="289">
      <c r="A289" s="9"/>
      <c r="B289" s="15"/>
      <c r="C289" s="9">
        <f>IFERROR(__xludf.DUMMYFUNCTION("""COMPUTED_VALUE"""),44602.5541106481)</f>
        <v>44602.55411</v>
      </c>
      <c r="D289" s="15">
        <f>IFERROR(__xludf.DUMMYFUNCTION("""COMPUTED_VALUE"""),0.999)</f>
        <v>0.999</v>
      </c>
      <c r="E289" s="16">
        <f>IFERROR(__xludf.DUMMYFUNCTION("""COMPUTED_VALUE"""),64.0)</f>
        <v>64</v>
      </c>
      <c r="F289" s="19" t="str">
        <f>IFERROR(__xludf.DUMMYFUNCTION("""COMPUTED_VALUE"""),"BLUE")</f>
        <v>BLUE</v>
      </c>
      <c r="G289" s="20" t="str">
        <f>IFERROR(__xludf.DUMMYFUNCTION("""COMPUTED_VALUE"""),"Uncle Sams Cider (11/12/2021) (Blue)")</f>
        <v>Uncle Sams Cider (11/12/2021) (Blue)</v>
      </c>
      <c r="H289" s="19"/>
    </row>
    <row r="290">
      <c r="A290" s="9"/>
      <c r="B290" s="15"/>
      <c r="C290" s="9">
        <f>IFERROR(__xludf.DUMMYFUNCTION("""COMPUTED_VALUE"""),44602.5436896874)</f>
        <v>44602.54369</v>
      </c>
      <c r="D290" s="15">
        <f>IFERROR(__xludf.DUMMYFUNCTION("""COMPUTED_VALUE"""),0.999)</f>
        <v>0.999</v>
      </c>
      <c r="E290" s="16">
        <f>IFERROR(__xludf.DUMMYFUNCTION("""COMPUTED_VALUE"""),64.0)</f>
        <v>64</v>
      </c>
      <c r="F290" s="19" t="str">
        <f>IFERROR(__xludf.DUMMYFUNCTION("""COMPUTED_VALUE"""),"BLUE")</f>
        <v>BLUE</v>
      </c>
      <c r="G290" s="20" t="str">
        <f>IFERROR(__xludf.DUMMYFUNCTION("""COMPUTED_VALUE"""),"Uncle Sams Cider (11/12/2021) (Blue)")</f>
        <v>Uncle Sams Cider (11/12/2021) (Blue)</v>
      </c>
      <c r="H290" s="19"/>
    </row>
    <row r="291">
      <c r="A291" s="9"/>
      <c r="B291" s="15"/>
      <c r="C291" s="9">
        <f>IFERROR(__xludf.DUMMYFUNCTION("""COMPUTED_VALUE"""),44602.53326853)</f>
        <v>44602.53327</v>
      </c>
      <c r="D291" s="15">
        <f>IFERROR(__xludf.DUMMYFUNCTION("""COMPUTED_VALUE"""),0.999)</f>
        <v>0.999</v>
      </c>
      <c r="E291" s="16">
        <f>IFERROR(__xludf.DUMMYFUNCTION("""COMPUTED_VALUE"""),64.0)</f>
        <v>64</v>
      </c>
      <c r="F291" s="19" t="str">
        <f>IFERROR(__xludf.DUMMYFUNCTION("""COMPUTED_VALUE"""),"BLUE")</f>
        <v>BLUE</v>
      </c>
      <c r="G291" s="20" t="str">
        <f>IFERROR(__xludf.DUMMYFUNCTION("""COMPUTED_VALUE"""),"Uncle Sams Cider (11/12/2021) (Blue)")</f>
        <v>Uncle Sams Cider (11/12/2021) (Blue)</v>
      </c>
      <c r="H291" s="19"/>
    </row>
    <row r="292">
      <c r="A292" s="9"/>
      <c r="B292" s="15"/>
      <c r="C292" s="9">
        <f>IFERROR(__xludf.DUMMYFUNCTION("""COMPUTED_VALUE"""),44602.5228475347)</f>
        <v>44602.52285</v>
      </c>
      <c r="D292" s="15">
        <f>IFERROR(__xludf.DUMMYFUNCTION("""COMPUTED_VALUE"""),0.999)</f>
        <v>0.999</v>
      </c>
      <c r="E292" s="16">
        <f>IFERROR(__xludf.DUMMYFUNCTION("""COMPUTED_VALUE"""),64.0)</f>
        <v>64</v>
      </c>
      <c r="F292" s="19" t="str">
        <f>IFERROR(__xludf.DUMMYFUNCTION("""COMPUTED_VALUE"""),"BLUE")</f>
        <v>BLUE</v>
      </c>
      <c r="G292" s="20" t="str">
        <f>IFERROR(__xludf.DUMMYFUNCTION("""COMPUTED_VALUE"""),"Uncle Sams Cider (11/12/2021) (Blue)")</f>
        <v>Uncle Sams Cider (11/12/2021) (Blue)</v>
      </c>
      <c r="H292" s="19"/>
    </row>
    <row r="293">
      <c r="A293" s="9"/>
      <c r="B293" s="15"/>
      <c r="C293" s="9">
        <f>IFERROR(__xludf.DUMMYFUNCTION("""COMPUTED_VALUE"""),44602.5124016666)</f>
        <v>44602.5124</v>
      </c>
      <c r="D293" s="15">
        <f>IFERROR(__xludf.DUMMYFUNCTION("""COMPUTED_VALUE"""),0.999)</f>
        <v>0.999</v>
      </c>
      <c r="E293" s="16">
        <f>IFERROR(__xludf.DUMMYFUNCTION("""COMPUTED_VALUE"""),64.0)</f>
        <v>64</v>
      </c>
      <c r="F293" s="19" t="str">
        <f>IFERROR(__xludf.DUMMYFUNCTION("""COMPUTED_VALUE"""),"BLUE")</f>
        <v>BLUE</v>
      </c>
      <c r="G293" s="20" t="str">
        <f>IFERROR(__xludf.DUMMYFUNCTION("""COMPUTED_VALUE"""),"Uncle Sams Cider (11/12/2021) (Blue)")</f>
        <v>Uncle Sams Cider (11/12/2021) (Blue)</v>
      </c>
      <c r="H293" s="19"/>
    </row>
    <row r="294">
      <c r="A294" s="9"/>
      <c r="B294" s="15"/>
      <c r="C294" s="9">
        <f>IFERROR(__xludf.DUMMYFUNCTION("""COMPUTED_VALUE"""),44602.5019817708)</f>
        <v>44602.50198</v>
      </c>
      <c r="D294" s="15">
        <f>IFERROR(__xludf.DUMMYFUNCTION("""COMPUTED_VALUE"""),0.999)</f>
        <v>0.999</v>
      </c>
      <c r="E294" s="16">
        <f>IFERROR(__xludf.DUMMYFUNCTION("""COMPUTED_VALUE"""),64.0)</f>
        <v>64</v>
      </c>
      <c r="F294" s="19" t="str">
        <f>IFERROR(__xludf.DUMMYFUNCTION("""COMPUTED_VALUE"""),"BLUE")</f>
        <v>BLUE</v>
      </c>
      <c r="G294" s="20" t="str">
        <f>IFERROR(__xludf.DUMMYFUNCTION("""COMPUTED_VALUE"""),"Uncle Sams Cider (11/12/2021) (Blue)")</f>
        <v>Uncle Sams Cider (11/12/2021) (Blue)</v>
      </c>
      <c r="H294" s="19"/>
    </row>
    <row r="295">
      <c r="A295" s="9"/>
      <c r="B295" s="15"/>
      <c r="C295" s="9">
        <f>IFERROR(__xludf.DUMMYFUNCTION("""COMPUTED_VALUE"""),44602.4915607175)</f>
        <v>44602.49156</v>
      </c>
      <c r="D295" s="15">
        <f>IFERROR(__xludf.DUMMYFUNCTION("""COMPUTED_VALUE"""),0.999)</f>
        <v>0.999</v>
      </c>
      <c r="E295" s="16">
        <f>IFERROR(__xludf.DUMMYFUNCTION("""COMPUTED_VALUE"""),64.0)</f>
        <v>64</v>
      </c>
      <c r="F295" s="19" t="str">
        <f>IFERROR(__xludf.DUMMYFUNCTION("""COMPUTED_VALUE"""),"BLUE")</f>
        <v>BLUE</v>
      </c>
      <c r="G295" s="20" t="str">
        <f>IFERROR(__xludf.DUMMYFUNCTION("""COMPUTED_VALUE"""),"Uncle Sams Cider (11/12/2021) (Blue)")</f>
        <v>Uncle Sams Cider (11/12/2021) (Blue)</v>
      </c>
      <c r="H295" s="19"/>
    </row>
    <row r="296">
      <c r="A296" s="9"/>
      <c r="B296" s="15"/>
      <c r="C296" s="9">
        <f>IFERROR(__xludf.DUMMYFUNCTION("""COMPUTED_VALUE"""),44602.4811381365)</f>
        <v>44602.48114</v>
      </c>
      <c r="D296" s="15">
        <f>IFERROR(__xludf.DUMMYFUNCTION("""COMPUTED_VALUE"""),0.999)</f>
        <v>0.999</v>
      </c>
      <c r="E296" s="16">
        <f>IFERROR(__xludf.DUMMYFUNCTION("""COMPUTED_VALUE"""),64.0)</f>
        <v>64</v>
      </c>
      <c r="F296" s="19" t="str">
        <f>IFERROR(__xludf.DUMMYFUNCTION("""COMPUTED_VALUE"""),"BLUE")</f>
        <v>BLUE</v>
      </c>
      <c r="G296" s="20" t="str">
        <f>IFERROR(__xludf.DUMMYFUNCTION("""COMPUTED_VALUE"""),"Uncle Sams Cider (11/12/2021) (Blue)")</f>
        <v>Uncle Sams Cider (11/12/2021) (Blue)</v>
      </c>
      <c r="H296" s="19"/>
    </row>
    <row r="297">
      <c r="A297" s="9"/>
      <c r="B297" s="15"/>
      <c r="C297" s="9">
        <f>IFERROR(__xludf.DUMMYFUNCTION("""COMPUTED_VALUE"""),44602.4707183796)</f>
        <v>44602.47072</v>
      </c>
      <c r="D297" s="15">
        <f>IFERROR(__xludf.DUMMYFUNCTION("""COMPUTED_VALUE"""),0.999)</f>
        <v>0.999</v>
      </c>
      <c r="E297" s="16">
        <f>IFERROR(__xludf.DUMMYFUNCTION("""COMPUTED_VALUE"""),64.0)</f>
        <v>64</v>
      </c>
      <c r="F297" s="19" t="str">
        <f>IFERROR(__xludf.DUMMYFUNCTION("""COMPUTED_VALUE"""),"BLUE")</f>
        <v>BLUE</v>
      </c>
      <c r="G297" s="20" t="str">
        <f>IFERROR(__xludf.DUMMYFUNCTION("""COMPUTED_VALUE"""),"Uncle Sams Cider (11/12/2021) (Blue)")</f>
        <v>Uncle Sams Cider (11/12/2021) (Blue)</v>
      </c>
      <c r="H297" s="19"/>
    </row>
    <row r="298">
      <c r="A298" s="9"/>
      <c r="B298" s="15"/>
      <c r="C298" s="9">
        <f>IFERROR(__xludf.DUMMYFUNCTION("""COMPUTED_VALUE"""),44602.4602976157)</f>
        <v>44602.4603</v>
      </c>
      <c r="D298" s="15">
        <f>IFERROR(__xludf.DUMMYFUNCTION("""COMPUTED_VALUE"""),0.999)</f>
        <v>0.999</v>
      </c>
      <c r="E298" s="16">
        <f>IFERROR(__xludf.DUMMYFUNCTION("""COMPUTED_VALUE"""),64.0)</f>
        <v>64</v>
      </c>
      <c r="F298" s="19" t="str">
        <f>IFERROR(__xludf.DUMMYFUNCTION("""COMPUTED_VALUE"""),"BLUE")</f>
        <v>BLUE</v>
      </c>
      <c r="G298" s="20" t="str">
        <f>IFERROR(__xludf.DUMMYFUNCTION("""COMPUTED_VALUE"""),"Uncle Sams Cider (11/12/2021) (Blue)")</f>
        <v>Uncle Sams Cider (11/12/2021) (Blue)</v>
      </c>
      <c r="H298" s="19"/>
    </row>
    <row r="299">
      <c r="A299" s="9"/>
      <c r="B299" s="15"/>
      <c r="C299" s="9">
        <f>IFERROR(__xludf.DUMMYFUNCTION("""COMPUTED_VALUE"""),44602.4498773842)</f>
        <v>44602.44988</v>
      </c>
      <c r="D299" s="15">
        <f>IFERROR(__xludf.DUMMYFUNCTION("""COMPUTED_VALUE"""),0.999)</f>
        <v>0.999</v>
      </c>
      <c r="E299" s="16">
        <f>IFERROR(__xludf.DUMMYFUNCTION("""COMPUTED_VALUE"""),64.0)</f>
        <v>64</v>
      </c>
      <c r="F299" s="19" t="str">
        <f>IFERROR(__xludf.DUMMYFUNCTION("""COMPUTED_VALUE"""),"BLUE")</f>
        <v>BLUE</v>
      </c>
      <c r="G299" s="20" t="str">
        <f>IFERROR(__xludf.DUMMYFUNCTION("""COMPUTED_VALUE"""),"Uncle Sams Cider (11/12/2021) (Blue)")</f>
        <v>Uncle Sams Cider (11/12/2021) (Blue)</v>
      </c>
      <c r="H299" s="19"/>
    </row>
    <row r="300">
      <c r="A300" s="9"/>
      <c r="B300" s="15"/>
      <c r="C300" s="9">
        <f>IFERROR(__xludf.DUMMYFUNCTION("""COMPUTED_VALUE"""),44602.4394564699)</f>
        <v>44602.43946</v>
      </c>
      <c r="D300" s="15">
        <f>IFERROR(__xludf.DUMMYFUNCTION("""COMPUTED_VALUE"""),0.999)</f>
        <v>0.999</v>
      </c>
      <c r="E300" s="16">
        <f>IFERROR(__xludf.DUMMYFUNCTION("""COMPUTED_VALUE"""),64.0)</f>
        <v>64</v>
      </c>
      <c r="F300" s="19" t="str">
        <f>IFERROR(__xludf.DUMMYFUNCTION("""COMPUTED_VALUE"""),"BLUE")</f>
        <v>BLUE</v>
      </c>
      <c r="G300" s="20" t="str">
        <f>IFERROR(__xludf.DUMMYFUNCTION("""COMPUTED_VALUE"""),"Uncle Sams Cider (11/12/2021) (Blue)")</f>
        <v>Uncle Sams Cider (11/12/2021) (Blue)</v>
      </c>
      <c r="H300" s="19"/>
    </row>
    <row r="301">
      <c r="A301" s="9"/>
      <c r="B301" s="15"/>
      <c r="C301" s="9">
        <f>IFERROR(__xludf.DUMMYFUNCTION("""COMPUTED_VALUE"""),44602.4290330208)</f>
        <v>44602.42903</v>
      </c>
      <c r="D301" s="15">
        <f>IFERROR(__xludf.DUMMYFUNCTION("""COMPUTED_VALUE"""),0.999)</f>
        <v>0.999</v>
      </c>
      <c r="E301" s="16">
        <f>IFERROR(__xludf.DUMMYFUNCTION("""COMPUTED_VALUE"""),64.0)</f>
        <v>64</v>
      </c>
      <c r="F301" s="19" t="str">
        <f>IFERROR(__xludf.DUMMYFUNCTION("""COMPUTED_VALUE"""),"BLUE")</f>
        <v>BLUE</v>
      </c>
      <c r="G301" s="20" t="str">
        <f>IFERROR(__xludf.DUMMYFUNCTION("""COMPUTED_VALUE"""),"Uncle Sams Cider (11/12/2021) (Blue)")</f>
        <v>Uncle Sams Cider (11/12/2021) (Blue)</v>
      </c>
      <c r="H301" s="19"/>
    </row>
    <row r="302">
      <c r="A302" s="9"/>
      <c r="B302" s="15"/>
      <c r="C302" s="9">
        <f>IFERROR(__xludf.DUMMYFUNCTION("""COMPUTED_VALUE"""),44602.4186117592)</f>
        <v>44602.41861</v>
      </c>
      <c r="D302" s="15">
        <f>IFERROR(__xludf.DUMMYFUNCTION("""COMPUTED_VALUE"""),0.999)</f>
        <v>0.999</v>
      </c>
      <c r="E302" s="16">
        <f>IFERROR(__xludf.DUMMYFUNCTION("""COMPUTED_VALUE"""),64.0)</f>
        <v>64</v>
      </c>
      <c r="F302" s="19" t="str">
        <f>IFERROR(__xludf.DUMMYFUNCTION("""COMPUTED_VALUE"""),"BLUE")</f>
        <v>BLUE</v>
      </c>
      <c r="G302" s="20" t="str">
        <f>IFERROR(__xludf.DUMMYFUNCTION("""COMPUTED_VALUE"""),"Uncle Sams Cider (11/12/2021) (Blue)")</f>
        <v>Uncle Sams Cider (11/12/2021) (Blue)</v>
      </c>
      <c r="H302" s="19"/>
    </row>
    <row r="303">
      <c r="A303" s="9"/>
      <c r="B303" s="15"/>
      <c r="C303" s="9">
        <f>IFERROR(__xludf.DUMMYFUNCTION("""COMPUTED_VALUE"""),44602.4081898842)</f>
        <v>44602.40819</v>
      </c>
      <c r="D303" s="15">
        <f>IFERROR(__xludf.DUMMYFUNCTION("""COMPUTED_VALUE"""),0.999)</f>
        <v>0.999</v>
      </c>
      <c r="E303" s="16">
        <f>IFERROR(__xludf.DUMMYFUNCTION("""COMPUTED_VALUE"""),64.0)</f>
        <v>64</v>
      </c>
      <c r="F303" s="19" t="str">
        <f>IFERROR(__xludf.DUMMYFUNCTION("""COMPUTED_VALUE"""),"BLUE")</f>
        <v>BLUE</v>
      </c>
      <c r="G303" s="20" t="str">
        <f>IFERROR(__xludf.DUMMYFUNCTION("""COMPUTED_VALUE"""),"Uncle Sams Cider (11/12/2021) (Blue)")</f>
        <v>Uncle Sams Cider (11/12/2021) (Blue)</v>
      </c>
      <c r="H303" s="19"/>
    </row>
    <row r="304">
      <c r="A304" s="9"/>
      <c r="B304" s="15"/>
      <c r="C304" s="9">
        <f>IFERROR(__xludf.DUMMYFUNCTION("""COMPUTED_VALUE"""),44602.3977693287)</f>
        <v>44602.39777</v>
      </c>
      <c r="D304" s="15">
        <f>IFERROR(__xludf.DUMMYFUNCTION("""COMPUTED_VALUE"""),0.999)</f>
        <v>0.999</v>
      </c>
      <c r="E304" s="16">
        <f>IFERROR(__xludf.DUMMYFUNCTION("""COMPUTED_VALUE"""),64.0)</f>
        <v>64</v>
      </c>
      <c r="F304" s="19" t="str">
        <f>IFERROR(__xludf.DUMMYFUNCTION("""COMPUTED_VALUE"""),"BLUE")</f>
        <v>BLUE</v>
      </c>
      <c r="G304" s="20" t="str">
        <f>IFERROR(__xludf.DUMMYFUNCTION("""COMPUTED_VALUE"""),"Uncle Sams Cider (11/12/2021) (Blue)")</f>
        <v>Uncle Sams Cider (11/12/2021) (Blue)</v>
      </c>
      <c r="H304" s="19"/>
    </row>
    <row r="305">
      <c r="A305" s="9"/>
      <c r="B305" s="15"/>
      <c r="C305" s="9">
        <f>IFERROR(__xludf.DUMMYFUNCTION("""COMPUTED_VALUE"""),44602.3873485416)</f>
        <v>44602.38735</v>
      </c>
      <c r="D305" s="15">
        <f>IFERROR(__xludf.DUMMYFUNCTION("""COMPUTED_VALUE"""),0.999)</f>
        <v>0.999</v>
      </c>
      <c r="E305" s="16">
        <f>IFERROR(__xludf.DUMMYFUNCTION("""COMPUTED_VALUE"""),64.0)</f>
        <v>64</v>
      </c>
      <c r="F305" s="19" t="str">
        <f>IFERROR(__xludf.DUMMYFUNCTION("""COMPUTED_VALUE"""),"BLUE")</f>
        <v>BLUE</v>
      </c>
      <c r="G305" s="20" t="str">
        <f>IFERROR(__xludf.DUMMYFUNCTION("""COMPUTED_VALUE"""),"Uncle Sams Cider (11/12/2021) (Blue)")</f>
        <v>Uncle Sams Cider (11/12/2021) (Blue)</v>
      </c>
      <c r="H305" s="19"/>
    </row>
    <row r="306">
      <c r="A306" s="9"/>
      <c r="B306" s="15"/>
      <c r="C306" s="9">
        <f>IFERROR(__xludf.DUMMYFUNCTION("""COMPUTED_VALUE"""),44602.3769291087)</f>
        <v>44602.37693</v>
      </c>
      <c r="D306" s="15">
        <f>IFERROR(__xludf.DUMMYFUNCTION("""COMPUTED_VALUE"""),0.999)</f>
        <v>0.999</v>
      </c>
      <c r="E306" s="16">
        <f>IFERROR(__xludf.DUMMYFUNCTION("""COMPUTED_VALUE"""),64.0)</f>
        <v>64</v>
      </c>
      <c r="F306" s="19" t="str">
        <f>IFERROR(__xludf.DUMMYFUNCTION("""COMPUTED_VALUE"""),"BLUE")</f>
        <v>BLUE</v>
      </c>
      <c r="G306" s="20" t="str">
        <f>IFERROR(__xludf.DUMMYFUNCTION("""COMPUTED_VALUE"""),"Uncle Sams Cider (11/12/2021) (Blue)")</f>
        <v>Uncle Sams Cider (11/12/2021) (Blue)</v>
      </c>
      <c r="H306" s="19"/>
    </row>
    <row r="307">
      <c r="A307" s="9"/>
      <c r="B307" s="15"/>
      <c r="C307" s="9">
        <f>IFERROR(__xludf.DUMMYFUNCTION("""COMPUTED_VALUE"""),44602.3665076157)</f>
        <v>44602.36651</v>
      </c>
      <c r="D307" s="15">
        <f>IFERROR(__xludf.DUMMYFUNCTION("""COMPUTED_VALUE"""),0.999)</f>
        <v>0.999</v>
      </c>
      <c r="E307" s="16">
        <f>IFERROR(__xludf.DUMMYFUNCTION("""COMPUTED_VALUE"""),64.0)</f>
        <v>64</v>
      </c>
      <c r="F307" s="19" t="str">
        <f>IFERROR(__xludf.DUMMYFUNCTION("""COMPUTED_VALUE"""),"BLUE")</f>
        <v>BLUE</v>
      </c>
      <c r="G307" s="20" t="str">
        <f>IFERROR(__xludf.DUMMYFUNCTION("""COMPUTED_VALUE"""),"Uncle Sams Cider (11/12/2021) (Blue)")</f>
        <v>Uncle Sams Cider (11/12/2021) (Blue)</v>
      </c>
      <c r="H307" s="19"/>
    </row>
    <row r="308">
      <c r="A308" s="9"/>
      <c r="B308" s="15"/>
      <c r="C308" s="9">
        <f>IFERROR(__xludf.DUMMYFUNCTION("""COMPUTED_VALUE"""),44602.3560849537)</f>
        <v>44602.35608</v>
      </c>
      <c r="D308" s="15">
        <f>IFERROR(__xludf.DUMMYFUNCTION("""COMPUTED_VALUE"""),0.999)</f>
        <v>0.999</v>
      </c>
      <c r="E308" s="16">
        <f>IFERROR(__xludf.DUMMYFUNCTION("""COMPUTED_VALUE"""),64.0)</f>
        <v>64</v>
      </c>
      <c r="F308" s="19" t="str">
        <f>IFERROR(__xludf.DUMMYFUNCTION("""COMPUTED_VALUE"""),"BLUE")</f>
        <v>BLUE</v>
      </c>
      <c r="G308" s="20" t="str">
        <f>IFERROR(__xludf.DUMMYFUNCTION("""COMPUTED_VALUE"""),"Uncle Sams Cider (11/12/2021) (Blue)")</f>
        <v>Uncle Sams Cider (11/12/2021) (Blue)</v>
      </c>
      <c r="H308" s="19"/>
    </row>
    <row r="309">
      <c r="A309" s="9"/>
      <c r="B309" s="15"/>
      <c r="C309" s="9">
        <f>IFERROR(__xludf.DUMMYFUNCTION("""COMPUTED_VALUE"""),44602.3456642824)</f>
        <v>44602.34566</v>
      </c>
      <c r="D309" s="15">
        <f>IFERROR(__xludf.DUMMYFUNCTION("""COMPUTED_VALUE"""),0.999)</f>
        <v>0.999</v>
      </c>
      <c r="E309" s="16">
        <f>IFERROR(__xludf.DUMMYFUNCTION("""COMPUTED_VALUE"""),64.0)</f>
        <v>64</v>
      </c>
      <c r="F309" s="19" t="str">
        <f>IFERROR(__xludf.DUMMYFUNCTION("""COMPUTED_VALUE"""),"BLUE")</f>
        <v>BLUE</v>
      </c>
      <c r="G309" s="20" t="str">
        <f>IFERROR(__xludf.DUMMYFUNCTION("""COMPUTED_VALUE"""),"Uncle Sams Cider (11/12/2021) (Blue)")</f>
        <v>Uncle Sams Cider (11/12/2021) (Blue)</v>
      </c>
      <c r="H309" s="19"/>
    </row>
    <row r="310">
      <c r="A310" s="9"/>
      <c r="B310" s="15"/>
      <c r="C310" s="9">
        <f>IFERROR(__xludf.DUMMYFUNCTION("""COMPUTED_VALUE"""),44602.3352311111)</f>
        <v>44602.33523</v>
      </c>
      <c r="D310" s="15">
        <f>IFERROR(__xludf.DUMMYFUNCTION("""COMPUTED_VALUE"""),0.999)</f>
        <v>0.999</v>
      </c>
      <c r="E310" s="16">
        <f>IFERROR(__xludf.DUMMYFUNCTION("""COMPUTED_VALUE"""),64.0)</f>
        <v>64</v>
      </c>
      <c r="F310" s="19" t="str">
        <f>IFERROR(__xludf.DUMMYFUNCTION("""COMPUTED_VALUE"""),"BLUE")</f>
        <v>BLUE</v>
      </c>
      <c r="G310" s="20" t="str">
        <f>IFERROR(__xludf.DUMMYFUNCTION("""COMPUTED_VALUE"""),"Uncle Sams Cider (11/12/2021) (Blue)")</f>
        <v>Uncle Sams Cider (11/12/2021) (Blue)</v>
      </c>
      <c r="H310" s="19"/>
    </row>
    <row r="311">
      <c r="A311" s="9"/>
      <c r="B311" s="15"/>
      <c r="C311" s="9">
        <f>IFERROR(__xludf.DUMMYFUNCTION("""COMPUTED_VALUE"""),44602.324810162)</f>
        <v>44602.32481</v>
      </c>
      <c r="D311" s="15">
        <f>IFERROR(__xludf.DUMMYFUNCTION("""COMPUTED_VALUE"""),0.999)</f>
        <v>0.999</v>
      </c>
      <c r="E311" s="16">
        <f>IFERROR(__xludf.DUMMYFUNCTION("""COMPUTED_VALUE"""),64.0)</f>
        <v>64</v>
      </c>
      <c r="F311" s="19" t="str">
        <f>IFERROR(__xludf.DUMMYFUNCTION("""COMPUTED_VALUE"""),"BLUE")</f>
        <v>BLUE</v>
      </c>
      <c r="G311" s="20" t="str">
        <f>IFERROR(__xludf.DUMMYFUNCTION("""COMPUTED_VALUE"""),"Uncle Sams Cider (11/12/2021) (Blue)")</f>
        <v>Uncle Sams Cider (11/12/2021) (Blue)</v>
      </c>
      <c r="H311" s="19"/>
    </row>
    <row r="312">
      <c r="A312" s="9"/>
      <c r="B312" s="15"/>
      <c r="C312" s="9">
        <f>IFERROR(__xludf.DUMMYFUNCTION("""COMPUTED_VALUE"""),44602.3143782986)</f>
        <v>44602.31438</v>
      </c>
      <c r="D312" s="15">
        <f>IFERROR(__xludf.DUMMYFUNCTION("""COMPUTED_VALUE"""),0.999)</f>
        <v>0.999</v>
      </c>
      <c r="E312" s="16">
        <f>IFERROR(__xludf.DUMMYFUNCTION("""COMPUTED_VALUE"""),64.0)</f>
        <v>64</v>
      </c>
      <c r="F312" s="19" t="str">
        <f>IFERROR(__xludf.DUMMYFUNCTION("""COMPUTED_VALUE"""),"BLUE")</f>
        <v>BLUE</v>
      </c>
      <c r="G312" s="20" t="str">
        <f>IFERROR(__xludf.DUMMYFUNCTION("""COMPUTED_VALUE"""),"Uncle Sams Cider (11/12/2021) (Blue)")</f>
        <v>Uncle Sams Cider (11/12/2021) (Blue)</v>
      </c>
      <c r="H312" s="19"/>
    </row>
    <row r="313">
      <c r="A313" s="9"/>
      <c r="B313" s="15"/>
      <c r="C313" s="9">
        <f>IFERROR(__xludf.DUMMYFUNCTION("""COMPUTED_VALUE"""),44602.3039342245)</f>
        <v>44602.30393</v>
      </c>
      <c r="D313" s="15">
        <f>IFERROR(__xludf.DUMMYFUNCTION("""COMPUTED_VALUE"""),0.999)</f>
        <v>0.999</v>
      </c>
      <c r="E313" s="16">
        <f>IFERROR(__xludf.DUMMYFUNCTION("""COMPUTED_VALUE"""),64.0)</f>
        <v>64</v>
      </c>
      <c r="F313" s="19" t="str">
        <f>IFERROR(__xludf.DUMMYFUNCTION("""COMPUTED_VALUE"""),"BLUE")</f>
        <v>BLUE</v>
      </c>
      <c r="G313" s="20" t="str">
        <f>IFERROR(__xludf.DUMMYFUNCTION("""COMPUTED_VALUE"""),"Uncle Sams Cider (11/12/2021) (Blue)")</f>
        <v>Uncle Sams Cider (11/12/2021) (Blue)</v>
      </c>
      <c r="H313" s="19"/>
    </row>
    <row r="314">
      <c r="A314" s="9"/>
      <c r="B314" s="15"/>
      <c r="C314" s="9">
        <f>IFERROR(__xludf.DUMMYFUNCTION("""COMPUTED_VALUE"""),44602.2935024421)</f>
        <v>44602.2935</v>
      </c>
      <c r="D314" s="15">
        <f>IFERROR(__xludf.DUMMYFUNCTION("""COMPUTED_VALUE"""),0.999)</f>
        <v>0.999</v>
      </c>
      <c r="E314" s="16">
        <f>IFERROR(__xludf.DUMMYFUNCTION("""COMPUTED_VALUE"""),64.0)</f>
        <v>64</v>
      </c>
      <c r="F314" s="19" t="str">
        <f>IFERROR(__xludf.DUMMYFUNCTION("""COMPUTED_VALUE"""),"BLUE")</f>
        <v>BLUE</v>
      </c>
      <c r="G314" s="20" t="str">
        <f>IFERROR(__xludf.DUMMYFUNCTION("""COMPUTED_VALUE"""),"Uncle Sams Cider (11/12/2021) (Blue)")</f>
        <v>Uncle Sams Cider (11/12/2021) (Blue)</v>
      </c>
      <c r="H314" s="19"/>
    </row>
    <row r="315">
      <c r="A315" s="9"/>
      <c r="B315" s="15"/>
      <c r="C315" s="9">
        <f>IFERROR(__xludf.DUMMYFUNCTION("""COMPUTED_VALUE"""),44602.2830827199)</f>
        <v>44602.28308</v>
      </c>
      <c r="D315" s="15">
        <f>IFERROR(__xludf.DUMMYFUNCTION("""COMPUTED_VALUE"""),0.999)</f>
        <v>0.999</v>
      </c>
      <c r="E315" s="16">
        <f>IFERROR(__xludf.DUMMYFUNCTION("""COMPUTED_VALUE"""),64.0)</f>
        <v>64</v>
      </c>
      <c r="F315" s="19" t="str">
        <f>IFERROR(__xludf.DUMMYFUNCTION("""COMPUTED_VALUE"""),"BLUE")</f>
        <v>BLUE</v>
      </c>
      <c r="G315" s="20" t="str">
        <f>IFERROR(__xludf.DUMMYFUNCTION("""COMPUTED_VALUE"""),"Uncle Sams Cider (11/12/2021) (Blue)")</f>
        <v>Uncle Sams Cider (11/12/2021) (Blue)</v>
      </c>
      <c r="H315" s="19"/>
    </row>
    <row r="316">
      <c r="A316" s="9"/>
      <c r="B316" s="15"/>
      <c r="C316" s="9">
        <f>IFERROR(__xludf.DUMMYFUNCTION("""COMPUTED_VALUE"""),44602.2726640972)</f>
        <v>44602.27266</v>
      </c>
      <c r="D316" s="15">
        <f>IFERROR(__xludf.DUMMYFUNCTION("""COMPUTED_VALUE"""),0.999)</f>
        <v>0.999</v>
      </c>
      <c r="E316" s="16">
        <f>IFERROR(__xludf.DUMMYFUNCTION("""COMPUTED_VALUE"""),64.0)</f>
        <v>64</v>
      </c>
      <c r="F316" s="19" t="str">
        <f>IFERROR(__xludf.DUMMYFUNCTION("""COMPUTED_VALUE"""),"BLUE")</f>
        <v>BLUE</v>
      </c>
      <c r="G316" s="20" t="str">
        <f>IFERROR(__xludf.DUMMYFUNCTION("""COMPUTED_VALUE"""),"Uncle Sams Cider (11/12/2021) (Blue)")</f>
        <v>Uncle Sams Cider (11/12/2021) (Blue)</v>
      </c>
      <c r="H316" s="19"/>
    </row>
    <row r="317">
      <c r="A317" s="9"/>
      <c r="B317" s="15"/>
      <c r="C317" s="9">
        <f>IFERROR(__xludf.DUMMYFUNCTION("""COMPUTED_VALUE"""),44602.2622435879)</f>
        <v>44602.26224</v>
      </c>
      <c r="D317" s="15">
        <f>IFERROR(__xludf.DUMMYFUNCTION("""COMPUTED_VALUE"""),0.999)</f>
        <v>0.999</v>
      </c>
      <c r="E317" s="16">
        <f>IFERROR(__xludf.DUMMYFUNCTION("""COMPUTED_VALUE"""),64.0)</f>
        <v>64</v>
      </c>
      <c r="F317" s="19" t="str">
        <f>IFERROR(__xludf.DUMMYFUNCTION("""COMPUTED_VALUE"""),"BLUE")</f>
        <v>BLUE</v>
      </c>
      <c r="G317" s="20" t="str">
        <f>IFERROR(__xludf.DUMMYFUNCTION("""COMPUTED_VALUE"""),"Uncle Sams Cider (11/12/2021) (Blue)")</f>
        <v>Uncle Sams Cider (11/12/2021) (Blue)</v>
      </c>
      <c r="H317" s="19"/>
    </row>
    <row r="318">
      <c r="A318" s="9"/>
      <c r="B318" s="15"/>
      <c r="C318" s="9">
        <f>IFERROR(__xludf.DUMMYFUNCTION("""COMPUTED_VALUE"""),44602.2518227083)</f>
        <v>44602.25182</v>
      </c>
      <c r="D318" s="15">
        <f>IFERROR(__xludf.DUMMYFUNCTION("""COMPUTED_VALUE"""),0.999)</f>
        <v>0.999</v>
      </c>
      <c r="E318" s="16">
        <f>IFERROR(__xludf.DUMMYFUNCTION("""COMPUTED_VALUE"""),64.0)</f>
        <v>64</v>
      </c>
      <c r="F318" s="19" t="str">
        <f>IFERROR(__xludf.DUMMYFUNCTION("""COMPUTED_VALUE"""),"BLUE")</f>
        <v>BLUE</v>
      </c>
      <c r="G318" s="20" t="str">
        <f>IFERROR(__xludf.DUMMYFUNCTION("""COMPUTED_VALUE"""),"Uncle Sams Cider (11/12/2021) (Blue)")</f>
        <v>Uncle Sams Cider (11/12/2021) (Blue)</v>
      </c>
      <c r="H318" s="19"/>
    </row>
    <row r="319">
      <c r="A319" s="9"/>
      <c r="B319" s="15"/>
      <c r="C319" s="9">
        <f>IFERROR(__xludf.DUMMYFUNCTION("""COMPUTED_VALUE"""),44602.2413910763)</f>
        <v>44602.24139</v>
      </c>
      <c r="D319" s="15">
        <f>IFERROR(__xludf.DUMMYFUNCTION("""COMPUTED_VALUE"""),0.999)</f>
        <v>0.999</v>
      </c>
      <c r="E319" s="16">
        <f>IFERROR(__xludf.DUMMYFUNCTION("""COMPUTED_VALUE"""),64.0)</f>
        <v>64</v>
      </c>
      <c r="F319" s="19" t="str">
        <f>IFERROR(__xludf.DUMMYFUNCTION("""COMPUTED_VALUE"""),"BLUE")</f>
        <v>BLUE</v>
      </c>
      <c r="G319" s="20" t="str">
        <f>IFERROR(__xludf.DUMMYFUNCTION("""COMPUTED_VALUE"""),"Uncle Sams Cider (11/12/2021) (Blue)")</f>
        <v>Uncle Sams Cider (11/12/2021) (Blue)</v>
      </c>
      <c r="H319" s="19"/>
    </row>
    <row r="320">
      <c r="A320" s="9"/>
      <c r="B320" s="15"/>
      <c r="C320" s="9">
        <f>IFERROR(__xludf.DUMMYFUNCTION("""COMPUTED_VALUE"""),44602.2309577314)</f>
        <v>44602.23096</v>
      </c>
      <c r="D320" s="15">
        <f>IFERROR(__xludf.DUMMYFUNCTION("""COMPUTED_VALUE"""),0.999)</f>
        <v>0.999</v>
      </c>
      <c r="E320" s="16">
        <f>IFERROR(__xludf.DUMMYFUNCTION("""COMPUTED_VALUE"""),64.0)</f>
        <v>64</v>
      </c>
      <c r="F320" s="19" t="str">
        <f>IFERROR(__xludf.DUMMYFUNCTION("""COMPUTED_VALUE"""),"BLUE")</f>
        <v>BLUE</v>
      </c>
      <c r="G320" s="20" t="str">
        <f>IFERROR(__xludf.DUMMYFUNCTION("""COMPUTED_VALUE"""),"Uncle Sams Cider (11/12/2021) (Blue)")</f>
        <v>Uncle Sams Cider (11/12/2021) (Blue)</v>
      </c>
      <c r="H320" s="19"/>
    </row>
    <row r="321">
      <c r="A321" s="9"/>
      <c r="B321" s="15"/>
      <c r="C321" s="9">
        <f>IFERROR(__xludf.DUMMYFUNCTION("""COMPUTED_VALUE"""),44602.2205380671)</f>
        <v>44602.22054</v>
      </c>
      <c r="D321" s="15">
        <f>IFERROR(__xludf.DUMMYFUNCTION("""COMPUTED_VALUE"""),0.999)</f>
        <v>0.999</v>
      </c>
      <c r="E321" s="16">
        <f>IFERROR(__xludf.DUMMYFUNCTION("""COMPUTED_VALUE"""),64.0)</f>
        <v>64</v>
      </c>
      <c r="F321" s="19" t="str">
        <f>IFERROR(__xludf.DUMMYFUNCTION("""COMPUTED_VALUE"""),"BLUE")</f>
        <v>BLUE</v>
      </c>
      <c r="G321" s="20" t="str">
        <f>IFERROR(__xludf.DUMMYFUNCTION("""COMPUTED_VALUE"""),"Uncle Sams Cider (11/12/2021) (Blue)")</f>
        <v>Uncle Sams Cider (11/12/2021) (Blue)</v>
      </c>
      <c r="H321" s="19"/>
    </row>
    <row r="322">
      <c r="A322" s="9"/>
      <c r="B322" s="15"/>
      <c r="C322" s="9">
        <f>IFERROR(__xludf.DUMMYFUNCTION("""COMPUTED_VALUE"""),44602.2101174074)</f>
        <v>44602.21012</v>
      </c>
      <c r="D322" s="15">
        <f>IFERROR(__xludf.DUMMYFUNCTION("""COMPUTED_VALUE"""),0.999)</f>
        <v>0.999</v>
      </c>
      <c r="E322" s="16">
        <f>IFERROR(__xludf.DUMMYFUNCTION("""COMPUTED_VALUE"""),64.0)</f>
        <v>64</v>
      </c>
      <c r="F322" s="19" t="str">
        <f>IFERROR(__xludf.DUMMYFUNCTION("""COMPUTED_VALUE"""),"BLUE")</f>
        <v>BLUE</v>
      </c>
      <c r="G322" s="20" t="str">
        <f>IFERROR(__xludf.DUMMYFUNCTION("""COMPUTED_VALUE"""),"Uncle Sams Cider (11/12/2021) (Blue)")</f>
        <v>Uncle Sams Cider (11/12/2021) (Blue)</v>
      </c>
      <c r="H322" s="19"/>
    </row>
    <row r="323">
      <c r="A323" s="9"/>
      <c r="B323" s="15"/>
      <c r="C323" s="9">
        <f>IFERROR(__xludf.DUMMYFUNCTION("""COMPUTED_VALUE"""),44602.1996855324)</f>
        <v>44602.19969</v>
      </c>
      <c r="D323" s="15">
        <f>IFERROR(__xludf.DUMMYFUNCTION("""COMPUTED_VALUE"""),0.999)</f>
        <v>0.999</v>
      </c>
      <c r="E323" s="16">
        <f>IFERROR(__xludf.DUMMYFUNCTION("""COMPUTED_VALUE"""),64.0)</f>
        <v>64</v>
      </c>
      <c r="F323" s="19" t="str">
        <f>IFERROR(__xludf.DUMMYFUNCTION("""COMPUTED_VALUE"""),"BLUE")</f>
        <v>BLUE</v>
      </c>
      <c r="G323" s="20" t="str">
        <f>IFERROR(__xludf.DUMMYFUNCTION("""COMPUTED_VALUE"""),"Uncle Sams Cider (11/12/2021) (Blue)")</f>
        <v>Uncle Sams Cider (11/12/2021) (Blue)</v>
      </c>
      <c r="H323" s="19"/>
    </row>
    <row r="324">
      <c r="A324" s="9"/>
      <c r="B324" s="15"/>
      <c r="C324" s="9">
        <f>IFERROR(__xludf.DUMMYFUNCTION("""COMPUTED_VALUE"""),44602.1892532986)</f>
        <v>44602.18925</v>
      </c>
      <c r="D324" s="15">
        <f>IFERROR(__xludf.DUMMYFUNCTION("""COMPUTED_VALUE"""),0.999)</f>
        <v>0.999</v>
      </c>
      <c r="E324" s="16">
        <f>IFERROR(__xludf.DUMMYFUNCTION("""COMPUTED_VALUE"""),64.0)</f>
        <v>64</v>
      </c>
      <c r="F324" s="19" t="str">
        <f>IFERROR(__xludf.DUMMYFUNCTION("""COMPUTED_VALUE"""),"BLUE")</f>
        <v>BLUE</v>
      </c>
      <c r="G324" s="20" t="str">
        <f>IFERROR(__xludf.DUMMYFUNCTION("""COMPUTED_VALUE"""),"Uncle Sams Cider (11/12/2021) (Blue)")</f>
        <v>Uncle Sams Cider (11/12/2021) (Blue)</v>
      </c>
      <c r="H324" s="19"/>
    </row>
    <row r="325">
      <c r="A325" s="9"/>
      <c r="B325" s="15"/>
      <c r="C325" s="9">
        <f>IFERROR(__xludf.DUMMYFUNCTION("""COMPUTED_VALUE"""),44602.1788306018)</f>
        <v>44602.17883</v>
      </c>
      <c r="D325" s="15">
        <f>IFERROR(__xludf.DUMMYFUNCTION("""COMPUTED_VALUE"""),0.999)</f>
        <v>0.999</v>
      </c>
      <c r="E325" s="16">
        <f>IFERROR(__xludf.DUMMYFUNCTION("""COMPUTED_VALUE"""),64.0)</f>
        <v>64</v>
      </c>
      <c r="F325" s="19" t="str">
        <f>IFERROR(__xludf.DUMMYFUNCTION("""COMPUTED_VALUE"""),"BLUE")</f>
        <v>BLUE</v>
      </c>
      <c r="G325" s="20" t="str">
        <f>IFERROR(__xludf.DUMMYFUNCTION("""COMPUTED_VALUE"""),"Uncle Sams Cider (11/12/2021) (Blue)")</f>
        <v>Uncle Sams Cider (11/12/2021) (Blue)</v>
      </c>
      <c r="H325" s="19"/>
    </row>
    <row r="326">
      <c r="A326" s="9"/>
      <c r="B326" s="15"/>
      <c r="C326" s="9">
        <f>IFERROR(__xludf.DUMMYFUNCTION("""COMPUTED_VALUE"""),44602.1684100115)</f>
        <v>44602.16841</v>
      </c>
      <c r="D326" s="15">
        <f>IFERROR(__xludf.DUMMYFUNCTION("""COMPUTED_VALUE"""),0.999)</f>
        <v>0.999</v>
      </c>
      <c r="E326" s="16">
        <f>IFERROR(__xludf.DUMMYFUNCTION("""COMPUTED_VALUE"""),64.0)</f>
        <v>64</v>
      </c>
      <c r="F326" s="19" t="str">
        <f>IFERROR(__xludf.DUMMYFUNCTION("""COMPUTED_VALUE"""),"BLUE")</f>
        <v>BLUE</v>
      </c>
      <c r="G326" s="20" t="str">
        <f>IFERROR(__xludf.DUMMYFUNCTION("""COMPUTED_VALUE"""),"Uncle Sams Cider (11/12/2021) (Blue)")</f>
        <v>Uncle Sams Cider (11/12/2021) (Blue)</v>
      </c>
      <c r="H326" s="19"/>
    </row>
    <row r="327">
      <c r="A327" s="9"/>
      <c r="B327" s="15"/>
      <c r="C327" s="9">
        <f>IFERROR(__xludf.DUMMYFUNCTION("""COMPUTED_VALUE"""),44602.1579871759)</f>
        <v>44602.15799</v>
      </c>
      <c r="D327" s="15">
        <f>IFERROR(__xludf.DUMMYFUNCTION("""COMPUTED_VALUE"""),0.999)</f>
        <v>0.999</v>
      </c>
      <c r="E327" s="16">
        <f>IFERROR(__xludf.DUMMYFUNCTION("""COMPUTED_VALUE"""),64.0)</f>
        <v>64</v>
      </c>
      <c r="F327" s="19" t="str">
        <f>IFERROR(__xludf.DUMMYFUNCTION("""COMPUTED_VALUE"""),"BLUE")</f>
        <v>BLUE</v>
      </c>
      <c r="G327" s="20" t="str">
        <f>IFERROR(__xludf.DUMMYFUNCTION("""COMPUTED_VALUE"""),"Uncle Sams Cider (11/12/2021) (Blue)")</f>
        <v>Uncle Sams Cider (11/12/2021) (Blue)</v>
      </c>
      <c r="H327" s="19"/>
    </row>
    <row r="328">
      <c r="A328" s="9"/>
      <c r="B328" s="15"/>
      <c r="C328" s="9">
        <f>IFERROR(__xludf.DUMMYFUNCTION("""COMPUTED_VALUE"""),44602.1475669791)</f>
        <v>44602.14757</v>
      </c>
      <c r="D328" s="15">
        <f>IFERROR(__xludf.DUMMYFUNCTION("""COMPUTED_VALUE"""),0.999)</f>
        <v>0.999</v>
      </c>
      <c r="E328" s="16">
        <f>IFERROR(__xludf.DUMMYFUNCTION("""COMPUTED_VALUE"""),64.0)</f>
        <v>64</v>
      </c>
      <c r="F328" s="19" t="str">
        <f>IFERROR(__xludf.DUMMYFUNCTION("""COMPUTED_VALUE"""),"BLUE")</f>
        <v>BLUE</v>
      </c>
      <c r="G328" s="20" t="str">
        <f>IFERROR(__xludf.DUMMYFUNCTION("""COMPUTED_VALUE"""),"Uncle Sams Cider (11/12/2021) (Blue)")</f>
        <v>Uncle Sams Cider (11/12/2021) (Blue)</v>
      </c>
      <c r="H328" s="19"/>
    </row>
    <row r="329">
      <c r="A329" s="9"/>
      <c r="B329" s="15"/>
      <c r="C329" s="9">
        <f>IFERROR(__xludf.DUMMYFUNCTION("""COMPUTED_VALUE"""),44602.1371450115)</f>
        <v>44602.13715</v>
      </c>
      <c r="D329" s="15">
        <f>IFERROR(__xludf.DUMMYFUNCTION("""COMPUTED_VALUE"""),0.999)</f>
        <v>0.999</v>
      </c>
      <c r="E329" s="16">
        <f>IFERROR(__xludf.DUMMYFUNCTION("""COMPUTED_VALUE"""),64.0)</f>
        <v>64</v>
      </c>
      <c r="F329" s="19" t="str">
        <f>IFERROR(__xludf.DUMMYFUNCTION("""COMPUTED_VALUE"""),"BLUE")</f>
        <v>BLUE</v>
      </c>
      <c r="G329" s="20" t="str">
        <f>IFERROR(__xludf.DUMMYFUNCTION("""COMPUTED_VALUE"""),"Uncle Sams Cider (11/12/2021) (Blue)")</f>
        <v>Uncle Sams Cider (11/12/2021) (Blue)</v>
      </c>
      <c r="H329" s="19"/>
    </row>
    <row r="330">
      <c r="A330" s="9"/>
      <c r="B330" s="15"/>
      <c r="C330" s="9">
        <f>IFERROR(__xludf.DUMMYFUNCTION("""COMPUTED_VALUE"""),44602.126723831)</f>
        <v>44602.12672</v>
      </c>
      <c r="D330" s="15">
        <f>IFERROR(__xludf.DUMMYFUNCTION("""COMPUTED_VALUE"""),0.999)</f>
        <v>0.999</v>
      </c>
      <c r="E330" s="16">
        <f>IFERROR(__xludf.DUMMYFUNCTION("""COMPUTED_VALUE"""),64.0)</f>
        <v>64</v>
      </c>
      <c r="F330" s="19" t="str">
        <f>IFERROR(__xludf.DUMMYFUNCTION("""COMPUTED_VALUE"""),"BLUE")</f>
        <v>BLUE</v>
      </c>
      <c r="G330" s="20" t="str">
        <f>IFERROR(__xludf.DUMMYFUNCTION("""COMPUTED_VALUE"""),"Uncle Sams Cider (11/12/2021) (Blue)")</f>
        <v>Uncle Sams Cider (11/12/2021) (Blue)</v>
      </c>
      <c r="H330" s="19"/>
    </row>
    <row r="331">
      <c r="A331" s="9"/>
      <c r="B331" s="15"/>
      <c r="C331" s="9">
        <f>IFERROR(__xludf.DUMMYFUNCTION("""COMPUTED_VALUE"""),44602.116302662)</f>
        <v>44602.1163</v>
      </c>
      <c r="D331" s="15">
        <f>IFERROR(__xludf.DUMMYFUNCTION("""COMPUTED_VALUE"""),0.999)</f>
        <v>0.999</v>
      </c>
      <c r="E331" s="16">
        <f>IFERROR(__xludf.DUMMYFUNCTION("""COMPUTED_VALUE"""),64.0)</f>
        <v>64</v>
      </c>
      <c r="F331" s="19" t="str">
        <f>IFERROR(__xludf.DUMMYFUNCTION("""COMPUTED_VALUE"""),"BLUE")</f>
        <v>BLUE</v>
      </c>
      <c r="G331" s="20" t="str">
        <f>IFERROR(__xludf.DUMMYFUNCTION("""COMPUTED_VALUE"""),"Uncle Sams Cider (11/12/2021) (Blue)")</f>
        <v>Uncle Sams Cider (11/12/2021) (Blue)</v>
      </c>
      <c r="H331" s="19"/>
    </row>
    <row r="332">
      <c r="A332" s="9"/>
      <c r="B332" s="15"/>
      <c r="C332" s="9">
        <f>IFERROR(__xludf.DUMMYFUNCTION("""COMPUTED_VALUE"""),44602.1058701157)</f>
        <v>44602.10587</v>
      </c>
      <c r="D332" s="15">
        <f>IFERROR(__xludf.DUMMYFUNCTION("""COMPUTED_VALUE"""),0.999)</f>
        <v>0.999</v>
      </c>
      <c r="E332" s="16">
        <f>IFERROR(__xludf.DUMMYFUNCTION("""COMPUTED_VALUE"""),64.0)</f>
        <v>64</v>
      </c>
      <c r="F332" s="19" t="str">
        <f>IFERROR(__xludf.DUMMYFUNCTION("""COMPUTED_VALUE"""),"BLUE")</f>
        <v>BLUE</v>
      </c>
      <c r="G332" s="20" t="str">
        <f>IFERROR(__xludf.DUMMYFUNCTION("""COMPUTED_VALUE"""),"Uncle Sams Cider (11/12/2021) (Blue)")</f>
        <v>Uncle Sams Cider (11/12/2021) (Blue)</v>
      </c>
      <c r="H332" s="19"/>
    </row>
    <row r="333">
      <c r="A333" s="9"/>
      <c r="B333" s="15"/>
      <c r="C333" s="9">
        <f>IFERROR(__xludf.DUMMYFUNCTION("""COMPUTED_VALUE"""),44602.0954493981)</f>
        <v>44602.09545</v>
      </c>
      <c r="D333" s="15">
        <f>IFERROR(__xludf.DUMMYFUNCTION("""COMPUTED_VALUE"""),0.999)</f>
        <v>0.999</v>
      </c>
      <c r="E333" s="16">
        <f>IFERROR(__xludf.DUMMYFUNCTION("""COMPUTED_VALUE"""),64.0)</f>
        <v>64</v>
      </c>
      <c r="F333" s="19" t="str">
        <f>IFERROR(__xludf.DUMMYFUNCTION("""COMPUTED_VALUE"""),"BLUE")</f>
        <v>BLUE</v>
      </c>
      <c r="G333" s="20" t="str">
        <f>IFERROR(__xludf.DUMMYFUNCTION("""COMPUTED_VALUE"""),"Uncle Sams Cider (11/12/2021) (Blue)")</f>
        <v>Uncle Sams Cider (11/12/2021) (Blue)</v>
      </c>
      <c r="H333" s="19"/>
    </row>
    <row r="334">
      <c r="A334" s="9"/>
      <c r="B334" s="15"/>
      <c r="C334" s="9">
        <f>IFERROR(__xludf.DUMMYFUNCTION("""COMPUTED_VALUE"""),44602.0850270949)</f>
        <v>44602.08503</v>
      </c>
      <c r="D334" s="15">
        <f>IFERROR(__xludf.DUMMYFUNCTION("""COMPUTED_VALUE"""),0.999)</f>
        <v>0.999</v>
      </c>
      <c r="E334" s="16">
        <f>IFERROR(__xludf.DUMMYFUNCTION("""COMPUTED_VALUE"""),64.0)</f>
        <v>64</v>
      </c>
      <c r="F334" s="19" t="str">
        <f>IFERROR(__xludf.DUMMYFUNCTION("""COMPUTED_VALUE"""),"BLUE")</f>
        <v>BLUE</v>
      </c>
      <c r="G334" s="20" t="str">
        <f>IFERROR(__xludf.DUMMYFUNCTION("""COMPUTED_VALUE"""),"Uncle Sams Cider (11/12/2021) (Blue)")</f>
        <v>Uncle Sams Cider (11/12/2021) (Blue)</v>
      </c>
      <c r="H334" s="19"/>
    </row>
    <row r="335">
      <c r="A335" s="9"/>
      <c r="B335" s="15"/>
      <c r="C335" s="9">
        <f>IFERROR(__xludf.DUMMYFUNCTION("""COMPUTED_VALUE"""),44602.0746048032)</f>
        <v>44602.0746</v>
      </c>
      <c r="D335" s="15">
        <f>IFERROR(__xludf.DUMMYFUNCTION("""COMPUTED_VALUE"""),0.999)</f>
        <v>0.999</v>
      </c>
      <c r="E335" s="16">
        <f>IFERROR(__xludf.DUMMYFUNCTION("""COMPUTED_VALUE"""),64.0)</f>
        <v>64</v>
      </c>
      <c r="F335" s="19" t="str">
        <f>IFERROR(__xludf.DUMMYFUNCTION("""COMPUTED_VALUE"""),"BLUE")</f>
        <v>BLUE</v>
      </c>
      <c r="G335" s="20" t="str">
        <f>IFERROR(__xludf.DUMMYFUNCTION("""COMPUTED_VALUE"""),"Uncle Sams Cider (11/12/2021) (Blue)")</f>
        <v>Uncle Sams Cider (11/12/2021) (Blue)</v>
      </c>
      <c r="H335" s="19"/>
    </row>
    <row r="336">
      <c r="A336" s="9"/>
      <c r="B336" s="15"/>
      <c r="C336" s="9">
        <f>IFERROR(__xludf.DUMMYFUNCTION("""COMPUTED_VALUE"""),44602.0641835416)</f>
        <v>44602.06418</v>
      </c>
      <c r="D336" s="15">
        <f>IFERROR(__xludf.DUMMYFUNCTION("""COMPUTED_VALUE"""),0.999)</f>
        <v>0.999</v>
      </c>
      <c r="E336" s="16">
        <f>IFERROR(__xludf.DUMMYFUNCTION("""COMPUTED_VALUE"""),64.0)</f>
        <v>64</v>
      </c>
      <c r="F336" s="19" t="str">
        <f>IFERROR(__xludf.DUMMYFUNCTION("""COMPUTED_VALUE"""),"BLUE")</f>
        <v>BLUE</v>
      </c>
      <c r="G336" s="20" t="str">
        <f>IFERROR(__xludf.DUMMYFUNCTION("""COMPUTED_VALUE"""),"Uncle Sams Cider (11/12/2021) (Blue)")</f>
        <v>Uncle Sams Cider (11/12/2021) (Blue)</v>
      </c>
      <c r="H336" s="19"/>
    </row>
    <row r="337">
      <c r="A337" s="9"/>
      <c r="B337" s="15"/>
      <c r="C337" s="9">
        <f>IFERROR(__xludf.DUMMYFUNCTION("""COMPUTED_VALUE"""),44602.0537381944)</f>
        <v>44602.05374</v>
      </c>
      <c r="D337" s="15">
        <f>IFERROR(__xludf.DUMMYFUNCTION("""COMPUTED_VALUE"""),0.999)</f>
        <v>0.999</v>
      </c>
      <c r="E337" s="16">
        <f>IFERROR(__xludf.DUMMYFUNCTION("""COMPUTED_VALUE"""),64.0)</f>
        <v>64</v>
      </c>
      <c r="F337" s="19" t="str">
        <f>IFERROR(__xludf.DUMMYFUNCTION("""COMPUTED_VALUE"""),"BLUE")</f>
        <v>BLUE</v>
      </c>
      <c r="G337" s="20" t="str">
        <f>IFERROR(__xludf.DUMMYFUNCTION("""COMPUTED_VALUE"""),"Uncle Sams Cider (11/12/2021) (Blue)")</f>
        <v>Uncle Sams Cider (11/12/2021) (Blue)</v>
      </c>
      <c r="H337" s="19"/>
    </row>
    <row r="338">
      <c r="A338" s="9"/>
      <c r="B338" s="15"/>
      <c r="C338" s="9">
        <f>IFERROR(__xludf.DUMMYFUNCTION("""COMPUTED_VALUE"""),44602.0433173148)</f>
        <v>44602.04332</v>
      </c>
      <c r="D338" s="15">
        <f>IFERROR(__xludf.DUMMYFUNCTION("""COMPUTED_VALUE"""),0.999)</f>
        <v>0.999</v>
      </c>
      <c r="E338" s="16">
        <f>IFERROR(__xludf.DUMMYFUNCTION("""COMPUTED_VALUE"""),64.0)</f>
        <v>64</v>
      </c>
      <c r="F338" s="19" t="str">
        <f>IFERROR(__xludf.DUMMYFUNCTION("""COMPUTED_VALUE"""),"BLUE")</f>
        <v>BLUE</v>
      </c>
      <c r="G338" s="20" t="str">
        <f>IFERROR(__xludf.DUMMYFUNCTION("""COMPUTED_VALUE"""),"Uncle Sams Cider (11/12/2021) (Blue)")</f>
        <v>Uncle Sams Cider (11/12/2021) (Blue)</v>
      </c>
      <c r="H338" s="19"/>
    </row>
    <row r="339">
      <c r="A339" s="9"/>
      <c r="B339" s="15"/>
      <c r="C339" s="9">
        <f>IFERROR(__xludf.DUMMYFUNCTION("""COMPUTED_VALUE"""),44602.0328964814)</f>
        <v>44602.0329</v>
      </c>
      <c r="D339" s="15">
        <f>IFERROR(__xludf.DUMMYFUNCTION("""COMPUTED_VALUE"""),0.999)</f>
        <v>0.999</v>
      </c>
      <c r="E339" s="16">
        <f>IFERROR(__xludf.DUMMYFUNCTION("""COMPUTED_VALUE"""),64.0)</f>
        <v>64</v>
      </c>
      <c r="F339" s="19" t="str">
        <f>IFERROR(__xludf.DUMMYFUNCTION("""COMPUTED_VALUE"""),"BLUE")</f>
        <v>BLUE</v>
      </c>
      <c r="G339" s="20" t="str">
        <f>IFERROR(__xludf.DUMMYFUNCTION("""COMPUTED_VALUE"""),"Uncle Sams Cider (11/12/2021) (Blue)")</f>
        <v>Uncle Sams Cider (11/12/2021) (Blue)</v>
      </c>
      <c r="H339" s="19"/>
    </row>
    <row r="340">
      <c r="A340" s="9"/>
      <c r="B340" s="15"/>
      <c r="C340" s="9">
        <f>IFERROR(__xludf.DUMMYFUNCTION("""COMPUTED_VALUE"""),44602.0224749189)</f>
        <v>44602.02247</v>
      </c>
      <c r="D340" s="15">
        <f>IFERROR(__xludf.DUMMYFUNCTION("""COMPUTED_VALUE"""),0.999)</f>
        <v>0.999</v>
      </c>
      <c r="E340" s="16">
        <f>IFERROR(__xludf.DUMMYFUNCTION("""COMPUTED_VALUE"""),64.0)</f>
        <v>64</v>
      </c>
      <c r="F340" s="19" t="str">
        <f>IFERROR(__xludf.DUMMYFUNCTION("""COMPUTED_VALUE"""),"BLUE")</f>
        <v>BLUE</v>
      </c>
      <c r="G340" s="20" t="str">
        <f>IFERROR(__xludf.DUMMYFUNCTION("""COMPUTED_VALUE"""),"Uncle Sams Cider (11/12/2021) (Blue)")</f>
        <v>Uncle Sams Cider (11/12/2021) (Blue)</v>
      </c>
      <c r="H340" s="19"/>
    </row>
    <row r="341">
      <c r="A341" s="9"/>
      <c r="B341" s="15"/>
      <c r="C341" s="9">
        <f>IFERROR(__xludf.DUMMYFUNCTION("""COMPUTED_VALUE"""),44602.0120554629)</f>
        <v>44602.01206</v>
      </c>
      <c r="D341" s="15">
        <f>IFERROR(__xludf.DUMMYFUNCTION("""COMPUTED_VALUE"""),0.999)</f>
        <v>0.999</v>
      </c>
      <c r="E341" s="16">
        <f>IFERROR(__xludf.DUMMYFUNCTION("""COMPUTED_VALUE"""),64.0)</f>
        <v>64</v>
      </c>
      <c r="F341" s="19" t="str">
        <f>IFERROR(__xludf.DUMMYFUNCTION("""COMPUTED_VALUE"""),"BLUE")</f>
        <v>BLUE</v>
      </c>
      <c r="G341" s="20" t="str">
        <f>IFERROR(__xludf.DUMMYFUNCTION("""COMPUTED_VALUE"""),"Uncle Sams Cider (11/12/2021) (Blue)")</f>
        <v>Uncle Sams Cider (11/12/2021) (Blue)</v>
      </c>
      <c r="H341" s="19"/>
    </row>
    <row r="342">
      <c r="A342" s="9"/>
      <c r="B342" s="15"/>
      <c r="C342" s="9">
        <f>IFERROR(__xludf.DUMMYFUNCTION("""COMPUTED_VALUE"""),44602.0016223148)</f>
        <v>44602.00162</v>
      </c>
      <c r="D342" s="15">
        <f>IFERROR(__xludf.DUMMYFUNCTION("""COMPUTED_VALUE"""),0.999)</f>
        <v>0.999</v>
      </c>
      <c r="E342" s="16">
        <f>IFERROR(__xludf.DUMMYFUNCTION("""COMPUTED_VALUE"""),64.0)</f>
        <v>64</v>
      </c>
      <c r="F342" s="19" t="str">
        <f>IFERROR(__xludf.DUMMYFUNCTION("""COMPUTED_VALUE"""),"BLUE")</f>
        <v>BLUE</v>
      </c>
      <c r="G342" s="20" t="str">
        <f>IFERROR(__xludf.DUMMYFUNCTION("""COMPUTED_VALUE"""),"Uncle Sams Cider (11/12/2021) (Blue)")</f>
        <v>Uncle Sams Cider (11/12/2021) (Blue)</v>
      </c>
      <c r="H342" s="19"/>
    </row>
    <row r="343">
      <c r="A343" s="9"/>
      <c r="B343" s="15"/>
      <c r="C343" s="9">
        <f>IFERROR(__xludf.DUMMYFUNCTION("""COMPUTED_VALUE"""),44601.9911894907)</f>
        <v>44601.99119</v>
      </c>
      <c r="D343" s="15">
        <f>IFERROR(__xludf.DUMMYFUNCTION("""COMPUTED_VALUE"""),0.999)</f>
        <v>0.999</v>
      </c>
      <c r="E343" s="16">
        <f>IFERROR(__xludf.DUMMYFUNCTION("""COMPUTED_VALUE"""),64.0)</f>
        <v>64</v>
      </c>
      <c r="F343" s="19" t="str">
        <f>IFERROR(__xludf.DUMMYFUNCTION("""COMPUTED_VALUE"""),"BLUE")</f>
        <v>BLUE</v>
      </c>
      <c r="G343" s="20" t="str">
        <f>IFERROR(__xludf.DUMMYFUNCTION("""COMPUTED_VALUE"""),"Uncle Sams Cider (11/12/2021) (Blue)")</f>
        <v>Uncle Sams Cider (11/12/2021) (Blue)</v>
      </c>
      <c r="H343" s="19"/>
    </row>
    <row r="344">
      <c r="A344" s="9"/>
      <c r="B344" s="15"/>
      <c r="C344" s="9">
        <f>IFERROR(__xludf.DUMMYFUNCTION("""COMPUTED_VALUE"""),44601.9807691898)</f>
        <v>44601.98077</v>
      </c>
      <c r="D344" s="15">
        <f>IFERROR(__xludf.DUMMYFUNCTION("""COMPUTED_VALUE"""),0.999)</f>
        <v>0.999</v>
      </c>
      <c r="E344" s="16">
        <f>IFERROR(__xludf.DUMMYFUNCTION("""COMPUTED_VALUE"""),64.0)</f>
        <v>64</v>
      </c>
      <c r="F344" s="19" t="str">
        <f>IFERROR(__xludf.DUMMYFUNCTION("""COMPUTED_VALUE"""),"BLUE")</f>
        <v>BLUE</v>
      </c>
      <c r="G344" s="20" t="str">
        <f>IFERROR(__xludf.DUMMYFUNCTION("""COMPUTED_VALUE"""),"Uncle Sams Cider (11/12/2021) (Blue)")</f>
        <v>Uncle Sams Cider (11/12/2021) (Blue)</v>
      </c>
      <c r="H344" s="19"/>
    </row>
    <row r="345">
      <c r="A345" s="9"/>
      <c r="B345" s="15"/>
      <c r="C345" s="9">
        <f>IFERROR(__xludf.DUMMYFUNCTION("""COMPUTED_VALUE"""),44601.9703367013)</f>
        <v>44601.97034</v>
      </c>
      <c r="D345" s="15">
        <f>IFERROR(__xludf.DUMMYFUNCTION("""COMPUTED_VALUE"""),0.999)</f>
        <v>0.999</v>
      </c>
      <c r="E345" s="16">
        <f>IFERROR(__xludf.DUMMYFUNCTION("""COMPUTED_VALUE"""),64.0)</f>
        <v>64</v>
      </c>
      <c r="F345" s="19" t="str">
        <f>IFERROR(__xludf.DUMMYFUNCTION("""COMPUTED_VALUE"""),"BLUE")</f>
        <v>BLUE</v>
      </c>
      <c r="G345" s="20" t="str">
        <f>IFERROR(__xludf.DUMMYFUNCTION("""COMPUTED_VALUE"""),"Uncle Sams Cider (11/12/2021) (Blue)")</f>
        <v>Uncle Sams Cider (11/12/2021) (Blue)</v>
      </c>
      <c r="H345" s="19"/>
    </row>
    <row r="346">
      <c r="A346" s="9"/>
      <c r="B346" s="15"/>
      <c r="C346" s="9">
        <f>IFERROR(__xludf.DUMMYFUNCTION("""COMPUTED_VALUE"""),44601.959903449)</f>
        <v>44601.9599</v>
      </c>
      <c r="D346" s="15">
        <f>IFERROR(__xludf.DUMMYFUNCTION("""COMPUTED_VALUE"""),0.999)</f>
        <v>0.999</v>
      </c>
      <c r="E346" s="16">
        <f>IFERROR(__xludf.DUMMYFUNCTION("""COMPUTED_VALUE"""),64.0)</f>
        <v>64</v>
      </c>
      <c r="F346" s="19" t="str">
        <f>IFERROR(__xludf.DUMMYFUNCTION("""COMPUTED_VALUE"""),"BLUE")</f>
        <v>BLUE</v>
      </c>
      <c r="G346" s="20" t="str">
        <f>IFERROR(__xludf.DUMMYFUNCTION("""COMPUTED_VALUE"""),"Uncle Sams Cider (11/12/2021) (Blue)")</f>
        <v>Uncle Sams Cider (11/12/2021) (Blue)</v>
      </c>
      <c r="H346" s="19"/>
    </row>
    <row r="347">
      <c r="A347" s="9"/>
      <c r="B347" s="15"/>
      <c r="C347" s="9">
        <f>IFERROR(__xludf.DUMMYFUNCTION("""COMPUTED_VALUE"""),44601.9494721412)</f>
        <v>44601.94947</v>
      </c>
      <c r="D347" s="15">
        <f>IFERROR(__xludf.DUMMYFUNCTION("""COMPUTED_VALUE"""),0.999)</f>
        <v>0.999</v>
      </c>
      <c r="E347" s="16">
        <f>IFERROR(__xludf.DUMMYFUNCTION("""COMPUTED_VALUE"""),64.0)</f>
        <v>64</v>
      </c>
      <c r="F347" s="19" t="str">
        <f>IFERROR(__xludf.DUMMYFUNCTION("""COMPUTED_VALUE"""),"BLUE")</f>
        <v>BLUE</v>
      </c>
      <c r="G347" s="20" t="str">
        <f>IFERROR(__xludf.DUMMYFUNCTION("""COMPUTED_VALUE"""),"Uncle Sams Cider (11/12/2021) (Blue)")</f>
        <v>Uncle Sams Cider (11/12/2021) (Blue)</v>
      </c>
      <c r="H347" s="19"/>
    </row>
    <row r="348">
      <c r="A348" s="9"/>
      <c r="B348" s="15"/>
      <c r="C348" s="9">
        <f>IFERROR(__xludf.DUMMYFUNCTION("""COMPUTED_VALUE"""),44601.9390497685)</f>
        <v>44601.93905</v>
      </c>
      <c r="D348" s="15">
        <f>IFERROR(__xludf.DUMMYFUNCTION("""COMPUTED_VALUE"""),0.999)</f>
        <v>0.999</v>
      </c>
      <c r="E348" s="16">
        <f>IFERROR(__xludf.DUMMYFUNCTION("""COMPUTED_VALUE"""),64.0)</f>
        <v>64</v>
      </c>
      <c r="F348" s="19" t="str">
        <f>IFERROR(__xludf.DUMMYFUNCTION("""COMPUTED_VALUE"""),"BLUE")</f>
        <v>BLUE</v>
      </c>
      <c r="G348" s="20" t="str">
        <f>IFERROR(__xludf.DUMMYFUNCTION("""COMPUTED_VALUE"""),"Uncle Sams Cider (11/12/2021) (Blue)")</f>
        <v>Uncle Sams Cider (11/12/2021) (Blue)</v>
      </c>
      <c r="H348" s="19"/>
    </row>
    <row r="349">
      <c r="A349" s="9"/>
      <c r="B349" s="15"/>
      <c r="C349" s="9">
        <f>IFERROR(__xludf.DUMMYFUNCTION("""COMPUTED_VALUE"""),44601.9286276504)</f>
        <v>44601.92863</v>
      </c>
      <c r="D349" s="15">
        <f>IFERROR(__xludf.DUMMYFUNCTION("""COMPUTED_VALUE"""),0.999)</f>
        <v>0.999</v>
      </c>
      <c r="E349" s="16">
        <f>IFERROR(__xludf.DUMMYFUNCTION("""COMPUTED_VALUE"""),64.0)</f>
        <v>64</v>
      </c>
      <c r="F349" s="19" t="str">
        <f>IFERROR(__xludf.DUMMYFUNCTION("""COMPUTED_VALUE"""),"BLUE")</f>
        <v>BLUE</v>
      </c>
      <c r="G349" s="20" t="str">
        <f>IFERROR(__xludf.DUMMYFUNCTION("""COMPUTED_VALUE"""),"Uncle Sams Cider (11/12/2021) (Blue)")</f>
        <v>Uncle Sams Cider (11/12/2021) (Blue)</v>
      </c>
      <c r="H349" s="19"/>
    </row>
    <row r="350">
      <c r="A350" s="9"/>
      <c r="B350" s="15"/>
      <c r="C350" s="9">
        <f>IFERROR(__xludf.DUMMYFUNCTION("""COMPUTED_VALUE"""),44601.9182065046)</f>
        <v>44601.91821</v>
      </c>
      <c r="D350" s="15">
        <f>IFERROR(__xludf.DUMMYFUNCTION("""COMPUTED_VALUE"""),0.999)</f>
        <v>0.999</v>
      </c>
      <c r="E350" s="16">
        <f>IFERROR(__xludf.DUMMYFUNCTION("""COMPUTED_VALUE"""),64.0)</f>
        <v>64</v>
      </c>
      <c r="F350" s="19" t="str">
        <f>IFERROR(__xludf.DUMMYFUNCTION("""COMPUTED_VALUE"""),"BLUE")</f>
        <v>BLUE</v>
      </c>
      <c r="G350" s="20" t="str">
        <f>IFERROR(__xludf.DUMMYFUNCTION("""COMPUTED_VALUE"""),"Uncle Sams Cider (11/12/2021) (Blue)")</f>
        <v>Uncle Sams Cider (11/12/2021) (Blue)</v>
      </c>
      <c r="H350" s="19"/>
    </row>
    <row r="351">
      <c r="A351" s="9"/>
      <c r="B351" s="15"/>
      <c r="C351" s="9">
        <f>IFERROR(__xludf.DUMMYFUNCTION("""COMPUTED_VALUE"""),44601.9077742592)</f>
        <v>44601.90777</v>
      </c>
      <c r="D351" s="15">
        <f>IFERROR(__xludf.DUMMYFUNCTION("""COMPUTED_VALUE"""),0.999)</f>
        <v>0.999</v>
      </c>
      <c r="E351" s="16">
        <f>IFERROR(__xludf.DUMMYFUNCTION("""COMPUTED_VALUE"""),64.0)</f>
        <v>64</v>
      </c>
      <c r="F351" s="19" t="str">
        <f>IFERROR(__xludf.DUMMYFUNCTION("""COMPUTED_VALUE"""),"BLUE")</f>
        <v>BLUE</v>
      </c>
      <c r="G351" s="20" t="str">
        <f>IFERROR(__xludf.DUMMYFUNCTION("""COMPUTED_VALUE"""),"Uncle Sams Cider (11/12/2021) (Blue)")</f>
        <v>Uncle Sams Cider (11/12/2021) (Blue)</v>
      </c>
      <c r="H351" s="19"/>
    </row>
    <row r="352">
      <c r="A352" s="9"/>
      <c r="B352" s="15"/>
      <c r="C352" s="9">
        <f>IFERROR(__xludf.DUMMYFUNCTION("""COMPUTED_VALUE"""),44601.8973530787)</f>
        <v>44601.89735</v>
      </c>
      <c r="D352" s="15">
        <f>IFERROR(__xludf.DUMMYFUNCTION("""COMPUTED_VALUE"""),0.999)</f>
        <v>0.999</v>
      </c>
      <c r="E352" s="16">
        <f>IFERROR(__xludf.DUMMYFUNCTION("""COMPUTED_VALUE"""),64.0)</f>
        <v>64</v>
      </c>
      <c r="F352" s="19" t="str">
        <f>IFERROR(__xludf.DUMMYFUNCTION("""COMPUTED_VALUE"""),"BLUE")</f>
        <v>BLUE</v>
      </c>
      <c r="G352" s="20" t="str">
        <f>IFERROR(__xludf.DUMMYFUNCTION("""COMPUTED_VALUE"""),"Uncle Sams Cider (11/12/2021) (Blue)")</f>
        <v>Uncle Sams Cider (11/12/2021) (Blue)</v>
      </c>
      <c r="H352" s="19"/>
    </row>
    <row r="353">
      <c r="A353" s="9"/>
      <c r="B353" s="15"/>
      <c r="C353" s="9">
        <f>IFERROR(__xludf.DUMMYFUNCTION("""COMPUTED_VALUE"""),44601.886932199)</f>
        <v>44601.88693</v>
      </c>
      <c r="D353" s="15">
        <f>IFERROR(__xludf.DUMMYFUNCTION("""COMPUTED_VALUE"""),0.999)</f>
        <v>0.999</v>
      </c>
      <c r="E353" s="16">
        <f>IFERROR(__xludf.DUMMYFUNCTION("""COMPUTED_VALUE"""),65.0)</f>
        <v>65</v>
      </c>
      <c r="F353" s="19" t="str">
        <f>IFERROR(__xludf.DUMMYFUNCTION("""COMPUTED_VALUE"""),"BLUE")</f>
        <v>BLUE</v>
      </c>
      <c r="G353" s="20" t="str">
        <f>IFERROR(__xludf.DUMMYFUNCTION("""COMPUTED_VALUE"""),"Uncle Sams Cider (11/12/2021) (Blue)")</f>
        <v>Uncle Sams Cider (11/12/2021) (Blue)</v>
      </c>
      <c r="H353" s="19"/>
    </row>
    <row r="354">
      <c r="A354" s="9"/>
      <c r="B354" s="15"/>
      <c r="C354" s="9">
        <f>IFERROR(__xludf.DUMMYFUNCTION("""COMPUTED_VALUE"""),44601.8765125462)</f>
        <v>44601.87651</v>
      </c>
      <c r="D354" s="15">
        <f>IFERROR(__xludf.DUMMYFUNCTION("""COMPUTED_VALUE"""),0.999)</f>
        <v>0.999</v>
      </c>
      <c r="E354" s="16">
        <f>IFERROR(__xludf.DUMMYFUNCTION("""COMPUTED_VALUE"""),64.0)</f>
        <v>64</v>
      </c>
      <c r="F354" s="19" t="str">
        <f>IFERROR(__xludf.DUMMYFUNCTION("""COMPUTED_VALUE"""),"BLUE")</f>
        <v>BLUE</v>
      </c>
      <c r="G354" s="20" t="str">
        <f>IFERROR(__xludf.DUMMYFUNCTION("""COMPUTED_VALUE"""),"Uncle Sams Cider (11/12/2021) (Blue)")</f>
        <v>Uncle Sams Cider (11/12/2021) (Blue)</v>
      </c>
      <c r="H354" s="19"/>
    </row>
    <row r="355">
      <c r="A355" s="9"/>
      <c r="B355" s="15"/>
      <c r="C355" s="9">
        <f>IFERROR(__xludf.DUMMYFUNCTION("""COMPUTED_VALUE"""),44601.8660920949)</f>
        <v>44601.86609</v>
      </c>
      <c r="D355" s="15">
        <f>IFERROR(__xludf.DUMMYFUNCTION("""COMPUTED_VALUE"""),0.999)</f>
        <v>0.999</v>
      </c>
      <c r="E355" s="16">
        <f>IFERROR(__xludf.DUMMYFUNCTION("""COMPUTED_VALUE"""),65.0)</f>
        <v>65</v>
      </c>
      <c r="F355" s="19" t="str">
        <f>IFERROR(__xludf.DUMMYFUNCTION("""COMPUTED_VALUE"""),"BLUE")</f>
        <v>BLUE</v>
      </c>
      <c r="G355" s="20" t="str">
        <f>IFERROR(__xludf.DUMMYFUNCTION("""COMPUTED_VALUE"""),"Uncle Sams Cider (11/12/2021) (Blue)")</f>
        <v>Uncle Sams Cider (11/12/2021) (Blue)</v>
      </c>
      <c r="H355" s="19"/>
    </row>
    <row r="356">
      <c r="A356" s="9"/>
      <c r="B356" s="15"/>
      <c r="C356" s="9">
        <f>IFERROR(__xludf.DUMMYFUNCTION("""COMPUTED_VALUE"""),44601.8556697453)</f>
        <v>44601.85567</v>
      </c>
      <c r="D356" s="15">
        <f>IFERROR(__xludf.DUMMYFUNCTION("""COMPUTED_VALUE"""),0.999)</f>
        <v>0.999</v>
      </c>
      <c r="E356" s="16">
        <f>IFERROR(__xludf.DUMMYFUNCTION("""COMPUTED_VALUE"""),65.0)</f>
        <v>65</v>
      </c>
      <c r="F356" s="19" t="str">
        <f>IFERROR(__xludf.DUMMYFUNCTION("""COMPUTED_VALUE"""),"BLUE")</f>
        <v>BLUE</v>
      </c>
      <c r="G356" s="20" t="str">
        <f>IFERROR(__xludf.DUMMYFUNCTION("""COMPUTED_VALUE"""),"Uncle Sams Cider (11/12/2021) (Blue)")</f>
        <v>Uncle Sams Cider (11/12/2021) (Blue)</v>
      </c>
      <c r="H356" s="19"/>
    </row>
    <row r="357">
      <c r="A357" s="9"/>
      <c r="B357" s="15"/>
      <c r="C357" s="9">
        <f>IFERROR(__xludf.DUMMYFUNCTION("""COMPUTED_VALUE"""),44601.8452360069)</f>
        <v>44601.84524</v>
      </c>
      <c r="D357" s="15">
        <f>IFERROR(__xludf.DUMMYFUNCTION("""COMPUTED_VALUE"""),0.999)</f>
        <v>0.999</v>
      </c>
      <c r="E357" s="16">
        <f>IFERROR(__xludf.DUMMYFUNCTION("""COMPUTED_VALUE"""),65.0)</f>
        <v>65</v>
      </c>
      <c r="F357" s="19" t="str">
        <f>IFERROR(__xludf.DUMMYFUNCTION("""COMPUTED_VALUE"""),"BLUE")</f>
        <v>BLUE</v>
      </c>
      <c r="G357" s="20" t="str">
        <f>IFERROR(__xludf.DUMMYFUNCTION("""COMPUTED_VALUE"""),"Uncle Sams Cider (11/12/2021) (Blue)")</f>
        <v>Uncle Sams Cider (11/12/2021) (Blue)</v>
      </c>
      <c r="H357" s="19"/>
    </row>
    <row r="358">
      <c r="A358" s="9"/>
      <c r="B358" s="15"/>
      <c r="C358" s="9">
        <f>IFERROR(__xludf.DUMMYFUNCTION("""COMPUTED_VALUE"""),44601.8348044444)</f>
        <v>44601.8348</v>
      </c>
      <c r="D358" s="15">
        <f>IFERROR(__xludf.DUMMYFUNCTION("""COMPUTED_VALUE"""),0.999)</f>
        <v>0.999</v>
      </c>
      <c r="E358" s="16">
        <f>IFERROR(__xludf.DUMMYFUNCTION("""COMPUTED_VALUE"""),65.0)</f>
        <v>65</v>
      </c>
      <c r="F358" s="19" t="str">
        <f>IFERROR(__xludf.DUMMYFUNCTION("""COMPUTED_VALUE"""),"BLUE")</f>
        <v>BLUE</v>
      </c>
      <c r="G358" s="20" t="str">
        <f>IFERROR(__xludf.DUMMYFUNCTION("""COMPUTED_VALUE"""),"Uncle Sams Cider (11/12/2021) (Blue)")</f>
        <v>Uncle Sams Cider (11/12/2021) (Blue)</v>
      </c>
      <c r="H358" s="19"/>
    </row>
    <row r="359">
      <c r="A359" s="9"/>
      <c r="B359" s="15"/>
      <c r="C359" s="9">
        <f>IFERROR(__xludf.DUMMYFUNCTION("""COMPUTED_VALUE"""),44601.8243832291)</f>
        <v>44601.82438</v>
      </c>
      <c r="D359" s="15">
        <f>IFERROR(__xludf.DUMMYFUNCTION("""COMPUTED_VALUE"""),0.999)</f>
        <v>0.999</v>
      </c>
      <c r="E359" s="16">
        <f>IFERROR(__xludf.DUMMYFUNCTION("""COMPUTED_VALUE"""),65.0)</f>
        <v>65</v>
      </c>
      <c r="F359" s="19" t="str">
        <f>IFERROR(__xludf.DUMMYFUNCTION("""COMPUTED_VALUE"""),"BLUE")</f>
        <v>BLUE</v>
      </c>
      <c r="G359" s="20" t="str">
        <f>IFERROR(__xludf.DUMMYFUNCTION("""COMPUTED_VALUE"""),"Uncle Sams Cider (11/12/2021) (Blue)")</f>
        <v>Uncle Sams Cider (11/12/2021) (Blue)</v>
      </c>
      <c r="H359" s="19"/>
    </row>
    <row r="360">
      <c r="A360" s="9"/>
      <c r="B360" s="15"/>
      <c r="C360" s="9">
        <f>IFERROR(__xludf.DUMMYFUNCTION("""COMPUTED_VALUE"""),44601.8139612615)</f>
        <v>44601.81396</v>
      </c>
      <c r="D360" s="15">
        <f>IFERROR(__xludf.DUMMYFUNCTION("""COMPUTED_VALUE"""),0.999)</f>
        <v>0.999</v>
      </c>
      <c r="E360" s="16">
        <f>IFERROR(__xludf.DUMMYFUNCTION("""COMPUTED_VALUE"""),65.0)</f>
        <v>65</v>
      </c>
      <c r="F360" s="19" t="str">
        <f>IFERROR(__xludf.DUMMYFUNCTION("""COMPUTED_VALUE"""),"BLUE")</f>
        <v>BLUE</v>
      </c>
      <c r="G360" s="20" t="str">
        <f>IFERROR(__xludf.DUMMYFUNCTION("""COMPUTED_VALUE"""),"Uncle Sams Cider (11/12/2021) (Blue)")</f>
        <v>Uncle Sams Cider (11/12/2021) (Blue)</v>
      </c>
      <c r="H360" s="19"/>
    </row>
    <row r="361">
      <c r="A361" s="9"/>
      <c r="B361" s="15"/>
      <c r="C361" s="9">
        <f>IFERROR(__xludf.DUMMYFUNCTION("""COMPUTED_VALUE"""),44601.8035400694)</f>
        <v>44601.80354</v>
      </c>
      <c r="D361" s="15">
        <f>IFERROR(__xludf.DUMMYFUNCTION("""COMPUTED_VALUE"""),0.999)</f>
        <v>0.999</v>
      </c>
      <c r="E361" s="16">
        <f>IFERROR(__xludf.DUMMYFUNCTION("""COMPUTED_VALUE"""),65.0)</f>
        <v>65</v>
      </c>
      <c r="F361" s="19" t="str">
        <f>IFERROR(__xludf.DUMMYFUNCTION("""COMPUTED_VALUE"""),"BLUE")</f>
        <v>BLUE</v>
      </c>
      <c r="G361" s="20" t="str">
        <f>IFERROR(__xludf.DUMMYFUNCTION("""COMPUTED_VALUE"""),"Uncle Sams Cider (11/12/2021) (Blue)")</f>
        <v>Uncle Sams Cider (11/12/2021) (Blue)</v>
      </c>
      <c r="H361" s="19"/>
    </row>
    <row r="362">
      <c r="A362" s="9"/>
      <c r="B362" s="15"/>
      <c r="C362" s="9">
        <f>IFERROR(__xludf.DUMMYFUNCTION("""COMPUTED_VALUE"""),44601.7931191203)</f>
        <v>44601.79312</v>
      </c>
      <c r="D362" s="15">
        <f>IFERROR(__xludf.DUMMYFUNCTION("""COMPUTED_VALUE"""),0.999)</f>
        <v>0.999</v>
      </c>
      <c r="E362" s="16">
        <f>IFERROR(__xludf.DUMMYFUNCTION("""COMPUTED_VALUE"""),65.0)</f>
        <v>65</v>
      </c>
      <c r="F362" s="19" t="str">
        <f>IFERROR(__xludf.DUMMYFUNCTION("""COMPUTED_VALUE"""),"BLUE")</f>
        <v>BLUE</v>
      </c>
      <c r="G362" s="20" t="str">
        <f>IFERROR(__xludf.DUMMYFUNCTION("""COMPUTED_VALUE"""),"Uncle Sams Cider (11/12/2021) (Blue)")</f>
        <v>Uncle Sams Cider (11/12/2021) (Blue)</v>
      </c>
      <c r="H362" s="19"/>
    </row>
    <row r="363">
      <c r="A363" s="9"/>
      <c r="B363" s="15"/>
      <c r="C363" s="9">
        <f>IFERROR(__xludf.DUMMYFUNCTION("""COMPUTED_VALUE"""),44601.7826972222)</f>
        <v>44601.7827</v>
      </c>
      <c r="D363" s="15">
        <f>IFERROR(__xludf.DUMMYFUNCTION("""COMPUTED_VALUE"""),0.999)</f>
        <v>0.999</v>
      </c>
      <c r="E363" s="16">
        <f>IFERROR(__xludf.DUMMYFUNCTION("""COMPUTED_VALUE"""),65.0)</f>
        <v>65</v>
      </c>
      <c r="F363" s="19" t="str">
        <f>IFERROR(__xludf.DUMMYFUNCTION("""COMPUTED_VALUE"""),"BLUE")</f>
        <v>BLUE</v>
      </c>
      <c r="G363" s="20" t="str">
        <f>IFERROR(__xludf.DUMMYFUNCTION("""COMPUTED_VALUE"""),"Uncle Sams Cider (11/12/2021) (Blue)")</f>
        <v>Uncle Sams Cider (11/12/2021) (Blue)</v>
      </c>
      <c r="H363" s="19"/>
    </row>
    <row r="364">
      <c r="A364" s="9"/>
      <c r="B364" s="15"/>
      <c r="C364" s="9">
        <f>IFERROR(__xludf.DUMMYFUNCTION("""COMPUTED_VALUE"""),44601.7722744097)</f>
        <v>44601.77227</v>
      </c>
      <c r="D364" s="15">
        <f>IFERROR(__xludf.DUMMYFUNCTION("""COMPUTED_VALUE"""),0.999)</f>
        <v>0.999</v>
      </c>
      <c r="E364" s="16">
        <f>IFERROR(__xludf.DUMMYFUNCTION("""COMPUTED_VALUE"""),65.0)</f>
        <v>65</v>
      </c>
      <c r="F364" s="19" t="str">
        <f>IFERROR(__xludf.DUMMYFUNCTION("""COMPUTED_VALUE"""),"BLUE")</f>
        <v>BLUE</v>
      </c>
      <c r="G364" s="20" t="str">
        <f>IFERROR(__xludf.DUMMYFUNCTION("""COMPUTED_VALUE"""),"Uncle Sams Cider (11/12/2021) (Blue)")</f>
        <v>Uncle Sams Cider (11/12/2021) (Blue)</v>
      </c>
      <c r="H364" s="19"/>
    </row>
    <row r="365">
      <c r="A365" s="9"/>
      <c r="B365" s="15"/>
      <c r="C365" s="9">
        <f>IFERROR(__xludf.DUMMYFUNCTION("""COMPUTED_VALUE"""),44601.761853125)</f>
        <v>44601.76185</v>
      </c>
      <c r="D365" s="15">
        <f>IFERROR(__xludf.DUMMYFUNCTION("""COMPUTED_VALUE"""),0.999)</f>
        <v>0.999</v>
      </c>
      <c r="E365" s="16">
        <f>IFERROR(__xludf.DUMMYFUNCTION("""COMPUTED_VALUE"""),65.0)</f>
        <v>65</v>
      </c>
      <c r="F365" s="19" t="str">
        <f>IFERROR(__xludf.DUMMYFUNCTION("""COMPUTED_VALUE"""),"BLUE")</f>
        <v>BLUE</v>
      </c>
      <c r="G365" s="20" t="str">
        <f>IFERROR(__xludf.DUMMYFUNCTION("""COMPUTED_VALUE"""),"Uncle Sams Cider (11/12/2021) (Blue)")</f>
        <v>Uncle Sams Cider (11/12/2021) (Blue)</v>
      </c>
      <c r="H365" s="19"/>
    </row>
    <row r="366">
      <c r="A366" s="9"/>
      <c r="B366" s="15"/>
      <c r="C366" s="9">
        <f>IFERROR(__xludf.DUMMYFUNCTION("""COMPUTED_VALUE"""),44601.7514325462)</f>
        <v>44601.75143</v>
      </c>
      <c r="D366" s="15">
        <f>IFERROR(__xludf.DUMMYFUNCTION("""COMPUTED_VALUE"""),0.999)</f>
        <v>0.999</v>
      </c>
      <c r="E366" s="16">
        <f>IFERROR(__xludf.DUMMYFUNCTION("""COMPUTED_VALUE"""),65.0)</f>
        <v>65</v>
      </c>
      <c r="F366" s="19" t="str">
        <f>IFERROR(__xludf.DUMMYFUNCTION("""COMPUTED_VALUE"""),"BLUE")</f>
        <v>BLUE</v>
      </c>
      <c r="G366" s="20" t="str">
        <f>IFERROR(__xludf.DUMMYFUNCTION("""COMPUTED_VALUE"""),"Uncle Sams Cider (11/12/2021) (Blue)")</f>
        <v>Uncle Sams Cider (11/12/2021) (Blue)</v>
      </c>
      <c r="H366" s="19"/>
    </row>
    <row r="367">
      <c r="A367" s="9"/>
      <c r="B367" s="15"/>
      <c r="C367" s="9">
        <f>IFERROR(__xludf.DUMMYFUNCTION("""COMPUTED_VALUE"""),44601.7410121759)</f>
        <v>44601.74101</v>
      </c>
      <c r="D367" s="15">
        <f>IFERROR(__xludf.DUMMYFUNCTION("""COMPUTED_VALUE"""),0.999)</f>
        <v>0.999</v>
      </c>
      <c r="E367" s="16">
        <f>IFERROR(__xludf.DUMMYFUNCTION("""COMPUTED_VALUE"""),65.0)</f>
        <v>65</v>
      </c>
      <c r="F367" s="19" t="str">
        <f>IFERROR(__xludf.DUMMYFUNCTION("""COMPUTED_VALUE"""),"BLUE")</f>
        <v>BLUE</v>
      </c>
      <c r="G367" s="20" t="str">
        <f>IFERROR(__xludf.DUMMYFUNCTION("""COMPUTED_VALUE"""),"Uncle Sams Cider (11/12/2021) (Blue)")</f>
        <v>Uncle Sams Cider (11/12/2021) (Blue)</v>
      </c>
      <c r="H367" s="19"/>
    </row>
    <row r="368">
      <c r="A368" s="9"/>
      <c r="B368" s="15"/>
      <c r="C368" s="9">
        <f>IFERROR(__xludf.DUMMYFUNCTION("""COMPUTED_VALUE"""),44601.7305915046)</f>
        <v>44601.73059</v>
      </c>
      <c r="D368" s="15">
        <f>IFERROR(__xludf.DUMMYFUNCTION("""COMPUTED_VALUE"""),0.999)</f>
        <v>0.999</v>
      </c>
      <c r="E368" s="16">
        <f>IFERROR(__xludf.DUMMYFUNCTION("""COMPUTED_VALUE"""),65.0)</f>
        <v>65</v>
      </c>
      <c r="F368" s="19" t="str">
        <f>IFERROR(__xludf.DUMMYFUNCTION("""COMPUTED_VALUE"""),"BLUE")</f>
        <v>BLUE</v>
      </c>
      <c r="G368" s="20" t="str">
        <f>IFERROR(__xludf.DUMMYFUNCTION("""COMPUTED_VALUE"""),"Uncle Sams Cider (11/12/2021) (Blue)")</f>
        <v>Uncle Sams Cider (11/12/2021) (Blue)</v>
      </c>
      <c r="H368" s="19"/>
    </row>
    <row r="369">
      <c r="A369" s="9"/>
      <c r="B369" s="15"/>
      <c r="C369" s="9">
        <f>IFERROR(__xludf.DUMMYFUNCTION("""COMPUTED_VALUE"""),44601.7201710763)</f>
        <v>44601.72017</v>
      </c>
      <c r="D369" s="15">
        <f>IFERROR(__xludf.DUMMYFUNCTION("""COMPUTED_VALUE"""),0.999)</f>
        <v>0.999</v>
      </c>
      <c r="E369" s="16">
        <f>IFERROR(__xludf.DUMMYFUNCTION("""COMPUTED_VALUE"""),65.0)</f>
        <v>65</v>
      </c>
      <c r="F369" s="19" t="str">
        <f>IFERROR(__xludf.DUMMYFUNCTION("""COMPUTED_VALUE"""),"BLUE")</f>
        <v>BLUE</v>
      </c>
      <c r="G369" s="20" t="str">
        <f>IFERROR(__xludf.DUMMYFUNCTION("""COMPUTED_VALUE"""),"Uncle Sams Cider (11/12/2021) (Blue)")</f>
        <v>Uncle Sams Cider (11/12/2021) (Blue)</v>
      </c>
      <c r="H369" s="19"/>
    </row>
    <row r="370">
      <c r="A370" s="9"/>
      <c r="B370" s="15"/>
      <c r="C370" s="9">
        <f>IFERROR(__xludf.DUMMYFUNCTION("""COMPUTED_VALUE"""),44601.7097510532)</f>
        <v>44601.70975</v>
      </c>
      <c r="D370" s="15">
        <f>IFERROR(__xludf.DUMMYFUNCTION("""COMPUTED_VALUE"""),0.999)</f>
        <v>0.999</v>
      </c>
      <c r="E370" s="16">
        <f>IFERROR(__xludf.DUMMYFUNCTION("""COMPUTED_VALUE"""),65.0)</f>
        <v>65</v>
      </c>
      <c r="F370" s="19" t="str">
        <f>IFERROR(__xludf.DUMMYFUNCTION("""COMPUTED_VALUE"""),"BLUE")</f>
        <v>BLUE</v>
      </c>
      <c r="G370" s="20" t="str">
        <f>IFERROR(__xludf.DUMMYFUNCTION("""COMPUTED_VALUE"""),"Uncle Sams Cider (11/12/2021) (Blue)")</f>
        <v>Uncle Sams Cider (11/12/2021) (Blue)</v>
      </c>
      <c r="H370" s="19"/>
    </row>
    <row r="371">
      <c r="A371" s="9"/>
      <c r="B371" s="15"/>
      <c r="C371" s="9">
        <f>IFERROR(__xludf.DUMMYFUNCTION("""COMPUTED_VALUE"""),44601.6993183449)</f>
        <v>44601.69932</v>
      </c>
      <c r="D371" s="15">
        <f>IFERROR(__xludf.DUMMYFUNCTION("""COMPUTED_VALUE"""),0.999)</f>
        <v>0.999</v>
      </c>
      <c r="E371" s="16">
        <f>IFERROR(__xludf.DUMMYFUNCTION("""COMPUTED_VALUE"""),65.0)</f>
        <v>65</v>
      </c>
      <c r="F371" s="19" t="str">
        <f>IFERROR(__xludf.DUMMYFUNCTION("""COMPUTED_VALUE"""),"BLUE")</f>
        <v>BLUE</v>
      </c>
      <c r="G371" s="20" t="str">
        <f>IFERROR(__xludf.DUMMYFUNCTION("""COMPUTED_VALUE"""),"Uncle Sams Cider (11/12/2021) (Blue)")</f>
        <v>Uncle Sams Cider (11/12/2021) (Blue)</v>
      </c>
      <c r="H371" s="19"/>
    </row>
    <row r="372">
      <c r="A372" s="9"/>
      <c r="B372" s="15"/>
      <c r="C372" s="9">
        <f>IFERROR(__xludf.DUMMYFUNCTION("""COMPUTED_VALUE"""),44601.6888979513)</f>
        <v>44601.6889</v>
      </c>
      <c r="D372" s="15">
        <f>IFERROR(__xludf.DUMMYFUNCTION("""COMPUTED_VALUE"""),0.999)</f>
        <v>0.999</v>
      </c>
      <c r="E372" s="16">
        <f>IFERROR(__xludf.DUMMYFUNCTION("""COMPUTED_VALUE"""),65.0)</f>
        <v>65</v>
      </c>
      <c r="F372" s="19" t="str">
        <f>IFERROR(__xludf.DUMMYFUNCTION("""COMPUTED_VALUE"""),"BLUE")</f>
        <v>BLUE</v>
      </c>
      <c r="G372" s="20" t="str">
        <f>IFERROR(__xludf.DUMMYFUNCTION("""COMPUTED_VALUE"""),"Uncle Sams Cider (11/12/2021) (Blue)")</f>
        <v>Uncle Sams Cider (11/12/2021) (Blue)</v>
      </c>
      <c r="H372" s="19"/>
    </row>
    <row r="373">
      <c r="A373" s="9"/>
      <c r="B373" s="15"/>
      <c r="C373" s="9">
        <f>IFERROR(__xludf.DUMMYFUNCTION("""COMPUTED_VALUE"""),44601.6784636805)</f>
        <v>44601.67846</v>
      </c>
      <c r="D373" s="15">
        <f>IFERROR(__xludf.DUMMYFUNCTION("""COMPUTED_VALUE"""),0.999)</f>
        <v>0.999</v>
      </c>
      <c r="E373" s="16">
        <f>IFERROR(__xludf.DUMMYFUNCTION("""COMPUTED_VALUE"""),65.0)</f>
        <v>65</v>
      </c>
      <c r="F373" s="19" t="str">
        <f>IFERROR(__xludf.DUMMYFUNCTION("""COMPUTED_VALUE"""),"BLUE")</f>
        <v>BLUE</v>
      </c>
      <c r="G373" s="20" t="str">
        <f>IFERROR(__xludf.DUMMYFUNCTION("""COMPUTED_VALUE"""),"Uncle Sams Cider (11/12/2021) (Blue)")</f>
        <v>Uncle Sams Cider (11/12/2021) (Blue)</v>
      </c>
      <c r="H373" s="19"/>
    </row>
    <row r="374">
      <c r="A374" s="9"/>
      <c r="B374" s="15"/>
      <c r="C374" s="9">
        <f>IFERROR(__xludf.DUMMYFUNCTION("""COMPUTED_VALUE"""),44601.6680429282)</f>
        <v>44601.66804</v>
      </c>
      <c r="D374" s="15">
        <f>IFERROR(__xludf.DUMMYFUNCTION("""COMPUTED_VALUE"""),0.999)</f>
        <v>0.999</v>
      </c>
      <c r="E374" s="16">
        <f>IFERROR(__xludf.DUMMYFUNCTION("""COMPUTED_VALUE"""),65.0)</f>
        <v>65</v>
      </c>
      <c r="F374" s="19" t="str">
        <f>IFERROR(__xludf.DUMMYFUNCTION("""COMPUTED_VALUE"""),"BLUE")</f>
        <v>BLUE</v>
      </c>
      <c r="G374" s="20" t="str">
        <f>IFERROR(__xludf.DUMMYFUNCTION("""COMPUTED_VALUE"""),"Uncle Sams Cider (11/12/2021) (Blue)")</f>
        <v>Uncle Sams Cider (11/12/2021) (Blue)</v>
      </c>
      <c r="H374" s="19"/>
    </row>
    <row r="375">
      <c r="A375" s="9"/>
      <c r="B375" s="15"/>
      <c r="C375" s="9">
        <f>IFERROR(__xludf.DUMMYFUNCTION("""COMPUTED_VALUE"""),44601.6576209259)</f>
        <v>44601.65762</v>
      </c>
      <c r="D375" s="15">
        <f>IFERROR(__xludf.DUMMYFUNCTION("""COMPUTED_VALUE"""),0.999)</f>
        <v>0.999</v>
      </c>
      <c r="E375" s="16">
        <f>IFERROR(__xludf.DUMMYFUNCTION("""COMPUTED_VALUE"""),65.0)</f>
        <v>65</v>
      </c>
      <c r="F375" s="19" t="str">
        <f>IFERROR(__xludf.DUMMYFUNCTION("""COMPUTED_VALUE"""),"BLUE")</f>
        <v>BLUE</v>
      </c>
      <c r="G375" s="20" t="str">
        <f>IFERROR(__xludf.DUMMYFUNCTION("""COMPUTED_VALUE"""),"Uncle Sams Cider (11/12/2021) (Blue)")</f>
        <v>Uncle Sams Cider (11/12/2021) (Blue)</v>
      </c>
      <c r="H375" s="19"/>
    </row>
    <row r="376">
      <c r="A376" s="9"/>
      <c r="B376" s="15"/>
      <c r="C376" s="9">
        <f>IFERROR(__xludf.DUMMYFUNCTION("""COMPUTED_VALUE"""),44601.6471651388)</f>
        <v>44601.64717</v>
      </c>
      <c r="D376" s="15">
        <f>IFERROR(__xludf.DUMMYFUNCTION("""COMPUTED_VALUE"""),0.999)</f>
        <v>0.999</v>
      </c>
      <c r="E376" s="16">
        <f>IFERROR(__xludf.DUMMYFUNCTION("""COMPUTED_VALUE"""),65.0)</f>
        <v>65</v>
      </c>
      <c r="F376" s="19" t="str">
        <f>IFERROR(__xludf.DUMMYFUNCTION("""COMPUTED_VALUE"""),"BLUE")</f>
        <v>BLUE</v>
      </c>
      <c r="G376" s="20" t="str">
        <f>IFERROR(__xludf.DUMMYFUNCTION("""COMPUTED_VALUE"""),"Uncle Sams Cider (11/12/2021) (Blue)")</f>
        <v>Uncle Sams Cider (11/12/2021) (Blue)</v>
      </c>
      <c r="H376" s="19"/>
    </row>
    <row r="377">
      <c r="A377" s="9"/>
      <c r="B377" s="15"/>
      <c r="C377" s="9">
        <f>IFERROR(__xludf.DUMMYFUNCTION("""COMPUTED_VALUE"""),44601.6367447685)</f>
        <v>44601.63674</v>
      </c>
      <c r="D377" s="15">
        <f>IFERROR(__xludf.DUMMYFUNCTION("""COMPUTED_VALUE"""),0.999)</f>
        <v>0.999</v>
      </c>
      <c r="E377" s="16">
        <f>IFERROR(__xludf.DUMMYFUNCTION("""COMPUTED_VALUE"""),65.0)</f>
        <v>65</v>
      </c>
      <c r="F377" s="19" t="str">
        <f>IFERROR(__xludf.DUMMYFUNCTION("""COMPUTED_VALUE"""),"BLUE")</f>
        <v>BLUE</v>
      </c>
      <c r="G377" s="20" t="str">
        <f>IFERROR(__xludf.DUMMYFUNCTION("""COMPUTED_VALUE"""),"Uncle Sams Cider (11/12/2021) (Blue)")</f>
        <v>Uncle Sams Cider (11/12/2021) (Blue)</v>
      </c>
      <c r="H377" s="19"/>
    </row>
    <row r="378">
      <c r="A378" s="9"/>
      <c r="B378" s="15"/>
      <c r="C378" s="9">
        <f>IFERROR(__xludf.DUMMYFUNCTION("""COMPUTED_VALUE"""),44601.6263246064)</f>
        <v>44601.62632</v>
      </c>
      <c r="D378" s="15">
        <f>IFERROR(__xludf.DUMMYFUNCTION("""COMPUTED_VALUE"""),0.999)</f>
        <v>0.999</v>
      </c>
      <c r="E378" s="16">
        <f>IFERROR(__xludf.DUMMYFUNCTION("""COMPUTED_VALUE"""),65.0)</f>
        <v>65</v>
      </c>
      <c r="F378" s="19" t="str">
        <f>IFERROR(__xludf.DUMMYFUNCTION("""COMPUTED_VALUE"""),"BLUE")</f>
        <v>BLUE</v>
      </c>
      <c r="G378" s="20" t="str">
        <f>IFERROR(__xludf.DUMMYFUNCTION("""COMPUTED_VALUE"""),"Uncle Sams Cider (11/12/2021) (Blue)")</f>
        <v>Uncle Sams Cider (11/12/2021) (Blue)</v>
      </c>
      <c r="H378" s="19"/>
    </row>
    <row r="379">
      <c r="A379" s="9"/>
      <c r="B379" s="15"/>
      <c r="C379" s="9">
        <f>IFERROR(__xludf.DUMMYFUNCTION("""COMPUTED_VALUE"""),44601.6159023032)</f>
        <v>44601.6159</v>
      </c>
      <c r="D379" s="15">
        <f>IFERROR(__xludf.DUMMYFUNCTION("""COMPUTED_VALUE"""),0.999)</f>
        <v>0.999</v>
      </c>
      <c r="E379" s="16">
        <f>IFERROR(__xludf.DUMMYFUNCTION("""COMPUTED_VALUE"""),65.0)</f>
        <v>65</v>
      </c>
      <c r="F379" s="19" t="str">
        <f>IFERROR(__xludf.DUMMYFUNCTION("""COMPUTED_VALUE"""),"BLUE")</f>
        <v>BLUE</v>
      </c>
      <c r="G379" s="20" t="str">
        <f>IFERROR(__xludf.DUMMYFUNCTION("""COMPUTED_VALUE"""),"Uncle Sams Cider (11/12/2021) (Blue)")</f>
        <v>Uncle Sams Cider (11/12/2021) (Blue)</v>
      </c>
      <c r="H379" s="19"/>
    </row>
    <row r="380">
      <c r="A380" s="9"/>
      <c r="B380" s="15"/>
      <c r="C380" s="9">
        <f>IFERROR(__xludf.DUMMYFUNCTION("""COMPUTED_VALUE"""),44601.6054822685)</f>
        <v>44601.60548</v>
      </c>
      <c r="D380" s="15">
        <f>IFERROR(__xludf.DUMMYFUNCTION("""COMPUTED_VALUE"""),0.999)</f>
        <v>0.999</v>
      </c>
      <c r="E380" s="16">
        <f>IFERROR(__xludf.DUMMYFUNCTION("""COMPUTED_VALUE"""),65.0)</f>
        <v>65</v>
      </c>
      <c r="F380" s="19" t="str">
        <f>IFERROR(__xludf.DUMMYFUNCTION("""COMPUTED_VALUE"""),"BLUE")</f>
        <v>BLUE</v>
      </c>
      <c r="G380" s="20" t="str">
        <f>IFERROR(__xludf.DUMMYFUNCTION("""COMPUTED_VALUE"""),"Uncle Sams Cider (11/12/2021) (Blue)")</f>
        <v>Uncle Sams Cider (11/12/2021) (Blue)</v>
      </c>
      <c r="H380" s="19"/>
    </row>
    <row r="381">
      <c r="A381" s="9"/>
      <c r="B381" s="15"/>
      <c r="C381" s="9">
        <f>IFERROR(__xludf.DUMMYFUNCTION("""COMPUTED_VALUE"""),44601.5950602893)</f>
        <v>44601.59506</v>
      </c>
      <c r="D381" s="15">
        <f>IFERROR(__xludf.DUMMYFUNCTION("""COMPUTED_VALUE"""),0.999)</f>
        <v>0.999</v>
      </c>
      <c r="E381" s="16">
        <f>IFERROR(__xludf.DUMMYFUNCTION("""COMPUTED_VALUE"""),65.0)</f>
        <v>65</v>
      </c>
      <c r="F381" s="19" t="str">
        <f>IFERROR(__xludf.DUMMYFUNCTION("""COMPUTED_VALUE"""),"BLUE")</f>
        <v>BLUE</v>
      </c>
      <c r="G381" s="20" t="str">
        <f>IFERROR(__xludf.DUMMYFUNCTION("""COMPUTED_VALUE"""),"Uncle Sams Cider (11/12/2021) (Blue)")</f>
        <v>Uncle Sams Cider (11/12/2021) (Blue)</v>
      </c>
      <c r="H381" s="19"/>
    </row>
    <row r="382">
      <c r="A382" s="9"/>
      <c r="B382" s="15"/>
      <c r="C382" s="9">
        <f>IFERROR(__xludf.DUMMYFUNCTION("""COMPUTED_VALUE"""),44601.584638831)</f>
        <v>44601.58464</v>
      </c>
      <c r="D382" s="15">
        <f>IFERROR(__xludf.DUMMYFUNCTION("""COMPUTED_VALUE"""),0.999)</f>
        <v>0.999</v>
      </c>
      <c r="E382" s="16">
        <f>IFERROR(__xludf.DUMMYFUNCTION("""COMPUTED_VALUE"""),65.0)</f>
        <v>65</v>
      </c>
      <c r="F382" s="19" t="str">
        <f>IFERROR(__xludf.DUMMYFUNCTION("""COMPUTED_VALUE"""),"BLUE")</f>
        <v>BLUE</v>
      </c>
      <c r="G382" s="20" t="str">
        <f>IFERROR(__xludf.DUMMYFUNCTION("""COMPUTED_VALUE"""),"Uncle Sams Cider (11/12/2021) (Blue)")</f>
        <v>Uncle Sams Cider (11/12/2021) (Blue)</v>
      </c>
      <c r="H382" s="19"/>
    </row>
    <row r="383">
      <c r="A383" s="9"/>
      <c r="B383" s="15"/>
      <c r="C383" s="9">
        <f>IFERROR(__xludf.DUMMYFUNCTION("""COMPUTED_VALUE"""),44601.574204375)</f>
        <v>44601.5742</v>
      </c>
      <c r="D383" s="15">
        <f>IFERROR(__xludf.DUMMYFUNCTION("""COMPUTED_VALUE"""),0.999)</f>
        <v>0.999</v>
      </c>
      <c r="E383" s="16">
        <f>IFERROR(__xludf.DUMMYFUNCTION("""COMPUTED_VALUE"""),65.0)</f>
        <v>65</v>
      </c>
      <c r="F383" s="19" t="str">
        <f>IFERROR(__xludf.DUMMYFUNCTION("""COMPUTED_VALUE"""),"BLUE")</f>
        <v>BLUE</v>
      </c>
      <c r="G383" s="20" t="str">
        <f>IFERROR(__xludf.DUMMYFUNCTION("""COMPUTED_VALUE"""),"Uncle Sams Cider (11/12/2021) (Blue)")</f>
        <v>Uncle Sams Cider (11/12/2021) (Blue)</v>
      </c>
      <c r="H383" s="19"/>
    </row>
    <row r="384">
      <c r="A384" s="9"/>
      <c r="B384" s="15"/>
      <c r="C384" s="9">
        <f>IFERROR(__xludf.DUMMYFUNCTION("""COMPUTED_VALUE"""),44601.5637845833)</f>
        <v>44601.56378</v>
      </c>
      <c r="D384" s="15">
        <f>IFERROR(__xludf.DUMMYFUNCTION("""COMPUTED_VALUE"""),0.999)</f>
        <v>0.999</v>
      </c>
      <c r="E384" s="16">
        <f>IFERROR(__xludf.DUMMYFUNCTION("""COMPUTED_VALUE"""),65.0)</f>
        <v>65</v>
      </c>
      <c r="F384" s="19" t="str">
        <f>IFERROR(__xludf.DUMMYFUNCTION("""COMPUTED_VALUE"""),"BLUE")</f>
        <v>BLUE</v>
      </c>
      <c r="G384" s="20" t="str">
        <f>IFERROR(__xludf.DUMMYFUNCTION("""COMPUTED_VALUE"""),"Uncle Sams Cider (11/12/2021) (Blue)")</f>
        <v>Uncle Sams Cider (11/12/2021) (Blue)</v>
      </c>
      <c r="H384" s="19"/>
    </row>
    <row r="385">
      <c r="A385" s="9"/>
      <c r="B385" s="15"/>
      <c r="C385" s="9">
        <f>IFERROR(__xludf.DUMMYFUNCTION("""COMPUTED_VALUE"""),44601.5533641898)</f>
        <v>44601.55336</v>
      </c>
      <c r="D385" s="15">
        <f>IFERROR(__xludf.DUMMYFUNCTION("""COMPUTED_VALUE"""),0.999)</f>
        <v>0.999</v>
      </c>
      <c r="E385" s="16">
        <f>IFERROR(__xludf.DUMMYFUNCTION("""COMPUTED_VALUE"""),65.0)</f>
        <v>65</v>
      </c>
      <c r="F385" s="19" t="str">
        <f>IFERROR(__xludf.DUMMYFUNCTION("""COMPUTED_VALUE"""),"BLUE")</f>
        <v>BLUE</v>
      </c>
      <c r="G385" s="20" t="str">
        <f>IFERROR(__xludf.DUMMYFUNCTION("""COMPUTED_VALUE"""),"Uncle Sams Cider (11/12/2021) (Blue)")</f>
        <v>Uncle Sams Cider (11/12/2021) (Blue)</v>
      </c>
      <c r="H385" s="19"/>
    </row>
    <row r="386">
      <c r="A386" s="9"/>
      <c r="B386" s="15"/>
      <c r="C386" s="9">
        <f>IFERROR(__xludf.DUMMYFUNCTION("""COMPUTED_VALUE"""),44601.5429428125)</f>
        <v>44601.54294</v>
      </c>
      <c r="D386" s="15">
        <f>IFERROR(__xludf.DUMMYFUNCTION("""COMPUTED_VALUE"""),0.999)</f>
        <v>0.999</v>
      </c>
      <c r="E386" s="16">
        <f>IFERROR(__xludf.DUMMYFUNCTION("""COMPUTED_VALUE"""),65.0)</f>
        <v>65</v>
      </c>
      <c r="F386" s="19" t="str">
        <f>IFERROR(__xludf.DUMMYFUNCTION("""COMPUTED_VALUE"""),"BLUE")</f>
        <v>BLUE</v>
      </c>
      <c r="G386" s="20" t="str">
        <f>IFERROR(__xludf.DUMMYFUNCTION("""COMPUTED_VALUE"""),"Uncle Sams Cider (11/12/2021) (Blue)")</f>
        <v>Uncle Sams Cider (11/12/2021) (Blue)</v>
      </c>
      <c r="H386" s="19"/>
    </row>
    <row r="387">
      <c r="A387" s="9"/>
      <c r="B387" s="15"/>
      <c r="C387" s="9">
        <f>IFERROR(__xludf.DUMMYFUNCTION("""COMPUTED_VALUE"""),44601.5325229166)</f>
        <v>44601.53252</v>
      </c>
      <c r="D387" s="15">
        <f>IFERROR(__xludf.DUMMYFUNCTION("""COMPUTED_VALUE"""),0.999)</f>
        <v>0.999</v>
      </c>
      <c r="E387" s="16">
        <f>IFERROR(__xludf.DUMMYFUNCTION("""COMPUTED_VALUE"""),65.0)</f>
        <v>65</v>
      </c>
      <c r="F387" s="19" t="str">
        <f>IFERROR(__xludf.DUMMYFUNCTION("""COMPUTED_VALUE"""),"BLUE")</f>
        <v>BLUE</v>
      </c>
      <c r="G387" s="20" t="str">
        <f>IFERROR(__xludf.DUMMYFUNCTION("""COMPUTED_VALUE"""),"Uncle Sams Cider (11/12/2021) (Blue)")</f>
        <v>Uncle Sams Cider (11/12/2021) (Blue)</v>
      </c>
      <c r="H387" s="19"/>
    </row>
    <row r="388">
      <c r="A388" s="9"/>
      <c r="B388" s="15"/>
      <c r="C388" s="9">
        <f>IFERROR(__xludf.DUMMYFUNCTION("""COMPUTED_VALUE"""),44601.5221025462)</f>
        <v>44601.5221</v>
      </c>
      <c r="D388" s="15">
        <f>IFERROR(__xludf.DUMMYFUNCTION("""COMPUTED_VALUE"""),0.999)</f>
        <v>0.999</v>
      </c>
      <c r="E388" s="16">
        <f>IFERROR(__xludf.DUMMYFUNCTION("""COMPUTED_VALUE"""),65.0)</f>
        <v>65</v>
      </c>
      <c r="F388" s="19" t="str">
        <f>IFERROR(__xludf.DUMMYFUNCTION("""COMPUTED_VALUE"""),"BLUE")</f>
        <v>BLUE</v>
      </c>
      <c r="G388" s="20" t="str">
        <f>IFERROR(__xludf.DUMMYFUNCTION("""COMPUTED_VALUE"""),"Uncle Sams Cider (11/12/2021) (Blue)")</f>
        <v>Uncle Sams Cider (11/12/2021) (Blue)</v>
      </c>
      <c r="H388" s="19"/>
    </row>
    <row r="389">
      <c r="A389" s="9"/>
      <c r="B389" s="15"/>
      <c r="C389" s="9">
        <f>IFERROR(__xludf.DUMMYFUNCTION("""COMPUTED_VALUE"""),44601.5116822916)</f>
        <v>44601.51168</v>
      </c>
      <c r="D389" s="15">
        <f>IFERROR(__xludf.DUMMYFUNCTION("""COMPUTED_VALUE"""),0.999)</f>
        <v>0.999</v>
      </c>
      <c r="E389" s="16">
        <f>IFERROR(__xludf.DUMMYFUNCTION("""COMPUTED_VALUE"""),65.0)</f>
        <v>65</v>
      </c>
      <c r="F389" s="19" t="str">
        <f>IFERROR(__xludf.DUMMYFUNCTION("""COMPUTED_VALUE"""),"BLUE")</f>
        <v>BLUE</v>
      </c>
      <c r="G389" s="20" t="str">
        <f>IFERROR(__xludf.DUMMYFUNCTION("""COMPUTED_VALUE"""),"Uncle Sams Cider (11/12/2021) (Blue)")</f>
        <v>Uncle Sams Cider (11/12/2021) (Blue)</v>
      </c>
      <c r="H389" s="19"/>
    </row>
    <row r="390">
      <c r="A390" s="9"/>
      <c r="B390" s="15"/>
      <c r="C390" s="9">
        <f>IFERROR(__xludf.DUMMYFUNCTION("""COMPUTED_VALUE"""),44601.5012603935)</f>
        <v>44601.50126</v>
      </c>
      <c r="D390" s="15">
        <f>IFERROR(__xludf.DUMMYFUNCTION("""COMPUTED_VALUE"""),0.999)</f>
        <v>0.999</v>
      </c>
      <c r="E390" s="16">
        <f>IFERROR(__xludf.DUMMYFUNCTION("""COMPUTED_VALUE"""),65.0)</f>
        <v>65</v>
      </c>
      <c r="F390" s="19" t="str">
        <f>IFERROR(__xludf.DUMMYFUNCTION("""COMPUTED_VALUE"""),"BLUE")</f>
        <v>BLUE</v>
      </c>
      <c r="G390" s="20" t="str">
        <f>IFERROR(__xludf.DUMMYFUNCTION("""COMPUTED_VALUE"""),"Uncle Sams Cider (11/12/2021) (Blue)")</f>
        <v>Uncle Sams Cider (11/12/2021) (Blue)</v>
      </c>
      <c r="H390" s="19"/>
    </row>
    <row r="391">
      <c r="A391" s="9"/>
      <c r="B391" s="15"/>
      <c r="C391" s="9">
        <f>IFERROR(__xludf.DUMMYFUNCTION("""COMPUTED_VALUE"""),44601.4908386689)</f>
        <v>44601.49084</v>
      </c>
      <c r="D391" s="15">
        <f>IFERROR(__xludf.DUMMYFUNCTION("""COMPUTED_VALUE"""),0.999)</f>
        <v>0.999</v>
      </c>
      <c r="E391" s="16">
        <f>IFERROR(__xludf.DUMMYFUNCTION("""COMPUTED_VALUE"""),65.0)</f>
        <v>65</v>
      </c>
      <c r="F391" s="19" t="str">
        <f>IFERROR(__xludf.DUMMYFUNCTION("""COMPUTED_VALUE"""),"BLUE")</f>
        <v>BLUE</v>
      </c>
      <c r="G391" s="20" t="str">
        <f>IFERROR(__xludf.DUMMYFUNCTION("""COMPUTED_VALUE"""),"Uncle Sams Cider (11/12/2021) (Blue)")</f>
        <v>Uncle Sams Cider (11/12/2021) (Blue)</v>
      </c>
      <c r="H391" s="19"/>
    </row>
    <row r="392">
      <c r="A392" s="9"/>
      <c r="B392" s="15"/>
      <c r="C392" s="9">
        <f>IFERROR(__xludf.DUMMYFUNCTION("""COMPUTED_VALUE"""),44601.4804181944)</f>
        <v>44601.48042</v>
      </c>
      <c r="D392" s="15">
        <f>IFERROR(__xludf.DUMMYFUNCTION("""COMPUTED_VALUE"""),0.999)</f>
        <v>0.999</v>
      </c>
      <c r="E392" s="16">
        <f>IFERROR(__xludf.DUMMYFUNCTION("""COMPUTED_VALUE"""),65.0)</f>
        <v>65</v>
      </c>
      <c r="F392" s="19" t="str">
        <f>IFERROR(__xludf.DUMMYFUNCTION("""COMPUTED_VALUE"""),"BLUE")</f>
        <v>BLUE</v>
      </c>
      <c r="G392" s="20" t="str">
        <f>IFERROR(__xludf.DUMMYFUNCTION("""COMPUTED_VALUE"""),"Uncle Sams Cider (11/12/2021) (Blue)")</f>
        <v>Uncle Sams Cider (11/12/2021) (Blue)</v>
      </c>
      <c r="H392" s="19"/>
    </row>
    <row r="393">
      <c r="A393" s="9"/>
      <c r="B393" s="15"/>
      <c r="C393" s="9">
        <f>IFERROR(__xludf.DUMMYFUNCTION("""COMPUTED_VALUE"""),44601.4699977662)</f>
        <v>44601.47</v>
      </c>
      <c r="D393" s="15">
        <f>IFERROR(__xludf.DUMMYFUNCTION("""COMPUTED_VALUE"""),0.999)</f>
        <v>0.999</v>
      </c>
      <c r="E393" s="16">
        <f>IFERROR(__xludf.DUMMYFUNCTION("""COMPUTED_VALUE"""),65.0)</f>
        <v>65</v>
      </c>
      <c r="F393" s="19" t="str">
        <f>IFERROR(__xludf.DUMMYFUNCTION("""COMPUTED_VALUE"""),"BLUE")</f>
        <v>BLUE</v>
      </c>
      <c r="G393" s="20" t="str">
        <f>IFERROR(__xludf.DUMMYFUNCTION("""COMPUTED_VALUE"""),"Uncle Sams Cider (11/12/2021) (Blue)")</f>
        <v>Uncle Sams Cider (11/12/2021) (Blue)</v>
      </c>
      <c r="H393" s="19"/>
    </row>
    <row r="394">
      <c r="A394" s="9"/>
      <c r="B394" s="15"/>
      <c r="C394" s="9">
        <f>IFERROR(__xludf.DUMMYFUNCTION("""COMPUTED_VALUE"""),44601.4595768171)</f>
        <v>44601.45958</v>
      </c>
      <c r="D394" s="15">
        <f>IFERROR(__xludf.DUMMYFUNCTION("""COMPUTED_VALUE"""),0.999)</f>
        <v>0.999</v>
      </c>
      <c r="E394" s="16">
        <f>IFERROR(__xludf.DUMMYFUNCTION("""COMPUTED_VALUE"""),65.0)</f>
        <v>65</v>
      </c>
      <c r="F394" s="19" t="str">
        <f>IFERROR(__xludf.DUMMYFUNCTION("""COMPUTED_VALUE"""),"BLUE")</f>
        <v>BLUE</v>
      </c>
      <c r="G394" s="20" t="str">
        <f>IFERROR(__xludf.DUMMYFUNCTION("""COMPUTED_VALUE"""),"Uncle Sams Cider (11/12/2021) (Blue)")</f>
        <v>Uncle Sams Cider (11/12/2021) (Blue)</v>
      </c>
      <c r="H394" s="19"/>
    </row>
    <row r="395">
      <c r="A395" s="9"/>
      <c r="B395" s="15"/>
      <c r="C395" s="9">
        <f>IFERROR(__xludf.DUMMYFUNCTION("""COMPUTED_VALUE"""),44601.4491572916)</f>
        <v>44601.44916</v>
      </c>
      <c r="D395" s="15">
        <f>IFERROR(__xludf.DUMMYFUNCTION("""COMPUTED_VALUE"""),0.999)</f>
        <v>0.999</v>
      </c>
      <c r="E395" s="16">
        <f>IFERROR(__xludf.DUMMYFUNCTION("""COMPUTED_VALUE"""),65.0)</f>
        <v>65</v>
      </c>
      <c r="F395" s="19" t="str">
        <f>IFERROR(__xludf.DUMMYFUNCTION("""COMPUTED_VALUE"""),"BLUE")</f>
        <v>BLUE</v>
      </c>
      <c r="G395" s="20" t="str">
        <f>IFERROR(__xludf.DUMMYFUNCTION("""COMPUTED_VALUE"""),"Uncle Sams Cider (11/12/2021) (Blue)")</f>
        <v>Uncle Sams Cider (11/12/2021) (Blue)</v>
      </c>
      <c r="H395" s="19"/>
    </row>
    <row r="396">
      <c r="A396" s="9"/>
      <c r="B396" s="15"/>
      <c r="C396" s="9">
        <f>IFERROR(__xludf.DUMMYFUNCTION("""COMPUTED_VALUE"""),44601.438736331)</f>
        <v>44601.43874</v>
      </c>
      <c r="D396" s="15">
        <f>IFERROR(__xludf.DUMMYFUNCTION("""COMPUTED_VALUE"""),0.999)</f>
        <v>0.999</v>
      </c>
      <c r="E396" s="16">
        <f>IFERROR(__xludf.DUMMYFUNCTION("""COMPUTED_VALUE"""),65.0)</f>
        <v>65</v>
      </c>
      <c r="F396" s="19" t="str">
        <f>IFERROR(__xludf.DUMMYFUNCTION("""COMPUTED_VALUE"""),"BLUE")</f>
        <v>BLUE</v>
      </c>
      <c r="G396" s="20" t="str">
        <f>IFERROR(__xludf.DUMMYFUNCTION("""COMPUTED_VALUE"""),"Uncle Sams Cider (11/12/2021) (Blue)")</f>
        <v>Uncle Sams Cider (11/12/2021) (Blue)</v>
      </c>
      <c r="H396" s="19"/>
    </row>
    <row r="397">
      <c r="A397" s="9"/>
      <c r="B397" s="15"/>
      <c r="C397" s="9">
        <f>IFERROR(__xludf.DUMMYFUNCTION("""COMPUTED_VALUE"""),44601.4283147916)</f>
        <v>44601.42831</v>
      </c>
      <c r="D397" s="15">
        <f>IFERROR(__xludf.DUMMYFUNCTION("""COMPUTED_VALUE"""),0.999)</f>
        <v>0.999</v>
      </c>
      <c r="E397" s="16">
        <f>IFERROR(__xludf.DUMMYFUNCTION("""COMPUTED_VALUE"""),65.0)</f>
        <v>65</v>
      </c>
      <c r="F397" s="19" t="str">
        <f>IFERROR(__xludf.DUMMYFUNCTION("""COMPUTED_VALUE"""),"BLUE")</f>
        <v>BLUE</v>
      </c>
      <c r="G397" s="20" t="str">
        <f>IFERROR(__xludf.DUMMYFUNCTION("""COMPUTED_VALUE"""),"Uncle Sams Cider (11/12/2021) (Blue)")</f>
        <v>Uncle Sams Cider (11/12/2021) (Blue)</v>
      </c>
      <c r="H397" s="19"/>
    </row>
    <row r="398">
      <c r="A398" s="9"/>
      <c r="B398" s="15"/>
      <c r="C398" s="9">
        <f>IFERROR(__xludf.DUMMYFUNCTION("""COMPUTED_VALUE"""),44601.4178945833)</f>
        <v>44601.41789</v>
      </c>
      <c r="D398" s="15">
        <f>IFERROR(__xludf.DUMMYFUNCTION("""COMPUTED_VALUE"""),0.999)</f>
        <v>0.999</v>
      </c>
      <c r="E398" s="16">
        <f>IFERROR(__xludf.DUMMYFUNCTION("""COMPUTED_VALUE"""),65.0)</f>
        <v>65</v>
      </c>
      <c r="F398" s="19" t="str">
        <f>IFERROR(__xludf.DUMMYFUNCTION("""COMPUTED_VALUE"""),"BLUE")</f>
        <v>BLUE</v>
      </c>
      <c r="G398" s="20" t="str">
        <f>IFERROR(__xludf.DUMMYFUNCTION("""COMPUTED_VALUE"""),"Uncle Sams Cider (11/12/2021) (Blue)")</f>
        <v>Uncle Sams Cider (11/12/2021) (Blue)</v>
      </c>
      <c r="H398" s="19"/>
    </row>
    <row r="399">
      <c r="A399" s="9"/>
      <c r="B399" s="15"/>
      <c r="C399" s="9">
        <f>IFERROR(__xludf.DUMMYFUNCTION("""COMPUTED_VALUE"""),44601.407473449)</f>
        <v>44601.40747</v>
      </c>
      <c r="D399" s="15">
        <f>IFERROR(__xludf.DUMMYFUNCTION("""COMPUTED_VALUE"""),0.999)</f>
        <v>0.999</v>
      </c>
      <c r="E399" s="16">
        <f>IFERROR(__xludf.DUMMYFUNCTION("""COMPUTED_VALUE"""),65.0)</f>
        <v>65</v>
      </c>
      <c r="F399" s="19" t="str">
        <f>IFERROR(__xludf.DUMMYFUNCTION("""COMPUTED_VALUE"""),"BLUE")</f>
        <v>BLUE</v>
      </c>
      <c r="G399" s="20" t="str">
        <f>IFERROR(__xludf.DUMMYFUNCTION("""COMPUTED_VALUE"""),"Uncle Sams Cider (11/12/2021) (Blue)")</f>
        <v>Uncle Sams Cider (11/12/2021) (Blue)</v>
      </c>
      <c r="H399" s="19"/>
    </row>
    <row r="400">
      <c r="A400" s="9"/>
      <c r="B400" s="15"/>
      <c r="C400" s="9">
        <f>IFERROR(__xludf.DUMMYFUNCTION("""COMPUTED_VALUE"""),44601.3970405439)</f>
        <v>44601.39704</v>
      </c>
      <c r="D400" s="15">
        <f>IFERROR(__xludf.DUMMYFUNCTION("""COMPUTED_VALUE"""),0.999)</f>
        <v>0.999</v>
      </c>
      <c r="E400" s="16">
        <f>IFERROR(__xludf.DUMMYFUNCTION("""COMPUTED_VALUE"""),65.0)</f>
        <v>65</v>
      </c>
      <c r="F400" s="19" t="str">
        <f>IFERROR(__xludf.DUMMYFUNCTION("""COMPUTED_VALUE"""),"BLUE")</f>
        <v>BLUE</v>
      </c>
      <c r="G400" s="20" t="str">
        <f>IFERROR(__xludf.DUMMYFUNCTION("""COMPUTED_VALUE"""),"Uncle Sams Cider (11/12/2021) (Blue)")</f>
        <v>Uncle Sams Cider (11/12/2021) (Blue)</v>
      </c>
      <c r="H400" s="19"/>
    </row>
    <row r="401">
      <c r="A401" s="9"/>
      <c r="B401" s="15"/>
      <c r="C401" s="9">
        <f>IFERROR(__xludf.DUMMYFUNCTION("""COMPUTED_VALUE"""),44601.3866188657)</f>
        <v>44601.38662</v>
      </c>
      <c r="D401" s="15">
        <f>IFERROR(__xludf.DUMMYFUNCTION("""COMPUTED_VALUE"""),0.999)</f>
        <v>0.999</v>
      </c>
      <c r="E401" s="16">
        <f>IFERROR(__xludf.DUMMYFUNCTION("""COMPUTED_VALUE"""),65.0)</f>
        <v>65</v>
      </c>
      <c r="F401" s="19" t="str">
        <f>IFERROR(__xludf.DUMMYFUNCTION("""COMPUTED_VALUE"""),"BLUE")</f>
        <v>BLUE</v>
      </c>
      <c r="G401" s="20" t="str">
        <f>IFERROR(__xludf.DUMMYFUNCTION("""COMPUTED_VALUE"""),"Uncle Sams Cider (11/12/2021) (Blue)")</f>
        <v>Uncle Sams Cider (11/12/2021) (Blue)</v>
      </c>
      <c r="H401" s="19"/>
    </row>
    <row r="402">
      <c r="A402" s="9"/>
      <c r="B402" s="15"/>
      <c r="C402" s="9">
        <f>IFERROR(__xludf.DUMMYFUNCTION("""COMPUTED_VALUE"""),44601.3761868981)</f>
        <v>44601.37619</v>
      </c>
      <c r="D402" s="15">
        <f>IFERROR(__xludf.DUMMYFUNCTION("""COMPUTED_VALUE"""),0.999)</f>
        <v>0.999</v>
      </c>
      <c r="E402" s="16">
        <f>IFERROR(__xludf.DUMMYFUNCTION("""COMPUTED_VALUE"""),65.0)</f>
        <v>65</v>
      </c>
      <c r="F402" s="19" t="str">
        <f>IFERROR(__xludf.DUMMYFUNCTION("""COMPUTED_VALUE"""),"BLUE")</f>
        <v>BLUE</v>
      </c>
      <c r="G402" s="20" t="str">
        <f>IFERROR(__xludf.DUMMYFUNCTION("""COMPUTED_VALUE"""),"Uncle Sams Cider (11/12/2021) (Blue)")</f>
        <v>Uncle Sams Cider (11/12/2021) (Blue)</v>
      </c>
      <c r="H402" s="19"/>
    </row>
    <row r="403">
      <c r="A403" s="9"/>
      <c r="B403" s="15"/>
      <c r="C403" s="9">
        <f>IFERROR(__xludf.DUMMYFUNCTION("""COMPUTED_VALUE"""),44601.3657652777)</f>
        <v>44601.36577</v>
      </c>
      <c r="D403" s="15">
        <f>IFERROR(__xludf.DUMMYFUNCTION("""COMPUTED_VALUE"""),0.999)</f>
        <v>0.999</v>
      </c>
      <c r="E403" s="16">
        <f>IFERROR(__xludf.DUMMYFUNCTION("""COMPUTED_VALUE"""),65.0)</f>
        <v>65</v>
      </c>
      <c r="F403" s="19" t="str">
        <f>IFERROR(__xludf.DUMMYFUNCTION("""COMPUTED_VALUE"""),"BLUE")</f>
        <v>BLUE</v>
      </c>
      <c r="G403" s="20" t="str">
        <f>IFERROR(__xludf.DUMMYFUNCTION("""COMPUTED_VALUE"""),"Uncle Sams Cider (11/12/2021) (Blue)")</f>
        <v>Uncle Sams Cider (11/12/2021) (Blue)</v>
      </c>
      <c r="H403" s="19"/>
    </row>
    <row r="404">
      <c r="A404" s="9"/>
      <c r="B404" s="15"/>
      <c r="C404" s="9">
        <f>IFERROR(__xludf.DUMMYFUNCTION("""COMPUTED_VALUE"""),44601.3553435185)</f>
        <v>44601.35534</v>
      </c>
      <c r="D404" s="15">
        <f>IFERROR(__xludf.DUMMYFUNCTION("""COMPUTED_VALUE"""),0.999)</f>
        <v>0.999</v>
      </c>
      <c r="E404" s="16">
        <f>IFERROR(__xludf.DUMMYFUNCTION("""COMPUTED_VALUE"""),65.0)</f>
        <v>65</v>
      </c>
      <c r="F404" s="19" t="str">
        <f>IFERROR(__xludf.DUMMYFUNCTION("""COMPUTED_VALUE"""),"BLUE")</f>
        <v>BLUE</v>
      </c>
      <c r="G404" s="20" t="str">
        <f>IFERROR(__xludf.DUMMYFUNCTION("""COMPUTED_VALUE"""),"Uncle Sams Cider (11/12/2021) (Blue)")</f>
        <v>Uncle Sams Cider (11/12/2021) (Blue)</v>
      </c>
      <c r="H404" s="19"/>
    </row>
    <row r="405">
      <c r="A405" s="9"/>
      <c r="B405" s="15"/>
      <c r="C405" s="9">
        <f>IFERROR(__xludf.DUMMYFUNCTION("""COMPUTED_VALUE"""),44601.3449225347)</f>
        <v>44601.34492</v>
      </c>
      <c r="D405" s="15">
        <f>IFERROR(__xludf.DUMMYFUNCTION("""COMPUTED_VALUE"""),0.999)</f>
        <v>0.999</v>
      </c>
      <c r="E405" s="16">
        <f>IFERROR(__xludf.DUMMYFUNCTION("""COMPUTED_VALUE"""),66.0)</f>
        <v>66</v>
      </c>
      <c r="F405" s="19" t="str">
        <f>IFERROR(__xludf.DUMMYFUNCTION("""COMPUTED_VALUE"""),"BLUE")</f>
        <v>BLUE</v>
      </c>
      <c r="G405" s="20" t="str">
        <f>IFERROR(__xludf.DUMMYFUNCTION("""COMPUTED_VALUE"""),"Uncle Sams Cider (11/12/2021) (Blue)")</f>
        <v>Uncle Sams Cider (11/12/2021) (Blue)</v>
      </c>
      <c r="H405" s="19"/>
    </row>
    <row r="406">
      <c r="A406" s="9"/>
      <c r="B406" s="15"/>
      <c r="C406" s="9">
        <f>IFERROR(__xludf.DUMMYFUNCTION("""COMPUTED_VALUE"""),44601.3345012847)</f>
        <v>44601.3345</v>
      </c>
      <c r="D406" s="15">
        <f>IFERROR(__xludf.DUMMYFUNCTION("""COMPUTED_VALUE"""),0.999)</f>
        <v>0.999</v>
      </c>
      <c r="E406" s="16">
        <f>IFERROR(__xludf.DUMMYFUNCTION("""COMPUTED_VALUE"""),66.0)</f>
        <v>66</v>
      </c>
      <c r="F406" s="19" t="str">
        <f>IFERROR(__xludf.DUMMYFUNCTION("""COMPUTED_VALUE"""),"BLUE")</f>
        <v>BLUE</v>
      </c>
      <c r="G406" s="20" t="str">
        <f>IFERROR(__xludf.DUMMYFUNCTION("""COMPUTED_VALUE"""),"Uncle Sams Cider (11/12/2021) (Blue)")</f>
        <v>Uncle Sams Cider (11/12/2021) (Blue)</v>
      </c>
      <c r="H406" s="19"/>
    </row>
    <row r="407">
      <c r="A407" s="9"/>
      <c r="B407" s="15"/>
      <c r="C407" s="9">
        <f>IFERROR(__xludf.DUMMYFUNCTION("""COMPUTED_VALUE"""),44601.3240704745)</f>
        <v>44601.32407</v>
      </c>
      <c r="D407" s="15">
        <f>IFERROR(__xludf.DUMMYFUNCTION("""COMPUTED_VALUE"""),0.999)</f>
        <v>0.999</v>
      </c>
      <c r="E407" s="16">
        <f>IFERROR(__xludf.DUMMYFUNCTION("""COMPUTED_VALUE"""),65.0)</f>
        <v>65</v>
      </c>
      <c r="F407" s="19" t="str">
        <f>IFERROR(__xludf.DUMMYFUNCTION("""COMPUTED_VALUE"""),"BLUE")</f>
        <v>BLUE</v>
      </c>
      <c r="G407" s="20" t="str">
        <f>IFERROR(__xludf.DUMMYFUNCTION("""COMPUTED_VALUE"""),"Uncle Sams Cider (11/12/2021) (Blue)")</f>
        <v>Uncle Sams Cider (11/12/2021) (Blue)</v>
      </c>
      <c r="H407" s="19"/>
    </row>
    <row r="408">
      <c r="A408" s="9"/>
      <c r="B408" s="15"/>
      <c r="C408" s="9">
        <f>IFERROR(__xludf.DUMMYFUNCTION("""COMPUTED_VALUE"""),44601.3136378009)</f>
        <v>44601.31364</v>
      </c>
      <c r="D408" s="15">
        <f>IFERROR(__xludf.DUMMYFUNCTION("""COMPUTED_VALUE"""),0.999)</f>
        <v>0.999</v>
      </c>
      <c r="E408" s="16">
        <f>IFERROR(__xludf.DUMMYFUNCTION("""COMPUTED_VALUE"""),66.0)</f>
        <v>66</v>
      </c>
      <c r="F408" s="19" t="str">
        <f>IFERROR(__xludf.DUMMYFUNCTION("""COMPUTED_VALUE"""),"BLUE")</f>
        <v>BLUE</v>
      </c>
      <c r="G408" s="20" t="str">
        <f>IFERROR(__xludf.DUMMYFUNCTION("""COMPUTED_VALUE"""),"Uncle Sams Cider (11/12/2021) (Blue)")</f>
        <v>Uncle Sams Cider (11/12/2021) (Blue)</v>
      </c>
      <c r="H408" s="19"/>
    </row>
    <row r="409">
      <c r="A409" s="9"/>
      <c r="B409" s="15"/>
      <c r="C409" s="9">
        <f>IFERROR(__xludf.DUMMYFUNCTION("""COMPUTED_VALUE"""),44601.3032139814)</f>
        <v>44601.30321</v>
      </c>
      <c r="D409" s="15">
        <f>IFERROR(__xludf.DUMMYFUNCTION("""COMPUTED_VALUE"""),0.999)</f>
        <v>0.999</v>
      </c>
      <c r="E409" s="16">
        <f>IFERROR(__xludf.DUMMYFUNCTION("""COMPUTED_VALUE"""),66.0)</f>
        <v>66</v>
      </c>
      <c r="F409" s="19" t="str">
        <f>IFERROR(__xludf.DUMMYFUNCTION("""COMPUTED_VALUE"""),"BLUE")</f>
        <v>BLUE</v>
      </c>
      <c r="G409" s="20" t="str">
        <f>IFERROR(__xludf.DUMMYFUNCTION("""COMPUTED_VALUE"""),"Uncle Sams Cider (11/12/2021) (Blue)")</f>
        <v>Uncle Sams Cider (11/12/2021) (Blue)</v>
      </c>
      <c r="H409" s="19"/>
    </row>
    <row r="410">
      <c r="A410" s="9"/>
      <c r="B410" s="15"/>
      <c r="C410" s="9">
        <f>IFERROR(__xludf.DUMMYFUNCTION("""COMPUTED_VALUE"""),44601.2927807291)</f>
        <v>44601.29278</v>
      </c>
      <c r="D410" s="15">
        <f>IFERROR(__xludf.DUMMYFUNCTION("""COMPUTED_VALUE"""),0.999)</f>
        <v>0.999</v>
      </c>
      <c r="E410" s="16">
        <f>IFERROR(__xludf.DUMMYFUNCTION("""COMPUTED_VALUE"""),66.0)</f>
        <v>66</v>
      </c>
      <c r="F410" s="19" t="str">
        <f>IFERROR(__xludf.DUMMYFUNCTION("""COMPUTED_VALUE"""),"BLUE")</f>
        <v>BLUE</v>
      </c>
      <c r="G410" s="20" t="str">
        <f>IFERROR(__xludf.DUMMYFUNCTION("""COMPUTED_VALUE"""),"Uncle Sams Cider (11/12/2021) (Blue)")</f>
        <v>Uncle Sams Cider (11/12/2021) (Blue)</v>
      </c>
      <c r="H410" s="19"/>
    </row>
    <row r="411">
      <c r="A411" s="9"/>
      <c r="B411" s="15"/>
      <c r="C411" s="9">
        <f>IFERROR(__xludf.DUMMYFUNCTION("""COMPUTED_VALUE"""),44601.2823592476)</f>
        <v>44601.28236</v>
      </c>
      <c r="D411" s="15">
        <f>IFERROR(__xludf.DUMMYFUNCTION("""COMPUTED_VALUE"""),0.999)</f>
        <v>0.999</v>
      </c>
      <c r="E411" s="16">
        <f>IFERROR(__xludf.DUMMYFUNCTION("""COMPUTED_VALUE"""),66.0)</f>
        <v>66</v>
      </c>
      <c r="F411" s="19" t="str">
        <f>IFERROR(__xludf.DUMMYFUNCTION("""COMPUTED_VALUE"""),"BLUE")</f>
        <v>BLUE</v>
      </c>
      <c r="G411" s="20" t="str">
        <f>IFERROR(__xludf.DUMMYFUNCTION("""COMPUTED_VALUE"""),"Uncle Sams Cider (11/12/2021) (Blue)")</f>
        <v>Uncle Sams Cider (11/12/2021) (Blue)</v>
      </c>
      <c r="H411" s="19"/>
    </row>
    <row r="412">
      <c r="A412" s="9"/>
      <c r="B412" s="15"/>
      <c r="C412" s="9">
        <f>IFERROR(__xludf.DUMMYFUNCTION("""COMPUTED_VALUE"""),44601.2719389351)</f>
        <v>44601.27194</v>
      </c>
      <c r="D412" s="15">
        <f>IFERROR(__xludf.DUMMYFUNCTION("""COMPUTED_VALUE"""),0.999)</f>
        <v>0.999</v>
      </c>
      <c r="E412" s="16">
        <f>IFERROR(__xludf.DUMMYFUNCTION("""COMPUTED_VALUE"""),66.0)</f>
        <v>66</v>
      </c>
      <c r="F412" s="19" t="str">
        <f>IFERROR(__xludf.DUMMYFUNCTION("""COMPUTED_VALUE"""),"BLUE")</f>
        <v>BLUE</v>
      </c>
      <c r="G412" s="20" t="str">
        <f>IFERROR(__xludf.DUMMYFUNCTION("""COMPUTED_VALUE"""),"Uncle Sams Cider (11/12/2021) (Blue)")</f>
        <v>Uncle Sams Cider (11/12/2021) (Blue)</v>
      </c>
      <c r="H412" s="19"/>
    </row>
    <row r="413">
      <c r="A413" s="9"/>
      <c r="B413" s="15"/>
      <c r="C413" s="9">
        <f>IFERROR(__xludf.DUMMYFUNCTION("""COMPUTED_VALUE"""),44601.2615172453)</f>
        <v>44601.26152</v>
      </c>
      <c r="D413" s="15">
        <f>IFERROR(__xludf.DUMMYFUNCTION("""COMPUTED_VALUE"""),0.999)</f>
        <v>0.999</v>
      </c>
      <c r="E413" s="16">
        <f>IFERROR(__xludf.DUMMYFUNCTION("""COMPUTED_VALUE"""),66.0)</f>
        <v>66</v>
      </c>
      <c r="F413" s="19" t="str">
        <f>IFERROR(__xludf.DUMMYFUNCTION("""COMPUTED_VALUE"""),"BLUE")</f>
        <v>BLUE</v>
      </c>
      <c r="G413" s="20" t="str">
        <f>IFERROR(__xludf.DUMMYFUNCTION("""COMPUTED_VALUE"""),"Uncle Sams Cider (11/12/2021) (Blue)")</f>
        <v>Uncle Sams Cider (11/12/2021) (Blue)</v>
      </c>
      <c r="H413" s="19"/>
    </row>
    <row r="414">
      <c r="A414" s="9"/>
      <c r="B414" s="15"/>
      <c r="C414" s="9">
        <f>IFERROR(__xludf.DUMMYFUNCTION("""COMPUTED_VALUE"""),44601.2510960995)</f>
        <v>44601.2511</v>
      </c>
      <c r="D414" s="15">
        <f>IFERROR(__xludf.DUMMYFUNCTION("""COMPUTED_VALUE"""),0.999)</f>
        <v>0.999</v>
      </c>
      <c r="E414" s="16">
        <f>IFERROR(__xludf.DUMMYFUNCTION("""COMPUTED_VALUE"""),66.0)</f>
        <v>66</v>
      </c>
      <c r="F414" s="19" t="str">
        <f>IFERROR(__xludf.DUMMYFUNCTION("""COMPUTED_VALUE"""),"BLUE")</f>
        <v>BLUE</v>
      </c>
      <c r="G414" s="20" t="str">
        <f>IFERROR(__xludf.DUMMYFUNCTION("""COMPUTED_VALUE"""),"Uncle Sams Cider (11/12/2021) (Blue)")</f>
        <v>Uncle Sams Cider (11/12/2021) (Blue)</v>
      </c>
      <c r="H414" s="19"/>
    </row>
    <row r="415">
      <c r="A415" s="9"/>
      <c r="B415" s="15"/>
      <c r="C415" s="9">
        <f>IFERROR(__xludf.DUMMYFUNCTION("""COMPUTED_VALUE"""),44601.2406744907)</f>
        <v>44601.24067</v>
      </c>
      <c r="D415" s="15">
        <f>IFERROR(__xludf.DUMMYFUNCTION("""COMPUTED_VALUE"""),0.999)</f>
        <v>0.999</v>
      </c>
      <c r="E415" s="16">
        <f>IFERROR(__xludf.DUMMYFUNCTION("""COMPUTED_VALUE"""),66.0)</f>
        <v>66</v>
      </c>
      <c r="F415" s="19" t="str">
        <f>IFERROR(__xludf.DUMMYFUNCTION("""COMPUTED_VALUE"""),"BLUE")</f>
        <v>BLUE</v>
      </c>
      <c r="G415" s="20" t="str">
        <f>IFERROR(__xludf.DUMMYFUNCTION("""COMPUTED_VALUE"""),"Uncle Sams Cider (11/12/2021) (Blue)")</f>
        <v>Uncle Sams Cider (11/12/2021) (Blue)</v>
      </c>
      <c r="H415" s="19"/>
    </row>
    <row r="416">
      <c r="A416" s="9"/>
      <c r="B416" s="15"/>
      <c r="C416" s="9">
        <f>IFERROR(__xludf.DUMMYFUNCTION("""COMPUTED_VALUE"""),44601.2302305786)</f>
        <v>44601.23023</v>
      </c>
      <c r="D416" s="15">
        <f>IFERROR(__xludf.DUMMYFUNCTION("""COMPUTED_VALUE"""),0.999)</f>
        <v>0.999</v>
      </c>
      <c r="E416" s="16">
        <f>IFERROR(__xludf.DUMMYFUNCTION("""COMPUTED_VALUE"""),66.0)</f>
        <v>66</v>
      </c>
      <c r="F416" s="19" t="str">
        <f>IFERROR(__xludf.DUMMYFUNCTION("""COMPUTED_VALUE"""),"BLUE")</f>
        <v>BLUE</v>
      </c>
      <c r="G416" s="20" t="str">
        <f>IFERROR(__xludf.DUMMYFUNCTION("""COMPUTED_VALUE"""),"Uncle Sams Cider (11/12/2021) (Blue)")</f>
        <v>Uncle Sams Cider (11/12/2021) (Blue)</v>
      </c>
      <c r="H416" s="19"/>
    </row>
    <row r="417">
      <c r="A417" s="9"/>
      <c r="B417" s="15"/>
      <c r="C417" s="9">
        <f>IFERROR(__xludf.DUMMYFUNCTION("""COMPUTED_VALUE"""),44601.219797905)</f>
        <v>44601.2198</v>
      </c>
      <c r="D417" s="15">
        <f>IFERROR(__xludf.DUMMYFUNCTION("""COMPUTED_VALUE"""),0.999)</f>
        <v>0.999</v>
      </c>
      <c r="E417" s="16">
        <f>IFERROR(__xludf.DUMMYFUNCTION("""COMPUTED_VALUE"""),66.0)</f>
        <v>66</v>
      </c>
      <c r="F417" s="19" t="str">
        <f>IFERROR(__xludf.DUMMYFUNCTION("""COMPUTED_VALUE"""),"BLUE")</f>
        <v>BLUE</v>
      </c>
      <c r="G417" s="20" t="str">
        <f>IFERROR(__xludf.DUMMYFUNCTION("""COMPUTED_VALUE"""),"Uncle Sams Cider (11/12/2021) (Blue)")</f>
        <v>Uncle Sams Cider (11/12/2021) (Blue)</v>
      </c>
      <c r="H417" s="19"/>
    </row>
    <row r="418">
      <c r="A418" s="9"/>
      <c r="B418" s="15"/>
      <c r="C418" s="9">
        <f>IFERROR(__xludf.DUMMYFUNCTION("""COMPUTED_VALUE"""),44601.2093761226)</f>
        <v>44601.20938</v>
      </c>
      <c r="D418" s="15">
        <f>IFERROR(__xludf.DUMMYFUNCTION("""COMPUTED_VALUE"""),0.999)</f>
        <v>0.999</v>
      </c>
      <c r="E418" s="16">
        <f>IFERROR(__xludf.DUMMYFUNCTION("""COMPUTED_VALUE"""),66.0)</f>
        <v>66</v>
      </c>
      <c r="F418" s="19" t="str">
        <f>IFERROR(__xludf.DUMMYFUNCTION("""COMPUTED_VALUE"""),"BLUE")</f>
        <v>BLUE</v>
      </c>
      <c r="G418" s="20" t="str">
        <f>IFERROR(__xludf.DUMMYFUNCTION("""COMPUTED_VALUE"""),"Uncle Sams Cider (11/12/2021) (Blue)")</f>
        <v>Uncle Sams Cider (11/12/2021) (Blue)</v>
      </c>
      <c r="H418" s="19"/>
    </row>
    <row r="419">
      <c r="A419" s="9"/>
      <c r="B419" s="15"/>
      <c r="C419" s="9">
        <f>IFERROR(__xludf.DUMMYFUNCTION("""COMPUTED_VALUE"""),44601.1989434259)</f>
        <v>44601.19894</v>
      </c>
      <c r="D419" s="15">
        <f>IFERROR(__xludf.DUMMYFUNCTION("""COMPUTED_VALUE"""),0.999)</f>
        <v>0.999</v>
      </c>
      <c r="E419" s="16">
        <f>IFERROR(__xludf.DUMMYFUNCTION("""COMPUTED_VALUE"""),66.0)</f>
        <v>66</v>
      </c>
      <c r="F419" s="19" t="str">
        <f>IFERROR(__xludf.DUMMYFUNCTION("""COMPUTED_VALUE"""),"BLUE")</f>
        <v>BLUE</v>
      </c>
      <c r="G419" s="20" t="str">
        <f>IFERROR(__xludf.DUMMYFUNCTION("""COMPUTED_VALUE"""),"Uncle Sams Cider (11/12/2021) (Blue)")</f>
        <v>Uncle Sams Cider (11/12/2021) (Blue)</v>
      </c>
      <c r="H419" s="19"/>
    </row>
    <row r="420">
      <c r="A420" s="9"/>
      <c r="B420" s="15"/>
      <c r="C420" s="9">
        <f>IFERROR(__xludf.DUMMYFUNCTION("""COMPUTED_VALUE"""),44601.1885218981)</f>
        <v>44601.18852</v>
      </c>
      <c r="D420" s="15">
        <f>IFERROR(__xludf.DUMMYFUNCTION("""COMPUTED_VALUE"""),0.999)</f>
        <v>0.999</v>
      </c>
      <c r="E420" s="16">
        <f>IFERROR(__xludf.DUMMYFUNCTION("""COMPUTED_VALUE"""),66.0)</f>
        <v>66</v>
      </c>
      <c r="F420" s="19" t="str">
        <f>IFERROR(__xludf.DUMMYFUNCTION("""COMPUTED_VALUE"""),"BLUE")</f>
        <v>BLUE</v>
      </c>
      <c r="G420" s="20" t="str">
        <f>IFERROR(__xludf.DUMMYFUNCTION("""COMPUTED_VALUE"""),"Uncle Sams Cider (11/12/2021) (Blue)")</f>
        <v>Uncle Sams Cider (11/12/2021) (Blue)</v>
      </c>
      <c r="H420" s="19"/>
    </row>
    <row r="421">
      <c r="A421" s="9"/>
      <c r="B421" s="15"/>
      <c r="C421" s="9">
        <f>IFERROR(__xludf.DUMMYFUNCTION("""COMPUTED_VALUE"""),44601.1781023726)</f>
        <v>44601.1781</v>
      </c>
      <c r="D421" s="15">
        <f>IFERROR(__xludf.DUMMYFUNCTION("""COMPUTED_VALUE"""),0.999)</f>
        <v>0.999</v>
      </c>
      <c r="E421" s="16">
        <f>IFERROR(__xludf.DUMMYFUNCTION("""COMPUTED_VALUE"""),66.0)</f>
        <v>66</v>
      </c>
      <c r="F421" s="19" t="str">
        <f>IFERROR(__xludf.DUMMYFUNCTION("""COMPUTED_VALUE"""),"BLUE")</f>
        <v>BLUE</v>
      </c>
      <c r="G421" s="20" t="str">
        <f>IFERROR(__xludf.DUMMYFUNCTION("""COMPUTED_VALUE"""),"Uncle Sams Cider (11/12/2021) (Blue)")</f>
        <v>Uncle Sams Cider (11/12/2021) (Blue)</v>
      </c>
      <c r="H421" s="19"/>
    </row>
    <row r="422">
      <c r="A422" s="9"/>
      <c r="B422" s="15"/>
      <c r="C422" s="9">
        <f>IFERROR(__xludf.DUMMYFUNCTION("""COMPUTED_VALUE"""),44601.1676825115)</f>
        <v>44601.16768</v>
      </c>
      <c r="D422" s="15">
        <f>IFERROR(__xludf.DUMMYFUNCTION("""COMPUTED_VALUE"""),0.999)</f>
        <v>0.999</v>
      </c>
      <c r="E422" s="16">
        <f>IFERROR(__xludf.DUMMYFUNCTION("""COMPUTED_VALUE"""),66.0)</f>
        <v>66</v>
      </c>
      <c r="F422" s="19" t="str">
        <f>IFERROR(__xludf.DUMMYFUNCTION("""COMPUTED_VALUE"""),"BLUE")</f>
        <v>BLUE</v>
      </c>
      <c r="G422" s="20" t="str">
        <f>IFERROR(__xludf.DUMMYFUNCTION("""COMPUTED_VALUE"""),"Uncle Sams Cider (11/12/2021) (Blue)")</f>
        <v>Uncle Sams Cider (11/12/2021) (Blue)</v>
      </c>
      <c r="H422" s="19"/>
    </row>
    <row r="423">
      <c r="A423" s="9"/>
      <c r="B423" s="15"/>
      <c r="C423" s="9">
        <f>IFERROR(__xludf.DUMMYFUNCTION("""COMPUTED_VALUE"""),44601.1572602199)</f>
        <v>44601.15726</v>
      </c>
      <c r="D423" s="15">
        <f>IFERROR(__xludf.DUMMYFUNCTION("""COMPUTED_VALUE"""),0.999)</f>
        <v>0.999</v>
      </c>
      <c r="E423" s="16">
        <f>IFERROR(__xludf.DUMMYFUNCTION("""COMPUTED_VALUE"""),66.0)</f>
        <v>66</v>
      </c>
      <c r="F423" s="19" t="str">
        <f>IFERROR(__xludf.DUMMYFUNCTION("""COMPUTED_VALUE"""),"BLUE")</f>
        <v>BLUE</v>
      </c>
      <c r="G423" s="20" t="str">
        <f>IFERROR(__xludf.DUMMYFUNCTION("""COMPUTED_VALUE"""),"Uncle Sams Cider (11/12/2021) (Blue)")</f>
        <v>Uncle Sams Cider (11/12/2021) (Blue)</v>
      </c>
      <c r="H423" s="19"/>
    </row>
    <row r="424">
      <c r="A424" s="9"/>
      <c r="B424" s="15"/>
      <c r="C424" s="9">
        <f>IFERROR(__xludf.DUMMYFUNCTION("""COMPUTED_VALUE"""),44601.1468393171)</f>
        <v>44601.14684</v>
      </c>
      <c r="D424" s="15">
        <f>IFERROR(__xludf.DUMMYFUNCTION("""COMPUTED_VALUE"""),0.999)</f>
        <v>0.999</v>
      </c>
      <c r="E424" s="16">
        <f>IFERROR(__xludf.DUMMYFUNCTION("""COMPUTED_VALUE"""),66.0)</f>
        <v>66</v>
      </c>
      <c r="F424" s="19" t="str">
        <f>IFERROR(__xludf.DUMMYFUNCTION("""COMPUTED_VALUE"""),"BLUE")</f>
        <v>BLUE</v>
      </c>
      <c r="G424" s="20" t="str">
        <f>IFERROR(__xludf.DUMMYFUNCTION("""COMPUTED_VALUE"""),"Uncle Sams Cider (11/12/2021) (Blue)")</f>
        <v>Uncle Sams Cider (11/12/2021) (Blue)</v>
      </c>
      <c r="H424" s="19"/>
    </row>
    <row r="425">
      <c r="A425" s="9"/>
      <c r="B425" s="15"/>
      <c r="C425" s="9">
        <f>IFERROR(__xludf.DUMMYFUNCTION("""COMPUTED_VALUE"""),44601.13641978)</f>
        <v>44601.13642</v>
      </c>
      <c r="D425" s="15">
        <f>IFERROR(__xludf.DUMMYFUNCTION("""COMPUTED_VALUE"""),0.999)</f>
        <v>0.999</v>
      </c>
      <c r="E425" s="16">
        <f>IFERROR(__xludf.DUMMYFUNCTION("""COMPUTED_VALUE"""),66.0)</f>
        <v>66</v>
      </c>
      <c r="F425" s="19" t="str">
        <f>IFERROR(__xludf.DUMMYFUNCTION("""COMPUTED_VALUE"""),"BLUE")</f>
        <v>BLUE</v>
      </c>
      <c r="G425" s="20" t="str">
        <f>IFERROR(__xludf.DUMMYFUNCTION("""COMPUTED_VALUE"""),"Uncle Sams Cider (11/12/2021) (Blue)")</f>
        <v>Uncle Sams Cider (11/12/2021) (Blue)</v>
      </c>
      <c r="H425" s="19"/>
    </row>
    <row r="426">
      <c r="A426" s="9"/>
      <c r="B426" s="15"/>
      <c r="C426" s="9">
        <f>IFERROR(__xludf.DUMMYFUNCTION("""COMPUTED_VALUE"""),44601.1259990856)</f>
        <v>44601.126</v>
      </c>
      <c r="D426" s="15">
        <f>IFERROR(__xludf.DUMMYFUNCTION("""COMPUTED_VALUE"""),0.999)</f>
        <v>0.999</v>
      </c>
      <c r="E426" s="16">
        <f>IFERROR(__xludf.DUMMYFUNCTION("""COMPUTED_VALUE"""),66.0)</f>
        <v>66</v>
      </c>
      <c r="F426" s="19" t="str">
        <f>IFERROR(__xludf.DUMMYFUNCTION("""COMPUTED_VALUE"""),"BLUE")</f>
        <v>BLUE</v>
      </c>
      <c r="G426" s="20" t="str">
        <f>IFERROR(__xludf.DUMMYFUNCTION("""COMPUTED_VALUE"""),"Uncle Sams Cider (11/12/2021) (Blue)")</f>
        <v>Uncle Sams Cider (11/12/2021) (Blue)</v>
      </c>
      <c r="H426" s="19"/>
    </row>
    <row r="427">
      <c r="A427" s="9"/>
      <c r="B427" s="15"/>
      <c r="C427" s="9">
        <f>IFERROR(__xludf.DUMMYFUNCTION("""COMPUTED_VALUE"""),44601.1155672222)</f>
        <v>44601.11557</v>
      </c>
      <c r="D427" s="15">
        <f>IFERROR(__xludf.DUMMYFUNCTION("""COMPUTED_VALUE"""),0.999)</f>
        <v>0.999</v>
      </c>
      <c r="E427" s="16">
        <f>IFERROR(__xludf.DUMMYFUNCTION("""COMPUTED_VALUE"""),66.0)</f>
        <v>66</v>
      </c>
      <c r="F427" s="19" t="str">
        <f>IFERROR(__xludf.DUMMYFUNCTION("""COMPUTED_VALUE"""),"BLUE")</f>
        <v>BLUE</v>
      </c>
      <c r="G427" s="20" t="str">
        <f>IFERROR(__xludf.DUMMYFUNCTION("""COMPUTED_VALUE"""),"Uncle Sams Cider (11/12/2021) (Blue)")</f>
        <v>Uncle Sams Cider (11/12/2021) (Blue)</v>
      </c>
      <c r="H427" s="19"/>
    </row>
    <row r="428">
      <c r="A428" s="9"/>
      <c r="B428" s="15"/>
      <c r="C428" s="9">
        <f>IFERROR(__xludf.DUMMYFUNCTION("""COMPUTED_VALUE"""),44601.1051448379)</f>
        <v>44601.10514</v>
      </c>
      <c r="D428" s="15">
        <f>IFERROR(__xludf.DUMMYFUNCTION("""COMPUTED_VALUE"""),0.999)</f>
        <v>0.999</v>
      </c>
      <c r="E428" s="16">
        <f>IFERROR(__xludf.DUMMYFUNCTION("""COMPUTED_VALUE"""),66.0)</f>
        <v>66</v>
      </c>
      <c r="F428" s="19" t="str">
        <f>IFERROR(__xludf.DUMMYFUNCTION("""COMPUTED_VALUE"""),"BLUE")</f>
        <v>BLUE</v>
      </c>
      <c r="G428" s="20" t="str">
        <f>IFERROR(__xludf.DUMMYFUNCTION("""COMPUTED_VALUE"""),"Uncle Sams Cider (11/12/2021) (Blue)")</f>
        <v>Uncle Sams Cider (11/12/2021) (Blue)</v>
      </c>
      <c r="H428" s="19"/>
    </row>
    <row r="429">
      <c r="A429" s="9"/>
      <c r="B429" s="15"/>
      <c r="C429" s="9">
        <f>IFERROR(__xludf.DUMMYFUNCTION("""COMPUTED_VALUE"""),44601.094722905)</f>
        <v>44601.09472</v>
      </c>
      <c r="D429" s="15">
        <f>IFERROR(__xludf.DUMMYFUNCTION("""COMPUTED_VALUE"""),0.999)</f>
        <v>0.999</v>
      </c>
      <c r="E429" s="16">
        <f>IFERROR(__xludf.DUMMYFUNCTION("""COMPUTED_VALUE"""),66.0)</f>
        <v>66</v>
      </c>
      <c r="F429" s="19" t="str">
        <f>IFERROR(__xludf.DUMMYFUNCTION("""COMPUTED_VALUE"""),"BLUE")</f>
        <v>BLUE</v>
      </c>
      <c r="G429" s="20" t="str">
        <f>IFERROR(__xludf.DUMMYFUNCTION("""COMPUTED_VALUE"""),"Uncle Sams Cider (11/12/2021) (Blue)")</f>
        <v>Uncle Sams Cider (11/12/2021) (Blue)</v>
      </c>
      <c r="H429" s="19"/>
    </row>
    <row r="430">
      <c r="A430" s="9"/>
      <c r="B430" s="15"/>
      <c r="C430" s="9">
        <f>IFERROR(__xludf.DUMMYFUNCTION("""COMPUTED_VALUE"""),44601.0843020138)</f>
        <v>44601.0843</v>
      </c>
      <c r="D430" s="15">
        <f>IFERROR(__xludf.DUMMYFUNCTION("""COMPUTED_VALUE"""),0.999)</f>
        <v>0.999</v>
      </c>
      <c r="E430" s="16">
        <f>IFERROR(__xludf.DUMMYFUNCTION("""COMPUTED_VALUE"""),66.0)</f>
        <v>66</v>
      </c>
      <c r="F430" s="19" t="str">
        <f>IFERROR(__xludf.DUMMYFUNCTION("""COMPUTED_VALUE"""),"BLUE")</f>
        <v>BLUE</v>
      </c>
      <c r="G430" s="20" t="str">
        <f>IFERROR(__xludf.DUMMYFUNCTION("""COMPUTED_VALUE"""),"Uncle Sams Cider (11/12/2021) (Blue)")</f>
        <v>Uncle Sams Cider (11/12/2021) (Blue)</v>
      </c>
      <c r="H430" s="19"/>
    </row>
    <row r="431">
      <c r="A431" s="9"/>
      <c r="B431" s="15"/>
      <c r="C431" s="9">
        <f>IFERROR(__xludf.DUMMYFUNCTION("""COMPUTED_VALUE"""),44601.0738809027)</f>
        <v>44601.07388</v>
      </c>
      <c r="D431" s="15">
        <f>IFERROR(__xludf.DUMMYFUNCTION("""COMPUTED_VALUE"""),0.999)</f>
        <v>0.999</v>
      </c>
      <c r="E431" s="16">
        <f>IFERROR(__xludf.DUMMYFUNCTION("""COMPUTED_VALUE"""),66.0)</f>
        <v>66</v>
      </c>
      <c r="F431" s="19" t="str">
        <f>IFERROR(__xludf.DUMMYFUNCTION("""COMPUTED_VALUE"""),"BLUE")</f>
        <v>BLUE</v>
      </c>
      <c r="G431" s="20" t="str">
        <f>IFERROR(__xludf.DUMMYFUNCTION("""COMPUTED_VALUE"""),"Uncle Sams Cider (11/12/2021) (Blue)")</f>
        <v>Uncle Sams Cider (11/12/2021) (Blue)</v>
      </c>
      <c r="H431" s="19"/>
    </row>
    <row r="432">
      <c r="A432" s="9"/>
      <c r="B432" s="15"/>
      <c r="C432" s="9">
        <f>IFERROR(__xludf.DUMMYFUNCTION("""COMPUTED_VALUE"""),44601.0634605324)</f>
        <v>44601.06346</v>
      </c>
      <c r="D432" s="15">
        <f>IFERROR(__xludf.DUMMYFUNCTION("""COMPUTED_VALUE"""),0.999)</f>
        <v>0.999</v>
      </c>
      <c r="E432" s="16">
        <f>IFERROR(__xludf.DUMMYFUNCTION("""COMPUTED_VALUE"""),66.0)</f>
        <v>66</v>
      </c>
      <c r="F432" s="19" t="str">
        <f>IFERROR(__xludf.DUMMYFUNCTION("""COMPUTED_VALUE"""),"BLUE")</f>
        <v>BLUE</v>
      </c>
      <c r="G432" s="20" t="str">
        <f>IFERROR(__xludf.DUMMYFUNCTION("""COMPUTED_VALUE"""),"Uncle Sams Cider (11/12/2021) (Blue)")</f>
        <v>Uncle Sams Cider (11/12/2021) (Blue)</v>
      </c>
      <c r="H432" s="19"/>
    </row>
    <row r="433">
      <c r="A433" s="9"/>
      <c r="B433" s="15"/>
      <c r="C433" s="9">
        <f>IFERROR(__xludf.DUMMYFUNCTION("""COMPUTED_VALUE"""),44601.0530401967)</f>
        <v>44601.05304</v>
      </c>
      <c r="D433" s="15">
        <f>IFERROR(__xludf.DUMMYFUNCTION("""COMPUTED_VALUE"""),0.999)</f>
        <v>0.999</v>
      </c>
      <c r="E433" s="16">
        <f>IFERROR(__xludf.DUMMYFUNCTION("""COMPUTED_VALUE"""),66.0)</f>
        <v>66</v>
      </c>
      <c r="F433" s="19" t="str">
        <f>IFERROR(__xludf.DUMMYFUNCTION("""COMPUTED_VALUE"""),"BLUE")</f>
        <v>BLUE</v>
      </c>
      <c r="G433" s="20" t="str">
        <f>IFERROR(__xludf.DUMMYFUNCTION("""COMPUTED_VALUE"""),"Uncle Sams Cider (11/12/2021) (Blue)")</f>
        <v>Uncle Sams Cider (11/12/2021) (Blue)</v>
      </c>
      <c r="H433" s="19"/>
    </row>
    <row r="434">
      <c r="A434" s="9"/>
      <c r="B434" s="15"/>
      <c r="C434" s="9">
        <f>IFERROR(__xludf.DUMMYFUNCTION("""COMPUTED_VALUE"""),44601.0426197106)</f>
        <v>44601.04262</v>
      </c>
      <c r="D434" s="15">
        <f>IFERROR(__xludf.DUMMYFUNCTION("""COMPUTED_VALUE"""),0.999)</f>
        <v>0.999</v>
      </c>
      <c r="E434" s="16">
        <f>IFERROR(__xludf.DUMMYFUNCTION("""COMPUTED_VALUE"""),66.0)</f>
        <v>66</v>
      </c>
      <c r="F434" s="19" t="str">
        <f>IFERROR(__xludf.DUMMYFUNCTION("""COMPUTED_VALUE"""),"BLUE")</f>
        <v>BLUE</v>
      </c>
      <c r="G434" s="20" t="str">
        <f>IFERROR(__xludf.DUMMYFUNCTION("""COMPUTED_VALUE"""),"Uncle Sams Cider (11/12/2021) (Blue)")</f>
        <v>Uncle Sams Cider (11/12/2021) (Blue)</v>
      </c>
      <c r="H434" s="19"/>
    </row>
    <row r="435">
      <c r="A435" s="9"/>
      <c r="B435" s="15"/>
      <c r="C435" s="9">
        <f>IFERROR(__xludf.DUMMYFUNCTION("""COMPUTED_VALUE"""),44601.0321977083)</f>
        <v>44601.0322</v>
      </c>
      <c r="D435" s="15">
        <f>IFERROR(__xludf.DUMMYFUNCTION("""COMPUTED_VALUE"""),0.999)</f>
        <v>0.999</v>
      </c>
      <c r="E435" s="16">
        <f>IFERROR(__xludf.DUMMYFUNCTION("""COMPUTED_VALUE"""),66.0)</f>
        <v>66</v>
      </c>
      <c r="F435" s="19" t="str">
        <f>IFERROR(__xludf.DUMMYFUNCTION("""COMPUTED_VALUE"""),"BLUE")</f>
        <v>BLUE</v>
      </c>
      <c r="G435" s="20" t="str">
        <f>IFERROR(__xludf.DUMMYFUNCTION("""COMPUTED_VALUE"""),"Uncle Sams Cider (11/12/2021) (Blue)")</f>
        <v>Uncle Sams Cider (11/12/2021) (Blue)</v>
      </c>
      <c r="H435" s="19"/>
    </row>
    <row r="436">
      <c r="A436" s="9"/>
      <c r="B436" s="15"/>
      <c r="C436" s="9">
        <f>IFERROR(__xludf.DUMMYFUNCTION("""COMPUTED_VALUE"""),44601.0217774652)</f>
        <v>44601.02178</v>
      </c>
      <c r="D436" s="15">
        <f>IFERROR(__xludf.DUMMYFUNCTION("""COMPUTED_VALUE"""),0.999)</f>
        <v>0.999</v>
      </c>
      <c r="E436" s="16">
        <f>IFERROR(__xludf.DUMMYFUNCTION("""COMPUTED_VALUE"""),66.0)</f>
        <v>66</v>
      </c>
      <c r="F436" s="19" t="str">
        <f>IFERROR(__xludf.DUMMYFUNCTION("""COMPUTED_VALUE"""),"BLUE")</f>
        <v>BLUE</v>
      </c>
      <c r="G436" s="20" t="str">
        <f>IFERROR(__xludf.DUMMYFUNCTION("""COMPUTED_VALUE"""),"Uncle Sams Cider (11/12/2021) (Blue)")</f>
        <v>Uncle Sams Cider (11/12/2021) (Blue)</v>
      </c>
      <c r="H436" s="19"/>
    </row>
    <row r="437">
      <c r="A437" s="9"/>
      <c r="B437" s="15"/>
      <c r="C437" s="9">
        <f>IFERROR(__xludf.DUMMYFUNCTION("""COMPUTED_VALUE"""),44601.0113545254)</f>
        <v>44601.01135</v>
      </c>
      <c r="D437" s="15">
        <f>IFERROR(__xludf.DUMMYFUNCTION("""COMPUTED_VALUE"""),0.999)</f>
        <v>0.999</v>
      </c>
      <c r="E437" s="16">
        <f>IFERROR(__xludf.DUMMYFUNCTION("""COMPUTED_VALUE"""),66.0)</f>
        <v>66</v>
      </c>
      <c r="F437" s="19" t="str">
        <f>IFERROR(__xludf.DUMMYFUNCTION("""COMPUTED_VALUE"""),"BLUE")</f>
        <v>BLUE</v>
      </c>
      <c r="G437" s="20" t="str">
        <f>IFERROR(__xludf.DUMMYFUNCTION("""COMPUTED_VALUE"""),"Uncle Sams Cider (11/12/2021) (Blue)")</f>
        <v>Uncle Sams Cider (11/12/2021) (Blue)</v>
      </c>
      <c r="H437" s="19"/>
    </row>
    <row r="438">
      <c r="A438" s="9"/>
      <c r="B438" s="15"/>
      <c r="C438" s="9">
        <f>IFERROR(__xludf.DUMMYFUNCTION("""COMPUTED_VALUE"""),44601.0009337037)</f>
        <v>44601.00093</v>
      </c>
      <c r="D438" s="15">
        <f>IFERROR(__xludf.DUMMYFUNCTION("""COMPUTED_VALUE"""),0.999)</f>
        <v>0.999</v>
      </c>
      <c r="E438" s="16">
        <f>IFERROR(__xludf.DUMMYFUNCTION("""COMPUTED_VALUE"""),66.0)</f>
        <v>66</v>
      </c>
      <c r="F438" s="19" t="str">
        <f>IFERROR(__xludf.DUMMYFUNCTION("""COMPUTED_VALUE"""),"BLUE")</f>
        <v>BLUE</v>
      </c>
      <c r="G438" s="20" t="str">
        <f>IFERROR(__xludf.DUMMYFUNCTION("""COMPUTED_VALUE"""),"Uncle Sams Cider (11/12/2021) (Blue)")</f>
        <v>Uncle Sams Cider (11/12/2021) (Blue)</v>
      </c>
      <c r="H438" s="19"/>
    </row>
    <row r="439">
      <c r="A439" s="9"/>
      <c r="B439" s="15"/>
      <c r="C439" s="9">
        <f>IFERROR(__xludf.DUMMYFUNCTION("""COMPUTED_VALUE"""),44600.9905127777)</f>
        <v>44600.99051</v>
      </c>
      <c r="D439" s="15">
        <f>IFERROR(__xludf.DUMMYFUNCTION("""COMPUTED_VALUE"""),0.999)</f>
        <v>0.999</v>
      </c>
      <c r="E439" s="16">
        <f>IFERROR(__xludf.DUMMYFUNCTION("""COMPUTED_VALUE"""),66.0)</f>
        <v>66</v>
      </c>
      <c r="F439" s="19" t="str">
        <f>IFERROR(__xludf.DUMMYFUNCTION("""COMPUTED_VALUE"""),"BLUE")</f>
        <v>BLUE</v>
      </c>
      <c r="G439" s="20" t="str">
        <f>IFERROR(__xludf.DUMMYFUNCTION("""COMPUTED_VALUE"""),"Uncle Sams Cider (11/12/2021) (Blue)")</f>
        <v>Uncle Sams Cider (11/12/2021) (Blue)</v>
      </c>
      <c r="H439" s="19"/>
    </row>
    <row r="440">
      <c r="A440" s="9"/>
      <c r="B440" s="15"/>
      <c r="C440" s="9">
        <f>IFERROR(__xludf.DUMMYFUNCTION("""COMPUTED_VALUE"""),44600.9800906481)</f>
        <v>44600.98009</v>
      </c>
      <c r="D440" s="15">
        <f>IFERROR(__xludf.DUMMYFUNCTION("""COMPUTED_VALUE"""),0.999)</f>
        <v>0.999</v>
      </c>
      <c r="E440" s="16">
        <f>IFERROR(__xludf.DUMMYFUNCTION("""COMPUTED_VALUE"""),66.0)</f>
        <v>66</v>
      </c>
      <c r="F440" s="19" t="str">
        <f>IFERROR(__xludf.DUMMYFUNCTION("""COMPUTED_VALUE"""),"BLUE")</f>
        <v>BLUE</v>
      </c>
      <c r="G440" s="20" t="str">
        <f>IFERROR(__xludf.DUMMYFUNCTION("""COMPUTED_VALUE"""),"Uncle Sams Cider (11/12/2021) (Blue)")</f>
        <v>Uncle Sams Cider (11/12/2021) (Blue)</v>
      </c>
      <c r="H440" s="19"/>
    </row>
    <row r="441">
      <c r="A441" s="9"/>
      <c r="B441" s="15"/>
      <c r="C441" s="9">
        <f>IFERROR(__xludf.DUMMYFUNCTION("""COMPUTED_VALUE"""),44600.9696582523)</f>
        <v>44600.96966</v>
      </c>
      <c r="D441" s="15">
        <f>IFERROR(__xludf.DUMMYFUNCTION("""COMPUTED_VALUE"""),0.999)</f>
        <v>0.999</v>
      </c>
      <c r="E441" s="16">
        <f>IFERROR(__xludf.DUMMYFUNCTION("""COMPUTED_VALUE"""),66.0)</f>
        <v>66</v>
      </c>
      <c r="F441" s="19" t="str">
        <f>IFERROR(__xludf.DUMMYFUNCTION("""COMPUTED_VALUE"""),"BLUE")</f>
        <v>BLUE</v>
      </c>
      <c r="G441" s="20" t="str">
        <f>IFERROR(__xludf.DUMMYFUNCTION("""COMPUTED_VALUE"""),"Uncle Sams Cider (11/12/2021) (Blue)")</f>
        <v>Uncle Sams Cider (11/12/2021) (Blue)</v>
      </c>
      <c r="H441" s="19"/>
    </row>
    <row r="442">
      <c r="A442" s="9"/>
      <c r="B442" s="15"/>
      <c r="C442" s="9">
        <f>IFERROR(__xludf.DUMMYFUNCTION("""COMPUTED_VALUE"""),44600.9592253356)</f>
        <v>44600.95923</v>
      </c>
      <c r="D442" s="15">
        <f>IFERROR(__xludf.DUMMYFUNCTION("""COMPUTED_VALUE"""),0.999)</f>
        <v>0.999</v>
      </c>
      <c r="E442" s="16">
        <f>IFERROR(__xludf.DUMMYFUNCTION("""COMPUTED_VALUE"""),66.0)</f>
        <v>66</v>
      </c>
      <c r="F442" s="19" t="str">
        <f>IFERROR(__xludf.DUMMYFUNCTION("""COMPUTED_VALUE"""),"BLUE")</f>
        <v>BLUE</v>
      </c>
      <c r="G442" s="20" t="str">
        <f>IFERROR(__xludf.DUMMYFUNCTION("""COMPUTED_VALUE"""),"Uncle Sams Cider (11/12/2021) (Blue)")</f>
        <v>Uncle Sams Cider (11/12/2021) (Blue)</v>
      </c>
      <c r="H442" s="19"/>
    </row>
    <row r="443">
      <c r="A443" s="9"/>
      <c r="B443" s="15"/>
      <c r="C443" s="9">
        <f>IFERROR(__xludf.DUMMYFUNCTION("""COMPUTED_VALUE"""),44600.9488040856)</f>
        <v>44600.9488</v>
      </c>
      <c r="D443" s="15">
        <f>IFERROR(__xludf.DUMMYFUNCTION("""COMPUTED_VALUE"""),0.999)</f>
        <v>0.999</v>
      </c>
      <c r="E443" s="16">
        <f>IFERROR(__xludf.DUMMYFUNCTION("""COMPUTED_VALUE"""),66.0)</f>
        <v>66</v>
      </c>
      <c r="F443" s="19" t="str">
        <f>IFERROR(__xludf.DUMMYFUNCTION("""COMPUTED_VALUE"""),"BLUE")</f>
        <v>BLUE</v>
      </c>
      <c r="G443" s="20" t="str">
        <f>IFERROR(__xludf.DUMMYFUNCTION("""COMPUTED_VALUE"""),"Uncle Sams Cider (11/12/2021) (Blue)")</f>
        <v>Uncle Sams Cider (11/12/2021) (Blue)</v>
      </c>
      <c r="H443" s="19"/>
    </row>
    <row r="444">
      <c r="A444" s="9"/>
      <c r="B444" s="15"/>
      <c r="C444" s="9">
        <f>IFERROR(__xludf.DUMMYFUNCTION("""COMPUTED_VALUE"""),44600.9383799652)</f>
        <v>44600.93838</v>
      </c>
      <c r="D444" s="15">
        <f>IFERROR(__xludf.DUMMYFUNCTION("""COMPUTED_VALUE"""),0.999)</f>
        <v>0.999</v>
      </c>
      <c r="E444" s="16">
        <f>IFERROR(__xludf.DUMMYFUNCTION("""COMPUTED_VALUE"""),66.0)</f>
        <v>66</v>
      </c>
      <c r="F444" s="19" t="str">
        <f>IFERROR(__xludf.DUMMYFUNCTION("""COMPUTED_VALUE"""),"BLUE")</f>
        <v>BLUE</v>
      </c>
      <c r="G444" s="20" t="str">
        <f>IFERROR(__xludf.DUMMYFUNCTION("""COMPUTED_VALUE"""),"Uncle Sams Cider (11/12/2021) (Blue)")</f>
        <v>Uncle Sams Cider (11/12/2021) (Blue)</v>
      </c>
      <c r="H444" s="19"/>
    </row>
    <row r="445">
      <c r="A445" s="9"/>
      <c r="B445" s="15"/>
      <c r="C445" s="9">
        <f>IFERROR(__xludf.DUMMYFUNCTION("""COMPUTED_VALUE"""),44600.927959456)</f>
        <v>44600.92796</v>
      </c>
      <c r="D445" s="15">
        <f>IFERROR(__xludf.DUMMYFUNCTION("""COMPUTED_VALUE"""),0.999)</f>
        <v>0.999</v>
      </c>
      <c r="E445" s="16">
        <f>IFERROR(__xludf.DUMMYFUNCTION("""COMPUTED_VALUE"""),66.0)</f>
        <v>66</v>
      </c>
      <c r="F445" s="19" t="str">
        <f>IFERROR(__xludf.DUMMYFUNCTION("""COMPUTED_VALUE"""),"BLUE")</f>
        <v>BLUE</v>
      </c>
      <c r="G445" s="20" t="str">
        <f>IFERROR(__xludf.DUMMYFUNCTION("""COMPUTED_VALUE"""),"Uncle Sams Cider (11/12/2021) (Blue)")</f>
        <v>Uncle Sams Cider (11/12/2021) (Blue)</v>
      </c>
      <c r="H445" s="19"/>
    </row>
    <row r="446">
      <c r="A446" s="9"/>
      <c r="B446" s="15"/>
      <c r="C446" s="9">
        <f>IFERROR(__xludf.DUMMYFUNCTION("""COMPUTED_VALUE"""),44600.9175376736)</f>
        <v>44600.91754</v>
      </c>
      <c r="D446" s="15">
        <f>IFERROR(__xludf.DUMMYFUNCTION("""COMPUTED_VALUE"""),0.999)</f>
        <v>0.999</v>
      </c>
      <c r="E446" s="16">
        <f>IFERROR(__xludf.DUMMYFUNCTION("""COMPUTED_VALUE"""),66.0)</f>
        <v>66</v>
      </c>
      <c r="F446" s="19" t="str">
        <f>IFERROR(__xludf.DUMMYFUNCTION("""COMPUTED_VALUE"""),"BLUE")</f>
        <v>BLUE</v>
      </c>
      <c r="G446" s="20" t="str">
        <f>IFERROR(__xludf.DUMMYFUNCTION("""COMPUTED_VALUE"""),"Uncle Sams Cider (11/12/2021) (Blue)")</f>
        <v>Uncle Sams Cider (11/12/2021) (Blue)</v>
      </c>
      <c r="H446" s="19"/>
    </row>
    <row r="447">
      <c r="A447" s="9"/>
      <c r="B447" s="15"/>
      <c r="C447" s="9">
        <f>IFERROR(__xludf.DUMMYFUNCTION("""COMPUTED_VALUE"""),44600.9071051851)</f>
        <v>44600.90711</v>
      </c>
      <c r="D447" s="15">
        <f>IFERROR(__xludf.DUMMYFUNCTION("""COMPUTED_VALUE"""),0.999)</f>
        <v>0.999</v>
      </c>
      <c r="E447" s="16">
        <f>IFERROR(__xludf.DUMMYFUNCTION("""COMPUTED_VALUE"""),67.0)</f>
        <v>67</v>
      </c>
      <c r="F447" s="19" t="str">
        <f>IFERROR(__xludf.DUMMYFUNCTION("""COMPUTED_VALUE"""),"BLUE")</f>
        <v>BLUE</v>
      </c>
      <c r="G447" s="20" t="str">
        <f>IFERROR(__xludf.DUMMYFUNCTION("""COMPUTED_VALUE"""),"Uncle Sams Cider (11/12/2021) (Blue)")</f>
        <v>Uncle Sams Cider (11/12/2021) (Blue)</v>
      </c>
      <c r="H447" s="19"/>
    </row>
    <row r="448">
      <c r="A448" s="9"/>
      <c r="B448" s="15"/>
      <c r="C448" s="9">
        <f>IFERROR(__xludf.DUMMYFUNCTION("""COMPUTED_VALUE"""),44600.8966497222)</f>
        <v>44600.89665</v>
      </c>
      <c r="D448" s="15">
        <f>IFERROR(__xludf.DUMMYFUNCTION("""COMPUTED_VALUE"""),0.999)</f>
        <v>0.999</v>
      </c>
      <c r="E448" s="16">
        <f>IFERROR(__xludf.DUMMYFUNCTION("""COMPUTED_VALUE"""),67.0)</f>
        <v>67</v>
      </c>
      <c r="F448" s="19" t="str">
        <f>IFERROR(__xludf.DUMMYFUNCTION("""COMPUTED_VALUE"""),"BLUE")</f>
        <v>BLUE</v>
      </c>
      <c r="G448" s="20" t="str">
        <f>IFERROR(__xludf.DUMMYFUNCTION("""COMPUTED_VALUE"""),"Uncle Sams Cider (11/12/2021) (Blue)")</f>
        <v>Uncle Sams Cider (11/12/2021) (Blue)</v>
      </c>
      <c r="H448" s="19"/>
    </row>
    <row r="449">
      <c r="A449" s="9"/>
      <c r="B449" s="15"/>
      <c r="C449" s="9">
        <f>IFERROR(__xludf.DUMMYFUNCTION("""COMPUTED_VALUE"""),44600.8862273263)</f>
        <v>44600.88623</v>
      </c>
      <c r="D449" s="15">
        <f>IFERROR(__xludf.DUMMYFUNCTION("""COMPUTED_VALUE"""),0.999)</f>
        <v>0.999</v>
      </c>
      <c r="E449" s="16">
        <f>IFERROR(__xludf.DUMMYFUNCTION("""COMPUTED_VALUE"""),67.0)</f>
        <v>67</v>
      </c>
      <c r="F449" s="19" t="str">
        <f>IFERROR(__xludf.DUMMYFUNCTION("""COMPUTED_VALUE"""),"BLUE")</f>
        <v>BLUE</v>
      </c>
      <c r="G449" s="20" t="str">
        <f>IFERROR(__xludf.DUMMYFUNCTION("""COMPUTED_VALUE"""),"Uncle Sams Cider (11/12/2021) (Blue)")</f>
        <v>Uncle Sams Cider (11/12/2021) (Blue)</v>
      </c>
      <c r="H449" s="19"/>
    </row>
    <row r="450">
      <c r="A450" s="9"/>
      <c r="B450" s="15"/>
      <c r="C450" s="9">
        <f>IFERROR(__xludf.DUMMYFUNCTION("""COMPUTED_VALUE"""),44600.875805787)</f>
        <v>44600.87581</v>
      </c>
      <c r="D450" s="15">
        <f>IFERROR(__xludf.DUMMYFUNCTION("""COMPUTED_VALUE"""),0.999)</f>
        <v>0.999</v>
      </c>
      <c r="E450" s="16">
        <f>IFERROR(__xludf.DUMMYFUNCTION("""COMPUTED_VALUE"""),67.0)</f>
        <v>67</v>
      </c>
      <c r="F450" s="19" t="str">
        <f>IFERROR(__xludf.DUMMYFUNCTION("""COMPUTED_VALUE"""),"BLUE")</f>
        <v>BLUE</v>
      </c>
      <c r="G450" s="20" t="str">
        <f>IFERROR(__xludf.DUMMYFUNCTION("""COMPUTED_VALUE"""),"Uncle Sams Cider (11/12/2021) (Blue)")</f>
        <v>Uncle Sams Cider (11/12/2021) (Blue)</v>
      </c>
      <c r="H450" s="19"/>
    </row>
    <row r="451">
      <c r="A451" s="9"/>
      <c r="B451" s="15"/>
      <c r="C451" s="9">
        <f>IFERROR(__xludf.DUMMYFUNCTION("""COMPUTED_VALUE"""),44600.865385405)</f>
        <v>44600.86539</v>
      </c>
      <c r="D451" s="15">
        <f>IFERROR(__xludf.DUMMYFUNCTION("""COMPUTED_VALUE"""),0.999)</f>
        <v>0.999</v>
      </c>
      <c r="E451" s="16">
        <f>IFERROR(__xludf.DUMMYFUNCTION("""COMPUTED_VALUE"""),67.0)</f>
        <v>67</v>
      </c>
      <c r="F451" s="19" t="str">
        <f>IFERROR(__xludf.DUMMYFUNCTION("""COMPUTED_VALUE"""),"BLUE")</f>
        <v>BLUE</v>
      </c>
      <c r="G451" s="20" t="str">
        <f>IFERROR(__xludf.DUMMYFUNCTION("""COMPUTED_VALUE"""),"Uncle Sams Cider (11/12/2021) (Blue)")</f>
        <v>Uncle Sams Cider (11/12/2021) (Blue)</v>
      </c>
      <c r="H451" s="19"/>
    </row>
    <row r="452">
      <c r="A452" s="9"/>
      <c r="B452" s="15"/>
      <c r="C452" s="9">
        <f>IFERROR(__xludf.DUMMYFUNCTION("""COMPUTED_VALUE"""),44600.8549646064)</f>
        <v>44600.85496</v>
      </c>
      <c r="D452" s="15">
        <f>IFERROR(__xludf.DUMMYFUNCTION("""COMPUTED_VALUE"""),0.999)</f>
        <v>0.999</v>
      </c>
      <c r="E452" s="16">
        <f>IFERROR(__xludf.DUMMYFUNCTION("""COMPUTED_VALUE"""),67.0)</f>
        <v>67</v>
      </c>
      <c r="F452" s="19" t="str">
        <f>IFERROR(__xludf.DUMMYFUNCTION("""COMPUTED_VALUE"""),"BLUE")</f>
        <v>BLUE</v>
      </c>
      <c r="G452" s="20" t="str">
        <f>IFERROR(__xludf.DUMMYFUNCTION("""COMPUTED_VALUE"""),"Uncle Sams Cider (11/12/2021) (Blue)")</f>
        <v>Uncle Sams Cider (11/12/2021) (Blue)</v>
      </c>
      <c r="H452" s="19"/>
    </row>
    <row r="453">
      <c r="A453" s="9"/>
      <c r="B453" s="15"/>
      <c r="C453" s="9">
        <f>IFERROR(__xludf.DUMMYFUNCTION("""COMPUTED_VALUE"""),44600.844543831)</f>
        <v>44600.84454</v>
      </c>
      <c r="D453" s="15">
        <f>IFERROR(__xludf.DUMMYFUNCTION("""COMPUTED_VALUE"""),0.999)</f>
        <v>0.999</v>
      </c>
      <c r="E453" s="16">
        <f>IFERROR(__xludf.DUMMYFUNCTION("""COMPUTED_VALUE"""),67.0)</f>
        <v>67</v>
      </c>
      <c r="F453" s="19" t="str">
        <f>IFERROR(__xludf.DUMMYFUNCTION("""COMPUTED_VALUE"""),"BLUE")</f>
        <v>BLUE</v>
      </c>
      <c r="G453" s="20" t="str">
        <f>IFERROR(__xludf.DUMMYFUNCTION("""COMPUTED_VALUE"""),"Uncle Sams Cider (11/12/2021) (Blue)")</f>
        <v>Uncle Sams Cider (11/12/2021) (Blue)</v>
      </c>
      <c r="H453" s="19"/>
    </row>
    <row r="454">
      <c r="A454" s="9"/>
      <c r="B454" s="15"/>
      <c r="C454" s="9">
        <f>IFERROR(__xludf.DUMMYFUNCTION("""COMPUTED_VALUE"""),44600.8341231365)</f>
        <v>44600.83412</v>
      </c>
      <c r="D454" s="15">
        <f>IFERROR(__xludf.DUMMYFUNCTION("""COMPUTED_VALUE"""),0.999)</f>
        <v>0.999</v>
      </c>
      <c r="E454" s="16">
        <f>IFERROR(__xludf.DUMMYFUNCTION("""COMPUTED_VALUE"""),67.0)</f>
        <v>67</v>
      </c>
      <c r="F454" s="19" t="str">
        <f>IFERROR(__xludf.DUMMYFUNCTION("""COMPUTED_VALUE"""),"BLUE")</f>
        <v>BLUE</v>
      </c>
      <c r="G454" s="20" t="str">
        <f>IFERROR(__xludf.DUMMYFUNCTION("""COMPUTED_VALUE"""),"Uncle Sams Cider (11/12/2021) (Blue)")</f>
        <v>Uncle Sams Cider (11/12/2021) (Blue)</v>
      </c>
      <c r="H454" s="19"/>
    </row>
    <row r="455">
      <c r="A455" s="9"/>
      <c r="B455" s="15"/>
      <c r="C455" s="9">
        <f>IFERROR(__xludf.DUMMYFUNCTION("""COMPUTED_VALUE"""),44600.823700868)</f>
        <v>44600.8237</v>
      </c>
      <c r="D455" s="15">
        <f>IFERROR(__xludf.DUMMYFUNCTION("""COMPUTED_VALUE"""),0.999)</f>
        <v>0.999</v>
      </c>
      <c r="E455" s="16">
        <f>IFERROR(__xludf.DUMMYFUNCTION("""COMPUTED_VALUE"""),67.0)</f>
        <v>67</v>
      </c>
      <c r="F455" s="19" t="str">
        <f>IFERROR(__xludf.DUMMYFUNCTION("""COMPUTED_VALUE"""),"BLUE")</f>
        <v>BLUE</v>
      </c>
      <c r="G455" s="20" t="str">
        <f>IFERROR(__xludf.DUMMYFUNCTION("""COMPUTED_VALUE"""),"Uncle Sams Cider (11/12/2021) (Blue)")</f>
        <v>Uncle Sams Cider (11/12/2021) (Blue)</v>
      </c>
      <c r="H455" s="19"/>
    </row>
    <row r="456">
      <c r="A456" s="9"/>
      <c r="B456" s="15"/>
      <c r="C456" s="9">
        <f>IFERROR(__xludf.DUMMYFUNCTION("""COMPUTED_VALUE"""),44600.8132773379)</f>
        <v>44600.81328</v>
      </c>
      <c r="D456" s="15">
        <f>IFERROR(__xludf.DUMMYFUNCTION("""COMPUTED_VALUE"""),0.999)</f>
        <v>0.999</v>
      </c>
      <c r="E456" s="16">
        <f>IFERROR(__xludf.DUMMYFUNCTION("""COMPUTED_VALUE"""),67.0)</f>
        <v>67</v>
      </c>
      <c r="F456" s="19" t="str">
        <f>IFERROR(__xludf.DUMMYFUNCTION("""COMPUTED_VALUE"""),"BLUE")</f>
        <v>BLUE</v>
      </c>
      <c r="G456" s="20" t="str">
        <f>IFERROR(__xludf.DUMMYFUNCTION("""COMPUTED_VALUE"""),"Uncle Sams Cider (11/12/2021) (Blue)")</f>
        <v>Uncle Sams Cider (11/12/2021) (Blue)</v>
      </c>
      <c r="H456" s="19"/>
    </row>
    <row r="457">
      <c r="A457" s="9"/>
      <c r="B457" s="15"/>
      <c r="C457" s="9">
        <f>IFERROR(__xludf.DUMMYFUNCTION("""COMPUTED_VALUE"""),44600.8028322569)</f>
        <v>44600.80283</v>
      </c>
      <c r="D457" s="15">
        <f>IFERROR(__xludf.DUMMYFUNCTION("""COMPUTED_VALUE"""),0.999)</f>
        <v>0.999</v>
      </c>
      <c r="E457" s="16">
        <f>IFERROR(__xludf.DUMMYFUNCTION("""COMPUTED_VALUE"""),67.0)</f>
        <v>67</v>
      </c>
      <c r="F457" s="19" t="str">
        <f>IFERROR(__xludf.DUMMYFUNCTION("""COMPUTED_VALUE"""),"BLUE")</f>
        <v>BLUE</v>
      </c>
      <c r="G457" s="20" t="str">
        <f>IFERROR(__xludf.DUMMYFUNCTION("""COMPUTED_VALUE"""),"Uncle Sams Cider (11/12/2021) (Blue)")</f>
        <v>Uncle Sams Cider (11/12/2021) (Blue)</v>
      </c>
      <c r="H457" s="19"/>
    </row>
    <row r="458">
      <c r="A458" s="9"/>
      <c r="B458" s="15"/>
      <c r="C458" s="9">
        <f>IFERROR(__xludf.DUMMYFUNCTION("""COMPUTED_VALUE"""),44600.7924095138)</f>
        <v>44600.79241</v>
      </c>
      <c r="D458" s="15">
        <f>IFERROR(__xludf.DUMMYFUNCTION("""COMPUTED_VALUE"""),0.999)</f>
        <v>0.999</v>
      </c>
      <c r="E458" s="16">
        <f>IFERROR(__xludf.DUMMYFUNCTION("""COMPUTED_VALUE"""),67.0)</f>
        <v>67</v>
      </c>
      <c r="F458" s="19" t="str">
        <f>IFERROR(__xludf.DUMMYFUNCTION("""COMPUTED_VALUE"""),"BLUE")</f>
        <v>BLUE</v>
      </c>
      <c r="G458" s="20" t="str">
        <f>IFERROR(__xludf.DUMMYFUNCTION("""COMPUTED_VALUE"""),"Uncle Sams Cider (11/12/2021) (Blue)")</f>
        <v>Uncle Sams Cider (11/12/2021) (Blue)</v>
      </c>
      <c r="H458" s="19"/>
    </row>
    <row r="459">
      <c r="A459" s="9"/>
      <c r="B459" s="15"/>
      <c r="C459" s="9">
        <f>IFERROR(__xludf.DUMMYFUNCTION("""COMPUTED_VALUE"""),44600.781988831)</f>
        <v>44600.78199</v>
      </c>
      <c r="D459" s="15">
        <f>IFERROR(__xludf.DUMMYFUNCTION("""COMPUTED_VALUE"""),0.999)</f>
        <v>0.999</v>
      </c>
      <c r="E459" s="16">
        <f>IFERROR(__xludf.DUMMYFUNCTION("""COMPUTED_VALUE"""),67.0)</f>
        <v>67</v>
      </c>
      <c r="F459" s="19" t="str">
        <f>IFERROR(__xludf.DUMMYFUNCTION("""COMPUTED_VALUE"""),"BLUE")</f>
        <v>BLUE</v>
      </c>
      <c r="G459" s="20" t="str">
        <f>IFERROR(__xludf.DUMMYFUNCTION("""COMPUTED_VALUE"""),"Uncle Sams Cider (11/12/2021) (Blue)")</f>
        <v>Uncle Sams Cider (11/12/2021) (Blue)</v>
      </c>
      <c r="H459" s="19"/>
    </row>
    <row r="460">
      <c r="A460" s="9"/>
      <c r="B460" s="15"/>
      <c r="C460" s="9">
        <f>IFERROR(__xludf.DUMMYFUNCTION("""COMPUTED_VALUE"""),44600.771555625)</f>
        <v>44600.77156</v>
      </c>
      <c r="D460" s="15">
        <f>IFERROR(__xludf.DUMMYFUNCTION("""COMPUTED_VALUE"""),0.999)</f>
        <v>0.999</v>
      </c>
      <c r="E460" s="16">
        <f>IFERROR(__xludf.DUMMYFUNCTION("""COMPUTED_VALUE"""),67.0)</f>
        <v>67</v>
      </c>
      <c r="F460" s="19" t="str">
        <f>IFERROR(__xludf.DUMMYFUNCTION("""COMPUTED_VALUE"""),"BLUE")</f>
        <v>BLUE</v>
      </c>
      <c r="G460" s="20" t="str">
        <f>IFERROR(__xludf.DUMMYFUNCTION("""COMPUTED_VALUE"""),"Uncle Sams Cider (11/12/2021) (Blue)")</f>
        <v>Uncle Sams Cider (11/12/2021) (Blue)</v>
      </c>
      <c r="H460" s="19"/>
    </row>
    <row r="461">
      <c r="A461" s="9"/>
      <c r="B461" s="15"/>
      <c r="C461" s="9">
        <f>IFERROR(__xludf.DUMMYFUNCTION("""COMPUTED_VALUE"""),44600.7611119212)</f>
        <v>44600.76111</v>
      </c>
      <c r="D461" s="15">
        <f>IFERROR(__xludf.DUMMYFUNCTION("""COMPUTED_VALUE"""),0.999)</f>
        <v>0.999</v>
      </c>
      <c r="E461" s="16">
        <f>IFERROR(__xludf.DUMMYFUNCTION("""COMPUTED_VALUE"""),67.0)</f>
        <v>67</v>
      </c>
      <c r="F461" s="19" t="str">
        <f>IFERROR(__xludf.DUMMYFUNCTION("""COMPUTED_VALUE"""),"BLUE")</f>
        <v>BLUE</v>
      </c>
      <c r="G461" s="20" t="str">
        <f>IFERROR(__xludf.DUMMYFUNCTION("""COMPUTED_VALUE"""),"Uncle Sams Cider (11/12/2021) (Blue)")</f>
        <v>Uncle Sams Cider (11/12/2021) (Blue)</v>
      </c>
      <c r="H461" s="19"/>
    </row>
    <row r="462">
      <c r="A462" s="9"/>
      <c r="B462" s="15"/>
      <c r="C462" s="9">
        <f>IFERROR(__xludf.DUMMYFUNCTION("""COMPUTED_VALUE"""),44600.7506918402)</f>
        <v>44600.75069</v>
      </c>
      <c r="D462" s="15">
        <f>IFERROR(__xludf.DUMMYFUNCTION("""COMPUTED_VALUE"""),0.999)</f>
        <v>0.999</v>
      </c>
      <c r="E462" s="16">
        <f>IFERROR(__xludf.DUMMYFUNCTION("""COMPUTED_VALUE"""),67.0)</f>
        <v>67</v>
      </c>
      <c r="F462" s="19" t="str">
        <f>IFERROR(__xludf.DUMMYFUNCTION("""COMPUTED_VALUE"""),"BLUE")</f>
        <v>BLUE</v>
      </c>
      <c r="G462" s="20" t="str">
        <f>IFERROR(__xludf.DUMMYFUNCTION("""COMPUTED_VALUE"""),"Uncle Sams Cider (11/12/2021) (Blue)")</f>
        <v>Uncle Sams Cider (11/12/2021) (Blue)</v>
      </c>
      <c r="H462" s="19"/>
    </row>
    <row r="463">
      <c r="A463" s="9"/>
      <c r="B463" s="15"/>
      <c r="C463" s="9">
        <f>IFERROR(__xludf.DUMMYFUNCTION("""COMPUTED_VALUE"""),44600.7402696875)</f>
        <v>44600.74027</v>
      </c>
      <c r="D463" s="15">
        <f>IFERROR(__xludf.DUMMYFUNCTION("""COMPUTED_VALUE"""),0.999)</f>
        <v>0.999</v>
      </c>
      <c r="E463" s="16">
        <f>IFERROR(__xludf.DUMMYFUNCTION("""COMPUTED_VALUE"""),67.0)</f>
        <v>67</v>
      </c>
      <c r="F463" s="19" t="str">
        <f>IFERROR(__xludf.DUMMYFUNCTION("""COMPUTED_VALUE"""),"BLUE")</f>
        <v>BLUE</v>
      </c>
      <c r="G463" s="20" t="str">
        <f>IFERROR(__xludf.DUMMYFUNCTION("""COMPUTED_VALUE"""),"Uncle Sams Cider (11/12/2021) (Blue)")</f>
        <v>Uncle Sams Cider (11/12/2021) (Blue)</v>
      </c>
      <c r="H463" s="19"/>
    </row>
    <row r="464">
      <c r="A464" s="9"/>
      <c r="B464" s="15"/>
      <c r="C464" s="9">
        <f>IFERROR(__xludf.DUMMYFUNCTION("""COMPUTED_VALUE"""),44600.7298382986)</f>
        <v>44600.72984</v>
      </c>
      <c r="D464" s="15">
        <f>IFERROR(__xludf.DUMMYFUNCTION("""COMPUTED_VALUE"""),0.999)</f>
        <v>0.999</v>
      </c>
      <c r="E464" s="16">
        <f>IFERROR(__xludf.DUMMYFUNCTION("""COMPUTED_VALUE"""),67.0)</f>
        <v>67</v>
      </c>
      <c r="F464" s="19" t="str">
        <f>IFERROR(__xludf.DUMMYFUNCTION("""COMPUTED_VALUE"""),"BLUE")</f>
        <v>BLUE</v>
      </c>
      <c r="G464" s="20" t="str">
        <f>IFERROR(__xludf.DUMMYFUNCTION("""COMPUTED_VALUE"""),"Uncle Sams Cider (11/12/2021) (Blue)")</f>
        <v>Uncle Sams Cider (11/12/2021) (Blue)</v>
      </c>
      <c r="H464" s="19"/>
    </row>
    <row r="465">
      <c r="A465" s="9"/>
      <c r="B465" s="15"/>
      <c r="C465" s="9">
        <f>IFERROR(__xludf.DUMMYFUNCTION("""COMPUTED_VALUE"""),44600.7194160416)</f>
        <v>44600.71942</v>
      </c>
      <c r="D465" s="15">
        <f>IFERROR(__xludf.DUMMYFUNCTION("""COMPUTED_VALUE"""),0.999)</f>
        <v>0.999</v>
      </c>
      <c r="E465" s="16">
        <f>IFERROR(__xludf.DUMMYFUNCTION("""COMPUTED_VALUE"""),67.0)</f>
        <v>67</v>
      </c>
      <c r="F465" s="19" t="str">
        <f>IFERROR(__xludf.DUMMYFUNCTION("""COMPUTED_VALUE"""),"BLUE")</f>
        <v>BLUE</v>
      </c>
      <c r="G465" s="20" t="str">
        <f>IFERROR(__xludf.DUMMYFUNCTION("""COMPUTED_VALUE"""),"Uncle Sams Cider (11/12/2021) (Blue)")</f>
        <v>Uncle Sams Cider (11/12/2021) (Blue)</v>
      </c>
      <c r="H465" s="19"/>
    </row>
    <row r="466">
      <c r="A466" s="9"/>
      <c r="B466" s="15"/>
      <c r="C466" s="9">
        <f>IFERROR(__xludf.DUMMYFUNCTION("""COMPUTED_VALUE"""),44600.7089938657)</f>
        <v>44600.70899</v>
      </c>
      <c r="D466" s="15">
        <f>IFERROR(__xludf.DUMMYFUNCTION("""COMPUTED_VALUE"""),0.999)</f>
        <v>0.999</v>
      </c>
      <c r="E466" s="16">
        <f>IFERROR(__xludf.DUMMYFUNCTION("""COMPUTED_VALUE"""),67.0)</f>
        <v>67</v>
      </c>
      <c r="F466" s="19" t="str">
        <f>IFERROR(__xludf.DUMMYFUNCTION("""COMPUTED_VALUE"""),"BLUE")</f>
        <v>BLUE</v>
      </c>
      <c r="G466" s="20" t="str">
        <f>IFERROR(__xludf.DUMMYFUNCTION("""COMPUTED_VALUE"""),"Uncle Sams Cider (11/12/2021) (Blue)")</f>
        <v>Uncle Sams Cider (11/12/2021) (Blue)</v>
      </c>
      <c r="H466" s="19"/>
    </row>
    <row r="467">
      <c r="A467" s="9"/>
      <c r="B467" s="15"/>
      <c r="C467" s="9">
        <f>IFERROR(__xludf.DUMMYFUNCTION("""COMPUTED_VALUE"""),44600.6985716319)</f>
        <v>44600.69857</v>
      </c>
      <c r="D467" s="15">
        <f>IFERROR(__xludf.DUMMYFUNCTION("""COMPUTED_VALUE"""),0.999)</f>
        <v>0.999</v>
      </c>
      <c r="E467" s="16">
        <f>IFERROR(__xludf.DUMMYFUNCTION("""COMPUTED_VALUE"""),67.0)</f>
        <v>67</v>
      </c>
      <c r="F467" s="19" t="str">
        <f>IFERROR(__xludf.DUMMYFUNCTION("""COMPUTED_VALUE"""),"BLUE")</f>
        <v>BLUE</v>
      </c>
      <c r="G467" s="20" t="str">
        <f>IFERROR(__xludf.DUMMYFUNCTION("""COMPUTED_VALUE"""),"Uncle Sams Cider (11/12/2021) (Blue)")</f>
        <v>Uncle Sams Cider (11/12/2021) (Blue)</v>
      </c>
      <c r="H467" s="19"/>
    </row>
    <row r="468">
      <c r="A468" s="9"/>
      <c r="B468" s="15"/>
      <c r="C468" s="9">
        <f>IFERROR(__xludf.DUMMYFUNCTION("""COMPUTED_VALUE"""),44600.6881514814)</f>
        <v>44600.68815</v>
      </c>
      <c r="D468" s="15">
        <f>IFERROR(__xludf.DUMMYFUNCTION("""COMPUTED_VALUE"""),0.999)</f>
        <v>0.999</v>
      </c>
      <c r="E468" s="16">
        <f>IFERROR(__xludf.DUMMYFUNCTION("""COMPUTED_VALUE"""),67.0)</f>
        <v>67</v>
      </c>
      <c r="F468" s="19" t="str">
        <f>IFERROR(__xludf.DUMMYFUNCTION("""COMPUTED_VALUE"""),"BLUE")</f>
        <v>BLUE</v>
      </c>
      <c r="G468" s="20" t="str">
        <f>IFERROR(__xludf.DUMMYFUNCTION("""COMPUTED_VALUE"""),"Uncle Sams Cider (11/12/2021) (Blue)")</f>
        <v>Uncle Sams Cider (11/12/2021) (Blue)</v>
      </c>
      <c r="H468" s="19"/>
    </row>
    <row r="469">
      <c r="A469" s="9"/>
      <c r="B469" s="15"/>
      <c r="C469" s="9">
        <f>IFERROR(__xludf.DUMMYFUNCTION("""COMPUTED_VALUE"""),44600.6777088078)</f>
        <v>44600.67771</v>
      </c>
      <c r="D469" s="15">
        <f>IFERROR(__xludf.DUMMYFUNCTION("""COMPUTED_VALUE"""),0.999)</f>
        <v>0.999</v>
      </c>
      <c r="E469" s="16">
        <f>IFERROR(__xludf.DUMMYFUNCTION("""COMPUTED_VALUE"""),67.0)</f>
        <v>67</v>
      </c>
      <c r="F469" s="19" t="str">
        <f>IFERROR(__xludf.DUMMYFUNCTION("""COMPUTED_VALUE"""),"BLUE")</f>
        <v>BLUE</v>
      </c>
      <c r="G469" s="20" t="str">
        <f>IFERROR(__xludf.DUMMYFUNCTION("""COMPUTED_VALUE"""),"Uncle Sams Cider (11/12/2021) (Blue)")</f>
        <v>Uncle Sams Cider (11/12/2021) (Blue)</v>
      </c>
      <c r="H469" s="19"/>
    </row>
    <row r="470">
      <c r="A470" s="9"/>
      <c r="B470" s="15"/>
      <c r="C470" s="9">
        <f>IFERROR(__xludf.DUMMYFUNCTION("""COMPUTED_VALUE"""),44600.6672885995)</f>
        <v>44600.66729</v>
      </c>
      <c r="D470" s="15">
        <f>IFERROR(__xludf.DUMMYFUNCTION("""COMPUTED_VALUE"""),0.999)</f>
        <v>0.999</v>
      </c>
      <c r="E470" s="16">
        <f>IFERROR(__xludf.DUMMYFUNCTION("""COMPUTED_VALUE"""),67.0)</f>
        <v>67</v>
      </c>
      <c r="F470" s="19" t="str">
        <f>IFERROR(__xludf.DUMMYFUNCTION("""COMPUTED_VALUE"""),"BLUE")</f>
        <v>BLUE</v>
      </c>
      <c r="G470" s="20" t="str">
        <f>IFERROR(__xludf.DUMMYFUNCTION("""COMPUTED_VALUE"""),"Uncle Sams Cider (11/12/2021) (Blue)")</f>
        <v>Uncle Sams Cider (11/12/2021) (Blue)</v>
      </c>
      <c r="H470" s="19"/>
    </row>
    <row r="471">
      <c r="A471" s="9"/>
      <c r="B471" s="15"/>
      <c r="C471" s="9">
        <f>IFERROR(__xludf.DUMMYFUNCTION("""COMPUTED_VALUE"""),44600.6568668402)</f>
        <v>44600.65687</v>
      </c>
      <c r="D471" s="15">
        <f>IFERROR(__xludf.DUMMYFUNCTION("""COMPUTED_VALUE"""),0.999)</f>
        <v>0.999</v>
      </c>
      <c r="E471" s="16">
        <f>IFERROR(__xludf.DUMMYFUNCTION("""COMPUTED_VALUE"""),67.0)</f>
        <v>67</v>
      </c>
      <c r="F471" s="19" t="str">
        <f>IFERROR(__xludf.DUMMYFUNCTION("""COMPUTED_VALUE"""),"BLUE")</f>
        <v>BLUE</v>
      </c>
      <c r="G471" s="20" t="str">
        <f>IFERROR(__xludf.DUMMYFUNCTION("""COMPUTED_VALUE"""),"Uncle Sams Cider (11/12/2021) (Blue)")</f>
        <v>Uncle Sams Cider (11/12/2021) (Blue)</v>
      </c>
      <c r="H471" s="19"/>
    </row>
    <row r="472">
      <c r="A472" s="9"/>
      <c r="B472" s="15"/>
      <c r="C472" s="9">
        <f>IFERROR(__xludf.DUMMYFUNCTION("""COMPUTED_VALUE"""),44600.6464451388)</f>
        <v>44600.64645</v>
      </c>
      <c r="D472" s="15">
        <f>IFERROR(__xludf.DUMMYFUNCTION("""COMPUTED_VALUE"""),0.999)</f>
        <v>0.999</v>
      </c>
      <c r="E472" s="16">
        <f>IFERROR(__xludf.DUMMYFUNCTION("""COMPUTED_VALUE"""),67.0)</f>
        <v>67</v>
      </c>
      <c r="F472" s="19" t="str">
        <f>IFERROR(__xludf.DUMMYFUNCTION("""COMPUTED_VALUE"""),"BLUE")</f>
        <v>BLUE</v>
      </c>
      <c r="G472" s="20" t="str">
        <f>IFERROR(__xludf.DUMMYFUNCTION("""COMPUTED_VALUE"""),"Uncle Sams Cider (11/12/2021) (Blue)")</f>
        <v>Uncle Sams Cider (11/12/2021) (Blue)</v>
      </c>
      <c r="H472" s="19"/>
    </row>
    <row r="473">
      <c r="A473" s="9"/>
      <c r="B473" s="15"/>
      <c r="C473" s="9">
        <f>IFERROR(__xludf.DUMMYFUNCTION("""COMPUTED_VALUE"""),44600.6360238657)</f>
        <v>44600.63602</v>
      </c>
      <c r="D473" s="15">
        <f>IFERROR(__xludf.DUMMYFUNCTION("""COMPUTED_VALUE"""),0.999)</f>
        <v>0.999</v>
      </c>
      <c r="E473" s="16">
        <f>IFERROR(__xludf.DUMMYFUNCTION("""COMPUTED_VALUE"""),67.0)</f>
        <v>67</v>
      </c>
      <c r="F473" s="19" t="str">
        <f>IFERROR(__xludf.DUMMYFUNCTION("""COMPUTED_VALUE"""),"BLUE")</f>
        <v>BLUE</v>
      </c>
      <c r="G473" s="20" t="str">
        <f>IFERROR(__xludf.DUMMYFUNCTION("""COMPUTED_VALUE"""),"Uncle Sams Cider (11/12/2021) (Blue)")</f>
        <v>Uncle Sams Cider (11/12/2021) (Blue)</v>
      </c>
      <c r="H473" s="19"/>
    </row>
    <row r="474">
      <c r="A474" s="9"/>
      <c r="B474" s="15"/>
      <c r="C474" s="9">
        <f>IFERROR(__xludf.DUMMYFUNCTION("""COMPUTED_VALUE"""),44600.6256033564)</f>
        <v>44600.6256</v>
      </c>
      <c r="D474" s="15">
        <f>IFERROR(__xludf.DUMMYFUNCTION("""COMPUTED_VALUE"""),0.999)</f>
        <v>0.999</v>
      </c>
      <c r="E474" s="16">
        <f>IFERROR(__xludf.DUMMYFUNCTION("""COMPUTED_VALUE"""),67.0)</f>
        <v>67</v>
      </c>
      <c r="F474" s="19" t="str">
        <f>IFERROR(__xludf.DUMMYFUNCTION("""COMPUTED_VALUE"""),"BLUE")</f>
        <v>BLUE</v>
      </c>
      <c r="G474" s="20" t="str">
        <f>IFERROR(__xludf.DUMMYFUNCTION("""COMPUTED_VALUE"""),"Uncle Sams Cider (11/12/2021) (Blue)")</f>
        <v>Uncle Sams Cider (11/12/2021) (Blue)</v>
      </c>
      <c r="H474" s="19"/>
    </row>
    <row r="475">
      <c r="A475" s="9"/>
      <c r="B475" s="15"/>
      <c r="C475" s="9">
        <f>IFERROR(__xludf.DUMMYFUNCTION("""COMPUTED_VALUE"""),44600.615183993)</f>
        <v>44600.61518</v>
      </c>
      <c r="D475" s="15">
        <f>IFERROR(__xludf.DUMMYFUNCTION("""COMPUTED_VALUE"""),0.999)</f>
        <v>0.999</v>
      </c>
      <c r="E475" s="16">
        <f>IFERROR(__xludf.DUMMYFUNCTION("""COMPUTED_VALUE"""),67.0)</f>
        <v>67</v>
      </c>
      <c r="F475" s="19" t="str">
        <f>IFERROR(__xludf.DUMMYFUNCTION("""COMPUTED_VALUE"""),"BLUE")</f>
        <v>BLUE</v>
      </c>
      <c r="G475" s="20" t="str">
        <f>IFERROR(__xludf.DUMMYFUNCTION("""COMPUTED_VALUE"""),"Uncle Sams Cider (11/12/2021) (Blue)")</f>
        <v>Uncle Sams Cider (11/12/2021) (Blue)</v>
      </c>
      <c r="H475" s="19"/>
    </row>
    <row r="476">
      <c r="A476" s="9"/>
      <c r="B476" s="15"/>
      <c r="C476" s="9">
        <f>IFERROR(__xludf.DUMMYFUNCTION("""COMPUTED_VALUE"""),44600.6047631828)</f>
        <v>44600.60476</v>
      </c>
      <c r="D476" s="15">
        <f>IFERROR(__xludf.DUMMYFUNCTION("""COMPUTED_VALUE"""),0.999)</f>
        <v>0.999</v>
      </c>
      <c r="E476" s="16">
        <f>IFERROR(__xludf.DUMMYFUNCTION("""COMPUTED_VALUE"""),67.0)</f>
        <v>67</v>
      </c>
      <c r="F476" s="19" t="str">
        <f>IFERROR(__xludf.DUMMYFUNCTION("""COMPUTED_VALUE"""),"BLUE")</f>
        <v>BLUE</v>
      </c>
      <c r="G476" s="20" t="str">
        <f>IFERROR(__xludf.DUMMYFUNCTION("""COMPUTED_VALUE"""),"Uncle Sams Cider (11/12/2021) (Blue)")</f>
        <v>Uncle Sams Cider (11/12/2021) (Blue)</v>
      </c>
      <c r="H476" s="19"/>
    </row>
    <row r="477">
      <c r="A477" s="9"/>
      <c r="B477" s="15"/>
      <c r="C477" s="9">
        <f>IFERROR(__xludf.DUMMYFUNCTION("""COMPUTED_VALUE"""),44600.5943434375)</f>
        <v>44600.59434</v>
      </c>
      <c r="D477" s="15">
        <f>IFERROR(__xludf.DUMMYFUNCTION("""COMPUTED_VALUE"""),0.999)</f>
        <v>0.999</v>
      </c>
      <c r="E477" s="16">
        <f>IFERROR(__xludf.DUMMYFUNCTION("""COMPUTED_VALUE"""),67.0)</f>
        <v>67</v>
      </c>
      <c r="F477" s="19" t="str">
        <f>IFERROR(__xludf.DUMMYFUNCTION("""COMPUTED_VALUE"""),"BLUE")</f>
        <v>BLUE</v>
      </c>
      <c r="G477" s="20" t="str">
        <f>IFERROR(__xludf.DUMMYFUNCTION("""COMPUTED_VALUE"""),"Uncle Sams Cider (11/12/2021) (Blue)")</f>
        <v>Uncle Sams Cider (11/12/2021) (Blue)</v>
      </c>
      <c r="H477" s="19"/>
    </row>
    <row r="478">
      <c r="A478" s="9"/>
      <c r="B478" s="15"/>
      <c r="C478" s="9">
        <f>IFERROR(__xludf.DUMMYFUNCTION("""COMPUTED_VALUE"""),44600.5839143865)</f>
        <v>44600.58391</v>
      </c>
      <c r="D478" s="15">
        <f>IFERROR(__xludf.DUMMYFUNCTION("""COMPUTED_VALUE"""),0.999)</f>
        <v>0.999</v>
      </c>
      <c r="E478" s="16">
        <f>IFERROR(__xludf.DUMMYFUNCTION("""COMPUTED_VALUE"""),67.0)</f>
        <v>67</v>
      </c>
      <c r="F478" s="19" t="str">
        <f>IFERROR(__xludf.DUMMYFUNCTION("""COMPUTED_VALUE"""),"BLUE")</f>
        <v>BLUE</v>
      </c>
      <c r="G478" s="20" t="str">
        <f>IFERROR(__xludf.DUMMYFUNCTION("""COMPUTED_VALUE"""),"Uncle Sams Cider (11/12/2021) (Blue)")</f>
        <v>Uncle Sams Cider (11/12/2021) (Blue)</v>
      </c>
      <c r="H478" s="19"/>
    </row>
    <row r="479">
      <c r="A479" s="9"/>
      <c r="B479" s="15"/>
      <c r="C479" s="9">
        <f>IFERROR(__xludf.DUMMYFUNCTION("""COMPUTED_VALUE"""),44600.5734689467)</f>
        <v>44600.57347</v>
      </c>
      <c r="D479" s="15">
        <f>IFERROR(__xludf.DUMMYFUNCTION("""COMPUTED_VALUE"""),0.999)</f>
        <v>0.999</v>
      </c>
      <c r="E479" s="16">
        <f>IFERROR(__xludf.DUMMYFUNCTION("""COMPUTED_VALUE"""),67.0)</f>
        <v>67</v>
      </c>
      <c r="F479" s="19" t="str">
        <f>IFERROR(__xludf.DUMMYFUNCTION("""COMPUTED_VALUE"""),"BLUE")</f>
        <v>BLUE</v>
      </c>
      <c r="G479" s="20" t="str">
        <f>IFERROR(__xludf.DUMMYFUNCTION("""COMPUTED_VALUE"""),"Uncle Sams Cider (11/12/2021) (Blue)")</f>
        <v>Uncle Sams Cider (11/12/2021) (Blue)</v>
      </c>
      <c r="H479" s="19"/>
    </row>
    <row r="480">
      <c r="A480" s="9"/>
      <c r="B480" s="15"/>
      <c r="C480" s="9">
        <f>IFERROR(__xludf.DUMMYFUNCTION("""COMPUTED_VALUE"""),44600.5630477777)</f>
        <v>44600.56305</v>
      </c>
      <c r="D480" s="15">
        <f>IFERROR(__xludf.DUMMYFUNCTION("""COMPUTED_VALUE"""),0.999)</f>
        <v>0.999</v>
      </c>
      <c r="E480" s="16">
        <f>IFERROR(__xludf.DUMMYFUNCTION("""COMPUTED_VALUE"""),67.0)</f>
        <v>67</v>
      </c>
      <c r="F480" s="19" t="str">
        <f>IFERROR(__xludf.DUMMYFUNCTION("""COMPUTED_VALUE"""),"BLUE")</f>
        <v>BLUE</v>
      </c>
      <c r="G480" s="20" t="str">
        <f>IFERROR(__xludf.DUMMYFUNCTION("""COMPUTED_VALUE"""),"Uncle Sams Cider (11/12/2021) (Blue)")</f>
        <v>Uncle Sams Cider (11/12/2021) (Blue)</v>
      </c>
      <c r="H480" s="19"/>
    </row>
    <row r="481">
      <c r="A481" s="9"/>
      <c r="B481" s="15"/>
      <c r="C481" s="9">
        <f>IFERROR(__xludf.DUMMYFUNCTION("""COMPUTED_VALUE"""),44600.5525920949)</f>
        <v>44600.55259</v>
      </c>
      <c r="D481" s="15">
        <f>IFERROR(__xludf.DUMMYFUNCTION("""COMPUTED_VALUE"""),0.999)</f>
        <v>0.999</v>
      </c>
      <c r="E481" s="16">
        <f>IFERROR(__xludf.DUMMYFUNCTION("""COMPUTED_VALUE"""),67.0)</f>
        <v>67</v>
      </c>
      <c r="F481" s="19" t="str">
        <f>IFERROR(__xludf.DUMMYFUNCTION("""COMPUTED_VALUE"""),"BLUE")</f>
        <v>BLUE</v>
      </c>
      <c r="G481" s="20" t="str">
        <f>IFERROR(__xludf.DUMMYFUNCTION("""COMPUTED_VALUE"""),"Uncle Sams Cider (11/12/2021) (Blue)")</f>
        <v>Uncle Sams Cider (11/12/2021) (Blue)</v>
      </c>
      <c r="H481" s="19"/>
    </row>
    <row r="482">
      <c r="A482" s="9"/>
      <c r="B482" s="15"/>
      <c r="C482" s="9">
        <f>IFERROR(__xludf.DUMMYFUNCTION("""COMPUTED_VALUE"""),44600.5421714583)</f>
        <v>44600.54217</v>
      </c>
      <c r="D482" s="15">
        <f>IFERROR(__xludf.DUMMYFUNCTION("""COMPUTED_VALUE"""),0.999)</f>
        <v>0.999</v>
      </c>
      <c r="E482" s="16">
        <f>IFERROR(__xludf.DUMMYFUNCTION("""COMPUTED_VALUE"""),68.0)</f>
        <v>68</v>
      </c>
      <c r="F482" s="19" t="str">
        <f>IFERROR(__xludf.DUMMYFUNCTION("""COMPUTED_VALUE"""),"BLUE")</f>
        <v>BLUE</v>
      </c>
      <c r="G482" s="20" t="str">
        <f>IFERROR(__xludf.DUMMYFUNCTION("""COMPUTED_VALUE"""),"Uncle Sams Cider (11/12/2021) (Blue)")</f>
        <v>Uncle Sams Cider (11/12/2021) (Blue)</v>
      </c>
      <c r="H482" s="19"/>
    </row>
    <row r="483">
      <c r="A483" s="9"/>
      <c r="B483" s="15"/>
      <c r="C483" s="9">
        <f>IFERROR(__xludf.DUMMYFUNCTION("""COMPUTED_VALUE"""),44600.5317508101)</f>
        <v>44600.53175</v>
      </c>
      <c r="D483" s="15">
        <f>IFERROR(__xludf.DUMMYFUNCTION("""COMPUTED_VALUE"""),0.999)</f>
        <v>0.999</v>
      </c>
      <c r="E483" s="16">
        <f>IFERROR(__xludf.DUMMYFUNCTION("""COMPUTED_VALUE"""),68.0)</f>
        <v>68</v>
      </c>
      <c r="F483" s="19" t="str">
        <f>IFERROR(__xludf.DUMMYFUNCTION("""COMPUTED_VALUE"""),"BLUE")</f>
        <v>BLUE</v>
      </c>
      <c r="G483" s="20" t="str">
        <f>IFERROR(__xludf.DUMMYFUNCTION("""COMPUTED_VALUE"""),"Uncle Sams Cider (11/12/2021) (Blue)")</f>
        <v>Uncle Sams Cider (11/12/2021) (Blue)</v>
      </c>
      <c r="H483" s="19"/>
    </row>
    <row r="484">
      <c r="A484" s="9"/>
      <c r="B484" s="15"/>
      <c r="C484" s="9">
        <f>IFERROR(__xludf.DUMMYFUNCTION("""COMPUTED_VALUE"""),44600.5213300462)</f>
        <v>44600.52133</v>
      </c>
      <c r="D484" s="15">
        <f>IFERROR(__xludf.DUMMYFUNCTION("""COMPUTED_VALUE"""),0.999)</f>
        <v>0.999</v>
      </c>
      <c r="E484" s="16">
        <f>IFERROR(__xludf.DUMMYFUNCTION("""COMPUTED_VALUE"""),68.0)</f>
        <v>68</v>
      </c>
      <c r="F484" s="19" t="str">
        <f>IFERROR(__xludf.DUMMYFUNCTION("""COMPUTED_VALUE"""),"BLUE")</f>
        <v>BLUE</v>
      </c>
      <c r="G484" s="20" t="str">
        <f>IFERROR(__xludf.DUMMYFUNCTION("""COMPUTED_VALUE"""),"Uncle Sams Cider (11/12/2021) (Blue)")</f>
        <v>Uncle Sams Cider (11/12/2021) (Blue)</v>
      </c>
      <c r="H484" s="19"/>
    </row>
    <row r="485">
      <c r="A485" s="9"/>
      <c r="B485" s="15"/>
      <c r="C485" s="9">
        <f>IFERROR(__xludf.DUMMYFUNCTION("""COMPUTED_VALUE"""),44600.5108966782)</f>
        <v>44600.5109</v>
      </c>
      <c r="D485" s="15">
        <f>IFERROR(__xludf.DUMMYFUNCTION("""COMPUTED_VALUE"""),0.999)</f>
        <v>0.999</v>
      </c>
      <c r="E485" s="16">
        <f>IFERROR(__xludf.DUMMYFUNCTION("""COMPUTED_VALUE"""),68.0)</f>
        <v>68</v>
      </c>
      <c r="F485" s="19" t="str">
        <f>IFERROR(__xludf.DUMMYFUNCTION("""COMPUTED_VALUE"""),"BLUE")</f>
        <v>BLUE</v>
      </c>
      <c r="G485" s="20" t="str">
        <f>IFERROR(__xludf.DUMMYFUNCTION("""COMPUTED_VALUE"""),"Uncle Sams Cider (11/12/2021) (Blue)")</f>
        <v>Uncle Sams Cider (11/12/2021) (Blue)</v>
      </c>
      <c r="H485" s="19"/>
    </row>
    <row r="486">
      <c r="A486" s="9"/>
      <c r="B486" s="15"/>
      <c r="C486" s="9">
        <f>IFERROR(__xludf.DUMMYFUNCTION("""COMPUTED_VALUE"""),44600.5004654861)</f>
        <v>44600.50047</v>
      </c>
      <c r="D486" s="15">
        <f>IFERROR(__xludf.DUMMYFUNCTION("""COMPUTED_VALUE"""),0.999)</f>
        <v>0.999</v>
      </c>
      <c r="E486" s="16">
        <f>IFERROR(__xludf.DUMMYFUNCTION("""COMPUTED_VALUE"""),68.0)</f>
        <v>68</v>
      </c>
      <c r="F486" s="19" t="str">
        <f>IFERROR(__xludf.DUMMYFUNCTION("""COMPUTED_VALUE"""),"BLUE")</f>
        <v>BLUE</v>
      </c>
      <c r="G486" s="20" t="str">
        <f>IFERROR(__xludf.DUMMYFUNCTION("""COMPUTED_VALUE"""),"Uncle Sams Cider (11/12/2021) (Blue)")</f>
        <v>Uncle Sams Cider (11/12/2021) (Blue)</v>
      </c>
      <c r="H486" s="19"/>
    </row>
    <row r="487">
      <c r="A487" s="9"/>
      <c r="B487" s="15"/>
      <c r="C487" s="9">
        <f>IFERROR(__xludf.DUMMYFUNCTION("""COMPUTED_VALUE"""),44600.490042662)</f>
        <v>44600.49004</v>
      </c>
      <c r="D487" s="15">
        <f>IFERROR(__xludf.DUMMYFUNCTION("""COMPUTED_VALUE"""),0.999)</f>
        <v>0.999</v>
      </c>
      <c r="E487" s="16">
        <f>IFERROR(__xludf.DUMMYFUNCTION("""COMPUTED_VALUE"""),68.0)</f>
        <v>68</v>
      </c>
      <c r="F487" s="19" t="str">
        <f>IFERROR(__xludf.DUMMYFUNCTION("""COMPUTED_VALUE"""),"BLUE")</f>
        <v>BLUE</v>
      </c>
      <c r="G487" s="20" t="str">
        <f>IFERROR(__xludf.DUMMYFUNCTION("""COMPUTED_VALUE"""),"Uncle Sams Cider (11/12/2021) (Blue)")</f>
        <v>Uncle Sams Cider (11/12/2021) (Blue)</v>
      </c>
      <c r="H487" s="19"/>
    </row>
    <row r="488">
      <c r="A488" s="9"/>
      <c r="B488" s="15"/>
      <c r="C488" s="9">
        <f>IFERROR(__xludf.DUMMYFUNCTION("""COMPUTED_VALUE"""),44600.4796223032)</f>
        <v>44600.47962</v>
      </c>
      <c r="D488" s="15">
        <f>IFERROR(__xludf.DUMMYFUNCTION("""COMPUTED_VALUE"""),0.999)</f>
        <v>0.999</v>
      </c>
      <c r="E488" s="16">
        <f>IFERROR(__xludf.DUMMYFUNCTION("""COMPUTED_VALUE"""),67.0)</f>
        <v>67</v>
      </c>
      <c r="F488" s="19" t="str">
        <f>IFERROR(__xludf.DUMMYFUNCTION("""COMPUTED_VALUE"""),"BLUE")</f>
        <v>BLUE</v>
      </c>
      <c r="G488" s="20" t="str">
        <f>IFERROR(__xludf.DUMMYFUNCTION("""COMPUTED_VALUE"""),"Uncle Sams Cider (11/12/2021) (Blue)")</f>
        <v>Uncle Sams Cider (11/12/2021) (Blue)</v>
      </c>
      <c r="H488" s="19"/>
    </row>
    <row r="489">
      <c r="A489" s="9"/>
      <c r="B489" s="15"/>
      <c r="C489" s="9">
        <f>IFERROR(__xludf.DUMMYFUNCTION("""COMPUTED_VALUE"""),44600.4692015393)</f>
        <v>44600.4692</v>
      </c>
      <c r="D489" s="15">
        <f>IFERROR(__xludf.DUMMYFUNCTION("""COMPUTED_VALUE"""),0.999)</f>
        <v>0.999</v>
      </c>
      <c r="E489" s="16">
        <f>IFERROR(__xludf.DUMMYFUNCTION("""COMPUTED_VALUE"""),67.0)</f>
        <v>67</v>
      </c>
      <c r="F489" s="19" t="str">
        <f>IFERROR(__xludf.DUMMYFUNCTION("""COMPUTED_VALUE"""),"BLUE")</f>
        <v>BLUE</v>
      </c>
      <c r="G489" s="20" t="str">
        <f>IFERROR(__xludf.DUMMYFUNCTION("""COMPUTED_VALUE"""),"Uncle Sams Cider (11/12/2021) (Blue)")</f>
        <v>Uncle Sams Cider (11/12/2021) (Blue)</v>
      </c>
      <c r="H489" s="19"/>
    </row>
    <row r="490">
      <c r="A490" s="9"/>
      <c r="B490" s="15"/>
      <c r="C490" s="9">
        <f>IFERROR(__xludf.DUMMYFUNCTION("""COMPUTED_VALUE"""),44600.4587799999)</f>
        <v>44600.45878</v>
      </c>
      <c r="D490" s="15">
        <f>IFERROR(__xludf.DUMMYFUNCTION("""COMPUTED_VALUE"""),0.999)</f>
        <v>0.999</v>
      </c>
      <c r="E490" s="16">
        <f>IFERROR(__xludf.DUMMYFUNCTION("""COMPUTED_VALUE"""),66.0)</f>
        <v>66</v>
      </c>
      <c r="F490" s="19" t="str">
        <f>IFERROR(__xludf.DUMMYFUNCTION("""COMPUTED_VALUE"""),"BLUE")</f>
        <v>BLUE</v>
      </c>
      <c r="G490" s="20" t="str">
        <f>IFERROR(__xludf.DUMMYFUNCTION("""COMPUTED_VALUE"""),"Uncle Sams Cider (11/12/2021) (Blue)")</f>
        <v>Uncle Sams Cider (11/12/2021) (Blue)</v>
      </c>
      <c r="H490" s="19"/>
    </row>
    <row r="491">
      <c r="A491" s="9"/>
      <c r="B491" s="15"/>
      <c r="C491" s="9">
        <f>IFERROR(__xludf.DUMMYFUNCTION("""COMPUTED_VALUE"""),44600.448347581)</f>
        <v>44600.44835</v>
      </c>
      <c r="D491" s="15">
        <f>IFERROR(__xludf.DUMMYFUNCTION("""COMPUTED_VALUE"""),0.999)</f>
        <v>0.999</v>
      </c>
      <c r="E491" s="16">
        <f>IFERROR(__xludf.DUMMYFUNCTION("""COMPUTED_VALUE"""),66.0)</f>
        <v>66</v>
      </c>
      <c r="F491" s="19" t="str">
        <f>IFERROR(__xludf.DUMMYFUNCTION("""COMPUTED_VALUE"""),"BLUE")</f>
        <v>BLUE</v>
      </c>
      <c r="G491" s="20" t="str">
        <f>IFERROR(__xludf.DUMMYFUNCTION("""COMPUTED_VALUE"""),"Uncle Sams Cider (11/12/2021) (Blue)")</f>
        <v>Uncle Sams Cider (11/12/2021) (Blue)</v>
      </c>
      <c r="H491" s="19"/>
    </row>
    <row r="492">
      <c r="A492" s="9"/>
      <c r="B492" s="15"/>
      <c r="C492" s="9">
        <f>IFERROR(__xludf.DUMMYFUNCTION("""COMPUTED_VALUE"""),44600.4379145254)</f>
        <v>44600.43791</v>
      </c>
      <c r="D492" s="15">
        <f>IFERROR(__xludf.DUMMYFUNCTION("""COMPUTED_VALUE"""),0.999)</f>
        <v>0.999</v>
      </c>
      <c r="E492" s="16">
        <f>IFERROR(__xludf.DUMMYFUNCTION("""COMPUTED_VALUE"""),65.0)</f>
        <v>65</v>
      </c>
      <c r="F492" s="19" t="str">
        <f>IFERROR(__xludf.DUMMYFUNCTION("""COMPUTED_VALUE"""),"BLUE")</f>
        <v>BLUE</v>
      </c>
      <c r="G492" s="20" t="str">
        <f>IFERROR(__xludf.DUMMYFUNCTION("""COMPUTED_VALUE"""),"Uncle Sams Cider (11/12/2021) (Blue)")</f>
        <v>Uncle Sams Cider (11/12/2021) (Blue)</v>
      </c>
      <c r="H492" s="19"/>
    </row>
    <row r="493">
      <c r="A493" s="9"/>
      <c r="B493" s="15"/>
      <c r="C493" s="9">
        <f>IFERROR(__xludf.DUMMYFUNCTION("""COMPUTED_VALUE"""),44600.4274942592)</f>
        <v>44600.42749</v>
      </c>
      <c r="D493" s="15">
        <f>IFERROR(__xludf.DUMMYFUNCTION("""COMPUTED_VALUE"""),0.999)</f>
        <v>0.999</v>
      </c>
      <c r="E493" s="16">
        <f>IFERROR(__xludf.DUMMYFUNCTION("""COMPUTED_VALUE"""),65.0)</f>
        <v>65</v>
      </c>
      <c r="F493" s="19" t="str">
        <f>IFERROR(__xludf.DUMMYFUNCTION("""COMPUTED_VALUE"""),"BLUE")</f>
        <v>BLUE</v>
      </c>
      <c r="G493" s="20" t="str">
        <f>IFERROR(__xludf.DUMMYFUNCTION("""COMPUTED_VALUE"""),"Uncle Sams Cider (11/12/2021) (Blue)")</f>
        <v>Uncle Sams Cider (11/12/2021) (Blue)</v>
      </c>
      <c r="H493" s="19"/>
    </row>
    <row r="494">
      <c r="A494" s="9"/>
      <c r="B494" s="15"/>
      <c r="C494" s="9">
        <f>IFERROR(__xludf.DUMMYFUNCTION("""COMPUTED_VALUE"""),44600.4170739351)</f>
        <v>44600.41707</v>
      </c>
      <c r="D494" s="15">
        <f>IFERROR(__xludf.DUMMYFUNCTION("""COMPUTED_VALUE"""),0.999)</f>
        <v>0.999</v>
      </c>
      <c r="E494" s="16">
        <f>IFERROR(__xludf.DUMMYFUNCTION("""COMPUTED_VALUE"""),65.0)</f>
        <v>65</v>
      </c>
      <c r="F494" s="19" t="str">
        <f>IFERROR(__xludf.DUMMYFUNCTION("""COMPUTED_VALUE"""),"BLUE")</f>
        <v>BLUE</v>
      </c>
      <c r="G494" s="20" t="str">
        <f>IFERROR(__xludf.DUMMYFUNCTION("""COMPUTED_VALUE"""),"Uncle Sams Cider (11/12/2021) (Blue)")</f>
        <v>Uncle Sams Cider (11/12/2021) (Blue)</v>
      </c>
      <c r="H494" s="19"/>
    </row>
    <row r="495">
      <c r="A495" s="9"/>
      <c r="B495" s="15"/>
      <c r="C495" s="9">
        <f>IFERROR(__xludf.DUMMYFUNCTION("""COMPUTED_VALUE"""),44600.4066521875)</f>
        <v>44600.40665</v>
      </c>
      <c r="D495" s="15">
        <f>IFERROR(__xludf.DUMMYFUNCTION("""COMPUTED_VALUE"""),0.999)</f>
        <v>0.999</v>
      </c>
      <c r="E495" s="16">
        <f>IFERROR(__xludf.DUMMYFUNCTION("""COMPUTED_VALUE"""),64.0)</f>
        <v>64</v>
      </c>
      <c r="F495" s="19" t="str">
        <f>IFERROR(__xludf.DUMMYFUNCTION("""COMPUTED_VALUE"""),"BLUE")</f>
        <v>BLUE</v>
      </c>
      <c r="G495" s="20" t="str">
        <f>IFERROR(__xludf.DUMMYFUNCTION("""COMPUTED_VALUE"""),"Uncle Sams Cider (11/12/2021) (Blue)")</f>
        <v>Uncle Sams Cider (11/12/2021) (Blue)</v>
      </c>
      <c r="H495" s="19"/>
    </row>
    <row r="496">
      <c r="A496" s="9"/>
      <c r="B496" s="15"/>
      <c r="C496" s="9">
        <f>IFERROR(__xludf.DUMMYFUNCTION("""COMPUTED_VALUE"""),44600.3962200578)</f>
        <v>44600.39622</v>
      </c>
      <c r="D496" s="15">
        <f>IFERROR(__xludf.DUMMYFUNCTION("""COMPUTED_VALUE"""),0.999)</f>
        <v>0.999</v>
      </c>
      <c r="E496" s="16">
        <f>IFERROR(__xludf.DUMMYFUNCTION("""COMPUTED_VALUE"""),64.0)</f>
        <v>64</v>
      </c>
      <c r="F496" s="19" t="str">
        <f>IFERROR(__xludf.DUMMYFUNCTION("""COMPUTED_VALUE"""),"BLUE")</f>
        <v>BLUE</v>
      </c>
      <c r="G496" s="20" t="str">
        <f>IFERROR(__xludf.DUMMYFUNCTION("""COMPUTED_VALUE"""),"Uncle Sams Cider (11/12/2021) (Blue)")</f>
        <v>Uncle Sams Cider (11/12/2021) (Blue)</v>
      </c>
      <c r="H496" s="19"/>
    </row>
    <row r="497">
      <c r="A497" s="9"/>
      <c r="B497" s="15"/>
      <c r="C497" s="9">
        <f>IFERROR(__xludf.DUMMYFUNCTION("""COMPUTED_VALUE"""),44600.3857984606)</f>
        <v>44600.3858</v>
      </c>
      <c r="D497" s="15">
        <f>IFERROR(__xludf.DUMMYFUNCTION("""COMPUTED_VALUE"""),1.0)</f>
        <v>1</v>
      </c>
      <c r="E497" s="16">
        <f>IFERROR(__xludf.DUMMYFUNCTION("""COMPUTED_VALUE"""),63.0)</f>
        <v>63</v>
      </c>
      <c r="F497" s="19" t="str">
        <f>IFERROR(__xludf.DUMMYFUNCTION("""COMPUTED_VALUE"""),"BLUE")</f>
        <v>BLUE</v>
      </c>
      <c r="G497" s="20" t="str">
        <f>IFERROR(__xludf.DUMMYFUNCTION("""COMPUTED_VALUE"""),"Uncle Sams Cider (11/12/2021) (Blue)")</f>
        <v>Uncle Sams Cider (11/12/2021) (Blue)</v>
      </c>
      <c r="H497" s="19"/>
    </row>
    <row r="498">
      <c r="A498" s="9"/>
      <c r="B498" s="15"/>
      <c r="C498" s="9">
        <f>IFERROR(__xludf.DUMMYFUNCTION("""COMPUTED_VALUE"""),44600.3753661226)</f>
        <v>44600.37537</v>
      </c>
      <c r="D498" s="15">
        <f>IFERROR(__xludf.DUMMYFUNCTION("""COMPUTED_VALUE"""),1.0)</f>
        <v>1</v>
      </c>
      <c r="E498" s="16">
        <f>IFERROR(__xludf.DUMMYFUNCTION("""COMPUTED_VALUE"""),63.0)</f>
        <v>63</v>
      </c>
      <c r="F498" s="19" t="str">
        <f>IFERROR(__xludf.DUMMYFUNCTION("""COMPUTED_VALUE"""),"BLUE")</f>
        <v>BLUE</v>
      </c>
      <c r="G498" s="20" t="str">
        <f>IFERROR(__xludf.DUMMYFUNCTION("""COMPUTED_VALUE"""),"Uncle Sams Cider (11/12/2021) (Blue)")</f>
        <v>Uncle Sams Cider (11/12/2021) (Blue)</v>
      </c>
      <c r="H498" s="19"/>
    </row>
    <row r="499">
      <c r="A499" s="9"/>
      <c r="B499" s="15"/>
      <c r="C499" s="9">
        <f>IFERROR(__xludf.DUMMYFUNCTION("""COMPUTED_VALUE"""),44600.364934618)</f>
        <v>44600.36493</v>
      </c>
      <c r="D499" s="15">
        <f>IFERROR(__xludf.DUMMYFUNCTION("""COMPUTED_VALUE"""),0.999)</f>
        <v>0.999</v>
      </c>
      <c r="E499" s="16">
        <f>IFERROR(__xludf.DUMMYFUNCTION("""COMPUTED_VALUE"""),62.0)</f>
        <v>62</v>
      </c>
      <c r="F499" s="19" t="str">
        <f>IFERROR(__xludf.DUMMYFUNCTION("""COMPUTED_VALUE"""),"BLUE")</f>
        <v>BLUE</v>
      </c>
      <c r="G499" s="20" t="str">
        <f>IFERROR(__xludf.DUMMYFUNCTION("""COMPUTED_VALUE"""),"Uncle Sams Cider (11/12/2021) (Blue)")</f>
        <v>Uncle Sams Cider (11/12/2021) (Blue)</v>
      </c>
      <c r="H499" s="19"/>
    </row>
    <row r="500">
      <c r="A500" s="9"/>
      <c r="B500" s="15"/>
      <c r="C500" s="9">
        <f>IFERROR(__xludf.DUMMYFUNCTION("""COMPUTED_VALUE"""),44600.3545123726)</f>
        <v>44600.35451</v>
      </c>
      <c r="D500" s="15">
        <f>IFERROR(__xludf.DUMMYFUNCTION("""COMPUTED_VALUE"""),0.999)</f>
        <v>0.999</v>
      </c>
      <c r="E500" s="16">
        <f>IFERROR(__xludf.DUMMYFUNCTION("""COMPUTED_VALUE"""),62.0)</f>
        <v>62</v>
      </c>
      <c r="F500" s="19" t="str">
        <f>IFERROR(__xludf.DUMMYFUNCTION("""COMPUTED_VALUE"""),"BLUE")</f>
        <v>BLUE</v>
      </c>
      <c r="G500" s="20" t="str">
        <f>IFERROR(__xludf.DUMMYFUNCTION("""COMPUTED_VALUE"""),"Uncle Sams Cider (11/12/2021) (Blue)")</f>
        <v>Uncle Sams Cider (11/12/2021) (Blue)</v>
      </c>
      <c r="H500" s="19"/>
    </row>
    <row r="501">
      <c r="A501" s="9"/>
      <c r="B501" s="15"/>
      <c r="C501" s="9">
        <f>IFERROR(__xludf.DUMMYFUNCTION("""COMPUTED_VALUE"""),44600.3440903703)</f>
        <v>44600.34409</v>
      </c>
      <c r="D501" s="15">
        <f>IFERROR(__xludf.DUMMYFUNCTION("""COMPUTED_VALUE"""),1.0)</f>
        <v>1</v>
      </c>
      <c r="E501" s="16">
        <f>IFERROR(__xludf.DUMMYFUNCTION("""COMPUTED_VALUE"""),62.0)</f>
        <v>62</v>
      </c>
      <c r="F501" s="19" t="str">
        <f>IFERROR(__xludf.DUMMYFUNCTION("""COMPUTED_VALUE"""),"BLUE")</f>
        <v>BLUE</v>
      </c>
      <c r="G501" s="20" t="str">
        <f>IFERROR(__xludf.DUMMYFUNCTION("""COMPUTED_VALUE"""),"Uncle Sams Cider (11/12/2021) (Blue)")</f>
        <v>Uncle Sams Cider (11/12/2021) (Blue)</v>
      </c>
      <c r="H501" s="19"/>
    </row>
    <row r="502">
      <c r="A502" s="9"/>
      <c r="B502" s="15"/>
      <c r="C502" s="9">
        <f>IFERROR(__xludf.DUMMYFUNCTION("""COMPUTED_VALUE"""),44600.3336700925)</f>
        <v>44600.33367</v>
      </c>
      <c r="D502" s="15">
        <f>IFERROR(__xludf.DUMMYFUNCTION("""COMPUTED_VALUE"""),1.0)</f>
        <v>1</v>
      </c>
      <c r="E502" s="16">
        <f>IFERROR(__xludf.DUMMYFUNCTION("""COMPUTED_VALUE"""),62.0)</f>
        <v>62</v>
      </c>
      <c r="F502" s="19" t="str">
        <f>IFERROR(__xludf.DUMMYFUNCTION("""COMPUTED_VALUE"""),"BLUE")</f>
        <v>BLUE</v>
      </c>
      <c r="G502" s="20" t="str">
        <f>IFERROR(__xludf.DUMMYFUNCTION("""COMPUTED_VALUE"""),"Uncle Sams Cider (11/12/2021) (Blue)")</f>
        <v>Uncle Sams Cider (11/12/2021) (Blue)</v>
      </c>
      <c r="H502" s="19"/>
    </row>
    <row r="503">
      <c r="A503" s="9"/>
      <c r="B503" s="15"/>
      <c r="C503" s="9">
        <f>IFERROR(__xludf.DUMMYFUNCTION("""COMPUTED_VALUE"""),44600.3232504976)</f>
        <v>44600.32325</v>
      </c>
      <c r="D503" s="15">
        <f>IFERROR(__xludf.DUMMYFUNCTION("""COMPUTED_VALUE"""),1.0)</f>
        <v>1</v>
      </c>
      <c r="E503" s="16">
        <f>IFERROR(__xludf.DUMMYFUNCTION("""COMPUTED_VALUE"""),62.0)</f>
        <v>62</v>
      </c>
      <c r="F503" s="19" t="str">
        <f>IFERROR(__xludf.DUMMYFUNCTION("""COMPUTED_VALUE"""),"BLUE")</f>
        <v>BLUE</v>
      </c>
      <c r="G503" s="20" t="str">
        <f>IFERROR(__xludf.DUMMYFUNCTION("""COMPUTED_VALUE"""),"Uncle Sams Cider (11/12/2021) (Blue)")</f>
        <v>Uncle Sams Cider (11/12/2021) (Blue)</v>
      </c>
      <c r="H503" s="19"/>
    </row>
    <row r="504">
      <c r="A504" s="9"/>
      <c r="B504" s="15"/>
      <c r="C504" s="9">
        <f>IFERROR(__xludf.DUMMYFUNCTION("""COMPUTED_VALUE"""),44600.3128173379)</f>
        <v>44600.31282</v>
      </c>
      <c r="D504" s="15">
        <f>IFERROR(__xludf.DUMMYFUNCTION("""COMPUTED_VALUE"""),1.0)</f>
        <v>1</v>
      </c>
      <c r="E504" s="16">
        <f>IFERROR(__xludf.DUMMYFUNCTION("""COMPUTED_VALUE"""),62.0)</f>
        <v>62</v>
      </c>
      <c r="F504" s="19" t="str">
        <f>IFERROR(__xludf.DUMMYFUNCTION("""COMPUTED_VALUE"""),"BLUE")</f>
        <v>BLUE</v>
      </c>
      <c r="G504" s="20" t="str">
        <f>IFERROR(__xludf.DUMMYFUNCTION("""COMPUTED_VALUE"""),"Uncle Sams Cider (11/12/2021) (Blue)")</f>
        <v>Uncle Sams Cider (11/12/2021) (Blue)</v>
      </c>
      <c r="H504" s="19"/>
    </row>
    <row r="505">
      <c r="A505" s="9"/>
      <c r="B505" s="15"/>
      <c r="C505" s="9">
        <f>IFERROR(__xludf.DUMMYFUNCTION("""COMPUTED_VALUE"""),44600.3023718171)</f>
        <v>44600.30237</v>
      </c>
      <c r="D505" s="15">
        <f>IFERROR(__xludf.DUMMYFUNCTION("""COMPUTED_VALUE"""),1.0)</f>
        <v>1</v>
      </c>
      <c r="E505" s="16">
        <f>IFERROR(__xludf.DUMMYFUNCTION("""COMPUTED_VALUE"""),62.0)</f>
        <v>62</v>
      </c>
      <c r="F505" s="19" t="str">
        <f>IFERROR(__xludf.DUMMYFUNCTION("""COMPUTED_VALUE"""),"BLUE")</f>
        <v>BLUE</v>
      </c>
      <c r="G505" s="20" t="str">
        <f>IFERROR(__xludf.DUMMYFUNCTION("""COMPUTED_VALUE"""),"Uncle Sams Cider (11/12/2021) (Blue)")</f>
        <v>Uncle Sams Cider (11/12/2021) (Blue)</v>
      </c>
      <c r="H505" s="19"/>
    </row>
    <row r="506">
      <c r="A506" s="9"/>
      <c r="B506" s="15"/>
      <c r="C506" s="9">
        <f>IFERROR(__xludf.DUMMYFUNCTION("""COMPUTED_VALUE"""),44600.2919493634)</f>
        <v>44600.29195</v>
      </c>
      <c r="D506" s="15">
        <f>IFERROR(__xludf.DUMMYFUNCTION("""COMPUTED_VALUE"""),1.0)</f>
        <v>1</v>
      </c>
      <c r="E506" s="16">
        <f>IFERROR(__xludf.DUMMYFUNCTION("""COMPUTED_VALUE"""),62.0)</f>
        <v>62</v>
      </c>
      <c r="F506" s="19" t="str">
        <f>IFERROR(__xludf.DUMMYFUNCTION("""COMPUTED_VALUE"""),"BLUE")</f>
        <v>BLUE</v>
      </c>
      <c r="G506" s="20" t="str">
        <f>IFERROR(__xludf.DUMMYFUNCTION("""COMPUTED_VALUE"""),"Uncle Sams Cider (11/12/2021) (Blue)")</f>
        <v>Uncle Sams Cider (11/12/2021) (Blue)</v>
      </c>
      <c r="H506" s="19"/>
    </row>
    <row r="507">
      <c r="A507" s="9"/>
      <c r="B507" s="15"/>
      <c r="C507" s="9">
        <f>IFERROR(__xludf.DUMMYFUNCTION("""COMPUTED_VALUE"""),44600.2815299421)</f>
        <v>44600.28153</v>
      </c>
      <c r="D507" s="15">
        <f>IFERROR(__xludf.DUMMYFUNCTION("""COMPUTED_VALUE"""),1.0)</f>
        <v>1</v>
      </c>
      <c r="E507" s="16">
        <f>IFERROR(__xludf.DUMMYFUNCTION("""COMPUTED_VALUE"""),62.0)</f>
        <v>62</v>
      </c>
      <c r="F507" s="19" t="str">
        <f>IFERROR(__xludf.DUMMYFUNCTION("""COMPUTED_VALUE"""),"BLUE")</f>
        <v>BLUE</v>
      </c>
      <c r="G507" s="20" t="str">
        <f>IFERROR(__xludf.DUMMYFUNCTION("""COMPUTED_VALUE"""),"Uncle Sams Cider (11/12/2021) (Blue)")</f>
        <v>Uncle Sams Cider (11/12/2021) (Blue)</v>
      </c>
      <c r="H507" s="19"/>
    </row>
    <row r="508">
      <c r="A508" s="9"/>
      <c r="B508" s="15"/>
      <c r="C508" s="9">
        <f>IFERROR(__xludf.DUMMYFUNCTION("""COMPUTED_VALUE"""),44600.2711107523)</f>
        <v>44600.27111</v>
      </c>
      <c r="D508" s="15">
        <f>IFERROR(__xludf.DUMMYFUNCTION("""COMPUTED_VALUE"""),0.999)</f>
        <v>0.999</v>
      </c>
      <c r="E508" s="16">
        <f>IFERROR(__xludf.DUMMYFUNCTION("""COMPUTED_VALUE"""),62.0)</f>
        <v>62</v>
      </c>
      <c r="F508" s="19" t="str">
        <f>IFERROR(__xludf.DUMMYFUNCTION("""COMPUTED_VALUE"""),"BLUE")</f>
        <v>BLUE</v>
      </c>
      <c r="G508" s="20" t="str">
        <f>IFERROR(__xludf.DUMMYFUNCTION("""COMPUTED_VALUE"""),"Uncle Sams Cider (11/12/2021) (Blue)")</f>
        <v>Uncle Sams Cider (11/12/2021) (Blue)</v>
      </c>
      <c r="H508" s="19"/>
    </row>
    <row r="509">
      <c r="A509" s="9"/>
      <c r="B509" s="15"/>
      <c r="C509" s="9">
        <f>IFERROR(__xludf.DUMMYFUNCTION("""COMPUTED_VALUE"""),44600.2606895949)</f>
        <v>44600.26069</v>
      </c>
      <c r="D509" s="15">
        <f>IFERROR(__xludf.DUMMYFUNCTION("""COMPUTED_VALUE"""),0.999)</f>
        <v>0.999</v>
      </c>
      <c r="E509" s="16">
        <f>IFERROR(__xludf.DUMMYFUNCTION("""COMPUTED_VALUE"""),62.0)</f>
        <v>62</v>
      </c>
      <c r="F509" s="19" t="str">
        <f>IFERROR(__xludf.DUMMYFUNCTION("""COMPUTED_VALUE"""),"BLUE")</f>
        <v>BLUE</v>
      </c>
      <c r="G509" s="20" t="str">
        <f>IFERROR(__xludf.DUMMYFUNCTION("""COMPUTED_VALUE"""),"Uncle Sams Cider (11/12/2021) (Blue)")</f>
        <v>Uncle Sams Cider (11/12/2021) (Blue)</v>
      </c>
      <c r="H509" s="19"/>
    </row>
    <row r="510">
      <c r="A510" s="9"/>
      <c r="B510" s="15"/>
      <c r="C510" s="9">
        <f>IFERROR(__xludf.DUMMYFUNCTION("""COMPUTED_VALUE"""),44600.2502684259)</f>
        <v>44600.25027</v>
      </c>
      <c r="D510" s="15">
        <f>IFERROR(__xludf.DUMMYFUNCTION("""COMPUTED_VALUE"""),1.0)</f>
        <v>1</v>
      </c>
      <c r="E510" s="16">
        <f>IFERROR(__xludf.DUMMYFUNCTION("""COMPUTED_VALUE"""),62.0)</f>
        <v>62</v>
      </c>
      <c r="F510" s="19" t="str">
        <f>IFERROR(__xludf.DUMMYFUNCTION("""COMPUTED_VALUE"""),"BLUE")</f>
        <v>BLUE</v>
      </c>
      <c r="G510" s="20" t="str">
        <f>IFERROR(__xludf.DUMMYFUNCTION("""COMPUTED_VALUE"""),"Uncle Sams Cider (11/12/2021) (Blue)")</f>
        <v>Uncle Sams Cider (11/12/2021) (Blue)</v>
      </c>
      <c r="H510" s="19"/>
    </row>
    <row r="511">
      <c r="A511" s="9"/>
      <c r="B511" s="15"/>
      <c r="C511" s="9">
        <f>IFERROR(__xludf.DUMMYFUNCTION("""COMPUTED_VALUE"""),44600.239847662)</f>
        <v>44600.23985</v>
      </c>
      <c r="D511" s="15">
        <f>IFERROR(__xludf.DUMMYFUNCTION("""COMPUTED_VALUE"""),1.0)</f>
        <v>1</v>
      </c>
      <c r="E511" s="16">
        <f>IFERROR(__xludf.DUMMYFUNCTION("""COMPUTED_VALUE"""),62.0)</f>
        <v>62</v>
      </c>
      <c r="F511" s="19" t="str">
        <f>IFERROR(__xludf.DUMMYFUNCTION("""COMPUTED_VALUE"""),"BLUE")</f>
        <v>BLUE</v>
      </c>
      <c r="G511" s="20" t="str">
        <f>IFERROR(__xludf.DUMMYFUNCTION("""COMPUTED_VALUE"""),"Uncle Sams Cider (11/12/2021) (Blue)")</f>
        <v>Uncle Sams Cider (11/12/2021) (Blue)</v>
      </c>
      <c r="H511" s="19"/>
    </row>
    <row r="512">
      <c r="A512" s="9"/>
      <c r="B512" s="15"/>
      <c r="C512" s="9">
        <f>IFERROR(__xludf.DUMMYFUNCTION("""COMPUTED_VALUE"""),44600.2294273611)</f>
        <v>44600.22943</v>
      </c>
      <c r="D512" s="15">
        <f>IFERROR(__xludf.DUMMYFUNCTION("""COMPUTED_VALUE"""),0.999)</f>
        <v>0.999</v>
      </c>
      <c r="E512" s="16">
        <f>IFERROR(__xludf.DUMMYFUNCTION("""COMPUTED_VALUE"""),62.0)</f>
        <v>62</v>
      </c>
      <c r="F512" s="19" t="str">
        <f>IFERROR(__xludf.DUMMYFUNCTION("""COMPUTED_VALUE"""),"BLUE")</f>
        <v>BLUE</v>
      </c>
      <c r="G512" s="20" t="str">
        <f>IFERROR(__xludf.DUMMYFUNCTION("""COMPUTED_VALUE"""),"Uncle Sams Cider (11/12/2021) (Blue)")</f>
        <v>Uncle Sams Cider (11/12/2021) (Blue)</v>
      </c>
      <c r="H512" s="19"/>
    </row>
    <row r="513">
      <c r="A513" s="9"/>
      <c r="B513" s="15"/>
      <c r="C513" s="9">
        <f>IFERROR(__xludf.DUMMYFUNCTION("""COMPUTED_VALUE"""),44600.2189953125)</f>
        <v>44600.219</v>
      </c>
      <c r="D513" s="15">
        <f>IFERROR(__xludf.DUMMYFUNCTION("""COMPUTED_VALUE"""),1.0)</f>
        <v>1</v>
      </c>
      <c r="E513" s="16">
        <f>IFERROR(__xludf.DUMMYFUNCTION("""COMPUTED_VALUE"""),62.0)</f>
        <v>62</v>
      </c>
      <c r="F513" s="19" t="str">
        <f>IFERROR(__xludf.DUMMYFUNCTION("""COMPUTED_VALUE"""),"BLUE")</f>
        <v>BLUE</v>
      </c>
      <c r="G513" s="20" t="str">
        <f>IFERROR(__xludf.DUMMYFUNCTION("""COMPUTED_VALUE"""),"Uncle Sams Cider (11/12/2021) (Blue)")</f>
        <v>Uncle Sams Cider (11/12/2021) (Blue)</v>
      </c>
      <c r="H513" s="19"/>
    </row>
    <row r="514">
      <c r="A514" s="9"/>
      <c r="B514" s="15"/>
      <c r="C514" s="9">
        <f>IFERROR(__xludf.DUMMYFUNCTION("""COMPUTED_VALUE"""),44600.2085737152)</f>
        <v>44600.20857</v>
      </c>
      <c r="D514" s="15">
        <f>IFERROR(__xludf.DUMMYFUNCTION("""COMPUTED_VALUE"""),1.0)</f>
        <v>1</v>
      </c>
      <c r="E514" s="16">
        <f>IFERROR(__xludf.DUMMYFUNCTION("""COMPUTED_VALUE"""),62.0)</f>
        <v>62</v>
      </c>
      <c r="F514" s="19" t="str">
        <f>IFERROR(__xludf.DUMMYFUNCTION("""COMPUTED_VALUE"""),"BLUE")</f>
        <v>BLUE</v>
      </c>
      <c r="G514" s="20" t="str">
        <f>IFERROR(__xludf.DUMMYFUNCTION("""COMPUTED_VALUE"""),"Uncle Sams Cider (11/12/2021) (Blue)")</f>
        <v>Uncle Sams Cider (11/12/2021) (Blue)</v>
      </c>
      <c r="H514" s="19"/>
    </row>
    <row r="515">
      <c r="A515" s="9"/>
      <c r="B515" s="15"/>
      <c r="C515" s="9">
        <f>IFERROR(__xludf.DUMMYFUNCTION("""COMPUTED_VALUE"""),44600.1981522569)</f>
        <v>44600.19815</v>
      </c>
      <c r="D515" s="15">
        <f>IFERROR(__xludf.DUMMYFUNCTION("""COMPUTED_VALUE"""),0.999)</f>
        <v>0.999</v>
      </c>
      <c r="E515" s="16">
        <f>IFERROR(__xludf.DUMMYFUNCTION("""COMPUTED_VALUE"""),62.0)</f>
        <v>62</v>
      </c>
      <c r="F515" s="19" t="str">
        <f>IFERROR(__xludf.DUMMYFUNCTION("""COMPUTED_VALUE"""),"BLUE")</f>
        <v>BLUE</v>
      </c>
      <c r="G515" s="20" t="str">
        <f>IFERROR(__xludf.DUMMYFUNCTION("""COMPUTED_VALUE"""),"Uncle Sams Cider (11/12/2021) (Blue)")</f>
        <v>Uncle Sams Cider (11/12/2021) (Blue)</v>
      </c>
      <c r="H515" s="19"/>
    </row>
    <row r="516">
      <c r="A516" s="9"/>
      <c r="B516" s="15"/>
      <c r="C516" s="9">
        <f>IFERROR(__xludf.DUMMYFUNCTION("""COMPUTED_VALUE"""),44600.1877313773)</f>
        <v>44600.18773</v>
      </c>
      <c r="D516" s="15">
        <f>IFERROR(__xludf.DUMMYFUNCTION("""COMPUTED_VALUE"""),0.999)</f>
        <v>0.999</v>
      </c>
      <c r="E516" s="16">
        <f>IFERROR(__xludf.DUMMYFUNCTION("""COMPUTED_VALUE"""),62.0)</f>
        <v>62</v>
      </c>
      <c r="F516" s="19" t="str">
        <f>IFERROR(__xludf.DUMMYFUNCTION("""COMPUTED_VALUE"""),"BLUE")</f>
        <v>BLUE</v>
      </c>
      <c r="G516" s="20" t="str">
        <f>IFERROR(__xludf.DUMMYFUNCTION("""COMPUTED_VALUE"""),"Uncle Sams Cider (11/12/2021) (Blue)")</f>
        <v>Uncle Sams Cider (11/12/2021) (Blue)</v>
      </c>
      <c r="H516" s="19"/>
    </row>
    <row r="517">
      <c r="A517" s="9"/>
      <c r="B517" s="15"/>
      <c r="C517" s="9">
        <f>IFERROR(__xludf.DUMMYFUNCTION("""COMPUTED_VALUE"""),44600.1773104513)</f>
        <v>44600.17731</v>
      </c>
      <c r="D517" s="15">
        <f>IFERROR(__xludf.DUMMYFUNCTION("""COMPUTED_VALUE"""),1.0)</f>
        <v>1</v>
      </c>
      <c r="E517" s="16">
        <f>IFERROR(__xludf.DUMMYFUNCTION("""COMPUTED_VALUE"""),62.0)</f>
        <v>62</v>
      </c>
      <c r="F517" s="19" t="str">
        <f>IFERROR(__xludf.DUMMYFUNCTION("""COMPUTED_VALUE"""),"BLUE")</f>
        <v>BLUE</v>
      </c>
      <c r="G517" s="20" t="str">
        <f>IFERROR(__xludf.DUMMYFUNCTION("""COMPUTED_VALUE"""),"Uncle Sams Cider (11/12/2021) (Blue)")</f>
        <v>Uncle Sams Cider (11/12/2021) (Blue)</v>
      </c>
      <c r="H517" s="19"/>
    </row>
    <row r="518">
      <c r="A518" s="9"/>
      <c r="B518" s="15"/>
      <c r="C518" s="9">
        <f>IFERROR(__xludf.DUMMYFUNCTION("""COMPUTED_VALUE"""),44600.1668893981)</f>
        <v>44600.16689</v>
      </c>
      <c r="D518" s="15">
        <f>IFERROR(__xludf.DUMMYFUNCTION("""COMPUTED_VALUE"""),1.0)</f>
        <v>1</v>
      </c>
      <c r="E518" s="16">
        <f>IFERROR(__xludf.DUMMYFUNCTION("""COMPUTED_VALUE"""),62.0)</f>
        <v>62</v>
      </c>
      <c r="F518" s="19" t="str">
        <f>IFERROR(__xludf.DUMMYFUNCTION("""COMPUTED_VALUE"""),"BLUE")</f>
        <v>BLUE</v>
      </c>
      <c r="G518" s="20" t="str">
        <f>IFERROR(__xludf.DUMMYFUNCTION("""COMPUTED_VALUE"""),"Uncle Sams Cider (11/12/2021) (Blue)")</f>
        <v>Uncle Sams Cider (11/12/2021) (Blue)</v>
      </c>
      <c r="H518" s="19"/>
    </row>
    <row r="519">
      <c r="A519" s="9"/>
      <c r="B519" s="15"/>
      <c r="C519" s="9">
        <f>IFERROR(__xludf.DUMMYFUNCTION("""COMPUTED_VALUE"""),44600.1564704513)</f>
        <v>44600.15647</v>
      </c>
      <c r="D519" s="15">
        <f>IFERROR(__xludf.DUMMYFUNCTION("""COMPUTED_VALUE"""),1.0)</f>
        <v>1</v>
      </c>
      <c r="E519" s="16">
        <f>IFERROR(__xludf.DUMMYFUNCTION("""COMPUTED_VALUE"""),62.0)</f>
        <v>62</v>
      </c>
      <c r="F519" s="19" t="str">
        <f>IFERROR(__xludf.DUMMYFUNCTION("""COMPUTED_VALUE"""),"BLUE")</f>
        <v>BLUE</v>
      </c>
      <c r="G519" s="20" t="str">
        <f>IFERROR(__xludf.DUMMYFUNCTION("""COMPUTED_VALUE"""),"Uncle Sams Cider (11/12/2021) (Blue)")</f>
        <v>Uncle Sams Cider (11/12/2021) (Blue)</v>
      </c>
      <c r="H519" s="19"/>
    </row>
    <row r="520">
      <c r="A520" s="9"/>
      <c r="B520" s="15"/>
      <c r="C520" s="9">
        <f>IFERROR(__xludf.DUMMYFUNCTION("""COMPUTED_VALUE"""),44600.1460501041)</f>
        <v>44600.14605</v>
      </c>
      <c r="D520" s="15">
        <f>IFERROR(__xludf.DUMMYFUNCTION("""COMPUTED_VALUE"""),1.0)</f>
        <v>1</v>
      </c>
      <c r="E520" s="11">
        <f>IFERROR(__xludf.DUMMYFUNCTION("""COMPUTED_VALUE"""),62.0)</f>
        <v>62</v>
      </c>
      <c r="F520" s="12" t="str">
        <f>IFERROR(__xludf.DUMMYFUNCTION("""COMPUTED_VALUE"""),"BLUE")</f>
        <v>BLUE</v>
      </c>
      <c r="G520" s="20" t="str">
        <f>IFERROR(__xludf.DUMMYFUNCTION("""COMPUTED_VALUE"""),"Uncle Sams Cider (11/12/2021) (Blue)")</f>
        <v>Uncle Sams Cider (11/12/2021) (Blue)</v>
      </c>
      <c r="H520" s="19"/>
    </row>
    <row r="521">
      <c r="A521" s="9"/>
      <c r="B521" s="15"/>
      <c r="C521" s="9">
        <f>IFERROR(__xludf.DUMMYFUNCTION("""COMPUTED_VALUE"""),44600.1356268749)</f>
        <v>44600.13563</v>
      </c>
      <c r="D521" s="15">
        <f>IFERROR(__xludf.DUMMYFUNCTION("""COMPUTED_VALUE"""),1.0)</f>
        <v>1</v>
      </c>
      <c r="E521" s="16">
        <f>IFERROR(__xludf.DUMMYFUNCTION("""COMPUTED_VALUE"""),62.0)</f>
        <v>62</v>
      </c>
      <c r="F521" s="19" t="str">
        <f>IFERROR(__xludf.DUMMYFUNCTION("""COMPUTED_VALUE"""),"BLUE")</f>
        <v>BLUE</v>
      </c>
      <c r="G521" s="20" t="str">
        <f>IFERROR(__xludf.DUMMYFUNCTION("""COMPUTED_VALUE"""),"Uncle Sams Cider (11/12/2021) (Blue)")</f>
        <v>Uncle Sams Cider (11/12/2021) (Blue)</v>
      </c>
      <c r="H521" s="19"/>
    </row>
    <row r="522">
      <c r="A522" s="9"/>
      <c r="B522" s="15"/>
      <c r="C522" s="9">
        <f>IFERROR(__xludf.DUMMYFUNCTION("""COMPUTED_VALUE"""),44600.1252060995)</f>
        <v>44600.12521</v>
      </c>
      <c r="D522" s="15">
        <f>IFERROR(__xludf.DUMMYFUNCTION("""COMPUTED_VALUE"""),0.999)</f>
        <v>0.999</v>
      </c>
      <c r="E522" s="16">
        <f>IFERROR(__xludf.DUMMYFUNCTION("""COMPUTED_VALUE"""),62.0)</f>
        <v>62</v>
      </c>
      <c r="F522" s="19" t="str">
        <f>IFERROR(__xludf.DUMMYFUNCTION("""COMPUTED_VALUE"""),"BLUE")</f>
        <v>BLUE</v>
      </c>
      <c r="G522" s="20" t="str">
        <f>IFERROR(__xludf.DUMMYFUNCTION("""COMPUTED_VALUE"""),"Uncle Sams Cider (11/12/2021) (Blue)")</f>
        <v>Uncle Sams Cider (11/12/2021) (Blue)</v>
      </c>
      <c r="H522" s="19"/>
    </row>
    <row r="523">
      <c r="A523" s="9"/>
      <c r="B523" s="15"/>
      <c r="C523" s="9">
        <f>IFERROR(__xludf.DUMMYFUNCTION("""COMPUTED_VALUE"""),44600.1147745138)</f>
        <v>44600.11477</v>
      </c>
      <c r="D523" s="15">
        <f>IFERROR(__xludf.DUMMYFUNCTION("""COMPUTED_VALUE"""),1.0)</f>
        <v>1</v>
      </c>
      <c r="E523" s="16">
        <f>IFERROR(__xludf.DUMMYFUNCTION("""COMPUTED_VALUE"""),62.0)</f>
        <v>62</v>
      </c>
      <c r="F523" s="19" t="str">
        <f>IFERROR(__xludf.DUMMYFUNCTION("""COMPUTED_VALUE"""),"BLUE")</f>
        <v>BLUE</v>
      </c>
      <c r="G523" s="20" t="str">
        <f>IFERROR(__xludf.DUMMYFUNCTION("""COMPUTED_VALUE"""),"Uncle Sams Cider (11/12/2021) (Blue)")</f>
        <v>Uncle Sams Cider (11/12/2021) (Blue)</v>
      </c>
      <c r="H523" s="19"/>
    </row>
    <row r="524">
      <c r="A524" s="9"/>
      <c r="B524" s="15"/>
      <c r="C524" s="9">
        <f>IFERROR(__xludf.DUMMYFUNCTION("""COMPUTED_VALUE"""),44600.104352743)</f>
        <v>44600.10435</v>
      </c>
      <c r="D524" s="15">
        <f>IFERROR(__xludf.DUMMYFUNCTION("""COMPUTED_VALUE"""),0.999)</f>
        <v>0.999</v>
      </c>
      <c r="E524" s="16">
        <f>IFERROR(__xludf.DUMMYFUNCTION("""COMPUTED_VALUE"""),62.0)</f>
        <v>62</v>
      </c>
      <c r="F524" s="19" t="str">
        <f>IFERROR(__xludf.DUMMYFUNCTION("""COMPUTED_VALUE"""),"BLUE")</f>
        <v>BLUE</v>
      </c>
      <c r="G524" s="20" t="str">
        <f>IFERROR(__xludf.DUMMYFUNCTION("""COMPUTED_VALUE"""),"Uncle Sams Cider (11/12/2021) (Blue)")</f>
        <v>Uncle Sams Cider (11/12/2021) (Blue)</v>
      </c>
      <c r="H524" s="19"/>
    </row>
    <row r="525">
      <c r="A525" s="9"/>
      <c r="B525" s="15"/>
      <c r="C525" s="9">
        <f>IFERROR(__xludf.DUMMYFUNCTION("""COMPUTED_VALUE"""),44600.0939309027)</f>
        <v>44600.09393</v>
      </c>
      <c r="D525" s="15">
        <f>IFERROR(__xludf.DUMMYFUNCTION("""COMPUTED_VALUE"""),0.999)</f>
        <v>0.999</v>
      </c>
      <c r="E525" s="16">
        <f>IFERROR(__xludf.DUMMYFUNCTION("""COMPUTED_VALUE"""),62.0)</f>
        <v>62</v>
      </c>
      <c r="F525" s="19" t="str">
        <f>IFERROR(__xludf.DUMMYFUNCTION("""COMPUTED_VALUE"""),"BLUE")</f>
        <v>BLUE</v>
      </c>
      <c r="G525" s="20" t="str">
        <f>IFERROR(__xludf.DUMMYFUNCTION("""COMPUTED_VALUE"""),"Uncle Sams Cider (11/12/2021) (Blue)")</f>
        <v>Uncle Sams Cider (11/12/2021) (Blue)</v>
      </c>
      <c r="H525" s="19"/>
    </row>
    <row r="526">
      <c r="A526" s="9"/>
      <c r="B526" s="15"/>
      <c r="C526" s="9">
        <f>IFERROR(__xludf.DUMMYFUNCTION("""COMPUTED_VALUE"""),44600.0835093055)</f>
        <v>44600.08351</v>
      </c>
      <c r="D526" s="15">
        <f>IFERROR(__xludf.DUMMYFUNCTION("""COMPUTED_VALUE"""),1.0)</f>
        <v>1</v>
      </c>
      <c r="E526" s="16">
        <f>IFERROR(__xludf.DUMMYFUNCTION("""COMPUTED_VALUE"""),62.0)</f>
        <v>62</v>
      </c>
      <c r="F526" s="19" t="str">
        <f>IFERROR(__xludf.DUMMYFUNCTION("""COMPUTED_VALUE"""),"BLUE")</f>
        <v>BLUE</v>
      </c>
      <c r="G526" s="20" t="str">
        <f>IFERROR(__xludf.DUMMYFUNCTION("""COMPUTED_VALUE"""),"Uncle Sams Cider (11/12/2021) (Blue)")</f>
        <v>Uncle Sams Cider (11/12/2021) (Blue)</v>
      </c>
      <c r="H526" s="19"/>
    </row>
    <row r="527">
      <c r="A527" s="9"/>
      <c r="B527" s="15"/>
      <c r="C527" s="9">
        <f>IFERROR(__xludf.DUMMYFUNCTION("""COMPUTED_VALUE"""),44600.0730757638)</f>
        <v>44600.07308</v>
      </c>
      <c r="D527" s="15">
        <f>IFERROR(__xludf.DUMMYFUNCTION("""COMPUTED_VALUE"""),0.999)</f>
        <v>0.999</v>
      </c>
      <c r="E527" s="16">
        <f>IFERROR(__xludf.DUMMYFUNCTION("""COMPUTED_VALUE"""),62.0)</f>
        <v>62</v>
      </c>
      <c r="F527" s="19" t="str">
        <f>IFERROR(__xludf.DUMMYFUNCTION("""COMPUTED_VALUE"""),"BLUE")</f>
        <v>BLUE</v>
      </c>
      <c r="G527" s="20" t="str">
        <f>IFERROR(__xludf.DUMMYFUNCTION("""COMPUTED_VALUE"""),"Uncle Sams Cider (11/12/2021) (Blue)")</f>
        <v>Uncle Sams Cider (11/12/2021) (Blue)</v>
      </c>
      <c r="H527" s="19"/>
    </row>
    <row r="528">
      <c r="A528" s="9"/>
      <c r="B528" s="15"/>
      <c r="C528" s="9">
        <f>IFERROR(__xludf.DUMMYFUNCTION("""COMPUTED_VALUE"""),44600.062654155)</f>
        <v>44600.06265</v>
      </c>
      <c r="D528" s="15">
        <f>IFERROR(__xludf.DUMMYFUNCTION("""COMPUTED_VALUE"""),0.999)</f>
        <v>0.999</v>
      </c>
      <c r="E528" s="16">
        <f>IFERROR(__xludf.DUMMYFUNCTION("""COMPUTED_VALUE"""),62.0)</f>
        <v>62</v>
      </c>
      <c r="F528" s="19" t="str">
        <f>IFERROR(__xludf.DUMMYFUNCTION("""COMPUTED_VALUE"""),"BLUE")</f>
        <v>BLUE</v>
      </c>
      <c r="G528" s="20" t="str">
        <f>IFERROR(__xludf.DUMMYFUNCTION("""COMPUTED_VALUE"""),"Uncle Sams Cider (11/12/2021) (Blue)")</f>
        <v>Uncle Sams Cider (11/12/2021) (Blue)</v>
      </c>
      <c r="H528" s="19"/>
    </row>
    <row r="529">
      <c r="A529" s="9"/>
      <c r="B529" s="15"/>
      <c r="C529" s="9">
        <f>IFERROR(__xludf.DUMMYFUNCTION("""COMPUTED_VALUE"""),44600.0521969212)</f>
        <v>44600.0522</v>
      </c>
      <c r="D529" s="15">
        <f>IFERROR(__xludf.DUMMYFUNCTION("""COMPUTED_VALUE"""),0.999)</f>
        <v>0.999</v>
      </c>
      <c r="E529" s="16">
        <f>IFERROR(__xludf.DUMMYFUNCTION("""COMPUTED_VALUE"""),62.0)</f>
        <v>62</v>
      </c>
      <c r="F529" s="19" t="str">
        <f>IFERROR(__xludf.DUMMYFUNCTION("""COMPUTED_VALUE"""),"BLUE")</f>
        <v>BLUE</v>
      </c>
      <c r="G529" s="20" t="str">
        <f>IFERROR(__xludf.DUMMYFUNCTION("""COMPUTED_VALUE"""),"Uncle Sams Cider (11/12/2021) (Blue)")</f>
        <v>Uncle Sams Cider (11/12/2021) (Blue)</v>
      </c>
      <c r="H529" s="19"/>
    </row>
    <row r="530">
      <c r="A530" s="9"/>
      <c r="B530" s="15"/>
      <c r="C530" s="9">
        <f>IFERROR(__xludf.DUMMYFUNCTION("""COMPUTED_VALUE"""),44600.0417765162)</f>
        <v>44600.04178</v>
      </c>
      <c r="D530" s="15">
        <f>IFERROR(__xludf.DUMMYFUNCTION("""COMPUTED_VALUE"""),1.0)</f>
        <v>1</v>
      </c>
      <c r="E530" s="16">
        <f>IFERROR(__xludf.DUMMYFUNCTION("""COMPUTED_VALUE"""),62.0)</f>
        <v>62</v>
      </c>
      <c r="F530" s="19" t="str">
        <f>IFERROR(__xludf.DUMMYFUNCTION("""COMPUTED_VALUE"""),"BLUE")</f>
        <v>BLUE</v>
      </c>
      <c r="G530" s="20" t="str">
        <f>IFERROR(__xludf.DUMMYFUNCTION("""COMPUTED_VALUE"""),"Uncle Sams Cider (11/12/2021) (Blue)")</f>
        <v>Uncle Sams Cider (11/12/2021) (Blue)</v>
      </c>
      <c r="H530" s="19"/>
    </row>
    <row r="531">
      <c r="A531" s="9"/>
      <c r="B531" s="15"/>
      <c r="C531" s="9">
        <f>IFERROR(__xludf.DUMMYFUNCTION("""COMPUTED_VALUE"""),44600.0313563425)</f>
        <v>44600.03136</v>
      </c>
      <c r="D531" s="15">
        <f>IFERROR(__xludf.DUMMYFUNCTION("""COMPUTED_VALUE"""),0.999)</f>
        <v>0.999</v>
      </c>
      <c r="E531" s="16">
        <f>IFERROR(__xludf.DUMMYFUNCTION("""COMPUTED_VALUE"""),62.0)</f>
        <v>62</v>
      </c>
      <c r="F531" s="19" t="str">
        <f>IFERROR(__xludf.DUMMYFUNCTION("""COMPUTED_VALUE"""),"BLUE")</f>
        <v>BLUE</v>
      </c>
      <c r="G531" s="20" t="str">
        <f>IFERROR(__xludf.DUMMYFUNCTION("""COMPUTED_VALUE"""),"Uncle Sams Cider (11/12/2021) (Blue)")</f>
        <v>Uncle Sams Cider (11/12/2021) (Blue)</v>
      </c>
      <c r="H531" s="19"/>
    </row>
    <row r="532">
      <c r="A532" s="9"/>
      <c r="B532" s="15"/>
      <c r="C532" s="9">
        <f>IFERROR(__xludf.DUMMYFUNCTION("""COMPUTED_VALUE"""),44600.0209349305)</f>
        <v>44600.02093</v>
      </c>
      <c r="D532" s="15">
        <f>IFERROR(__xludf.DUMMYFUNCTION("""COMPUTED_VALUE"""),0.999)</f>
        <v>0.999</v>
      </c>
      <c r="E532" s="16">
        <f>IFERROR(__xludf.DUMMYFUNCTION("""COMPUTED_VALUE"""),62.0)</f>
        <v>62</v>
      </c>
      <c r="F532" s="19" t="str">
        <f>IFERROR(__xludf.DUMMYFUNCTION("""COMPUTED_VALUE"""),"BLUE")</f>
        <v>BLUE</v>
      </c>
      <c r="G532" s="20" t="str">
        <f>IFERROR(__xludf.DUMMYFUNCTION("""COMPUTED_VALUE"""),"Uncle Sams Cider (11/12/2021) (Blue)")</f>
        <v>Uncle Sams Cider (11/12/2021) (Blue)</v>
      </c>
      <c r="H532" s="19"/>
    </row>
    <row r="533">
      <c r="A533" s="9"/>
      <c r="B533" s="15"/>
      <c r="C533" s="9">
        <f>IFERROR(__xludf.DUMMYFUNCTION("""COMPUTED_VALUE"""),44600.0104918402)</f>
        <v>44600.01049</v>
      </c>
      <c r="D533" s="15">
        <f>IFERROR(__xludf.DUMMYFUNCTION("""COMPUTED_VALUE"""),1.0)</f>
        <v>1</v>
      </c>
      <c r="E533" s="16">
        <f>IFERROR(__xludf.DUMMYFUNCTION("""COMPUTED_VALUE"""),62.0)</f>
        <v>62</v>
      </c>
      <c r="F533" s="19" t="str">
        <f>IFERROR(__xludf.DUMMYFUNCTION("""COMPUTED_VALUE"""),"BLUE")</f>
        <v>BLUE</v>
      </c>
      <c r="G533" s="20" t="str">
        <f>IFERROR(__xludf.DUMMYFUNCTION("""COMPUTED_VALUE"""),"Uncle Sams Cider (11/12/2021) (Blue)")</f>
        <v>Uncle Sams Cider (11/12/2021) (Blue)</v>
      </c>
      <c r="H533" s="19"/>
    </row>
    <row r="534">
      <c r="A534" s="9"/>
      <c r="B534" s="15"/>
      <c r="C534" s="9">
        <f>IFERROR(__xludf.DUMMYFUNCTION("""COMPUTED_VALUE"""),44600.00005978)</f>
        <v>44600.00006</v>
      </c>
      <c r="D534" s="15">
        <f>IFERROR(__xludf.DUMMYFUNCTION("""COMPUTED_VALUE"""),0.999)</f>
        <v>0.999</v>
      </c>
      <c r="E534" s="16">
        <f>IFERROR(__xludf.DUMMYFUNCTION("""COMPUTED_VALUE"""),62.0)</f>
        <v>62</v>
      </c>
      <c r="F534" s="19" t="str">
        <f>IFERROR(__xludf.DUMMYFUNCTION("""COMPUTED_VALUE"""),"BLUE")</f>
        <v>BLUE</v>
      </c>
      <c r="G534" s="20" t="str">
        <f>IFERROR(__xludf.DUMMYFUNCTION("""COMPUTED_VALUE"""),"Uncle Sams Cider (11/12/2021) (Blue)")</f>
        <v>Uncle Sams Cider (11/12/2021) (Blue)</v>
      </c>
      <c r="H534" s="19"/>
    </row>
    <row r="535">
      <c r="A535" s="9"/>
      <c r="B535" s="15"/>
      <c r="C535" s="9">
        <f>IFERROR(__xludf.DUMMYFUNCTION("""COMPUTED_VALUE"""),44599.9896271412)</f>
        <v>44599.98963</v>
      </c>
      <c r="D535" s="15">
        <f>IFERROR(__xludf.DUMMYFUNCTION("""COMPUTED_VALUE"""),0.999)</f>
        <v>0.999</v>
      </c>
      <c r="E535" s="16">
        <f>IFERROR(__xludf.DUMMYFUNCTION("""COMPUTED_VALUE"""),62.0)</f>
        <v>62</v>
      </c>
      <c r="F535" s="19" t="str">
        <f>IFERROR(__xludf.DUMMYFUNCTION("""COMPUTED_VALUE"""),"BLUE")</f>
        <v>BLUE</v>
      </c>
      <c r="G535" s="20" t="str">
        <f>IFERROR(__xludf.DUMMYFUNCTION("""COMPUTED_VALUE"""),"Uncle Sams Cider (11/12/2021) (Blue)")</f>
        <v>Uncle Sams Cider (11/12/2021) (Blue)</v>
      </c>
      <c r="H535" s="19"/>
    </row>
    <row r="536">
      <c r="A536" s="9"/>
      <c r="B536" s="15"/>
      <c r="C536" s="9">
        <f>IFERROR(__xludf.DUMMYFUNCTION("""COMPUTED_VALUE"""),44599.9792055208)</f>
        <v>44599.97921</v>
      </c>
      <c r="D536" s="15">
        <f>IFERROR(__xludf.DUMMYFUNCTION("""COMPUTED_VALUE"""),1.0)</f>
        <v>1</v>
      </c>
      <c r="E536" s="16">
        <f>IFERROR(__xludf.DUMMYFUNCTION("""COMPUTED_VALUE"""),62.0)</f>
        <v>62</v>
      </c>
      <c r="F536" s="19" t="str">
        <f>IFERROR(__xludf.DUMMYFUNCTION("""COMPUTED_VALUE"""),"BLUE")</f>
        <v>BLUE</v>
      </c>
      <c r="G536" s="20" t="str">
        <f>IFERROR(__xludf.DUMMYFUNCTION("""COMPUTED_VALUE"""),"Uncle Sams Cider (11/12/2021) (Blue)")</f>
        <v>Uncle Sams Cider (11/12/2021) (Blue)</v>
      </c>
      <c r="H536" s="19"/>
    </row>
    <row r="537">
      <c r="A537" s="9"/>
      <c r="B537" s="15"/>
      <c r="C537" s="9">
        <f>IFERROR(__xludf.DUMMYFUNCTION("""COMPUTED_VALUE"""),44599.9687842592)</f>
        <v>44599.96878</v>
      </c>
      <c r="D537" s="15">
        <f>IFERROR(__xludf.DUMMYFUNCTION("""COMPUTED_VALUE"""),1.0)</f>
        <v>1</v>
      </c>
      <c r="E537" s="16">
        <f>IFERROR(__xludf.DUMMYFUNCTION("""COMPUTED_VALUE"""),62.0)</f>
        <v>62</v>
      </c>
      <c r="F537" s="19" t="str">
        <f>IFERROR(__xludf.DUMMYFUNCTION("""COMPUTED_VALUE"""),"BLUE")</f>
        <v>BLUE</v>
      </c>
      <c r="G537" s="20" t="str">
        <f>IFERROR(__xludf.DUMMYFUNCTION("""COMPUTED_VALUE"""),"Uncle Sams Cider (11/12/2021) (Blue)")</f>
        <v>Uncle Sams Cider (11/12/2021) (Blue)</v>
      </c>
      <c r="H537" s="19"/>
    </row>
    <row r="538">
      <c r="A538" s="9"/>
      <c r="B538" s="15"/>
      <c r="C538" s="9">
        <f>IFERROR(__xludf.DUMMYFUNCTION("""COMPUTED_VALUE"""),44599.958361875)</f>
        <v>44599.95836</v>
      </c>
      <c r="D538" s="15">
        <f>IFERROR(__xludf.DUMMYFUNCTION("""COMPUTED_VALUE"""),0.999)</f>
        <v>0.999</v>
      </c>
      <c r="E538" s="16">
        <f>IFERROR(__xludf.DUMMYFUNCTION("""COMPUTED_VALUE"""),62.0)</f>
        <v>62</v>
      </c>
      <c r="F538" s="19" t="str">
        <f>IFERROR(__xludf.DUMMYFUNCTION("""COMPUTED_VALUE"""),"BLUE")</f>
        <v>BLUE</v>
      </c>
      <c r="G538" s="20" t="str">
        <f>IFERROR(__xludf.DUMMYFUNCTION("""COMPUTED_VALUE"""),"Uncle Sams Cider (11/12/2021) (Blue)")</f>
        <v>Uncle Sams Cider (11/12/2021) (Blue)</v>
      </c>
      <c r="H538" s="19"/>
    </row>
    <row r="539">
      <c r="A539" s="9"/>
      <c r="B539" s="15"/>
      <c r="C539" s="9">
        <f>IFERROR(__xludf.DUMMYFUNCTION("""COMPUTED_VALUE"""),44599.94791625)</f>
        <v>44599.94792</v>
      </c>
      <c r="D539" s="15">
        <f>IFERROR(__xludf.DUMMYFUNCTION("""COMPUTED_VALUE"""),0.999)</f>
        <v>0.999</v>
      </c>
      <c r="E539" s="16">
        <f>IFERROR(__xludf.DUMMYFUNCTION("""COMPUTED_VALUE"""),62.0)</f>
        <v>62</v>
      </c>
      <c r="F539" s="19" t="str">
        <f>IFERROR(__xludf.DUMMYFUNCTION("""COMPUTED_VALUE"""),"BLUE")</f>
        <v>BLUE</v>
      </c>
      <c r="G539" s="20" t="str">
        <f>IFERROR(__xludf.DUMMYFUNCTION("""COMPUTED_VALUE"""),"Uncle Sams Cider (11/12/2021) (Blue)")</f>
        <v>Uncle Sams Cider (11/12/2021) (Blue)</v>
      </c>
      <c r="H539" s="19"/>
    </row>
    <row r="540">
      <c r="A540" s="9"/>
      <c r="B540" s="15"/>
      <c r="C540" s="9">
        <f>IFERROR(__xludf.DUMMYFUNCTION("""COMPUTED_VALUE"""),44599.9374956481)</f>
        <v>44599.9375</v>
      </c>
      <c r="D540" s="15">
        <f>IFERROR(__xludf.DUMMYFUNCTION("""COMPUTED_VALUE"""),1.0)</f>
        <v>1</v>
      </c>
      <c r="E540" s="16">
        <f>IFERROR(__xludf.DUMMYFUNCTION("""COMPUTED_VALUE"""),62.0)</f>
        <v>62</v>
      </c>
      <c r="F540" s="19" t="str">
        <f>IFERROR(__xludf.DUMMYFUNCTION("""COMPUTED_VALUE"""),"BLUE")</f>
        <v>BLUE</v>
      </c>
      <c r="G540" s="20" t="str">
        <f>IFERROR(__xludf.DUMMYFUNCTION("""COMPUTED_VALUE"""),"Uncle Sams Cider (11/12/2021) (Blue)")</f>
        <v>Uncle Sams Cider (11/12/2021) (Blue)</v>
      </c>
      <c r="H540" s="19"/>
    </row>
    <row r="541">
      <c r="A541" s="9"/>
      <c r="B541" s="15"/>
      <c r="C541" s="9">
        <f>IFERROR(__xludf.DUMMYFUNCTION("""COMPUTED_VALUE"""),44599.9270726388)</f>
        <v>44599.92707</v>
      </c>
      <c r="D541" s="15">
        <f>IFERROR(__xludf.DUMMYFUNCTION("""COMPUTED_VALUE"""),0.999)</f>
        <v>0.999</v>
      </c>
      <c r="E541" s="16">
        <f>IFERROR(__xludf.DUMMYFUNCTION("""COMPUTED_VALUE"""),62.0)</f>
        <v>62</v>
      </c>
      <c r="F541" s="19" t="str">
        <f>IFERROR(__xludf.DUMMYFUNCTION("""COMPUTED_VALUE"""),"BLUE")</f>
        <v>BLUE</v>
      </c>
      <c r="G541" s="20" t="str">
        <f>IFERROR(__xludf.DUMMYFUNCTION("""COMPUTED_VALUE"""),"Uncle Sams Cider (11/12/2021) (Blue)")</f>
        <v>Uncle Sams Cider (11/12/2021) (Blue)</v>
      </c>
      <c r="H541" s="19"/>
    </row>
    <row r="542">
      <c r="A542" s="9"/>
      <c r="B542" s="15"/>
      <c r="C542" s="9">
        <f>IFERROR(__xludf.DUMMYFUNCTION("""COMPUTED_VALUE"""),44599.916653912)</f>
        <v>44599.91665</v>
      </c>
      <c r="D542" s="15">
        <f>IFERROR(__xludf.DUMMYFUNCTION("""COMPUTED_VALUE"""),0.999)</f>
        <v>0.999</v>
      </c>
      <c r="E542" s="16">
        <f>IFERROR(__xludf.DUMMYFUNCTION("""COMPUTED_VALUE"""),62.0)</f>
        <v>62</v>
      </c>
      <c r="F542" s="19" t="str">
        <f>IFERROR(__xludf.DUMMYFUNCTION("""COMPUTED_VALUE"""),"BLUE")</f>
        <v>BLUE</v>
      </c>
      <c r="G542" s="20" t="str">
        <f>IFERROR(__xludf.DUMMYFUNCTION("""COMPUTED_VALUE"""),"Uncle Sams Cider (11/12/2021) (Blue)")</f>
        <v>Uncle Sams Cider (11/12/2021) (Blue)</v>
      </c>
      <c r="H542" s="19"/>
    </row>
    <row r="543">
      <c r="A543" s="9"/>
      <c r="B543" s="15"/>
      <c r="C543" s="9">
        <f>IFERROR(__xludf.DUMMYFUNCTION("""COMPUTED_VALUE"""),44599.906233206)</f>
        <v>44599.90623</v>
      </c>
      <c r="D543" s="15">
        <f>IFERROR(__xludf.DUMMYFUNCTION("""COMPUTED_VALUE"""),0.999)</f>
        <v>0.999</v>
      </c>
      <c r="E543" s="16">
        <f>IFERROR(__xludf.DUMMYFUNCTION("""COMPUTED_VALUE"""),62.0)</f>
        <v>62</v>
      </c>
      <c r="F543" s="19" t="str">
        <f>IFERROR(__xludf.DUMMYFUNCTION("""COMPUTED_VALUE"""),"BLUE")</f>
        <v>BLUE</v>
      </c>
      <c r="G543" s="20" t="str">
        <f>IFERROR(__xludf.DUMMYFUNCTION("""COMPUTED_VALUE"""),"Uncle Sams Cider (11/12/2021) (Blue)")</f>
        <v>Uncle Sams Cider (11/12/2021) (Blue)</v>
      </c>
      <c r="H543" s="19"/>
    </row>
    <row r="544">
      <c r="A544" s="9"/>
      <c r="B544" s="15"/>
      <c r="C544" s="9">
        <f>IFERROR(__xludf.DUMMYFUNCTION("""COMPUTED_VALUE"""),44599.8958112615)</f>
        <v>44599.89581</v>
      </c>
      <c r="D544" s="15">
        <f>IFERROR(__xludf.DUMMYFUNCTION("""COMPUTED_VALUE"""),0.999)</f>
        <v>0.999</v>
      </c>
      <c r="E544" s="16">
        <f>IFERROR(__xludf.DUMMYFUNCTION("""COMPUTED_VALUE"""),62.0)</f>
        <v>62</v>
      </c>
      <c r="F544" s="19" t="str">
        <f>IFERROR(__xludf.DUMMYFUNCTION("""COMPUTED_VALUE"""),"BLUE")</f>
        <v>BLUE</v>
      </c>
      <c r="G544" s="20" t="str">
        <f>IFERROR(__xludf.DUMMYFUNCTION("""COMPUTED_VALUE"""),"Uncle Sams Cider (11/12/2021) (Blue)")</f>
        <v>Uncle Sams Cider (11/12/2021) (Blue)</v>
      </c>
      <c r="H544" s="19"/>
    </row>
    <row r="545">
      <c r="A545" s="9"/>
      <c r="B545" s="15"/>
      <c r="C545" s="9">
        <f>IFERROR(__xludf.DUMMYFUNCTION("""COMPUTED_VALUE"""),44599.8853913888)</f>
        <v>44599.88539</v>
      </c>
      <c r="D545" s="15">
        <f>IFERROR(__xludf.DUMMYFUNCTION("""COMPUTED_VALUE"""),1.0)</f>
        <v>1</v>
      </c>
      <c r="E545" s="16">
        <f>IFERROR(__xludf.DUMMYFUNCTION("""COMPUTED_VALUE"""),62.0)</f>
        <v>62</v>
      </c>
      <c r="F545" s="19" t="str">
        <f>IFERROR(__xludf.DUMMYFUNCTION("""COMPUTED_VALUE"""),"BLUE")</f>
        <v>BLUE</v>
      </c>
      <c r="G545" s="20" t="str">
        <f>IFERROR(__xludf.DUMMYFUNCTION("""COMPUTED_VALUE"""),"Uncle Sams Cider (11/12/2021) (Blue)")</f>
        <v>Uncle Sams Cider (11/12/2021) (Blue)</v>
      </c>
      <c r="H545" s="19"/>
    </row>
    <row r="546">
      <c r="A546" s="9"/>
      <c r="B546" s="15"/>
      <c r="C546" s="9">
        <f>IFERROR(__xludf.DUMMYFUNCTION("""COMPUTED_VALUE"""),44599.8749707523)</f>
        <v>44599.87497</v>
      </c>
      <c r="D546" s="15">
        <f>IFERROR(__xludf.DUMMYFUNCTION("""COMPUTED_VALUE"""),0.999)</f>
        <v>0.999</v>
      </c>
      <c r="E546" s="16">
        <f>IFERROR(__xludf.DUMMYFUNCTION("""COMPUTED_VALUE"""),62.0)</f>
        <v>62</v>
      </c>
      <c r="F546" s="19" t="str">
        <f>IFERROR(__xludf.DUMMYFUNCTION("""COMPUTED_VALUE"""),"BLUE")</f>
        <v>BLUE</v>
      </c>
      <c r="G546" s="20" t="str">
        <f>IFERROR(__xludf.DUMMYFUNCTION("""COMPUTED_VALUE"""),"Uncle Sams Cider (11/12/2021) (Blue)")</f>
        <v>Uncle Sams Cider (11/12/2021) (Blue)</v>
      </c>
      <c r="H546" s="19"/>
    </row>
    <row r="547">
      <c r="A547" s="9"/>
      <c r="B547" s="15"/>
      <c r="C547" s="9">
        <f>IFERROR(__xludf.DUMMYFUNCTION("""COMPUTED_VALUE"""),44599.8645473263)</f>
        <v>44599.86455</v>
      </c>
      <c r="D547" s="15">
        <f>IFERROR(__xludf.DUMMYFUNCTION("""COMPUTED_VALUE"""),1.0)</f>
        <v>1</v>
      </c>
      <c r="E547" s="16">
        <f>IFERROR(__xludf.DUMMYFUNCTION("""COMPUTED_VALUE"""),62.0)</f>
        <v>62</v>
      </c>
      <c r="F547" s="19" t="str">
        <f>IFERROR(__xludf.DUMMYFUNCTION("""COMPUTED_VALUE"""),"BLUE")</f>
        <v>BLUE</v>
      </c>
      <c r="G547" s="20" t="str">
        <f>IFERROR(__xludf.DUMMYFUNCTION("""COMPUTED_VALUE"""),"Uncle Sams Cider (11/12/2021) (Blue)")</f>
        <v>Uncle Sams Cider (11/12/2021) (Blue)</v>
      </c>
      <c r="H547" s="19"/>
    </row>
    <row r="548">
      <c r="A548" s="9"/>
      <c r="B548" s="15"/>
      <c r="C548" s="9">
        <f>IFERROR(__xludf.DUMMYFUNCTION("""COMPUTED_VALUE"""),44599.8541154745)</f>
        <v>44599.85412</v>
      </c>
      <c r="D548" s="15">
        <f>IFERROR(__xludf.DUMMYFUNCTION("""COMPUTED_VALUE"""),1.0)</f>
        <v>1</v>
      </c>
      <c r="E548" s="16">
        <f>IFERROR(__xludf.DUMMYFUNCTION("""COMPUTED_VALUE"""),62.0)</f>
        <v>62</v>
      </c>
      <c r="F548" s="19" t="str">
        <f>IFERROR(__xludf.DUMMYFUNCTION("""COMPUTED_VALUE"""),"BLUE")</f>
        <v>BLUE</v>
      </c>
      <c r="G548" s="20" t="str">
        <f>IFERROR(__xludf.DUMMYFUNCTION("""COMPUTED_VALUE"""),"Uncle Sams Cider (11/12/2021) (Blue)")</f>
        <v>Uncle Sams Cider (11/12/2021) (Blue)</v>
      </c>
      <c r="H548" s="19"/>
    </row>
    <row r="549">
      <c r="A549" s="9"/>
      <c r="B549" s="15"/>
      <c r="C549" s="9">
        <f>IFERROR(__xludf.DUMMYFUNCTION("""COMPUTED_VALUE"""),44599.8436943634)</f>
        <v>44599.84369</v>
      </c>
      <c r="D549" s="15">
        <f>IFERROR(__xludf.DUMMYFUNCTION("""COMPUTED_VALUE"""),1.0)</f>
        <v>1</v>
      </c>
      <c r="E549" s="16">
        <f>IFERROR(__xludf.DUMMYFUNCTION("""COMPUTED_VALUE"""),62.0)</f>
        <v>62</v>
      </c>
      <c r="F549" s="19" t="str">
        <f>IFERROR(__xludf.DUMMYFUNCTION("""COMPUTED_VALUE"""),"BLUE")</f>
        <v>BLUE</v>
      </c>
      <c r="G549" s="20" t="str">
        <f>IFERROR(__xludf.DUMMYFUNCTION("""COMPUTED_VALUE"""),"Uncle Sams Cider (11/12/2021) (Blue)")</f>
        <v>Uncle Sams Cider (11/12/2021) (Blue)</v>
      </c>
      <c r="H549" s="19"/>
    </row>
    <row r="550">
      <c r="A550" s="9"/>
      <c r="B550" s="15"/>
      <c r="C550" s="9">
        <f>IFERROR(__xludf.DUMMYFUNCTION("""COMPUTED_VALUE"""),44599.8332730902)</f>
        <v>44599.83327</v>
      </c>
      <c r="D550" s="15">
        <f>IFERROR(__xludf.DUMMYFUNCTION("""COMPUTED_VALUE"""),1.0)</f>
        <v>1</v>
      </c>
      <c r="E550" s="16">
        <f>IFERROR(__xludf.DUMMYFUNCTION("""COMPUTED_VALUE"""),62.0)</f>
        <v>62</v>
      </c>
      <c r="F550" s="19" t="str">
        <f>IFERROR(__xludf.DUMMYFUNCTION("""COMPUTED_VALUE"""),"BLUE")</f>
        <v>BLUE</v>
      </c>
      <c r="G550" s="20" t="str">
        <f>IFERROR(__xludf.DUMMYFUNCTION("""COMPUTED_VALUE"""),"Uncle Sams Cider (11/12/2021) (Blue)")</f>
        <v>Uncle Sams Cider (11/12/2021) (Blue)</v>
      </c>
      <c r="H550" s="19"/>
    </row>
    <row r="551">
      <c r="A551" s="9"/>
      <c r="B551" s="15"/>
      <c r="C551" s="9">
        <f>IFERROR(__xludf.DUMMYFUNCTION("""COMPUTED_VALUE"""),44599.8228504282)</f>
        <v>44599.82285</v>
      </c>
      <c r="D551" s="15">
        <f>IFERROR(__xludf.DUMMYFUNCTION("""COMPUTED_VALUE"""),0.999)</f>
        <v>0.999</v>
      </c>
      <c r="E551" s="16">
        <f>IFERROR(__xludf.DUMMYFUNCTION("""COMPUTED_VALUE"""),62.0)</f>
        <v>62</v>
      </c>
      <c r="F551" s="19" t="str">
        <f>IFERROR(__xludf.DUMMYFUNCTION("""COMPUTED_VALUE"""),"BLUE")</f>
        <v>BLUE</v>
      </c>
      <c r="G551" s="20" t="str">
        <f>IFERROR(__xludf.DUMMYFUNCTION("""COMPUTED_VALUE"""),"Uncle Sams Cider (11/12/2021) (Blue)")</f>
        <v>Uncle Sams Cider (11/12/2021) (Blue)</v>
      </c>
      <c r="H551" s="19"/>
    </row>
    <row r="552">
      <c r="A552" s="9"/>
      <c r="B552" s="15"/>
      <c r="C552" s="9">
        <f>IFERROR(__xludf.DUMMYFUNCTION("""COMPUTED_VALUE"""),44599.8124318402)</f>
        <v>44599.81243</v>
      </c>
      <c r="D552" s="15">
        <f>IFERROR(__xludf.DUMMYFUNCTION("""COMPUTED_VALUE"""),0.999)</f>
        <v>0.999</v>
      </c>
      <c r="E552" s="16">
        <f>IFERROR(__xludf.DUMMYFUNCTION("""COMPUTED_VALUE"""),62.0)</f>
        <v>62</v>
      </c>
      <c r="F552" s="19" t="str">
        <f>IFERROR(__xludf.DUMMYFUNCTION("""COMPUTED_VALUE"""),"BLUE")</f>
        <v>BLUE</v>
      </c>
      <c r="G552" s="20" t="str">
        <f>IFERROR(__xludf.DUMMYFUNCTION("""COMPUTED_VALUE"""),"Uncle Sams Cider (11/12/2021) (Blue)")</f>
        <v>Uncle Sams Cider (11/12/2021) (Blue)</v>
      </c>
      <c r="H552" s="19"/>
    </row>
    <row r="553">
      <c r="A553" s="9"/>
      <c r="B553" s="15"/>
      <c r="C553" s="9">
        <f>IFERROR(__xludf.DUMMYFUNCTION("""COMPUTED_VALUE"""),44599.8020114351)</f>
        <v>44599.80201</v>
      </c>
      <c r="D553" s="15">
        <f>IFERROR(__xludf.DUMMYFUNCTION("""COMPUTED_VALUE"""),0.999)</f>
        <v>0.999</v>
      </c>
      <c r="E553" s="16">
        <f>IFERROR(__xludf.DUMMYFUNCTION("""COMPUTED_VALUE"""),62.0)</f>
        <v>62</v>
      </c>
      <c r="F553" s="19" t="str">
        <f>IFERROR(__xludf.DUMMYFUNCTION("""COMPUTED_VALUE"""),"BLUE")</f>
        <v>BLUE</v>
      </c>
      <c r="G553" s="20" t="str">
        <f>IFERROR(__xludf.DUMMYFUNCTION("""COMPUTED_VALUE"""),"Uncle Sams Cider (11/12/2021) (Blue)")</f>
        <v>Uncle Sams Cider (11/12/2021) (Blue)</v>
      </c>
      <c r="H553" s="19"/>
    </row>
    <row r="554">
      <c r="A554" s="9"/>
      <c r="B554" s="15"/>
      <c r="C554" s="9">
        <f>IFERROR(__xludf.DUMMYFUNCTION("""COMPUTED_VALUE"""),44599.7915889814)</f>
        <v>44599.79159</v>
      </c>
      <c r="D554" s="15">
        <f>IFERROR(__xludf.DUMMYFUNCTION("""COMPUTED_VALUE"""),0.999)</f>
        <v>0.999</v>
      </c>
      <c r="E554" s="16">
        <f>IFERROR(__xludf.DUMMYFUNCTION("""COMPUTED_VALUE"""),62.0)</f>
        <v>62</v>
      </c>
      <c r="F554" s="19" t="str">
        <f>IFERROR(__xludf.DUMMYFUNCTION("""COMPUTED_VALUE"""),"BLUE")</f>
        <v>BLUE</v>
      </c>
      <c r="G554" s="20" t="str">
        <f>IFERROR(__xludf.DUMMYFUNCTION("""COMPUTED_VALUE"""),"Uncle Sams Cider (11/12/2021) (Blue)")</f>
        <v>Uncle Sams Cider (11/12/2021) (Blue)</v>
      </c>
      <c r="H554" s="19"/>
    </row>
    <row r="555">
      <c r="A555" s="9"/>
      <c r="B555" s="15"/>
      <c r="C555" s="9">
        <f>IFERROR(__xludf.DUMMYFUNCTION("""COMPUTED_VALUE"""),44599.7811681018)</f>
        <v>44599.78117</v>
      </c>
      <c r="D555" s="15">
        <f>IFERROR(__xludf.DUMMYFUNCTION("""COMPUTED_VALUE"""),0.999)</f>
        <v>0.999</v>
      </c>
      <c r="E555" s="16">
        <f>IFERROR(__xludf.DUMMYFUNCTION("""COMPUTED_VALUE"""),62.0)</f>
        <v>62</v>
      </c>
      <c r="F555" s="19" t="str">
        <f>IFERROR(__xludf.DUMMYFUNCTION("""COMPUTED_VALUE"""),"BLUE")</f>
        <v>BLUE</v>
      </c>
      <c r="G555" s="20" t="str">
        <f>IFERROR(__xludf.DUMMYFUNCTION("""COMPUTED_VALUE"""),"Uncle Sams Cider (11/12/2021) (Blue)")</f>
        <v>Uncle Sams Cider (11/12/2021) (Blue)</v>
      </c>
      <c r="H555" s="19"/>
    </row>
    <row r="556">
      <c r="A556" s="9"/>
      <c r="B556" s="15"/>
      <c r="C556" s="9">
        <f>IFERROR(__xludf.DUMMYFUNCTION("""COMPUTED_VALUE"""),44599.7707455439)</f>
        <v>44599.77075</v>
      </c>
      <c r="D556" s="15">
        <f>IFERROR(__xludf.DUMMYFUNCTION("""COMPUTED_VALUE"""),0.999)</f>
        <v>0.999</v>
      </c>
      <c r="E556" s="16">
        <f>IFERROR(__xludf.DUMMYFUNCTION("""COMPUTED_VALUE"""),62.0)</f>
        <v>62</v>
      </c>
      <c r="F556" s="19" t="str">
        <f>IFERROR(__xludf.DUMMYFUNCTION("""COMPUTED_VALUE"""),"BLUE")</f>
        <v>BLUE</v>
      </c>
      <c r="G556" s="20" t="str">
        <f>IFERROR(__xludf.DUMMYFUNCTION("""COMPUTED_VALUE"""),"Uncle Sams Cider (11/12/2021) (Blue)")</f>
        <v>Uncle Sams Cider (11/12/2021) (Blue)</v>
      </c>
      <c r="H556" s="19"/>
    </row>
    <row r="557">
      <c r="A557" s="9"/>
      <c r="B557" s="15"/>
      <c r="C557" s="9">
        <f>IFERROR(__xludf.DUMMYFUNCTION("""COMPUTED_VALUE"""),44599.7603254398)</f>
        <v>44599.76033</v>
      </c>
      <c r="D557" s="15">
        <f>IFERROR(__xludf.DUMMYFUNCTION("""COMPUTED_VALUE"""),1.0)</f>
        <v>1</v>
      </c>
      <c r="E557" s="16">
        <f>IFERROR(__xludf.DUMMYFUNCTION("""COMPUTED_VALUE"""),62.0)</f>
        <v>62</v>
      </c>
      <c r="F557" s="19" t="str">
        <f>IFERROR(__xludf.DUMMYFUNCTION("""COMPUTED_VALUE"""),"BLUE")</f>
        <v>BLUE</v>
      </c>
      <c r="G557" s="20" t="str">
        <f>IFERROR(__xludf.DUMMYFUNCTION("""COMPUTED_VALUE"""),"Uncle Sams Cider (11/12/2021) (Blue)")</f>
        <v>Uncle Sams Cider (11/12/2021) (Blue)</v>
      </c>
      <c r="H557" s="19"/>
    </row>
    <row r="558">
      <c r="A558" s="9"/>
      <c r="B558" s="15"/>
      <c r="C558" s="9">
        <f>IFERROR(__xludf.DUMMYFUNCTION("""COMPUTED_VALUE"""),44599.7499023842)</f>
        <v>44599.7499</v>
      </c>
      <c r="D558" s="15">
        <f>IFERROR(__xludf.DUMMYFUNCTION("""COMPUTED_VALUE"""),1.0)</f>
        <v>1</v>
      </c>
      <c r="E558" s="16">
        <f>IFERROR(__xludf.DUMMYFUNCTION("""COMPUTED_VALUE"""),62.0)</f>
        <v>62</v>
      </c>
      <c r="F558" s="19" t="str">
        <f>IFERROR(__xludf.DUMMYFUNCTION("""COMPUTED_VALUE"""),"BLUE")</f>
        <v>BLUE</v>
      </c>
      <c r="G558" s="20" t="str">
        <f>IFERROR(__xludf.DUMMYFUNCTION("""COMPUTED_VALUE"""),"Uncle Sams Cider (11/12/2021) (Blue)")</f>
        <v>Uncle Sams Cider (11/12/2021) (Blue)</v>
      </c>
      <c r="H558" s="19"/>
    </row>
    <row r="559">
      <c r="A559" s="9"/>
      <c r="B559" s="15"/>
      <c r="C559" s="9">
        <f>IFERROR(__xludf.DUMMYFUNCTION("""COMPUTED_VALUE"""),44599.7394819907)</f>
        <v>44599.73948</v>
      </c>
      <c r="D559" s="15">
        <f>IFERROR(__xludf.DUMMYFUNCTION("""COMPUTED_VALUE"""),1.0)</f>
        <v>1</v>
      </c>
      <c r="E559" s="16">
        <f>IFERROR(__xludf.DUMMYFUNCTION("""COMPUTED_VALUE"""),62.0)</f>
        <v>62</v>
      </c>
      <c r="F559" s="19" t="str">
        <f>IFERROR(__xludf.DUMMYFUNCTION("""COMPUTED_VALUE"""),"BLUE")</f>
        <v>BLUE</v>
      </c>
      <c r="G559" s="20" t="str">
        <f>IFERROR(__xludf.DUMMYFUNCTION("""COMPUTED_VALUE"""),"Uncle Sams Cider (11/12/2021) (Blue)")</f>
        <v>Uncle Sams Cider (11/12/2021) (Blue)</v>
      </c>
      <c r="H559" s="19"/>
    </row>
    <row r="560">
      <c r="A560" s="9"/>
      <c r="B560" s="15"/>
      <c r="C560" s="9">
        <f>IFERROR(__xludf.DUMMYFUNCTION("""COMPUTED_VALUE"""),44599.7290606713)</f>
        <v>44599.72906</v>
      </c>
      <c r="D560" s="15">
        <f>IFERROR(__xludf.DUMMYFUNCTION("""COMPUTED_VALUE"""),0.999)</f>
        <v>0.999</v>
      </c>
      <c r="E560" s="16">
        <f>IFERROR(__xludf.DUMMYFUNCTION("""COMPUTED_VALUE"""),62.0)</f>
        <v>62</v>
      </c>
      <c r="F560" s="19" t="str">
        <f>IFERROR(__xludf.DUMMYFUNCTION("""COMPUTED_VALUE"""),"BLUE")</f>
        <v>BLUE</v>
      </c>
      <c r="G560" s="20" t="str">
        <f>IFERROR(__xludf.DUMMYFUNCTION("""COMPUTED_VALUE"""),"Uncle Sams Cider (11/12/2021) (Blue)")</f>
        <v>Uncle Sams Cider (11/12/2021) (Blue)</v>
      </c>
      <c r="H560" s="19"/>
    </row>
    <row r="561">
      <c r="A561" s="9"/>
      <c r="B561" s="15"/>
      <c r="C561" s="9">
        <f>IFERROR(__xludf.DUMMYFUNCTION("""COMPUTED_VALUE"""),44599.7186407291)</f>
        <v>44599.71864</v>
      </c>
      <c r="D561" s="15">
        <f>IFERROR(__xludf.DUMMYFUNCTION("""COMPUTED_VALUE"""),0.999)</f>
        <v>0.999</v>
      </c>
      <c r="E561" s="16">
        <f>IFERROR(__xludf.DUMMYFUNCTION("""COMPUTED_VALUE"""),62.0)</f>
        <v>62</v>
      </c>
      <c r="F561" s="19" t="str">
        <f>IFERROR(__xludf.DUMMYFUNCTION("""COMPUTED_VALUE"""),"BLUE")</f>
        <v>BLUE</v>
      </c>
      <c r="G561" s="20" t="str">
        <f>IFERROR(__xludf.DUMMYFUNCTION("""COMPUTED_VALUE"""),"Uncle Sams Cider (11/12/2021) (Blue)")</f>
        <v>Uncle Sams Cider (11/12/2021) (Blue)</v>
      </c>
      <c r="H561" s="19"/>
    </row>
    <row r="562">
      <c r="A562" s="9"/>
      <c r="B562" s="15"/>
      <c r="C562" s="9">
        <f>IFERROR(__xludf.DUMMYFUNCTION("""COMPUTED_VALUE"""),44599.7082206828)</f>
        <v>44599.70822</v>
      </c>
      <c r="D562" s="15">
        <f>IFERROR(__xludf.DUMMYFUNCTION("""COMPUTED_VALUE"""),1.0)</f>
        <v>1</v>
      </c>
      <c r="E562" s="16">
        <f>IFERROR(__xludf.DUMMYFUNCTION("""COMPUTED_VALUE"""),62.0)</f>
        <v>62</v>
      </c>
      <c r="F562" s="19" t="str">
        <f>IFERROR(__xludf.DUMMYFUNCTION("""COMPUTED_VALUE"""),"BLUE")</f>
        <v>BLUE</v>
      </c>
      <c r="G562" s="20" t="str">
        <f>IFERROR(__xludf.DUMMYFUNCTION("""COMPUTED_VALUE"""),"Uncle Sams Cider (11/12/2021) (Blue)")</f>
        <v>Uncle Sams Cider (11/12/2021) (Blue)</v>
      </c>
      <c r="H562" s="19"/>
    </row>
    <row r="563">
      <c r="A563" s="9"/>
      <c r="B563" s="15"/>
      <c r="C563" s="9">
        <f>IFERROR(__xludf.DUMMYFUNCTION("""COMPUTED_VALUE"""),44599.6977998726)</f>
        <v>44599.6978</v>
      </c>
      <c r="D563" s="15">
        <f>IFERROR(__xludf.DUMMYFUNCTION("""COMPUTED_VALUE"""),1.0)</f>
        <v>1</v>
      </c>
      <c r="E563" s="16">
        <f>IFERROR(__xludf.DUMMYFUNCTION("""COMPUTED_VALUE"""),62.0)</f>
        <v>62</v>
      </c>
      <c r="F563" s="19" t="str">
        <f>IFERROR(__xludf.DUMMYFUNCTION("""COMPUTED_VALUE"""),"BLUE")</f>
        <v>BLUE</v>
      </c>
      <c r="G563" s="20" t="str">
        <f>IFERROR(__xludf.DUMMYFUNCTION("""COMPUTED_VALUE"""),"Uncle Sams Cider (11/12/2021) (Blue)")</f>
        <v>Uncle Sams Cider (11/12/2021) (Blue)</v>
      </c>
      <c r="H563" s="19"/>
    </row>
    <row r="564">
      <c r="A564" s="9"/>
      <c r="B564" s="15"/>
      <c r="C564" s="9">
        <f>IFERROR(__xludf.DUMMYFUNCTION("""COMPUTED_VALUE"""),44599.6873678587)</f>
        <v>44599.68737</v>
      </c>
      <c r="D564" s="15">
        <f>IFERROR(__xludf.DUMMYFUNCTION("""COMPUTED_VALUE"""),1.0)</f>
        <v>1</v>
      </c>
      <c r="E564" s="16">
        <f>IFERROR(__xludf.DUMMYFUNCTION("""COMPUTED_VALUE"""),62.0)</f>
        <v>62</v>
      </c>
      <c r="F564" s="19" t="str">
        <f>IFERROR(__xludf.DUMMYFUNCTION("""COMPUTED_VALUE"""),"BLUE")</f>
        <v>BLUE</v>
      </c>
      <c r="G564" s="20" t="str">
        <f>IFERROR(__xludf.DUMMYFUNCTION("""COMPUTED_VALUE"""),"Uncle Sams Cider (11/12/2021) (Blue)")</f>
        <v>Uncle Sams Cider (11/12/2021) (Blue)</v>
      </c>
      <c r="H564" s="19"/>
    </row>
    <row r="565">
      <c r="A565" s="9"/>
      <c r="B565" s="15"/>
      <c r="C565" s="9">
        <f>IFERROR(__xludf.DUMMYFUNCTION("""COMPUTED_VALUE"""),44599.6769454398)</f>
        <v>44599.67695</v>
      </c>
      <c r="D565" s="15">
        <f>IFERROR(__xludf.DUMMYFUNCTION("""COMPUTED_VALUE"""),1.0)</f>
        <v>1</v>
      </c>
      <c r="E565" s="16">
        <f>IFERROR(__xludf.DUMMYFUNCTION("""COMPUTED_VALUE"""),62.0)</f>
        <v>62</v>
      </c>
      <c r="F565" s="19" t="str">
        <f>IFERROR(__xludf.DUMMYFUNCTION("""COMPUTED_VALUE"""),"BLUE")</f>
        <v>BLUE</v>
      </c>
      <c r="G565" s="20" t="str">
        <f>IFERROR(__xludf.DUMMYFUNCTION("""COMPUTED_VALUE"""),"Uncle Sams Cider (11/12/2021) (Blue)")</f>
        <v>Uncle Sams Cider (11/12/2021) (Blue)</v>
      </c>
      <c r="H565" s="19"/>
    </row>
    <row r="566">
      <c r="A566" s="9"/>
      <c r="B566" s="15"/>
      <c r="C566" s="9">
        <f>IFERROR(__xludf.DUMMYFUNCTION("""COMPUTED_VALUE"""),44599.6665264699)</f>
        <v>44599.66653</v>
      </c>
      <c r="D566" s="15">
        <f>IFERROR(__xludf.DUMMYFUNCTION("""COMPUTED_VALUE"""),0.999)</f>
        <v>0.999</v>
      </c>
      <c r="E566" s="16">
        <f>IFERROR(__xludf.DUMMYFUNCTION("""COMPUTED_VALUE"""),62.0)</f>
        <v>62</v>
      </c>
      <c r="F566" s="19" t="str">
        <f>IFERROR(__xludf.DUMMYFUNCTION("""COMPUTED_VALUE"""),"BLUE")</f>
        <v>BLUE</v>
      </c>
      <c r="G566" s="20" t="str">
        <f>IFERROR(__xludf.DUMMYFUNCTION("""COMPUTED_VALUE"""),"Uncle Sams Cider (11/12/2021) (Blue)")</f>
        <v>Uncle Sams Cider (11/12/2021) (Blue)</v>
      </c>
      <c r="H566" s="19"/>
    </row>
    <row r="567">
      <c r="A567" s="9"/>
      <c r="B567" s="15"/>
      <c r="C567" s="9">
        <f>IFERROR(__xludf.DUMMYFUNCTION("""COMPUTED_VALUE"""),44599.6561059606)</f>
        <v>44599.65611</v>
      </c>
      <c r="D567" s="15">
        <f>IFERROR(__xludf.DUMMYFUNCTION("""COMPUTED_VALUE"""),1.0)</f>
        <v>1</v>
      </c>
      <c r="E567" s="16">
        <f>IFERROR(__xludf.DUMMYFUNCTION("""COMPUTED_VALUE"""),62.0)</f>
        <v>62</v>
      </c>
      <c r="F567" s="19" t="str">
        <f>IFERROR(__xludf.DUMMYFUNCTION("""COMPUTED_VALUE"""),"BLUE")</f>
        <v>BLUE</v>
      </c>
      <c r="G567" s="20" t="str">
        <f>IFERROR(__xludf.DUMMYFUNCTION("""COMPUTED_VALUE"""),"Uncle Sams Cider (11/12/2021) (Blue)")</f>
        <v>Uncle Sams Cider (11/12/2021) (Blue)</v>
      </c>
      <c r="H567" s="19"/>
    </row>
    <row r="568">
      <c r="A568" s="9"/>
      <c r="B568" s="15"/>
      <c r="C568" s="9">
        <f>IFERROR(__xludf.DUMMYFUNCTION("""COMPUTED_VALUE"""),44599.6456857638)</f>
        <v>44599.64569</v>
      </c>
      <c r="D568" s="15">
        <f>IFERROR(__xludf.DUMMYFUNCTION("""COMPUTED_VALUE"""),0.999)</f>
        <v>0.999</v>
      </c>
      <c r="E568" s="16">
        <f>IFERROR(__xludf.DUMMYFUNCTION("""COMPUTED_VALUE"""),62.0)</f>
        <v>62</v>
      </c>
      <c r="F568" s="19" t="str">
        <f>IFERROR(__xludf.DUMMYFUNCTION("""COMPUTED_VALUE"""),"BLUE")</f>
        <v>BLUE</v>
      </c>
      <c r="G568" s="20" t="str">
        <f>IFERROR(__xludf.DUMMYFUNCTION("""COMPUTED_VALUE"""),"Uncle Sams Cider (11/12/2021) (Blue)")</f>
        <v>Uncle Sams Cider (11/12/2021) (Blue)</v>
      </c>
      <c r="H568" s="19"/>
    </row>
    <row r="569">
      <c r="A569" s="9"/>
      <c r="B569" s="15"/>
      <c r="C569" s="9">
        <f>IFERROR(__xludf.DUMMYFUNCTION("""COMPUTED_VALUE"""),44599.6352638773)</f>
        <v>44599.63526</v>
      </c>
      <c r="D569" s="15">
        <f>IFERROR(__xludf.DUMMYFUNCTION("""COMPUTED_VALUE"""),1.0)</f>
        <v>1</v>
      </c>
      <c r="E569" s="16">
        <f>IFERROR(__xludf.DUMMYFUNCTION("""COMPUTED_VALUE"""),62.0)</f>
        <v>62</v>
      </c>
      <c r="F569" s="19" t="str">
        <f>IFERROR(__xludf.DUMMYFUNCTION("""COMPUTED_VALUE"""),"BLUE")</f>
        <v>BLUE</v>
      </c>
      <c r="G569" s="20" t="str">
        <f>IFERROR(__xludf.DUMMYFUNCTION("""COMPUTED_VALUE"""),"Uncle Sams Cider (11/12/2021) (Blue)")</f>
        <v>Uncle Sams Cider (11/12/2021) (Blue)</v>
      </c>
      <c r="H569" s="19"/>
    </row>
    <row r="570">
      <c r="A570" s="9"/>
      <c r="B570" s="15"/>
      <c r="C570" s="9">
        <f>IFERROR(__xludf.DUMMYFUNCTION("""COMPUTED_VALUE"""),44599.6248317245)</f>
        <v>44599.62483</v>
      </c>
      <c r="D570" s="15">
        <f>IFERROR(__xludf.DUMMYFUNCTION("""COMPUTED_VALUE"""),1.0)</f>
        <v>1</v>
      </c>
      <c r="E570" s="16">
        <f>IFERROR(__xludf.DUMMYFUNCTION("""COMPUTED_VALUE"""),62.0)</f>
        <v>62</v>
      </c>
      <c r="F570" s="19" t="str">
        <f>IFERROR(__xludf.DUMMYFUNCTION("""COMPUTED_VALUE"""),"BLUE")</f>
        <v>BLUE</v>
      </c>
      <c r="G570" s="20" t="str">
        <f>IFERROR(__xludf.DUMMYFUNCTION("""COMPUTED_VALUE"""),"Uncle Sams Cider (11/12/2021) (Blue)")</f>
        <v>Uncle Sams Cider (11/12/2021) (Blue)</v>
      </c>
      <c r="H570" s="19"/>
    </row>
    <row r="571">
      <c r="A571" s="9"/>
      <c r="B571" s="15"/>
      <c r="C571" s="9">
        <f>IFERROR(__xludf.DUMMYFUNCTION("""COMPUTED_VALUE"""),44599.614410706)</f>
        <v>44599.61441</v>
      </c>
      <c r="D571" s="15">
        <f>IFERROR(__xludf.DUMMYFUNCTION("""COMPUTED_VALUE"""),1.0)</f>
        <v>1</v>
      </c>
      <c r="E571" s="16">
        <f>IFERROR(__xludf.DUMMYFUNCTION("""COMPUTED_VALUE"""),62.0)</f>
        <v>62</v>
      </c>
      <c r="F571" s="19" t="str">
        <f>IFERROR(__xludf.DUMMYFUNCTION("""COMPUTED_VALUE"""),"BLUE")</f>
        <v>BLUE</v>
      </c>
      <c r="G571" s="20" t="str">
        <f>IFERROR(__xludf.DUMMYFUNCTION("""COMPUTED_VALUE"""),"Uncle Sams Cider (11/12/2021) (Blue)")</f>
        <v>Uncle Sams Cider (11/12/2021) (Blue)</v>
      </c>
      <c r="H571" s="19"/>
    </row>
    <row r="572">
      <c r="A572" s="9"/>
      <c r="B572" s="15"/>
      <c r="C572" s="9">
        <f>IFERROR(__xludf.DUMMYFUNCTION("""COMPUTED_VALUE"""),44599.6039896064)</f>
        <v>44599.60399</v>
      </c>
      <c r="D572" s="15">
        <f>IFERROR(__xludf.DUMMYFUNCTION("""COMPUTED_VALUE"""),0.999)</f>
        <v>0.999</v>
      </c>
      <c r="E572" s="16">
        <f>IFERROR(__xludf.DUMMYFUNCTION("""COMPUTED_VALUE"""),62.0)</f>
        <v>62</v>
      </c>
      <c r="F572" s="19" t="str">
        <f>IFERROR(__xludf.DUMMYFUNCTION("""COMPUTED_VALUE"""),"BLUE")</f>
        <v>BLUE</v>
      </c>
      <c r="G572" s="20" t="str">
        <f>IFERROR(__xludf.DUMMYFUNCTION("""COMPUTED_VALUE"""),"Uncle Sams Cider (11/12/2021) (Blue)")</f>
        <v>Uncle Sams Cider (11/12/2021) (Blue)</v>
      </c>
      <c r="H572" s="19"/>
    </row>
    <row r="573">
      <c r="A573" s="9"/>
      <c r="B573" s="15"/>
      <c r="C573" s="9">
        <f>IFERROR(__xludf.DUMMYFUNCTION("""COMPUTED_VALUE"""),44599.5935571412)</f>
        <v>44599.59356</v>
      </c>
      <c r="D573" s="15">
        <f>IFERROR(__xludf.DUMMYFUNCTION("""COMPUTED_VALUE"""),1.0)</f>
        <v>1</v>
      </c>
      <c r="E573" s="16">
        <f>IFERROR(__xludf.DUMMYFUNCTION("""COMPUTED_VALUE"""),62.0)</f>
        <v>62</v>
      </c>
      <c r="F573" s="19" t="str">
        <f>IFERROR(__xludf.DUMMYFUNCTION("""COMPUTED_VALUE"""),"BLUE")</f>
        <v>BLUE</v>
      </c>
      <c r="G573" s="20" t="str">
        <f>IFERROR(__xludf.DUMMYFUNCTION("""COMPUTED_VALUE"""),"Uncle Sams Cider (11/12/2021) (Blue)")</f>
        <v>Uncle Sams Cider (11/12/2021) (Blue)</v>
      </c>
      <c r="H573" s="19"/>
    </row>
    <row r="574">
      <c r="A574" s="9"/>
      <c r="B574" s="15"/>
      <c r="C574" s="9">
        <f>IFERROR(__xludf.DUMMYFUNCTION("""COMPUTED_VALUE"""),44599.5831360995)</f>
        <v>44599.58314</v>
      </c>
      <c r="D574" s="15">
        <f>IFERROR(__xludf.DUMMYFUNCTION("""COMPUTED_VALUE"""),0.999)</f>
        <v>0.999</v>
      </c>
      <c r="E574" s="16">
        <f>IFERROR(__xludf.DUMMYFUNCTION("""COMPUTED_VALUE"""),62.0)</f>
        <v>62</v>
      </c>
      <c r="F574" s="19" t="str">
        <f>IFERROR(__xludf.DUMMYFUNCTION("""COMPUTED_VALUE"""),"BLUE")</f>
        <v>BLUE</v>
      </c>
      <c r="G574" s="20" t="str">
        <f>IFERROR(__xludf.DUMMYFUNCTION("""COMPUTED_VALUE"""),"Uncle Sams Cider (11/12/2021) (Blue)")</f>
        <v>Uncle Sams Cider (11/12/2021) (Blue)</v>
      </c>
      <c r="H574" s="19"/>
    </row>
    <row r="575">
      <c r="A575" s="9"/>
      <c r="B575" s="15"/>
      <c r="C575" s="9">
        <f>IFERROR(__xludf.DUMMYFUNCTION("""COMPUTED_VALUE"""),44599.5727035648)</f>
        <v>44599.5727</v>
      </c>
      <c r="D575" s="15">
        <f>IFERROR(__xludf.DUMMYFUNCTION("""COMPUTED_VALUE"""),0.999)</f>
        <v>0.999</v>
      </c>
      <c r="E575" s="16">
        <f>IFERROR(__xludf.DUMMYFUNCTION("""COMPUTED_VALUE"""),62.0)</f>
        <v>62</v>
      </c>
      <c r="F575" s="19" t="str">
        <f>IFERROR(__xludf.DUMMYFUNCTION("""COMPUTED_VALUE"""),"BLUE")</f>
        <v>BLUE</v>
      </c>
      <c r="G575" s="20" t="str">
        <f>IFERROR(__xludf.DUMMYFUNCTION("""COMPUTED_VALUE"""),"Uncle Sams Cider (11/12/2021) (Blue)")</f>
        <v>Uncle Sams Cider (11/12/2021) (Blue)</v>
      </c>
      <c r="H575" s="19"/>
    </row>
    <row r="576">
      <c r="A576" s="9"/>
      <c r="B576" s="15"/>
      <c r="C576" s="9">
        <f>IFERROR(__xludf.DUMMYFUNCTION("""COMPUTED_VALUE"""),44599.5622815972)</f>
        <v>44599.56228</v>
      </c>
      <c r="D576" s="15">
        <f>IFERROR(__xludf.DUMMYFUNCTION("""COMPUTED_VALUE"""),0.999)</f>
        <v>0.999</v>
      </c>
      <c r="E576" s="16">
        <f>IFERROR(__xludf.DUMMYFUNCTION("""COMPUTED_VALUE"""),62.0)</f>
        <v>62</v>
      </c>
      <c r="F576" s="19" t="str">
        <f>IFERROR(__xludf.DUMMYFUNCTION("""COMPUTED_VALUE"""),"BLUE")</f>
        <v>BLUE</v>
      </c>
      <c r="G576" s="20" t="str">
        <f>IFERROR(__xludf.DUMMYFUNCTION("""COMPUTED_VALUE"""),"Uncle Sams Cider (11/12/2021) (Blue)")</f>
        <v>Uncle Sams Cider (11/12/2021) (Blue)</v>
      </c>
      <c r="H576" s="19"/>
    </row>
    <row r="577">
      <c r="A577" s="9"/>
      <c r="B577" s="15"/>
      <c r="C577" s="9">
        <f>IFERROR(__xludf.DUMMYFUNCTION("""COMPUTED_VALUE"""),44599.5518614236)</f>
        <v>44599.55186</v>
      </c>
      <c r="D577" s="15">
        <f>IFERROR(__xludf.DUMMYFUNCTION("""COMPUTED_VALUE"""),1.0)</f>
        <v>1</v>
      </c>
      <c r="E577" s="16">
        <f>IFERROR(__xludf.DUMMYFUNCTION("""COMPUTED_VALUE"""),62.0)</f>
        <v>62</v>
      </c>
      <c r="F577" s="19" t="str">
        <f>IFERROR(__xludf.DUMMYFUNCTION("""COMPUTED_VALUE"""),"BLUE")</f>
        <v>BLUE</v>
      </c>
      <c r="G577" s="20" t="str">
        <f>IFERROR(__xludf.DUMMYFUNCTION("""COMPUTED_VALUE"""),"Uncle Sams Cider (11/12/2021) (Blue)")</f>
        <v>Uncle Sams Cider (11/12/2021) (Blue)</v>
      </c>
      <c r="H577" s="19"/>
    </row>
    <row r="578">
      <c r="A578" s="9"/>
      <c r="B578" s="15"/>
      <c r="C578" s="9">
        <f>IFERROR(__xludf.DUMMYFUNCTION("""COMPUTED_VALUE"""),44599.5414390509)</f>
        <v>44599.54144</v>
      </c>
      <c r="D578" s="15">
        <f>IFERROR(__xludf.DUMMYFUNCTION("""COMPUTED_VALUE"""),1.0)</f>
        <v>1</v>
      </c>
      <c r="E578" s="16">
        <f>IFERROR(__xludf.DUMMYFUNCTION("""COMPUTED_VALUE"""),62.0)</f>
        <v>62</v>
      </c>
      <c r="F578" s="19" t="str">
        <f>IFERROR(__xludf.DUMMYFUNCTION("""COMPUTED_VALUE"""),"BLUE")</f>
        <v>BLUE</v>
      </c>
      <c r="G578" s="20" t="str">
        <f>IFERROR(__xludf.DUMMYFUNCTION("""COMPUTED_VALUE"""),"Uncle Sams Cider (11/12/2021) (Blue)")</f>
        <v>Uncle Sams Cider (11/12/2021) (Blue)</v>
      </c>
      <c r="H578" s="19"/>
    </row>
    <row r="579">
      <c r="A579" s="9"/>
      <c r="B579" s="15"/>
      <c r="C579" s="9">
        <f>IFERROR(__xludf.DUMMYFUNCTION("""COMPUTED_VALUE"""),44599.5310200231)</f>
        <v>44599.53102</v>
      </c>
      <c r="D579" s="15">
        <f>IFERROR(__xludf.DUMMYFUNCTION("""COMPUTED_VALUE"""),0.999)</f>
        <v>0.999</v>
      </c>
      <c r="E579" s="16">
        <f>IFERROR(__xludf.DUMMYFUNCTION("""COMPUTED_VALUE"""),62.0)</f>
        <v>62</v>
      </c>
      <c r="F579" s="19" t="str">
        <f>IFERROR(__xludf.DUMMYFUNCTION("""COMPUTED_VALUE"""),"BLUE")</f>
        <v>BLUE</v>
      </c>
      <c r="G579" s="20" t="str">
        <f>IFERROR(__xludf.DUMMYFUNCTION("""COMPUTED_VALUE"""),"Uncle Sams Cider (11/12/2021) (Blue)")</f>
        <v>Uncle Sams Cider (11/12/2021) (Blue)</v>
      </c>
      <c r="H579" s="19"/>
    </row>
    <row r="580">
      <c r="A580" s="9"/>
      <c r="B580" s="15"/>
      <c r="C580" s="9">
        <f>IFERROR(__xludf.DUMMYFUNCTION("""COMPUTED_VALUE"""),44599.5205977083)</f>
        <v>44599.5206</v>
      </c>
      <c r="D580" s="15">
        <f>IFERROR(__xludf.DUMMYFUNCTION("""COMPUTED_VALUE"""),0.999)</f>
        <v>0.999</v>
      </c>
      <c r="E580" s="16">
        <f>IFERROR(__xludf.DUMMYFUNCTION("""COMPUTED_VALUE"""),62.0)</f>
        <v>62</v>
      </c>
      <c r="F580" s="19" t="str">
        <f>IFERROR(__xludf.DUMMYFUNCTION("""COMPUTED_VALUE"""),"BLUE")</f>
        <v>BLUE</v>
      </c>
      <c r="G580" s="20" t="str">
        <f>IFERROR(__xludf.DUMMYFUNCTION("""COMPUTED_VALUE"""),"Uncle Sams Cider (11/12/2021) (Blue)")</f>
        <v>Uncle Sams Cider (11/12/2021) (Blue)</v>
      </c>
      <c r="H580" s="19"/>
    </row>
    <row r="581">
      <c r="A581" s="9"/>
      <c r="B581" s="15"/>
      <c r="C581" s="9">
        <f>IFERROR(__xludf.DUMMYFUNCTION("""COMPUTED_VALUE"""),44599.5101761689)</f>
        <v>44599.51018</v>
      </c>
      <c r="D581" s="15">
        <f>IFERROR(__xludf.DUMMYFUNCTION("""COMPUTED_VALUE"""),1.0)</f>
        <v>1</v>
      </c>
      <c r="E581" s="16">
        <f>IFERROR(__xludf.DUMMYFUNCTION("""COMPUTED_VALUE"""),62.0)</f>
        <v>62</v>
      </c>
      <c r="F581" s="19" t="str">
        <f>IFERROR(__xludf.DUMMYFUNCTION("""COMPUTED_VALUE"""),"BLUE")</f>
        <v>BLUE</v>
      </c>
      <c r="G581" s="20" t="str">
        <f>IFERROR(__xludf.DUMMYFUNCTION("""COMPUTED_VALUE"""),"Uncle Sams Cider (11/12/2021) (Blue)")</f>
        <v>Uncle Sams Cider (11/12/2021) (Blue)</v>
      </c>
      <c r="H581" s="19"/>
    </row>
    <row r="582">
      <c r="A582" s="9"/>
      <c r="B582" s="15"/>
      <c r="C582" s="9">
        <f>IFERROR(__xludf.DUMMYFUNCTION("""COMPUTED_VALUE"""),44599.4997567476)</f>
        <v>44599.49976</v>
      </c>
      <c r="D582" s="15">
        <f>IFERROR(__xludf.DUMMYFUNCTION("""COMPUTED_VALUE"""),0.999)</f>
        <v>0.999</v>
      </c>
      <c r="E582" s="16">
        <f>IFERROR(__xludf.DUMMYFUNCTION("""COMPUTED_VALUE"""),62.0)</f>
        <v>62</v>
      </c>
      <c r="F582" s="19" t="str">
        <f>IFERROR(__xludf.DUMMYFUNCTION("""COMPUTED_VALUE"""),"BLUE")</f>
        <v>BLUE</v>
      </c>
      <c r="G582" s="20" t="str">
        <f>IFERROR(__xludf.DUMMYFUNCTION("""COMPUTED_VALUE"""),"Uncle Sams Cider (11/12/2021) (Blue)")</f>
        <v>Uncle Sams Cider (11/12/2021) (Blue)</v>
      </c>
      <c r="H582" s="19"/>
    </row>
    <row r="583">
      <c r="A583" s="9"/>
      <c r="B583" s="15"/>
      <c r="C583" s="9">
        <f>IFERROR(__xludf.DUMMYFUNCTION("""COMPUTED_VALUE"""),44599.489323993)</f>
        <v>44599.48932</v>
      </c>
      <c r="D583" s="15">
        <f>IFERROR(__xludf.DUMMYFUNCTION("""COMPUTED_VALUE"""),0.999)</f>
        <v>0.999</v>
      </c>
      <c r="E583" s="16">
        <f>IFERROR(__xludf.DUMMYFUNCTION("""COMPUTED_VALUE"""),62.0)</f>
        <v>62</v>
      </c>
      <c r="F583" s="19" t="str">
        <f>IFERROR(__xludf.DUMMYFUNCTION("""COMPUTED_VALUE"""),"BLUE")</f>
        <v>BLUE</v>
      </c>
      <c r="G583" s="20" t="str">
        <f>IFERROR(__xludf.DUMMYFUNCTION("""COMPUTED_VALUE"""),"Uncle Sams Cider (11/12/2021) (Blue)")</f>
        <v>Uncle Sams Cider (11/12/2021) (Blue)</v>
      </c>
      <c r="H583" s="19"/>
    </row>
    <row r="584">
      <c r="A584" s="9"/>
      <c r="B584" s="15"/>
      <c r="C584" s="9">
        <f>IFERROR(__xludf.DUMMYFUNCTION("""COMPUTED_VALUE"""),44599.4788798958)</f>
        <v>44599.47888</v>
      </c>
      <c r="D584" s="15">
        <f>IFERROR(__xludf.DUMMYFUNCTION("""COMPUTED_VALUE"""),1.0)</f>
        <v>1</v>
      </c>
      <c r="E584" s="16">
        <f>IFERROR(__xludf.DUMMYFUNCTION("""COMPUTED_VALUE"""),62.0)</f>
        <v>62</v>
      </c>
      <c r="F584" s="19" t="str">
        <f>IFERROR(__xludf.DUMMYFUNCTION("""COMPUTED_VALUE"""),"BLUE")</f>
        <v>BLUE</v>
      </c>
      <c r="G584" s="20" t="str">
        <f>IFERROR(__xludf.DUMMYFUNCTION("""COMPUTED_VALUE"""),"Uncle Sams Cider (11/12/2021) (Blue)")</f>
        <v>Uncle Sams Cider (11/12/2021) (Blue)</v>
      </c>
      <c r="H584" s="19"/>
    </row>
    <row r="585">
      <c r="A585" s="9"/>
      <c r="B585" s="15"/>
      <c r="C585" s="9">
        <f>IFERROR(__xludf.DUMMYFUNCTION("""COMPUTED_VALUE"""),44599.4684352893)</f>
        <v>44599.46844</v>
      </c>
      <c r="D585" s="15">
        <f>IFERROR(__xludf.DUMMYFUNCTION("""COMPUTED_VALUE"""),0.999)</f>
        <v>0.999</v>
      </c>
      <c r="E585" s="16">
        <f>IFERROR(__xludf.DUMMYFUNCTION("""COMPUTED_VALUE"""),62.0)</f>
        <v>62</v>
      </c>
      <c r="F585" s="19" t="str">
        <f>IFERROR(__xludf.DUMMYFUNCTION("""COMPUTED_VALUE"""),"BLUE")</f>
        <v>BLUE</v>
      </c>
      <c r="G585" s="20" t="str">
        <f>IFERROR(__xludf.DUMMYFUNCTION("""COMPUTED_VALUE"""),"Uncle Sams Cider (11/12/2021) (Blue)")</f>
        <v>Uncle Sams Cider (11/12/2021) (Blue)</v>
      </c>
      <c r="H585" s="19"/>
    </row>
    <row r="586">
      <c r="A586" s="9"/>
      <c r="B586" s="15"/>
      <c r="C586" s="9">
        <f>IFERROR(__xludf.DUMMYFUNCTION("""COMPUTED_VALUE"""),44599.4580162152)</f>
        <v>44599.45802</v>
      </c>
      <c r="D586" s="15">
        <f>IFERROR(__xludf.DUMMYFUNCTION("""COMPUTED_VALUE"""),1.0)</f>
        <v>1</v>
      </c>
      <c r="E586" s="16">
        <f>IFERROR(__xludf.DUMMYFUNCTION("""COMPUTED_VALUE"""),62.0)</f>
        <v>62</v>
      </c>
      <c r="F586" s="19" t="str">
        <f>IFERROR(__xludf.DUMMYFUNCTION("""COMPUTED_VALUE"""),"BLUE")</f>
        <v>BLUE</v>
      </c>
      <c r="G586" s="20" t="str">
        <f>IFERROR(__xludf.DUMMYFUNCTION("""COMPUTED_VALUE"""),"Uncle Sams Cider (11/12/2021) (Blue)")</f>
        <v>Uncle Sams Cider (11/12/2021) (Blue)</v>
      </c>
      <c r="H586" s="19"/>
    </row>
    <row r="587">
      <c r="A587" s="9"/>
      <c r="B587" s="15"/>
      <c r="C587" s="9">
        <f>IFERROR(__xludf.DUMMYFUNCTION("""COMPUTED_VALUE"""),44599.447584074)</f>
        <v>44599.44758</v>
      </c>
      <c r="D587" s="15">
        <f>IFERROR(__xludf.DUMMYFUNCTION("""COMPUTED_VALUE"""),0.999)</f>
        <v>0.999</v>
      </c>
      <c r="E587" s="16">
        <f>IFERROR(__xludf.DUMMYFUNCTION("""COMPUTED_VALUE"""),62.0)</f>
        <v>62</v>
      </c>
      <c r="F587" s="19" t="str">
        <f>IFERROR(__xludf.DUMMYFUNCTION("""COMPUTED_VALUE"""),"BLUE")</f>
        <v>BLUE</v>
      </c>
      <c r="G587" s="20" t="str">
        <f>IFERROR(__xludf.DUMMYFUNCTION("""COMPUTED_VALUE"""),"Uncle Sams Cider (11/12/2021) (Blue)")</f>
        <v>Uncle Sams Cider (11/12/2021) (Blue)</v>
      </c>
      <c r="H587" s="19"/>
    </row>
    <row r="588">
      <c r="A588" s="9"/>
      <c r="B588" s="15"/>
      <c r="C588" s="9">
        <f>IFERROR(__xludf.DUMMYFUNCTION("""COMPUTED_VALUE"""),44599.4371628125)</f>
        <v>44599.43716</v>
      </c>
      <c r="D588" s="15">
        <f>IFERROR(__xludf.DUMMYFUNCTION("""COMPUTED_VALUE"""),1.0)</f>
        <v>1</v>
      </c>
      <c r="E588" s="16">
        <f>IFERROR(__xludf.DUMMYFUNCTION("""COMPUTED_VALUE"""),62.0)</f>
        <v>62</v>
      </c>
      <c r="F588" s="19" t="str">
        <f>IFERROR(__xludf.DUMMYFUNCTION("""COMPUTED_VALUE"""),"BLUE")</f>
        <v>BLUE</v>
      </c>
      <c r="G588" s="20" t="str">
        <f>IFERROR(__xludf.DUMMYFUNCTION("""COMPUTED_VALUE"""),"Uncle Sams Cider (11/12/2021) (Blue)")</f>
        <v>Uncle Sams Cider (11/12/2021) (Blue)</v>
      </c>
      <c r="H588" s="19"/>
    </row>
    <row r="589">
      <c r="A589" s="9"/>
      <c r="B589" s="15"/>
      <c r="C589" s="9">
        <f>IFERROR(__xludf.DUMMYFUNCTION("""COMPUTED_VALUE"""),44599.4267428124)</f>
        <v>44599.42674</v>
      </c>
      <c r="D589" s="15">
        <f>IFERROR(__xludf.DUMMYFUNCTION("""COMPUTED_VALUE"""),0.999)</f>
        <v>0.999</v>
      </c>
      <c r="E589" s="16">
        <f>IFERROR(__xludf.DUMMYFUNCTION("""COMPUTED_VALUE"""),62.0)</f>
        <v>62</v>
      </c>
      <c r="F589" s="19" t="str">
        <f>IFERROR(__xludf.DUMMYFUNCTION("""COMPUTED_VALUE"""),"BLUE")</f>
        <v>BLUE</v>
      </c>
      <c r="G589" s="20" t="str">
        <f>IFERROR(__xludf.DUMMYFUNCTION("""COMPUTED_VALUE"""),"Uncle Sams Cider (11/12/2021) (Blue)")</f>
        <v>Uncle Sams Cider (11/12/2021) (Blue)</v>
      </c>
      <c r="H589" s="19"/>
    </row>
    <row r="590">
      <c r="A590" s="9"/>
      <c r="B590" s="15"/>
      <c r="C590" s="9">
        <f>IFERROR(__xludf.DUMMYFUNCTION("""COMPUTED_VALUE"""),44599.4163201041)</f>
        <v>44599.41632</v>
      </c>
      <c r="D590" s="15">
        <f>IFERROR(__xludf.DUMMYFUNCTION("""COMPUTED_VALUE"""),1.0)</f>
        <v>1</v>
      </c>
      <c r="E590" s="16">
        <f>IFERROR(__xludf.DUMMYFUNCTION("""COMPUTED_VALUE"""),62.0)</f>
        <v>62</v>
      </c>
      <c r="F590" s="19" t="str">
        <f>IFERROR(__xludf.DUMMYFUNCTION("""COMPUTED_VALUE"""),"BLUE")</f>
        <v>BLUE</v>
      </c>
      <c r="G590" s="20" t="str">
        <f>IFERROR(__xludf.DUMMYFUNCTION("""COMPUTED_VALUE"""),"Uncle Sams Cider (11/12/2021) (Blue)")</f>
        <v>Uncle Sams Cider (11/12/2021) (Blue)</v>
      </c>
      <c r="H590" s="19"/>
    </row>
    <row r="591">
      <c r="A591" s="9"/>
      <c r="B591" s="15"/>
      <c r="C591" s="9">
        <f>IFERROR(__xludf.DUMMYFUNCTION("""COMPUTED_VALUE"""),44599.4058988541)</f>
        <v>44599.4059</v>
      </c>
      <c r="D591" s="15">
        <f>IFERROR(__xludf.DUMMYFUNCTION("""COMPUTED_VALUE"""),0.999)</f>
        <v>0.999</v>
      </c>
      <c r="E591" s="16">
        <f>IFERROR(__xludf.DUMMYFUNCTION("""COMPUTED_VALUE"""),62.0)</f>
        <v>62</v>
      </c>
      <c r="F591" s="19" t="str">
        <f>IFERROR(__xludf.DUMMYFUNCTION("""COMPUTED_VALUE"""),"BLUE")</f>
        <v>BLUE</v>
      </c>
      <c r="G591" s="20" t="str">
        <f>IFERROR(__xludf.DUMMYFUNCTION("""COMPUTED_VALUE"""),"Uncle Sams Cider (11/12/2021) (Blue)")</f>
        <v>Uncle Sams Cider (11/12/2021) (Blue)</v>
      </c>
      <c r="H591" s="19"/>
    </row>
    <row r="592">
      <c r="A592" s="9"/>
      <c r="B592" s="15"/>
      <c r="C592" s="9">
        <f>IFERROR(__xludf.DUMMYFUNCTION("""COMPUTED_VALUE"""),44599.3954778356)</f>
        <v>44599.39548</v>
      </c>
      <c r="D592" s="15">
        <f>IFERROR(__xludf.DUMMYFUNCTION("""COMPUTED_VALUE"""),1.0)</f>
        <v>1</v>
      </c>
      <c r="E592" s="16">
        <f>IFERROR(__xludf.DUMMYFUNCTION("""COMPUTED_VALUE"""),62.0)</f>
        <v>62</v>
      </c>
      <c r="F592" s="19" t="str">
        <f>IFERROR(__xludf.DUMMYFUNCTION("""COMPUTED_VALUE"""),"BLUE")</f>
        <v>BLUE</v>
      </c>
      <c r="G592" s="20" t="str">
        <f>IFERROR(__xludf.DUMMYFUNCTION("""COMPUTED_VALUE"""),"Uncle Sams Cider (11/12/2021) (Blue)")</f>
        <v>Uncle Sams Cider (11/12/2021) (Blue)</v>
      </c>
      <c r="H592" s="19"/>
    </row>
    <row r="593">
      <c r="A593" s="9"/>
      <c r="B593" s="15"/>
      <c r="C593" s="9">
        <f>IFERROR(__xludf.DUMMYFUNCTION("""COMPUTED_VALUE"""),44599.3850564814)</f>
        <v>44599.38506</v>
      </c>
      <c r="D593" s="15">
        <f>IFERROR(__xludf.DUMMYFUNCTION("""COMPUTED_VALUE"""),1.0)</f>
        <v>1</v>
      </c>
      <c r="E593" s="16">
        <f>IFERROR(__xludf.DUMMYFUNCTION("""COMPUTED_VALUE"""),62.0)</f>
        <v>62</v>
      </c>
      <c r="F593" s="19" t="str">
        <f>IFERROR(__xludf.DUMMYFUNCTION("""COMPUTED_VALUE"""),"BLUE")</f>
        <v>BLUE</v>
      </c>
      <c r="G593" s="20" t="str">
        <f>IFERROR(__xludf.DUMMYFUNCTION("""COMPUTED_VALUE"""),"Uncle Sams Cider (11/12/2021) (Blue)")</f>
        <v>Uncle Sams Cider (11/12/2021) (Blue)</v>
      </c>
      <c r="H593" s="19"/>
    </row>
    <row r="594">
      <c r="A594" s="9"/>
      <c r="B594" s="15"/>
      <c r="C594" s="9">
        <f>IFERROR(__xludf.DUMMYFUNCTION("""COMPUTED_VALUE"""),44599.3746334953)</f>
        <v>44599.37463</v>
      </c>
      <c r="D594" s="15">
        <f>IFERROR(__xludf.DUMMYFUNCTION("""COMPUTED_VALUE"""),0.999)</f>
        <v>0.999</v>
      </c>
      <c r="E594" s="16">
        <f>IFERROR(__xludf.DUMMYFUNCTION("""COMPUTED_VALUE"""),62.0)</f>
        <v>62</v>
      </c>
      <c r="F594" s="19" t="str">
        <f>IFERROR(__xludf.DUMMYFUNCTION("""COMPUTED_VALUE"""),"BLUE")</f>
        <v>BLUE</v>
      </c>
      <c r="G594" s="20" t="str">
        <f>IFERROR(__xludf.DUMMYFUNCTION("""COMPUTED_VALUE"""),"Uncle Sams Cider (11/12/2021) (Blue)")</f>
        <v>Uncle Sams Cider (11/12/2021) (Blue)</v>
      </c>
      <c r="H594" s="19"/>
    </row>
    <row r="595">
      <c r="A595" s="9"/>
      <c r="B595" s="15"/>
      <c r="C595" s="9">
        <f>IFERROR(__xludf.DUMMYFUNCTION("""COMPUTED_VALUE"""),44599.3642100925)</f>
        <v>44599.36421</v>
      </c>
      <c r="D595" s="15">
        <f>IFERROR(__xludf.DUMMYFUNCTION("""COMPUTED_VALUE"""),0.999)</f>
        <v>0.999</v>
      </c>
      <c r="E595" s="16">
        <f>IFERROR(__xludf.DUMMYFUNCTION("""COMPUTED_VALUE"""),62.0)</f>
        <v>62</v>
      </c>
      <c r="F595" s="19" t="str">
        <f>IFERROR(__xludf.DUMMYFUNCTION("""COMPUTED_VALUE"""),"BLUE")</f>
        <v>BLUE</v>
      </c>
      <c r="G595" s="20" t="str">
        <f>IFERROR(__xludf.DUMMYFUNCTION("""COMPUTED_VALUE"""),"Uncle Sams Cider (11/12/2021) (Blue)")</f>
        <v>Uncle Sams Cider (11/12/2021) (Blue)</v>
      </c>
      <c r="H595" s="19"/>
    </row>
    <row r="596">
      <c r="A596" s="9"/>
      <c r="B596" s="15"/>
      <c r="C596" s="9">
        <f>IFERROR(__xludf.DUMMYFUNCTION("""COMPUTED_VALUE"""),44599.3537911689)</f>
        <v>44599.35379</v>
      </c>
      <c r="D596" s="15">
        <f>IFERROR(__xludf.DUMMYFUNCTION("""COMPUTED_VALUE"""),1.0)</f>
        <v>1</v>
      </c>
      <c r="E596" s="16">
        <f>IFERROR(__xludf.DUMMYFUNCTION("""COMPUTED_VALUE"""),62.0)</f>
        <v>62</v>
      </c>
      <c r="F596" s="19" t="str">
        <f>IFERROR(__xludf.DUMMYFUNCTION("""COMPUTED_VALUE"""),"BLUE")</f>
        <v>BLUE</v>
      </c>
      <c r="G596" s="20" t="str">
        <f>IFERROR(__xludf.DUMMYFUNCTION("""COMPUTED_VALUE"""),"Uncle Sams Cider (11/12/2021) (Blue)")</f>
        <v>Uncle Sams Cider (11/12/2021) (Blue)</v>
      </c>
      <c r="H596" s="19"/>
    </row>
    <row r="597">
      <c r="A597" s="9"/>
      <c r="B597" s="15"/>
      <c r="C597" s="9">
        <f>IFERROR(__xludf.DUMMYFUNCTION("""COMPUTED_VALUE"""),44599.3433691319)</f>
        <v>44599.34337</v>
      </c>
      <c r="D597" s="15">
        <f>IFERROR(__xludf.DUMMYFUNCTION("""COMPUTED_VALUE"""),0.999)</f>
        <v>0.999</v>
      </c>
      <c r="E597" s="16">
        <f>IFERROR(__xludf.DUMMYFUNCTION("""COMPUTED_VALUE"""),62.0)</f>
        <v>62</v>
      </c>
      <c r="F597" s="19" t="str">
        <f>IFERROR(__xludf.DUMMYFUNCTION("""COMPUTED_VALUE"""),"BLUE")</f>
        <v>BLUE</v>
      </c>
      <c r="G597" s="20" t="str">
        <f>IFERROR(__xludf.DUMMYFUNCTION("""COMPUTED_VALUE"""),"Uncle Sams Cider (11/12/2021) (Blue)")</f>
        <v>Uncle Sams Cider (11/12/2021) (Blue)</v>
      </c>
      <c r="H597" s="19"/>
    </row>
    <row r="598">
      <c r="A598" s="9"/>
      <c r="B598" s="15"/>
      <c r="C598" s="9">
        <f>IFERROR(__xludf.DUMMYFUNCTION("""COMPUTED_VALUE"""),44599.3329490393)</f>
        <v>44599.33295</v>
      </c>
      <c r="D598" s="15">
        <f>IFERROR(__xludf.DUMMYFUNCTION("""COMPUTED_VALUE"""),0.999)</f>
        <v>0.999</v>
      </c>
      <c r="E598" s="16">
        <f>IFERROR(__xludf.DUMMYFUNCTION("""COMPUTED_VALUE"""),62.0)</f>
        <v>62</v>
      </c>
      <c r="F598" s="19" t="str">
        <f>IFERROR(__xludf.DUMMYFUNCTION("""COMPUTED_VALUE"""),"BLUE")</f>
        <v>BLUE</v>
      </c>
      <c r="G598" s="20" t="str">
        <f>IFERROR(__xludf.DUMMYFUNCTION("""COMPUTED_VALUE"""),"Uncle Sams Cider (11/12/2021) (Blue)")</f>
        <v>Uncle Sams Cider (11/12/2021) (Blue)</v>
      </c>
      <c r="H598" s="19"/>
    </row>
    <row r="599">
      <c r="A599" s="9"/>
      <c r="B599" s="15"/>
      <c r="C599" s="9">
        <f>IFERROR(__xludf.DUMMYFUNCTION("""COMPUTED_VALUE"""),44599.3224909953)</f>
        <v>44599.32249</v>
      </c>
      <c r="D599" s="15">
        <f>IFERROR(__xludf.DUMMYFUNCTION("""COMPUTED_VALUE"""),0.999)</f>
        <v>0.999</v>
      </c>
      <c r="E599" s="16">
        <f>IFERROR(__xludf.DUMMYFUNCTION("""COMPUTED_VALUE"""),62.0)</f>
        <v>62</v>
      </c>
      <c r="F599" s="19" t="str">
        <f>IFERROR(__xludf.DUMMYFUNCTION("""COMPUTED_VALUE"""),"BLUE")</f>
        <v>BLUE</v>
      </c>
      <c r="G599" s="20" t="str">
        <f>IFERROR(__xludf.DUMMYFUNCTION("""COMPUTED_VALUE"""),"Uncle Sams Cider (11/12/2021) (Blue)")</f>
        <v>Uncle Sams Cider (11/12/2021) (Blue)</v>
      </c>
      <c r="H599" s="19"/>
    </row>
    <row r="600">
      <c r="A600" s="9"/>
      <c r="B600" s="15"/>
      <c r="C600" s="9">
        <f>IFERROR(__xludf.DUMMYFUNCTION("""COMPUTED_VALUE"""),44599.3120700694)</f>
        <v>44599.31207</v>
      </c>
      <c r="D600" s="15">
        <f>IFERROR(__xludf.DUMMYFUNCTION("""COMPUTED_VALUE"""),1.0)</f>
        <v>1</v>
      </c>
      <c r="E600" s="16">
        <f>IFERROR(__xludf.DUMMYFUNCTION("""COMPUTED_VALUE"""),62.0)</f>
        <v>62</v>
      </c>
      <c r="F600" s="19" t="str">
        <f>IFERROR(__xludf.DUMMYFUNCTION("""COMPUTED_VALUE"""),"BLUE")</f>
        <v>BLUE</v>
      </c>
      <c r="G600" s="20" t="str">
        <f>IFERROR(__xludf.DUMMYFUNCTION("""COMPUTED_VALUE"""),"Uncle Sams Cider (11/12/2021) (Blue)")</f>
        <v>Uncle Sams Cider (11/12/2021) (Blue)</v>
      </c>
      <c r="H600" s="19"/>
    </row>
    <row r="601">
      <c r="A601" s="9"/>
      <c r="B601" s="15"/>
      <c r="C601" s="9">
        <f>IFERROR(__xludf.DUMMYFUNCTION("""COMPUTED_VALUE"""),44599.3016490277)</f>
        <v>44599.30165</v>
      </c>
      <c r="D601" s="15">
        <f>IFERROR(__xludf.DUMMYFUNCTION("""COMPUTED_VALUE"""),1.0)</f>
        <v>1</v>
      </c>
      <c r="E601" s="16">
        <f>IFERROR(__xludf.DUMMYFUNCTION("""COMPUTED_VALUE"""),62.0)</f>
        <v>62</v>
      </c>
      <c r="F601" s="19" t="str">
        <f>IFERROR(__xludf.DUMMYFUNCTION("""COMPUTED_VALUE"""),"BLUE")</f>
        <v>BLUE</v>
      </c>
      <c r="G601" s="20" t="str">
        <f>IFERROR(__xludf.DUMMYFUNCTION("""COMPUTED_VALUE"""),"Uncle Sams Cider (11/12/2021) (Blue)")</f>
        <v>Uncle Sams Cider (11/12/2021) (Blue)</v>
      </c>
      <c r="H601" s="19"/>
    </row>
    <row r="602">
      <c r="A602" s="9"/>
      <c r="B602" s="15"/>
      <c r="C602" s="9">
        <f>IFERROR(__xludf.DUMMYFUNCTION("""COMPUTED_VALUE"""),44599.2912270833)</f>
        <v>44599.29123</v>
      </c>
      <c r="D602" s="15">
        <f>IFERROR(__xludf.DUMMYFUNCTION("""COMPUTED_VALUE"""),1.0)</f>
        <v>1</v>
      </c>
      <c r="E602" s="16">
        <f>IFERROR(__xludf.DUMMYFUNCTION("""COMPUTED_VALUE"""),62.0)</f>
        <v>62</v>
      </c>
      <c r="F602" s="19" t="str">
        <f>IFERROR(__xludf.DUMMYFUNCTION("""COMPUTED_VALUE"""),"BLUE")</f>
        <v>BLUE</v>
      </c>
      <c r="G602" s="20" t="str">
        <f>IFERROR(__xludf.DUMMYFUNCTION("""COMPUTED_VALUE"""),"Uncle Sams Cider (11/12/2021) (Blue)")</f>
        <v>Uncle Sams Cider (11/12/2021) (Blue)</v>
      </c>
      <c r="H602" s="19"/>
    </row>
    <row r="603">
      <c r="A603" s="9"/>
      <c r="B603" s="15"/>
      <c r="C603" s="9">
        <f>IFERROR(__xludf.DUMMYFUNCTION("""COMPUTED_VALUE"""),44599.2808062615)</f>
        <v>44599.28081</v>
      </c>
      <c r="D603" s="15">
        <f>IFERROR(__xludf.DUMMYFUNCTION("""COMPUTED_VALUE"""),1.0)</f>
        <v>1</v>
      </c>
      <c r="E603" s="16">
        <f>IFERROR(__xludf.DUMMYFUNCTION("""COMPUTED_VALUE"""),62.0)</f>
        <v>62</v>
      </c>
      <c r="F603" s="19" t="str">
        <f>IFERROR(__xludf.DUMMYFUNCTION("""COMPUTED_VALUE"""),"BLUE")</f>
        <v>BLUE</v>
      </c>
      <c r="G603" s="20" t="str">
        <f>IFERROR(__xludf.DUMMYFUNCTION("""COMPUTED_VALUE"""),"Uncle Sams Cider (11/12/2021) (Blue)")</f>
        <v>Uncle Sams Cider (11/12/2021) (Blue)</v>
      </c>
      <c r="H603" s="19"/>
    </row>
    <row r="604">
      <c r="A604" s="9"/>
      <c r="B604" s="15"/>
      <c r="C604" s="9">
        <f>IFERROR(__xludf.DUMMYFUNCTION("""COMPUTED_VALUE"""),44599.2703518171)</f>
        <v>44599.27035</v>
      </c>
      <c r="D604" s="15">
        <f>IFERROR(__xludf.DUMMYFUNCTION("""COMPUTED_VALUE"""),1.0)</f>
        <v>1</v>
      </c>
      <c r="E604" s="16">
        <f>IFERROR(__xludf.DUMMYFUNCTION("""COMPUTED_VALUE"""),62.0)</f>
        <v>62</v>
      </c>
      <c r="F604" s="19" t="str">
        <f>IFERROR(__xludf.DUMMYFUNCTION("""COMPUTED_VALUE"""),"BLUE")</f>
        <v>BLUE</v>
      </c>
      <c r="G604" s="20" t="str">
        <f>IFERROR(__xludf.DUMMYFUNCTION("""COMPUTED_VALUE"""),"Uncle Sams Cider (11/12/2021) (Blue)")</f>
        <v>Uncle Sams Cider (11/12/2021) (Blue)</v>
      </c>
      <c r="H604" s="19"/>
    </row>
    <row r="605">
      <c r="A605" s="9"/>
      <c r="B605" s="15"/>
      <c r="C605" s="9">
        <f>IFERROR(__xludf.DUMMYFUNCTION("""COMPUTED_VALUE"""),44599.2599317013)</f>
        <v>44599.25993</v>
      </c>
      <c r="D605" s="15">
        <f>IFERROR(__xludf.DUMMYFUNCTION("""COMPUTED_VALUE"""),1.0)</f>
        <v>1</v>
      </c>
      <c r="E605" s="16">
        <f>IFERROR(__xludf.DUMMYFUNCTION("""COMPUTED_VALUE"""),62.0)</f>
        <v>62</v>
      </c>
      <c r="F605" s="19" t="str">
        <f>IFERROR(__xludf.DUMMYFUNCTION("""COMPUTED_VALUE"""),"BLUE")</f>
        <v>BLUE</v>
      </c>
      <c r="G605" s="20" t="str">
        <f>IFERROR(__xludf.DUMMYFUNCTION("""COMPUTED_VALUE"""),"Uncle Sams Cider (11/12/2021) (Blue)")</f>
        <v>Uncle Sams Cider (11/12/2021) (Blue)</v>
      </c>
      <c r="H605" s="19"/>
    </row>
    <row r="606">
      <c r="A606" s="9"/>
      <c r="B606" s="15"/>
      <c r="C606" s="9">
        <f>IFERROR(__xludf.DUMMYFUNCTION("""COMPUTED_VALUE"""),44599.2495113888)</f>
        <v>44599.24951</v>
      </c>
      <c r="D606" s="15">
        <f>IFERROR(__xludf.DUMMYFUNCTION("""COMPUTED_VALUE"""),1.0)</f>
        <v>1</v>
      </c>
      <c r="E606" s="16">
        <f>IFERROR(__xludf.DUMMYFUNCTION("""COMPUTED_VALUE"""),62.0)</f>
        <v>62</v>
      </c>
      <c r="F606" s="19" t="str">
        <f>IFERROR(__xludf.DUMMYFUNCTION("""COMPUTED_VALUE"""),"BLUE")</f>
        <v>BLUE</v>
      </c>
      <c r="G606" s="20" t="str">
        <f>IFERROR(__xludf.DUMMYFUNCTION("""COMPUTED_VALUE"""),"Uncle Sams Cider (11/12/2021) (Blue)")</f>
        <v>Uncle Sams Cider (11/12/2021) (Blue)</v>
      </c>
      <c r="H606" s="19"/>
    </row>
    <row r="607">
      <c r="A607" s="9"/>
      <c r="B607" s="15"/>
      <c r="C607" s="9">
        <f>IFERROR(__xludf.DUMMYFUNCTION("""COMPUTED_VALUE"""),44599.2390905208)</f>
        <v>44599.23909</v>
      </c>
      <c r="D607" s="15">
        <f>IFERROR(__xludf.DUMMYFUNCTION("""COMPUTED_VALUE"""),0.999)</f>
        <v>0.999</v>
      </c>
      <c r="E607" s="16">
        <f>IFERROR(__xludf.DUMMYFUNCTION("""COMPUTED_VALUE"""),62.0)</f>
        <v>62</v>
      </c>
      <c r="F607" s="19" t="str">
        <f>IFERROR(__xludf.DUMMYFUNCTION("""COMPUTED_VALUE"""),"BLUE")</f>
        <v>BLUE</v>
      </c>
      <c r="G607" s="20" t="str">
        <f>IFERROR(__xludf.DUMMYFUNCTION("""COMPUTED_VALUE"""),"Uncle Sams Cider (11/12/2021) (Blue)")</f>
        <v>Uncle Sams Cider (11/12/2021) (Blue)</v>
      </c>
      <c r="H607" s="19"/>
    </row>
    <row r="608">
      <c r="A608" s="9"/>
      <c r="B608" s="15"/>
      <c r="C608" s="9">
        <f>IFERROR(__xludf.DUMMYFUNCTION("""COMPUTED_VALUE"""),44599.2286699537)</f>
        <v>44599.22867</v>
      </c>
      <c r="D608" s="15">
        <f>IFERROR(__xludf.DUMMYFUNCTION("""COMPUTED_VALUE"""),1.0)</f>
        <v>1</v>
      </c>
      <c r="E608" s="16">
        <f>IFERROR(__xludf.DUMMYFUNCTION("""COMPUTED_VALUE"""),62.0)</f>
        <v>62</v>
      </c>
      <c r="F608" s="19" t="str">
        <f>IFERROR(__xludf.DUMMYFUNCTION("""COMPUTED_VALUE"""),"BLUE")</f>
        <v>BLUE</v>
      </c>
      <c r="G608" s="20" t="str">
        <f>IFERROR(__xludf.DUMMYFUNCTION("""COMPUTED_VALUE"""),"Uncle Sams Cider (11/12/2021) (Blue)")</f>
        <v>Uncle Sams Cider (11/12/2021) (Blue)</v>
      </c>
      <c r="H608" s="19"/>
    </row>
    <row r="609">
      <c r="A609" s="9"/>
      <c r="B609" s="15"/>
      <c r="C609" s="9">
        <f>IFERROR(__xludf.DUMMYFUNCTION("""COMPUTED_VALUE"""),44599.2182483912)</f>
        <v>44599.21825</v>
      </c>
      <c r="D609" s="15">
        <f>IFERROR(__xludf.DUMMYFUNCTION("""COMPUTED_VALUE"""),1.0)</f>
        <v>1</v>
      </c>
      <c r="E609" s="16">
        <f>IFERROR(__xludf.DUMMYFUNCTION("""COMPUTED_VALUE"""),62.0)</f>
        <v>62</v>
      </c>
      <c r="F609" s="19" t="str">
        <f>IFERROR(__xludf.DUMMYFUNCTION("""COMPUTED_VALUE"""),"BLUE")</f>
        <v>BLUE</v>
      </c>
      <c r="G609" s="20" t="str">
        <f>IFERROR(__xludf.DUMMYFUNCTION("""COMPUTED_VALUE"""),"Uncle Sams Cider (11/12/2021) (Blue)")</f>
        <v>Uncle Sams Cider (11/12/2021) (Blue)</v>
      </c>
      <c r="H609" s="19"/>
    </row>
    <row r="610">
      <c r="A610" s="9"/>
      <c r="B610" s="15"/>
      <c r="C610" s="9">
        <f>IFERROR(__xludf.DUMMYFUNCTION("""COMPUTED_VALUE"""),44599.207827743)</f>
        <v>44599.20783</v>
      </c>
      <c r="D610" s="15">
        <f>IFERROR(__xludf.DUMMYFUNCTION("""COMPUTED_VALUE"""),0.999)</f>
        <v>0.999</v>
      </c>
      <c r="E610" s="16">
        <f>IFERROR(__xludf.DUMMYFUNCTION("""COMPUTED_VALUE"""),62.0)</f>
        <v>62</v>
      </c>
      <c r="F610" s="19" t="str">
        <f>IFERROR(__xludf.DUMMYFUNCTION("""COMPUTED_VALUE"""),"BLUE")</f>
        <v>BLUE</v>
      </c>
      <c r="G610" s="20" t="str">
        <f>IFERROR(__xludf.DUMMYFUNCTION("""COMPUTED_VALUE"""),"Uncle Sams Cider (11/12/2021) (Blue)")</f>
        <v>Uncle Sams Cider (11/12/2021) (Blue)</v>
      </c>
      <c r="H610" s="19"/>
    </row>
    <row r="611">
      <c r="A611" s="9"/>
      <c r="B611" s="15"/>
      <c r="C611" s="9">
        <f>IFERROR(__xludf.DUMMYFUNCTION("""COMPUTED_VALUE"""),44599.1974067824)</f>
        <v>44599.19741</v>
      </c>
      <c r="D611" s="15">
        <f>IFERROR(__xludf.DUMMYFUNCTION("""COMPUTED_VALUE"""),0.999)</f>
        <v>0.999</v>
      </c>
      <c r="E611" s="16">
        <f>IFERROR(__xludf.DUMMYFUNCTION("""COMPUTED_VALUE"""),62.0)</f>
        <v>62</v>
      </c>
      <c r="F611" s="19" t="str">
        <f>IFERROR(__xludf.DUMMYFUNCTION("""COMPUTED_VALUE"""),"BLUE")</f>
        <v>BLUE</v>
      </c>
      <c r="G611" s="20" t="str">
        <f>IFERROR(__xludf.DUMMYFUNCTION("""COMPUTED_VALUE"""),"Uncle Sams Cider (11/12/2021) (Blue)")</f>
        <v>Uncle Sams Cider (11/12/2021) (Blue)</v>
      </c>
      <c r="H611" s="19"/>
    </row>
    <row r="612">
      <c r="A612" s="9"/>
      <c r="B612" s="15"/>
      <c r="C612" s="9">
        <f>IFERROR(__xludf.DUMMYFUNCTION("""COMPUTED_VALUE"""),44599.1869867129)</f>
        <v>44599.18699</v>
      </c>
      <c r="D612" s="15">
        <f>IFERROR(__xludf.DUMMYFUNCTION("""COMPUTED_VALUE"""),1.0)</f>
        <v>1</v>
      </c>
      <c r="E612" s="16">
        <f>IFERROR(__xludf.DUMMYFUNCTION("""COMPUTED_VALUE"""),62.0)</f>
        <v>62</v>
      </c>
      <c r="F612" s="19" t="str">
        <f>IFERROR(__xludf.DUMMYFUNCTION("""COMPUTED_VALUE"""),"BLUE")</f>
        <v>BLUE</v>
      </c>
      <c r="G612" s="20" t="str">
        <f>IFERROR(__xludf.DUMMYFUNCTION("""COMPUTED_VALUE"""),"Uncle Sams Cider (11/12/2021) (Blue)")</f>
        <v>Uncle Sams Cider (11/12/2021) (Blue)</v>
      </c>
      <c r="H612" s="19"/>
    </row>
    <row r="613">
      <c r="A613" s="9"/>
      <c r="B613" s="15"/>
      <c r="C613" s="9">
        <f>IFERROR(__xludf.DUMMYFUNCTION("""COMPUTED_VALUE"""),44599.176565162)</f>
        <v>44599.17657</v>
      </c>
      <c r="D613" s="15">
        <f>IFERROR(__xludf.DUMMYFUNCTION("""COMPUTED_VALUE"""),1.0)</f>
        <v>1</v>
      </c>
      <c r="E613" s="16">
        <f>IFERROR(__xludf.DUMMYFUNCTION("""COMPUTED_VALUE"""),62.0)</f>
        <v>62</v>
      </c>
      <c r="F613" s="19" t="str">
        <f>IFERROR(__xludf.DUMMYFUNCTION("""COMPUTED_VALUE"""),"BLUE")</f>
        <v>BLUE</v>
      </c>
      <c r="G613" s="20" t="str">
        <f>IFERROR(__xludf.DUMMYFUNCTION("""COMPUTED_VALUE"""),"Uncle Sams Cider (11/12/2021) (Blue)")</f>
        <v>Uncle Sams Cider (11/12/2021) (Blue)</v>
      </c>
      <c r="H613" s="19"/>
    </row>
    <row r="614">
      <c r="A614" s="9"/>
      <c r="B614" s="15"/>
      <c r="C614" s="9">
        <f>IFERROR(__xludf.DUMMYFUNCTION("""COMPUTED_VALUE"""),44599.1661450578)</f>
        <v>44599.16615</v>
      </c>
      <c r="D614" s="15">
        <f>IFERROR(__xludf.DUMMYFUNCTION("""COMPUTED_VALUE"""),1.0)</f>
        <v>1</v>
      </c>
      <c r="E614" s="16">
        <f>IFERROR(__xludf.DUMMYFUNCTION("""COMPUTED_VALUE"""),62.0)</f>
        <v>62</v>
      </c>
      <c r="F614" s="19" t="str">
        <f>IFERROR(__xludf.DUMMYFUNCTION("""COMPUTED_VALUE"""),"BLUE")</f>
        <v>BLUE</v>
      </c>
      <c r="G614" s="20" t="str">
        <f>IFERROR(__xludf.DUMMYFUNCTION("""COMPUTED_VALUE"""),"Uncle Sams Cider (11/12/2021) (Blue)")</f>
        <v>Uncle Sams Cider (11/12/2021) (Blue)</v>
      </c>
      <c r="H614" s="19"/>
    </row>
    <row r="615">
      <c r="A615" s="9"/>
      <c r="B615" s="15"/>
      <c r="C615" s="9">
        <f>IFERROR(__xludf.DUMMYFUNCTION("""COMPUTED_VALUE"""),44599.1557127893)</f>
        <v>44599.15571</v>
      </c>
      <c r="D615" s="15">
        <f>IFERROR(__xludf.DUMMYFUNCTION("""COMPUTED_VALUE"""),1.0)</f>
        <v>1</v>
      </c>
      <c r="E615" s="16">
        <f>IFERROR(__xludf.DUMMYFUNCTION("""COMPUTED_VALUE"""),62.0)</f>
        <v>62</v>
      </c>
      <c r="F615" s="19" t="str">
        <f>IFERROR(__xludf.DUMMYFUNCTION("""COMPUTED_VALUE"""),"BLUE")</f>
        <v>BLUE</v>
      </c>
      <c r="G615" s="20" t="str">
        <f>IFERROR(__xludf.DUMMYFUNCTION("""COMPUTED_VALUE"""),"Uncle Sams Cider (11/12/2021) (Blue)")</f>
        <v>Uncle Sams Cider (11/12/2021) (Blue)</v>
      </c>
      <c r="H615" s="19"/>
    </row>
    <row r="616">
      <c r="A616" s="9"/>
      <c r="B616" s="15"/>
      <c r="C616" s="9">
        <f>IFERROR(__xludf.DUMMYFUNCTION("""COMPUTED_VALUE"""),44599.1452897685)</f>
        <v>44599.14529</v>
      </c>
      <c r="D616" s="15">
        <f>IFERROR(__xludf.DUMMYFUNCTION("""COMPUTED_VALUE"""),1.0)</f>
        <v>1</v>
      </c>
      <c r="E616" s="16">
        <f>IFERROR(__xludf.DUMMYFUNCTION("""COMPUTED_VALUE"""),62.0)</f>
        <v>62</v>
      </c>
      <c r="F616" s="19" t="str">
        <f>IFERROR(__xludf.DUMMYFUNCTION("""COMPUTED_VALUE"""),"BLUE")</f>
        <v>BLUE</v>
      </c>
      <c r="G616" s="20" t="str">
        <f>IFERROR(__xludf.DUMMYFUNCTION("""COMPUTED_VALUE"""),"Uncle Sams Cider (11/12/2021) (Blue)")</f>
        <v>Uncle Sams Cider (11/12/2021) (Blue)</v>
      </c>
      <c r="H616" s="19"/>
    </row>
    <row r="617">
      <c r="A617" s="9"/>
      <c r="B617" s="15"/>
      <c r="C617" s="9">
        <f>IFERROR(__xludf.DUMMYFUNCTION("""COMPUTED_VALUE"""),44599.13485603)</f>
        <v>44599.13486</v>
      </c>
      <c r="D617" s="15">
        <f>IFERROR(__xludf.DUMMYFUNCTION("""COMPUTED_VALUE"""),1.0)</f>
        <v>1</v>
      </c>
      <c r="E617" s="16">
        <f>IFERROR(__xludf.DUMMYFUNCTION("""COMPUTED_VALUE"""),62.0)</f>
        <v>62</v>
      </c>
      <c r="F617" s="19" t="str">
        <f>IFERROR(__xludf.DUMMYFUNCTION("""COMPUTED_VALUE"""),"BLUE")</f>
        <v>BLUE</v>
      </c>
      <c r="G617" s="20" t="str">
        <f>IFERROR(__xludf.DUMMYFUNCTION("""COMPUTED_VALUE"""),"Uncle Sams Cider (11/12/2021) (Blue)")</f>
        <v>Uncle Sams Cider (11/12/2021) (Blue)</v>
      </c>
      <c r="H617" s="19"/>
    </row>
    <row r="618">
      <c r="A618" s="9"/>
      <c r="B618" s="15"/>
      <c r="C618" s="9">
        <f>IFERROR(__xludf.DUMMYFUNCTION("""COMPUTED_VALUE"""),44599.1244261689)</f>
        <v>44599.12443</v>
      </c>
      <c r="D618" s="15">
        <f>IFERROR(__xludf.DUMMYFUNCTION("""COMPUTED_VALUE"""),0.999)</f>
        <v>0.999</v>
      </c>
      <c r="E618" s="16">
        <f>IFERROR(__xludf.DUMMYFUNCTION("""COMPUTED_VALUE"""),62.0)</f>
        <v>62</v>
      </c>
      <c r="F618" s="19" t="str">
        <f>IFERROR(__xludf.DUMMYFUNCTION("""COMPUTED_VALUE"""),"BLUE")</f>
        <v>BLUE</v>
      </c>
      <c r="G618" s="20" t="str">
        <f>IFERROR(__xludf.DUMMYFUNCTION("""COMPUTED_VALUE"""),"Uncle Sams Cider (11/12/2021) (Blue)")</f>
        <v>Uncle Sams Cider (11/12/2021) (Blue)</v>
      </c>
      <c r="H618" s="19"/>
    </row>
    <row r="619">
      <c r="A619" s="9"/>
      <c r="B619" s="15"/>
      <c r="C619" s="9">
        <f>IFERROR(__xludf.DUMMYFUNCTION("""COMPUTED_VALUE"""),44599.1140055555)</f>
        <v>44599.11401</v>
      </c>
      <c r="D619" s="15">
        <f>IFERROR(__xludf.DUMMYFUNCTION("""COMPUTED_VALUE"""),1.0)</f>
        <v>1</v>
      </c>
      <c r="E619" s="16">
        <f>IFERROR(__xludf.DUMMYFUNCTION("""COMPUTED_VALUE"""),62.0)</f>
        <v>62</v>
      </c>
      <c r="F619" s="19" t="str">
        <f>IFERROR(__xludf.DUMMYFUNCTION("""COMPUTED_VALUE"""),"BLUE")</f>
        <v>BLUE</v>
      </c>
      <c r="G619" s="20" t="str">
        <f>IFERROR(__xludf.DUMMYFUNCTION("""COMPUTED_VALUE"""),"Uncle Sams Cider (11/12/2021) (Blue)")</f>
        <v>Uncle Sams Cider (11/12/2021) (Blue)</v>
      </c>
      <c r="H619" s="19"/>
    </row>
    <row r="620">
      <c r="A620" s="9"/>
      <c r="B620" s="15"/>
      <c r="C620" s="9">
        <f>IFERROR(__xludf.DUMMYFUNCTION("""COMPUTED_VALUE"""),44599.1035841782)</f>
        <v>44599.10358</v>
      </c>
      <c r="D620" s="15">
        <f>IFERROR(__xludf.DUMMYFUNCTION("""COMPUTED_VALUE"""),1.0)</f>
        <v>1</v>
      </c>
      <c r="E620" s="16">
        <f>IFERROR(__xludf.DUMMYFUNCTION("""COMPUTED_VALUE"""),62.0)</f>
        <v>62</v>
      </c>
      <c r="F620" s="19" t="str">
        <f>IFERROR(__xludf.DUMMYFUNCTION("""COMPUTED_VALUE"""),"BLUE")</f>
        <v>BLUE</v>
      </c>
      <c r="G620" s="20" t="str">
        <f>IFERROR(__xludf.DUMMYFUNCTION("""COMPUTED_VALUE"""),"Uncle Sams Cider (11/12/2021) (Blue)")</f>
        <v>Uncle Sams Cider (11/12/2021) (Blue)</v>
      </c>
      <c r="H620" s="19"/>
    </row>
    <row r="621">
      <c r="A621" s="9"/>
      <c r="B621" s="15"/>
      <c r="C621" s="9">
        <f>IFERROR(__xludf.DUMMYFUNCTION("""COMPUTED_VALUE"""),44599.0931526851)</f>
        <v>44599.09315</v>
      </c>
      <c r="D621" s="15">
        <f>IFERROR(__xludf.DUMMYFUNCTION("""COMPUTED_VALUE"""),0.999)</f>
        <v>0.999</v>
      </c>
      <c r="E621" s="16">
        <f>IFERROR(__xludf.DUMMYFUNCTION("""COMPUTED_VALUE"""),62.0)</f>
        <v>62</v>
      </c>
      <c r="F621" s="19" t="str">
        <f>IFERROR(__xludf.DUMMYFUNCTION("""COMPUTED_VALUE"""),"BLUE")</f>
        <v>BLUE</v>
      </c>
      <c r="G621" s="20" t="str">
        <f>IFERROR(__xludf.DUMMYFUNCTION("""COMPUTED_VALUE"""),"Uncle Sams Cider (11/12/2021) (Blue)")</f>
        <v>Uncle Sams Cider (11/12/2021) (Blue)</v>
      </c>
      <c r="H621" s="19"/>
    </row>
    <row r="622">
      <c r="A622" s="9"/>
      <c r="B622" s="15"/>
      <c r="C622" s="9">
        <f>IFERROR(__xludf.DUMMYFUNCTION("""COMPUTED_VALUE"""),44599.0827312731)</f>
        <v>44599.08273</v>
      </c>
      <c r="D622" s="15">
        <f>IFERROR(__xludf.DUMMYFUNCTION("""COMPUTED_VALUE"""),1.0)</f>
        <v>1</v>
      </c>
      <c r="E622" s="16">
        <f>IFERROR(__xludf.DUMMYFUNCTION("""COMPUTED_VALUE"""),62.0)</f>
        <v>62</v>
      </c>
      <c r="F622" s="19" t="str">
        <f>IFERROR(__xludf.DUMMYFUNCTION("""COMPUTED_VALUE"""),"BLUE")</f>
        <v>BLUE</v>
      </c>
      <c r="G622" s="20" t="str">
        <f>IFERROR(__xludf.DUMMYFUNCTION("""COMPUTED_VALUE"""),"Uncle Sams Cider (11/12/2021) (Blue)")</f>
        <v>Uncle Sams Cider (11/12/2021) (Blue)</v>
      </c>
      <c r="H622" s="19"/>
    </row>
    <row r="623">
      <c r="A623" s="9"/>
      <c r="B623" s="15"/>
      <c r="C623" s="9">
        <f>IFERROR(__xludf.DUMMYFUNCTION("""COMPUTED_VALUE"""),44599.0723096759)</f>
        <v>44599.07231</v>
      </c>
      <c r="D623" s="15">
        <f>IFERROR(__xludf.DUMMYFUNCTION("""COMPUTED_VALUE"""),1.0)</f>
        <v>1</v>
      </c>
      <c r="E623" s="16">
        <f>IFERROR(__xludf.DUMMYFUNCTION("""COMPUTED_VALUE"""),62.0)</f>
        <v>62</v>
      </c>
      <c r="F623" s="19" t="str">
        <f>IFERROR(__xludf.DUMMYFUNCTION("""COMPUTED_VALUE"""),"BLUE")</f>
        <v>BLUE</v>
      </c>
      <c r="G623" s="20" t="str">
        <f>IFERROR(__xludf.DUMMYFUNCTION("""COMPUTED_VALUE"""),"Uncle Sams Cider (11/12/2021) (Blue)")</f>
        <v>Uncle Sams Cider (11/12/2021) (Blue)</v>
      </c>
      <c r="H623" s="19"/>
    </row>
    <row r="624">
      <c r="A624" s="9"/>
      <c r="B624" s="15"/>
      <c r="C624" s="9">
        <f>IFERROR(__xludf.DUMMYFUNCTION("""COMPUTED_VALUE"""),44599.0618894328)</f>
        <v>44599.06189</v>
      </c>
      <c r="D624" s="15">
        <f>IFERROR(__xludf.DUMMYFUNCTION("""COMPUTED_VALUE"""),0.999)</f>
        <v>0.999</v>
      </c>
      <c r="E624" s="16">
        <f>IFERROR(__xludf.DUMMYFUNCTION("""COMPUTED_VALUE"""),62.0)</f>
        <v>62</v>
      </c>
      <c r="F624" s="19" t="str">
        <f>IFERROR(__xludf.DUMMYFUNCTION("""COMPUTED_VALUE"""),"BLUE")</f>
        <v>BLUE</v>
      </c>
      <c r="G624" s="20" t="str">
        <f>IFERROR(__xludf.DUMMYFUNCTION("""COMPUTED_VALUE"""),"Uncle Sams Cider (11/12/2021) (Blue)")</f>
        <v>Uncle Sams Cider (11/12/2021) (Blue)</v>
      </c>
      <c r="H624" s="19"/>
    </row>
    <row r="625">
      <c r="A625" s="9"/>
      <c r="B625" s="15"/>
      <c r="C625" s="9">
        <f>IFERROR(__xludf.DUMMYFUNCTION("""COMPUTED_VALUE"""),44599.0514665625)</f>
        <v>44599.05147</v>
      </c>
      <c r="D625" s="15">
        <f>IFERROR(__xludf.DUMMYFUNCTION("""COMPUTED_VALUE"""),0.999)</f>
        <v>0.999</v>
      </c>
      <c r="E625" s="16">
        <f>IFERROR(__xludf.DUMMYFUNCTION("""COMPUTED_VALUE"""),62.0)</f>
        <v>62</v>
      </c>
      <c r="F625" s="19" t="str">
        <f>IFERROR(__xludf.DUMMYFUNCTION("""COMPUTED_VALUE"""),"BLUE")</f>
        <v>BLUE</v>
      </c>
      <c r="G625" s="20" t="str">
        <f>IFERROR(__xludf.DUMMYFUNCTION("""COMPUTED_VALUE"""),"Uncle Sams Cider (11/12/2021) (Blue)")</f>
        <v>Uncle Sams Cider (11/12/2021) (Blue)</v>
      </c>
      <c r="H625" s="19"/>
    </row>
    <row r="626">
      <c r="A626" s="9"/>
      <c r="B626" s="15"/>
      <c r="C626" s="9">
        <f>IFERROR(__xludf.DUMMYFUNCTION("""COMPUTED_VALUE"""),44599.0410443287)</f>
        <v>44599.04104</v>
      </c>
      <c r="D626" s="15">
        <f>IFERROR(__xludf.DUMMYFUNCTION("""COMPUTED_VALUE"""),0.999)</f>
        <v>0.999</v>
      </c>
      <c r="E626" s="16">
        <f>IFERROR(__xludf.DUMMYFUNCTION("""COMPUTED_VALUE"""),62.0)</f>
        <v>62</v>
      </c>
      <c r="F626" s="19" t="str">
        <f>IFERROR(__xludf.DUMMYFUNCTION("""COMPUTED_VALUE"""),"BLUE")</f>
        <v>BLUE</v>
      </c>
      <c r="G626" s="20" t="str">
        <f>IFERROR(__xludf.DUMMYFUNCTION("""COMPUTED_VALUE"""),"Uncle Sams Cider (11/12/2021) (Blue)")</f>
        <v>Uncle Sams Cider (11/12/2021) (Blue)</v>
      </c>
      <c r="H626" s="19"/>
    </row>
    <row r="627">
      <c r="A627" s="9"/>
      <c r="B627" s="15"/>
      <c r="C627" s="9">
        <f>IFERROR(__xludf.DUMMYFUNCTION("""COMPUTED_VALUE"""),44599.0306251157)</f>
        <v>44599.03063</v>
      </c>
      <c r="D627" s="15">
        <f>IFERROR(__xludf.DUMMYFUNCTION("""COMPUTED_VALUE"""),1.0)</f>
        <v>1</v>
      </c>
      <c r="E627" s="16">
        <f>IFERROR(__xludf.DUMMYFUNCTION("""COMPUTED_VALUE"""),62.0)</f>
        <v>62</v>
      </c>
      <c r="F627" s="19" t="str">
        <f>IFERROR(__xludf.DUMMYFUNCTION("""COMPUTED_VALUE"""),"BLUE")</f>
        <v>BLUE</v>
      </c>
      <c r="G627" s="20" t="str">
        <f>IFERROR(__xludf.DUMMYFUNCTION("""COMPUTED_VALUE"""),"Uncle Sams Cider (11/12/2021) (Blue)")</f>
        <v>Uncle Sams Cider (11/12/2021) (Blue)</v>
      </c>
      <c r="H627" s="19"/>
    </row>
    <row r="628">
      <c r="A628" s="9"/>
      <c r="B628" s="15"/>
      <c r="C628" s="9">
        <f>IFERROR(__xludf.DUMMYFUNCTION("""COMPUTED_VALUE"""),44599.02020353)</f>
        <v>44599.0202</v>
      </c>
      <c r="D628" s="15">
        <f>IFERROR(__xludf.DUMMYFUNCTION("""COMPUTED_VALUE"""),0.999)</f>
        <v>0.999</v>
      </c>
      <c r="E628" s="16">
        <f>IFERROR(__xludf.DUMMYFUNCTION("""COMPUTED_VALUE"""),62.0)</f>
        <v>62</v>
      </c>
      <c r="F628" s="19" t="str">
        <f>IFERROR(__xludf.DUMMYFUNCTION("""COMPUTED_VALUE"""),"BLUE")</f>
        <v>BLUE</v>
      </c>
      <c r="G628" s="20" t="str">
        <f>IFERROR(__xludf.DUMMYFUNCTION("""COMPUTED_VALUE"""),"Uncle Sams Cider (11/12/2021) (Blue)")</f>
        <v>Uncle Sams Cider (11/12/2021) (Blue)</v>
      </c>
      <c r="H628" s="19"/>
    </row>
    <row r="629">
      <c r="A629" s="9"/>
      <c r="B629" s="15"/>
      <c r="C629" s="9">
        <f>IFERROR(__xludf.DUMMYFUNCTION("""COMPUTED_VALUE"""),44599.0097708449)</f>
        <v>44599.00977</v>
      </c>
      <c r="D629" s="15">
        <f>IFERROR(__xludf.DUMMYFUNCTION("""COMPUTED_VALUE"""),0.999)</f>
        <v>0.999</v>
      </c>
      <c r="E629" s="16">
        <f>IFERROR(__xludf.DUMMYFUNCTION("""COMPUTED_VALUE"""),62.0)</f>
        <v>62</v>
      </c>
      <c r="F629" s="19" t="str">
        <f>IFERROR(__xludf.DUMMYFUNCTION("""COMPUTED_VALUE"""),"BLUE")</f>
        <v>BLUE</v>
      </c>
      <c r="G629" s="20" t="str">
        <f>IFERROR(__xludf.DUMMYFUNCTION("""COMPUTED_VALUE"""),"Uncle Sams Cider (11/12/2021) (Blue)")</f>
        <v>Uncle Sams Cider (11/12/2021) (Blue)</v>
      </c>
      <c r="H629" s="19"/>
    </row>
    <row r="630">
      <c r="A630" s="9"/>
      <c r="B630" s="15"/>
      <c r="C630" s="9">
        <f>IFERROR(__xludf.DUMMYFUNCTION("""COMPUTED_VALUE"""),44598.9993515625)</f>
        <v>44598.99935</v>
      </c>
      <c r="D630" s="15">
        <f>IFERROR(__xludf.DUMMYFUNCTION("""COMPUTED_VALUE"""),0.999)</f>
        <v>0.999</v>
      </c>
      <c r="E630" s="16">
        <f>IFERROR(__xludf.DUMMYFUNCTION("""COMPUTED_VALUE"""),62.0)</f>
        <v>62</v>
      </c>
      <c r="F630" s="19" t="str">
        <f>IFERROR(__xludf.DUMMYFUNCTION("""COMPUTED_VALUE"""),"BLUE")</f>
        <v>BLUE</v>
      </c>
      <c r="G630" s="20" t="str">
        <f>IFERROR(__xludf.DUMMYFUNCTION("""COMPUTED_VALUE"""),"Uncle Sams Cider (11/12/2021) (Blue)")</f>
        <v>Uncle Sams Cider (11/12/2021) (Blue)</v>
      </c>
      <c r="H630" s="19"/>
    </row>
    <row r="631">
      <c r="A631" s="9"/>
      <c r="B631" s="15"/>
      <c r="C631" s="9">
        <f>IFERROR(__xludf.DUMMYFUNCTION("""COMPUTED_VALUE"""),44598.9889312384)</f>
        <v>44598.98893</v>
      </c>
      <c r="D631" s="15">
        <f>IFERROR(__xludf.DUMMYFUNCTION("""COMPUTED_VALUE"""),1.0)</f>
        <v>1</v>
      </c>
      <c r="E631" s="16">
        <f>IFERROR(__xludf.DUMMYFUNCTION("""COMPUTED_VALUE"""),62.0)</f>
        <v>62</v>
      </c>
      <c r="F631" s="19" t="str">
        <f>IFERROR(__xludf.DUMMYFUNCTION("""COMPUTED_VALUE"""),"BLUE")</f>
        <v>BLUE</v>
      </c>
      <c r="G631" s="20" t="str">
        <f>IFERROR(__xludf.DUMMYFUNCTION("""COMPUTED_VALUE"""),"Uncle Sams Cider (11/12/2021) (Blue)")</f>
        <v>Uncle Sams Cider (11/12/2021) (Blue)</v>
      </c>
      <c r="H631" s="19"/>
    </row>
    <row r="632">
      <c r="A632" s="9"/>
      <c r="B632" s="15"/>
      <c r="C632" s="9">
        <f>IFERROR(__xludf.DUMMYFUNCTION("""COMPUTED_VALUE"""),44598.9784974536)</f>
        <v>44598.9785</v>
      </c>
      <c r="D632" s="15">
        <f>IFERROR(__xludf.DUMMYFUNCTION("""COMPUTED_VALUE"""),0.999)</f>
        <v>0.999</v>
      </c>
      <c r="E632" s="16">
        <f>IFERROR(__xludf.DUMMYFUNCTION("""COMPUTED_VALUE"""),62.0)</f>
        <v>62</v>
      </c>
      <c r="F632" s="19" t="str">
        <f>IFERROR(__xludf.DUMMYFUNCTION("""COMPUTED_VALUE"""),"BLUE")</f>
        <v>BLUE</v>
      </c>
      <c r="G632" s="20" t="str">
        <f>IFERROR(__xludf.DUMMYFUNCTION("""COMPUTED_VALUE"""),"Uncle Sams Cider (11/12/2021) (Blue)")</f>
        <v>Uncle Sams Cider (11/12/2021) (Blue)</v>
      </c>
      <c r="H632" s="19"/>
    </row>
    <row r="633">
      <c r="A633" s="9"/>
      <c r="B633" s="15"/>
      <c r="C633" s="9">
        <f>IFERROR(__xludf.DUMMYFUNCTION("""COMPUTED_VALUE"""),44598.968062824)</f>
        <v>44598.96806</v>
      </c>
      <c r="D633" s="15">
        <f>IFERROR(__xludf.DUMMYFUNCTION("""COMPUTED_VALUE"""),1.0)</f>
        <v>1</v>
      </c>
      <c r="E633" s="16">
        <f>IFERROR(__xludf.DUMMYFUNCTION("""COMPUTED_VALUE"""),62.0)</f>
        <v>62</v>
      </c>
      <c r="F633" s="19" t="str">
        <f>IFERROR(__xludf.DUMMYFUNCTION("""COMPUTED_VALUE"""),"BLUE")</f>
        <v>BLUE</v>
      </c>
      <c r="G633" s="20" t="str">
        <f>IFERROR(__xludf.DUMMYFUNCTION("""COMPUTED_VALUE"""),"Uncle Sams Cider (11/12/2021) (Blue)")</f>
        <v>Uncle Sams Cider (11/12/2021) (Blue)</v>
      </c>
      <c r="H633" s="19"/>
    </row>
    <row r="634">
      <c r="A634" s="9"/>
      <c r="B634" s="15"/>
      <c r="C634" s="9">
        <f>IFERROR(__xludf.DUMMYFUNCTION("""COMPUTED_VALUE"""),44598.9576430324)</f>
        <v>44598.95764</v>
      </c>
      <c r="D634" s="15">
        <f>IFERROR(__xludf.DUMMYFUNCTION("""COMPUTED_VALUE"""),1.0)</f>
        <v>1</v>
      </c>
      <c r="E634" s="16">
        <f>IFERROR(__xludf.DUMMYFUNCTION("""COMPUTED_VALUE"""),62.0)</f>
        <v>62</v>
      </c>
      <c r="F634" s="19" t="str">
        <f>IFERROR(__xludf.DUMMYFUNCTION("""COMPUTED_VALUE"""),"BLUE")</f>
        <v>BLUE</v>
      </c>
      <c r="G634" s="20" t="str">
        <f>IFERROR(__xludf.DUMMYFUNCTION("""COMPUTED_VALUE"""),"Uncle Sams Cider (11/12/2021) (Blue)")</f>
        <v>Uncle Sams Cider (11/12/2021) (Blue)</v>
      </c>
      <c r="H634" s="19"/>
    </row>
    <row r="635">
      <c r="A635" s="9"/>
      <c r="B635" s="15"/>
      <c r="C635" s="9">
        <f>IFERROR(__xludf.DUMMYFUNCTION("""COMPUTED_VALUE"""),44598.9472227662)</f>
        <v>44598.94722</v>
      </c>
      <c r="D635" s="15">
        <f>IFERROR(__xludf.DUMMYFUNCTION("""COMPUTED_VALUE"""),1.0)</f>
        <v>1</v>
      </c>
      <c r="E635" s="16">
        <f>IFERROR(__xludf.DUMMYFUNCTION("""COMPUTED_VALUE"""),62.0)</f>
        <v>62</v>
      </c>
      <c r="F635" s="19" t="str">
        <f>IFERROR(__xludf.DUMMYFUNCTION("""COMPUTED_VALUE"""),"BLUE")</f>
        <v>BLUE</v>
      </c>
      <c r="G635" s="20" t="str">
        <f>IFERROR(__xludf.DUMMYFUNCTION("""COMPUTED_VALUE"""),"Uncle Sams Cider (11/12/2021) (Blue)")</f>
        <v>Uncle Sams Cider (11/12/2021) (Blue)</v>
      </c>
      <c r="H635" s="19"/>
    </row>
    <row r="636">
      <c r="A636" s="9"/>
      <c r="B636" s="15"/>
      <c r="C636" s="9">
        <f>IFERROR(__xludf.DUMMYFUNCTION("""COMPUTED_VALUE"""),44598.9368017708)</f>
        <v>44598.9368</v>
      </c>
      <c r="D636" s="15">
        <f>IFERROR(__xludf.DUMMYFUNCTION("""COMPUTED_VALUE"""),1.0)</f>
        <v>1</v>
      </c>
      <c r="E636" s="16">
        <f>IFERROR(__xludf.DUMMYFUNCTION("""COMPUTED_VALUE"""),62.0)</f>
        <v>62</v>
      </c>
      <c r="F636" s="19" t="str">
        <f>IFERROR(__xludf.DUMMYFUNCTION("""COMPUTED_VALUE"""),"BLUE")</f>
        <v>BLUE</v>
      </c>
      <c r="G636" s="20" t="str">
        <f>IFERROR(__xludf.DUMMYFUNCTION("""COMPUTED_VALUE"""),"Uncle Sams Cider (11/12/2021) (Blue)")</f>
        <v>Uncle Sams Cider (11/12/2021) (Blue)</v>
      </c>
      <c r="H636" s="19"/>
    </row>
    <row r="637">
      <c r="A637" s="9"/>
      <c r="B637" s="15"/>
      <c r="C637" s="9">
        <f>IFERROR(__xludf.DUMMYFUNCTION("""COMPUTED_VALUE"""),44598.9263809606)</f>
        <v>44598.92638</v>
      </c>
      <c r="D637" s="15">
        <f>IFERROR(__xludf.DUMMYFUNCTION("""COMPUTED_VALUE"""),1.0)</f>
        <v>1</v>
      </c>
      <c r="E637" s="16">
        <f>IFERROR(__xludf.DUMMYFUNCTION("""COMPUTED_VALUE"""),62.0)</f>
        <v>62</v>
      </c>
      <c r="F637" s="19" t="str">
        <f>IFERROR(__xludf.DUMMYFUNCTION("""COMPUTED_VALUE"""),"BLUE")</f>
        <v>BLUE</v>
      </c>
      <c r="G637" s="20" t="str">
        <f>IFERROR(__xludf.DUMMYFUNCTION("""COMPUTED_VALUE"""),"Uncle Sams Cider (11/12/2021) (Blue)")</f>
        <v>Uncle Sams Cider (11/12/2021) (Blue)</v>
      </c>
      <c r="H637" s="19"/>
    </row>
    <row r="638">
      <c r="A638" s="9"/>
      <c r="B638" s="15"/>
      <c r="C638" s="9">
        <f>IFERROR(__xludf.DUMMYFUNCTION("""COMPUTED_VALUE"""),44598.9159611805)</f>
        <v>44598.91596</v>
      </c>
      <c r="D638" s="15">
        <f>IFERROR(__xludf.DUMMYFUNCTION("""COMPUTED_VALUE"""),0.999)</f>
        <v>0.999</v>
      </c>
      <c r="E638" s="16">
        <f>IFERROR(__xludf.DUMMYFUNCTION("""COMPUTED_VALUE"""),62.0)</f>
        <v>62</v>
      </c>
      <c r="F638" s="19" t="str">
        <f>IFERROR(__xludf.DUMMYFUNCTION("""COMPUTED_VALUE"""),"BLUE")</f>
        <v>BLUE</v>
      </c>
      <c r="G638" s="20" t="str">
        <f>IFERROR(__xludf.DUMMYFUNCTION("""COMPUTED_VALUE"""),"Uncle Sams Cider (11/12/2021) (Blue)")</f>
        <v>Uncle Sams Cider (11/12/2021) (Blue)</v>
      </c>
      <c r="H638" s="19"/>
    </row>
    <row r="639">
      <c r="A639" s="9"/>
      <c r="B639" s="15"/>
      <c r="C639" s="9">
        <f>IFERROR(__xludf.DUMMYFUNCTION("""COMPUTED_VALUE"""),44598.9055284837)</f>
        <v>44598.90553</v>
      </c>
      <c r="D639" s="15">
        <f>IFERROR(__xludf.DUMMYFUNCTION("""COMPUTED_VALUE"""),1.0)</f>
        <v>1</v>
      </c>
      <c r="E639" s="16">
        <f>IFERROR(__xludf.DUMMYFUNCTION("""COMPUTED_VALUE"""),62.0)</f>
        <v>62</v>
      </c>
      <c r="F639" s="19" t="str">
        <f>IFERROR(__xludf.DUMMYFUNCTION("""COMPUTED_VALUE"""),"BLUE")</f>
        <v>BLUE</v>
      </c>
      <c r="G639" s="20" t="str">
        <f>IFERROR(__xludf.DUMMYFUNCTION("""COMPUTED_VALUE"""),"Uncle Sams Cider (11/12/2021) (Blue)")</f>
        <v>Uncle Sams Cider (11/12/2021) (Blue)</v>
      </c>
      <c r="H639" s="19"/>
    </row>
    <row r="640">
      <c r="A640" s="9"/>
      <c r="B640" s="15"/>
      <c r="C640" s="9">
        <f>IFERROR(__xludf.DUMMYFUNCTION("""COMPUTED_VALUE"""),44598.8951073958)</f>
        <v>44598.89511</v>
      </c>
      <c r="D640" s="15">
        <f>IFERROR(__xludf.DUMMYFUNCTION("""COMPUTED_VALUE"""),0.999)</f>
        <v>0.999</v>
      </c>
      <c r="E640" s="16">
        <f>IFERROR(__xludf.DUMMYFUNCTION("""COMPUTED_VALUE"""),62.0)</f>
        <v>62</v>
      </c>
      <c r="F640" s="19" t="str">
        <f>IFERROR(__xludf.DUMMYFUNCTION("""COMPUTED_VALUE"""),"BLUE")</f>
        <v>BLUE</v>
      </c>
      <c r="G640" s="20" t="str">
        <f>IFERROR(__xludf.DUMMYFUNCTION("""COMPUTED_VALUE"""),"Uncle Sams Cider (11/12/2021) (Blue)")</f>
        <v>Uncle Sams Cider (11/12/2021) (Blue)</v>
      </c>
      <c r="H640" s="19"/>
    </row>
    <row r="641">
      <c r="A641" s="9"/>
      <c r="B641" s="15"/>
      <c r="C641" s="9">
        <f>IFERROR(__xludf.DUMMYFUNCTION("""COMPUTED_VALUE"""),44598.8846859375)</f>
        <v>44598.88469</v>
      </c>
      <c r="D641" s="15">
        <f>IFERROR(__xludf.DUMMYFUNCTION("""COMPUTED_VALUE"""),1.0)</f>
        <v>1</v>
      </c>
      <c r="E641" s="16">
        <f>IFERROR(__xludf.DUMMYFUNCTION("""COMPUTED_VALUE"""),62.0)</f>
        <v>62</v>
      </c>
      <c r="F641" s="19" t="str">
        <f>IFERROR(__xludf.DUMMYFUNCTION("""COMPUTED_VALUE"""),"BLUE")</f>
        <v>BLUE</v>
      </c>
      <c r="G641" s="20" t="str">
        <f>IFERROR(__xludf.DUMMYFUNCTION("""COMPUTED_VALUE"""),"Uncle Sams Cider (11/12/2021) (Blue)")</f>
        <v>Uncle Sams Cider (11/12/2021) (Blue)</v>
      </c>
      <c r="H641" s="19"/>
    </row>
    <row r="642">
      <c r="A642" s="9"/>
      <c r="B642" s="15"/>
      <c r="C642" s="9">
        <f>IFERROR(__xludf.DUMMYFUNCTION("""COMPUTED_VALUE"""),44598.8742640856)</f>
        <v>44598.87426</v>
      </c>
      <c r="D642" s="15">
        <f>IFERROR(__xludf.DUMMYFUNCTION("""COMPUTED_VALUE"""),0.999)</f>
        <v>0.999</v>
      </c>
      <c r="E642" s="16">
        <f>IFERROR(__xludf.DUMMYFUNCTION("""COMPUTED_VALUE"""),62.0)</f>
        <v>62</v>
      </c>
      <c r="F642" s="19" t="str">
        <f>IFERROR(__xludf.DUMMYFUNCTION("""COMPUTED_VALUE"""),"BLUE")</f>
        <v>BLUE</v>
      </c>
      <c r="G642" s="20" t="str">
        <f>IFERROR(__xludf.DUMMYFUNCTION("""COMPUTED_VALUE"""),"Uncle Sams Cider (11/12/2021) (Blue)")</f>
        <v>Uncle Sams Cider (11/12/2021) (Blue)</v>
      </c>
      <c r="H642" s="19"/>
    </row>
    <row r="643">
      <c r="A643" s="9"/>
      <c r="B643" s="15"/>
      <c r="C643" s="9">
        <f>IFERROR(__xludf.DUMMYFUNCTION("""COMPUTED_VALUE"""),44598.8638310532)</f>
        <v>44598.86383</v>
      </c>
      <c r="D643" s="15">
        <f>IFERROR(__xludf.DUMMYFUNCTION("""COMPUTED_VALUE"""),0.999)</f>
        <v>0.999</v>
      </c>
      <c r="E643" s="16">
        <f>IFERROR(__xludf.DUMMYFUNCTION("""COMPUTED_VALUE"""),63.0)</f>
        <v>63</v>
      </c>
      <c r="F643" s="19" t="str">
        <f>IFERROR(__xludf.DUMMYFUNCTION("""COMPUTED_VALUE"""),"BLUE")</f>
        <v>BLUE</v>
      </c>
      <c r="G643" s="20" t="str">
        <f>IFERROR(__xludf.DUMMYFUNCTION("""COMPUTED_VALUE"""),"Uncle Sams Cider (11/12/2021) (Blue)")</f>
        <v>Uncle Sams Cider (11/12/2021) (Blue)</v>
      </c>
      <c r="H643" s="19"/>
    </row>
    <row r="644">
      <c r="A644" s="9"/>
      <c r="B644" s="15"/>
      <c r="C644" s="9">
        <f>IFERROR(__xludf.DUMMYFUNCTION("""COMPUTED_VALUE"""),44598.8534104513)</f>
        <v>44598.85341</v>
      </c>
      <c r="D644" s="15">
        <f>IFERROR(__xludf.DUMMYFUNCTION("""COMPUTED_VALUE"""),0.999)</f>
        <v>0.999</v>
      </c>
      <c r="E644" s="16">
        <f>IFERROR(__xludf.DUMMYFUNCTION("""COMPUTED_VALUE"""),62.0)</f>
        <v>62</v>
      </c>
      <c r="F644" s="19" t="str">
        <f>IFERROR(__xludf.DUMMYFUNCTION("""COMPUTED_VALUE"""),"BLUE")</f>
        <v>BLUE</v>
      </c>
      <c r="G644" s="20" t="str">
        <f>IFERROR(__xludf.DUMMYFUNCTION("""COMPUTED_VALUE"""),"Uncle Sams Cider (11/12/2021) (Blue)")</f>
        <v>Uncle Sams Cider (11/12/2021) (Blue)</v>
      </c>
      <c r="H644" s="19"/>
    </row>
    <row r="645">
      <c r="A645" s="9"/>
      <c r="B645" s="15"/>
      <c r="C645" s="9">
        <f>IFERROR(__xludf.DUMMYFUNCTION("""COMPUTED_VALUE"""),44598.842988912)</f>
        <v>44598.84299</v>
      </c>
      <c r="D645" s="15">
        <f>IFERROR(__xludf.DUMMYFUNCTION("""COMPUTED_VALUE"""),0.999)</f>
        <v>0.999</v>
      </c>
      <c r="E645" s="16">
        <f>IFERROR(__xludf.DUMMYFUNCTION("""COMPUTED_VALUE"""),63.0)</f>
        <v>63</v>
      </c>
      <c r="F645" s="19" t="str">
        <f>IFERROR(__xludf.DUMMYFUNCTION("""COMPUTED_VALUE"""),"BLUE")</f>
        <v>BLUE</v>
      </c>
      <c r="G645" s="20" t="str">
        <f>IFERROR(__xludf.DUMMYFUNCTION("""COMPUTED_VALUE"""),"Uncle Sams Cider (11/12/2021) (Blue)")</f>
        <v>Uncle Sams Cider (11/12/2021) (Blue)</v>
      </c>
      <c r="H645" s="19"/>
    </row>
    <row r="646">
      <c r="A646" s="9"/>
      <c r="B646" s="15"/>
      <c r="C646" s="9">
        <f>IFERROR(__xludf.DUMMYFUNCTION("""COMPUTED_VALUE"""),44598.8325687037)</f>
        <v>44598.83257</v>
      </c>
      <c r="D646" s="15">
        <f>IFERROR(__xludf.DUMMYFUNCTION("""COMPUTED_VALUE"""),1.0)</f>
        <v>1</v>
      </c>
      <c r="E646" s="16">
        <f>IFERROR(__xludf.DUMMYFUNCTION("""COMPUTED_VALUE"""),63.0)</f>
        <v>63</v>
      </c>
      <c r="F646" s="19" t="str">
        <f>IFERROR(__xludf.DUMMYFUNCTION("""COMPUTED_VALUE"""),"BLUE")</f>
        <v>BLUE</v>
      </c>
      <c r="G646" s="20" t="str">
        <f>IFERROR(__xludf.DUMMYFUNCTION("""COMPUTED_VALUE"""),"Uncle Sams Cider (11/12/2021) (Blue)")</f>
        <v>Uncle Sams Cider (11/12/2021) (Blue)</v>
      </c>
      <c r="H646" s="19"/>
    </row>
    <row r="647">
      <c r="A647" s="9"/>
      <c r="B647" s="15"/>
      <c r="C647" s="9">
        <f>IFERROR(__xludf.DUMMYFUNCTION("""COMPUTED_VALUE"""),44598.8221350231)</f>
        <v>44598.82214</v>
      </c>
      <c r="D647" s="15">
        <f>IFERROR(__xludf.DUMMYFUNCTION("""COMPUTED_VALUE"""),1.0)</f>
        <v>1</v>
      </c>
      <c r="E647" s="16">
        <f>IFERROR(__xludf.DUMMYFUNCTION("""COMPUTED_VALUE"""),63.0)</f>
        <v>63</v>
      </c>
      <c r="F647" s="19" t="str">
        <f>IFERROR(__xludf.DUMMYFUNCTION("""COMPUTED_VALUE"""),"BLUE")</f>
        <v>BLUE</v>
      </c>
      <c r="G647" s="20" t="str">
        <f>IFERROR(__xludf.DUMMYFUNCTION("""COMPUTED_VALUE"""),"Uncle Sams Cider (11/12/2021) (Blue)")</f>
        <v>Uncle Sams Cider (11/12/2021) (Blue)</v>
      </c>
      <c r="H647" s="19"/>
    </row>
    <row r="648">
      <c r="A648" s="9"/>
      <c r="B648" s="15"/>
      <c r="C648" s="9">
        <f>IFERROR(__xludf.DUMMYFUNCTION("""COMPUTED_VALUE"""),44598.8117135648)</f>
        <v>44598.81171</v>
      </c>
      <c r="D648" s="15">
        <f>IFERROR(__xludf.DUMMYFUNCTION("""COMPUTED_VALUE"""),1.0)</f>
        <v>1</v>
      </c>
      <c r="E648" s="16">
        <f>IFERROR(__xludf.DUMMYFUNCTION("""COMPUTED_VALUE"""),63.0)</f>
        <v>63</v>
      </c>
      <c r="F648" s="19" t="str">
        <f>IFERROR(__xludf.DUMMYFUNCTION("""COMPUTED_VALUE"""),"BLUE")</f>
        <v>BLUE</v>
      </c>
      <c r="G648" s="20" t="str">
        <f>IFERROR(__xludf.DUMMYFUNCTION("""COMPUTED_VALUE"""),"Uncle Sams Cider (11/12/2021) (Blue)")</f>
        <v>Uncle Sams Cider (11/12/2021) (Blue)</v>
      </c>
      <c r="H648" s="19"/>
    </row>
    <row r="649">
      <c r="A649" s="9"/>
      <c r="B649" s="15"/>
      <c r="C649" s="9">
        <f>IFERROR(__xludf.DUMMYFUNCTION("""COMPUTED_VALUE"""),44598.8012939583)</f>
        <v>44598.80129</v>
      </c>
      <c r="D649" s="15">
        <f>IFERROR(__xludf.DUMMYFUNCTION("""COMPUTED_VALUE"""),0.999)</f>
        <v>0.999</v>
      </c>
      <c r="E649" s="16">
        <f>IFERROR(__xludf.DUMMYFUNCTION("""COMPUTED_VALUE"""),63.0)</f>
        <v>63</v>
      </c>
      <c r="F649" s="19" t="str">
        <f>IFERROR(__xludf.DUMMYFUNCTION("""COMPUTED_VALUE"""),"BLUE")</f>
        <v>BLUE</v>
      </c>
      <c r="G649" s="20" t="str">
        <f>IFERROR(__xludf.DUMMYFUNCTION("""COMPUTED_VALUE"""),"Uncle Sams Cider (11/12/2021) (Blue)")</f>
        <v>Uncle Sams Cider (11/12/2021) (Blue)</v>
      </c>
      <c r="H649" s="19"/>
    </row>
    <row r="650">
      <c r="A650" s="9"/>
      <c r="B650" s="15"/>
      <c r="C650" s="9">
        <f>IFERROR(__xludf.DUMMYFUNCTION("""COMPUTED_VALUE"""),44598.7908636574)</f>
        <v>44598.79086</v>
      </c>
      <c r="D650" s="15">
        <f>IFERROR(__xludf.DUMMYFUNCTION("""COMPUTED_VALUE"""),0.999)</f>
        <v>0.999</v>
      </c>
      <c r="E650" s="16">
        <f>IFERROR(__xludf.DUMMYFUNCTION("""COMPUTED_VALUE"""),63.0)</f>
        <v>63</v>
      </c>
      <c r="F650" s="19" t="str">
        <f>IFERROR(__xludf.DUMMYFUNCTION("""COMPUTED_VALUE"""),"BLUE")</f>
        <v>BLUE</v>
      </c>
      <c r="G650" s="20" t="str">
        <f>IFERROR(__xludf.DUMMYFUNCTION("""COMPUTED_VALUE"""),"Uncle Sams Cider (11/12/2021) (Blue)")</f>
        <v>Uncle Sams Cider (11/12/2021) (Blue)</v>
      </c>
      <c r="H650" s="19"/>
    </row>
    <row r="651">
      <c r="A651" s="9"/>
      <c r="B651" s="15"/>
      <c r="C651" s="9">
        <f>IFERROR(__xludf.DUMMYFUNCTION("""COMPUTED_VALUE"""),44598.7804421412)</f>
        <v>44598.78044</v>
      </c>
      <c r="D651" s="15">
        <f>IFERROR(__xludf.DUMMYFUNCTION("""COMPUTED_VALUE"""),0.999)</f>
        <v>0.999</v>
      </c>
      <c r="E651" s="16">
        <f>IFERROR(__xludf.DUMMYFUNCTION("""COMPUTED_VALUE"""),63.0)</f>
        <v>63</v>
      </c>
      <c r="F651" s="19" t="str">
        <f>IFERROR(__xludf.DUMMYFUNCTION("""COMPUTED_VALUE"""),"BLUE")</f>
        <v>BLUE</v>
      </c>
      <c r="G651" s="20" t="str">
        <f>IFERROR(__xludf.DUMMYFUNCTION("""COMPUTED_VALUE"""),"Uncle Sams Cider (11/12/2021) (Blue)")</f>
        <v>Uncle Sams Cider (11/12/2021) (Blue)</v>
      </c>
      <c r="H651" s="19"/>
    </row>
    <row r="652">
      <c r="A652" s="9"/>
      <c r="B652" s="15"/>
      <c r="C652" s="9">
        <f>IFERROR(__xludf.DUMMYFUNCTION("""COMPUTED_VALUE"""),44598.7700106365)</f>
        <v>44598.77001</v>
      </c>
      <c r="D652" s="15">
        <f>IFERROR(__xludf.DUMMYFUNCTION("""COMPUTED_VALUE"""),1.0)</f>
        <v>1</v>
      </c>
      <c r="E652" s="16">
        <f>IFERROR(__xludf.DUMMYFUNCTION("""COMPUTED_VALUE"""),63.0)</f>
        <v>63</v>
      </c>
      <c r="F652" s="19" t="str">
        <f>IFERROR(__xludf.DUMMYFUNCTION("""COMPUTED_VALUE"""),"BLUE")</f>
        <v>BLUE</v>
      </c>
      <c r="G652" s="20" t="str">
        <f>IFERROR(__xludf.DUMMYFUNCTION("""COMPUTED_VALUE"""),"Uncle Sams Cider (11/12/2021) (Blue)")</f>
        <v>Uncle Sams Cider (11/12/2021) (Blue)</v>
      </c>
      <c r="H652" s="19"/>
    </row>
    <row r="653">
      <c r="A653" s="9"/>
      <c r="B653" s="15"/>
      <c r="C653" s="9">
        <f>IFERROR(__xludf.DUMMYFUNCTION("""COMPUTED_VALUE"""),44598.7595890972)</f>
        <v>44598.75959</v>
      </c>
      <c r="D653" s="15">
        <f>IFERROR(__xludf.DUMMYFUNCTION("""COMPUTED_VALUE"""),0.999)</f>
        <v>0.999</v>
      </c>
      <c r="E653" s="16">
        <f>IFERROR(__xludf.DUMMYFUNCTION("""COMPUTED_VALUE"""),63.0)</f>
        <v>63</v>
      </c>
      <c r="F653" s="19" t="str">
        <f>IFERROR(__xludf.DUMMYFUNCTION("""COMPUTED_VALUE"""),"BLUE")</f>
        <v>BLUE</v>
      </c>
      <c r="G653" s="20" t="str">
        <f>IFERROR(__xludf.DUMMYFUNCTION("""COMPUTED_VALUE"""),"Uncle Sams Cider (11/12/2021) (Blue)")</f>
        <v>Uncle Sams Cider (11/12/2021) (Blue)</v>
      </c>
      <c r="H653" s="19"/>
    </row>
    <row r="654">
      <c r="A654" s="9"/>
      <c r="B654" s="15"/>
      <c r="C654" s="9">
        <f>IFERROR(__xludf.DUMMYFUNCTION("""COMPUTED_VALUE"""),44598.7491686574)</f>
        <v>44598.74917</v>
      </c>
      <c r="D654" s="15">
        <f>IFERROR(__xludf.DUMMYFUNCTION("""COMPUTED_VALUE"""),1.0)</f>
        <v>1</v>
      </c>
      <c r="E654" s="16">
        <f>IFERROR(__xludf.DUMMYFUNCTION("""COMPUTED_VALUE"""),63.0)</f>
        <v>63</v>
      </c>
      <c r="F654" s="19" t="str">
        <f>IFERROR(__xludf.DUMMYFUNCTION("""COMPUTED_VALUE"""),"BLUE")</f>
        <v>BLUE</v>
      </c>
      <c r="G654" s="20" t="str">
        <f>IFERROR(__xludf.DUMMYFUNCTION("""COMPUTED_VALUE"""),"Uncle Sams Cider (11/12/2021) (Blue)")</f>
        <v>Uncle Sams Cider (11/12/2021) (Blue)</v>
      </c>
      <c r="H654" s="19"/>
    </row>
    <row r="655">
      <c r="A655" s="9"/>
      <c r="B655" s="15"/>
      <c r="C655" s="9">
        <f>IFERROR(__xludf.DUMMYFUNCTION("""COMPUTED_VALUE"""),44598.7387484375)</f>
        <v>44598.73875</v>
      </c>
      <c r="D655" s="15">
        <f>IFERROR(__xludf.DUMMYFUNCTION("""COMPUTED_VALUE"""),0.999)</f>
        <v>0.999</v>
      </c>
      <c r="E655" s="16">
        <f>IFERROR(__xludf.DUMMYFUNCTION("""COMPUTED_VALUE"""),63.0)</f>
        <v>63</v>
      </c>
      <c r="F655" s="19" t="str">
        <f>IFERROR(__xludf.DUMMYFUNCTION("""COMPUTED_VALUE"""),"BLUE")</f>
        <v>BLUE</v>
      </c>
      <c r="G655" s="20" t="str">
        <f>IFERROR(__xludf.DUMMYFUNCTION("""COMPUTED_VALUE"""),"Uncle Sams Cider (11/12/2021) (Blue)")</f>
        <v>Uncle Sams Cider (11/12/2021) (Blue)</v>
      </c>
      <c r="H655" s="19"/>
    </row>
    <row r="656">
      <c r="A656" s="9"/>
      <c r="B656" s="15"/>
      <c r="C656" s="9">
        <f>IFERROR(__xludf.DUMMYFUNCTION("""COMPUTED_VALUE"""),44598.7283276041)</f>
        <v>44598.72833</v>
      </c>
      <c r="D656" s="15">
        <f>IFERROR(__xludf.DUMMYFUNCTION("""COMPUTED_VALUE"""),1.0)</f>
        <v>1</v>
      </c>
      <c r="E656" s="16">
        <f>IFERROR(__xludf.DUMMYFUNCTION("""COMPUTED_VALUE"""),63.0)</f>
        <v>63</v>
      </c>
      <c r="F656" s="19" t="str">
        <f>IFERROR(__xludf.DUMMYFUNCTION("""COMPUTED_VALUE"""),"BLUE")</f>
        <v>BLUE</v>
      </c>
      <c r="G656" s="20" t="str">
        <f>IFERROR(__xludf.DUMMYFUNCTION("""COMPUTED_VALUE"""),"Uncle Sams Cider (11/12/2021) (Blue)")</f>
        <v>Uncle Sams Cider (11/12/2021) (Blue)</v>
      </c>
      <c r="H656" s="19"/>
    </row>
    <row r="657">
      <c r="A657" s="9"/>
      <c r="B657" s="15"/>
      <c r="C657" s="9">
        <f>IFERROR(__xludf.DUMMYFUNCTION("""COMPUTED_VALUE"""),44598.7179046643)</f>
        <v>44598.7179</v>
      </c>
      <c r="D657" s="15">
        <f>IFERROR(__xludf.DUMMYFUNCTION("""COMPUTED_VALUE"""),0.999)</f>
        <v>0.999</v>
      </c>
      <c r="E657" s="16">
        <f>IFERROR(__xludf.DUMMYFUNCTION("""COMPUTED_VALUE"""),63.0)</f>
        <v>63</v>
      </c>
      <c r="F657" s="19" t="str">
        <f>IFERROR(__xludf.DUMMYFUNCTION("""COMPUTED_VALUE"""),"BLUE")</f>
        <v>BLUE</v>
      </c>
      <c r="G657" s="20" t="str">
        <f>IFERROR(__xludf.DUMMYFUNCTION("""COMPUTED_VALUE"""),"Uncle Sams Cider (11/12/2021) (Blue)")</f>
        <v>Uncle Sams Cider (11/12/2021) (Blue)</v>
      </c>
      <c r="H657" s="19"/>
    </row>
    <row r="658">
      <c r="A658" s="9"/>
      <c r="B658" s="15"/>
      <c r="C658" s="9">
        <f>IFERROR(__xludf.DUMMYFUNCTION("""COMPUTED_VALUE"""),44598.7074830555)</f>
        <v>44598.70748</v>
      </c>
      <c r="D658" s="15">
        <f>IFERROR(__xludf.DUMMYFUNCTION("""COMPUTED_VALUE"""),0.999)</f>
        <v>0.999</v>
      </c>
      <c r="E658" s="16">
        <f>IFERROR(__xludf.DUMMYFUNCTION("""COMPUTED_VALUE"""),63.0)</f>
        <v>63</v>
      </c>
      <c r="F658" s="19" t="str">
        <f>IFERROR(__xludf.DUMMYFUNCTION("""COMPUTED_VALUE"""),"BLUE")</f>
        <v>BLUE</v>
      </c>
      <c r="G658" s="20" t="str">
        <f>IFERROR(__xludf.DUMMYFUNCTION("""COMPUTED_VALUE"""),"Uncle Sams Cider (11/12/2021) (Blue)")</f>
        <v>Uncle Sams Cider (11/12/2021) (Blue)</v>
      </c>
      <c r="H658" s="19"/>
    </row>
    <row r="659">
      <c r="A659" s="9"/>
      <c r="B659" s="15"/>
      <c r="C659" s="9">
        <f>IFERROR(__xludf.DUMMYFUNCTION("""COMPUTED_VALUE"""),44598.6970631249)</f>
        <v>44598.69706</v>
      </c>
      <c r="D659" s="15">
        <f>IFERROR(__xludf.DUMMYFUNCTION("""COMPUTED_VALUE"""),0.999)</f>
        <v>0.999</v>
      </c>
      <c r="E659" s="16">
        <f>IFERROR(__xludf.DUMMYFUNCTION("""COMPUTED_VALUE"""),63.0)</f>
        <v>63</v>
      </c>
      <c r="F659" s="19" t="str">
        <f>IFERROR(__xludf.DUMMYFUNCTION("""COMPUTED_VALUE"""),"BLUE")</f>
        <v>BLUE</v>
      </c>
      <c r="G659" s="20" t="str">
        <f>IFERROR(__xludf.DUMMYFUNCTION("""COMPUTED_VALUE"""),"Uncle Sams Cider (11/12/2021) (Blue)")</f>
        <v>Uncle Sams Cider (11/12/2021) (Blue)</v>
      </c>
      <c r="H659" s="19"/>
    </row>
    <row r="660">
      <c r="A660" s="9"/>
      <c r="B660" s="15"/>
      <c r="C660" s="9">
        <f>IFERROR(__xludf.DUMMYFUNCTION("""COMPUTED_VALUE"""),44598.6866425694)</f>
        <v>44598.68664</v>
      </c>
      <c r="D660" s="15">
        <f>IFERROR(__xludf.DUMMYFUNCTION("""COMPUTED_VALUE"""),0.999)</f>
        <v>0.999</v>
      </c>
      <c r="E660" s="16">
        <f>IFERROR(__xludf.DUMMYFUNCTION("""COMPUTED_VALUE"""),63.0)</f>
        <v>63</v>
      </c>
      <c r="F660" s="19" t="str">
        <f>IFERROR(__xludf.DUMMYFUNCTION("""COMPUTED_VALUE"""),"BLUE")</f>
        <v>BLUE</v>
      </c>
      <c r="G660" s="20" t="str">
        <f>IFERROR(__xludf.DUMMYFUNCTION("""COMPUTED_VALUE"""),"Uncle Sams Cider (11/12/2021) (Blue)")</f>
        <v>Uncle Sams Cider (11/12/2021) (Blue)</v>
      </c>
      <c r="H660" s="19"/>
    </row>
    <row r="661">
      <c r="A661" s="9"/>
      <c r="B661" s="15"/>
      <c r="C661" s="9">
        <f>IFERROR(__xludf.DUMMYFUNCTION("""COMPUTED_VALUE"""),44598.6762090393)</f>
        <v>44598.67621</v>
      </c>
      <c r="D661" s="15">
        <f>IFERROR(__xludf.DUMMYFUNCTION("""COMPUTED_VALUE"""),1.0)</f>
        <v>1</v>
      </c>
      <c r="E661" s="16">
        <f>IFERROR(__xludf.DUMMYFUNCTION("""COMPUTED_VALUE"""),63.0)</f>
        <v>63</v>
      </c>
      <c r="F661" s="19" t="str">
        <f>IFERROR(__xludf.DUMMYFUNCTION("""COMPUTED_VALUE"""),"BLUE")</f>
        <v>BLUE</v>
      </c>
      <c r="G661" s="20" t="str">
        <f>IFERROR(__xludf.DUMMYFUNCTION("""COMPUTED_VALUE"""),"Uncle Sams Cider (11/12/2021) (Blue)")</f>
        <v>Uncle Sams Cider (11/12/2021) (Blue)</v>
      </c>
      <c r="H661" s="19"/>
    </row>
    <row r="662">
      <c r="A662" s="9"/>
      <c r="B662" s="15"/>
      <c r="C662" s="9">
        <f>IFERROR(__xludf.DUMMYFUNCTION("""COMPUTED_VALUE"""),44598.66578875)</f>
        <v>44598.66579</v>
      </c>
      <c r="D662" s="15">
        <f>IFERROR(__xludf.DUMMYFUNCTION("""COMPUTED_VALUE"""),1.0)</f>
        <v>1</v>
      </c>
      <c r="E662" s="16">
        <f>IFERROR(__xludf.DUMMYFUNCTION("""COMPUTED_VALUE"""),63.0)</f>
        <v>63</v>
      </c>
      <c r="F662" s="19" t="str">
        <f>IFERROR(__xludf.DUMMYFUNCTION("""COMPUTED_VALUE"""),"BLUE")</f>
        <v>BLUE</v>
      </c>
      <c r="G662" s="20" t="str">
        <f>IFERROR(__xludf.DUMMYFUNCTION("""COMPUTED_VALUE"""),"Uncle Sams Cider (11/12/2021) (Blue)")</f>
        <v>Uncle Sams Cider (11/12/2021) (Blue)</v>
      </c>
      <c r="H662" s="19"/>
    </row>
    <row r="663">
      <c r="A663" s="9"/>
      <c r="B663" s="15"/>
      <c r="C663" s="9">
        <f>IFERROR(__xludf.DUMMYFUNCTION("""COMPUTED_VALUE"""),44598.6553572685)</f>
        <v>44598.65536</v>
      </c>
      <c r="D663" s="15">
        <f>IFERROR(__xludf.DUMMYFUNCTION("""COMPUTED_VALUE"""),1.0)</f>
        <v>1</v>
      </c>
      <c r="E663" s="16">
        <f>IFERROR(__xludf.DUMMYFUNCTION("""COMPUTED_VALUE"""),63.0)</f>
        <v>63</v>
      </c>
      <c r="F663" s="19" t="str">
        <f>IFERROR(__xludf.DUMMYFUNCTION("""COMPUTED_VALUE"""),"BLUE")</f>
        <v>BLUE</v>
      </c>
      <c r="G663" s="20" t="str">
        <f>IFERROR(__xludf.DUMMYFUNCTION("""COMPUTED_VALUE"""),"Uncle Sams Cider (11/12/2021) (Blue)")</f>
        <v>Uncle Sams Cider (11/12/2021) (Blue)</v>
      </c>
      <c r="H663" s="19"/>
    </row>
    <row r="664">
      <c r="A664" s="9"/>
      <c r="B664" s="15"/>
      <c r="C664" s="9">
        <f>IFERROR(__xludf.DUMMYFUNCTION("""COMPUTED_VALUE"""),44598.6449359259)</f>
        <v>44598.64494</v>
      </c>
      <c r="D664" s="15">
        <f>IFERROR(__xludf.DUMMYFUNCTION("""COMPUTED_VALUE"""),1.0)</f>
        <v>1</v>
      </c>
      <c r="E664" s="16">
        <f>IFERROR(__xludf.DUMMYFUNCTION("""COMPUTED_VALUE"""),63.0)</f>
        <v>63</v>
      </c>
      <c r="F664" s="19" t="str">
        <f>IFERROR(__xludf.DUMMYFUNCTION("""COMPUTED_VALUE"""),"BLUE")</f>
        <v>BLUE</v>
      </c>
      <c r="G664" s="20" t="str">
        <f>IFERROR(__xludf.DUMMYFUNCTION("""COMPUTED_VALUE"""),"Uncle Sams Cider (11/12/2021) (Blue)")</f>
        <v>Uncle Sams Cider (11/12/2021) (Blue)</v>
      </c>
      <c r="H664" s="19"/>
    </row>
    <row r="665">
      <c r="A665" s="9"/>
      <c r="B665" s="15"/>
      <c r="C665" s="9">
        <f>IFERROR(__xludf.DUMMYFUNCTION("""COMPUTED_VALUE"""),44598.6345016319)</f>
        <v>44598.6345</v>
      </c>
      <c r="D665" s="15">
        <f>IFERROR(__xludf.DUMMYFUNCTION("""COMPUTED_VALUE"""),0.999)</f>
        <v>0.999</v>
      </c>
      <c r="E665" s="16">
        <f>IFERROR(__xludf.DUMMYFUNCTION("""COMPUTED_VALUE"""),63.0)</f>
        <v>63</v>
      </c>
      <c r="F665" s="19" t="str">
        <f>IFERROR(__xludf.DUMMYFUNCTION("""COMPUTED_VALUE"""),"BLUE")</f>
        <v>BLUE</v>
      </c>
      <c r="G665" s="20" t="str">
        <f>IFERROR(__xludf.DUMMYFUNCTION("""COMPUTED_VALUE"""),"Uncle Sams Cider (11/12/2021) (Blue)")</f>
        <v>Uncle Sams Cider (11/12/2021) (Blue)</v>
      </c>
      <c r="H665" s="19"/>
    </row>
    <row r="666">
      <c r="A666" s="9"/>
      <c r="B666" s="15"/>
      <c r="C666" s="9">
        <f>IFERROR(__xludf.DUMMYFUNCTION("""COMPUTED_VALUE"""),44598.6240789004)</f>
        <v>44598.62408</v>
      </c>
      <c r="D666" s="15">
        <f>IFERROR(__xludf.DUMMYFUNCTION("""COMPUTED_VALUE"""),1.0)</f>
        <v>1</v>
      </c>
      <c r="E666" s="16">
        <f>IFERROR(__xludf.DUMMYFUNCTION("""COMPUTED_VALUE"""),63.0)</f>
        <v>63</v>
      </c>
      <c r="F666" s="19" t="str">
        <f>IFERROR(__xludf.DUMMYFUNCTION("""COMPUTED_VALUE"""),"BLUE")</f>
        <v>BLUE</v>
      </c>
      <c r="G666" s="20" t="str">
        <f>IFERROR(__xludf.DUMMYFUNCTION("""COMPUTED_VALUE"""),"Uncle Sams Cider (11/12/2021) (Blue)")</f>
        <v>Uncle Sams Cider (11/12/2021) (Blue)</v>
      </c>
      <c r="H666" s="19"/>
    </row>
    <row r="667">
      <c r="A667" s="9"/>
      <c r="B667" s="15"/>
      <c r="C667" s="9">
        <f>IFERROR(__xludf.DUMMYFUNCTION("""COMPUTED_VALUE"""),44598.6136555208)</f>
        <v>44598.61366</v>
      </c>
      <c r="D667" s="15">
        <f>IFERROR(__xludf.DUMMYFUNCTION("""COMPUTED_VALUE"""),1.0)</f>
        <v>1</v>
      </c>
      <c r="E667" s="16">
        <f>IFERROR(__xludf.DUMMYFUNCTION("""COMPUTED_VALUE"""),63.0)</f>
        <v>63</v>
      </c>
      <c r="F667" s="19" t="str">
        <f>IFERROR(__xludf.DUMMYFUNCTION("""COMPUTED_VALUE"""),"BLUE")</f>
        <v>BLUE</v>
      </c>
      <c r="G667" s="20" t="str">
        <f>IFERROR(__xludf.DUMMYFUNCTION("""COMPUTED_VALUE"""),"Uncle Sams Cider (11/12/2021) (Blue)")</f>
        <v>Uncle Sams Cider (11/12/2021) (Blue)</v>
      </c>
      <c r="H667" s="19"/>
    </row>
    <row r="668">
      <c r="A668" s="9"/>
      <c r="B668" s="15"/>
      <c r="C668" s="9">
        <f>IFERROR(__xludf.DUMMYFUNCTION("""COMPUTED_VALUE"""),44598.6032335763)</f>
        <v>44598.60323</v>
      </c>
      <c r="D668" s="15">
        <f>IFERROR(__xludf.DUMMYFUNCTION("""COMPUTED_VALUE"""),1.0)</f>
        <v>1</v>
      </c>
      <c r="E668" s="16">
        <f>IFERROR(__xludf.DUMMYFUNCTION("""COMPUTED_VALUE"""),63.0)</f>
        <v>63</v>
      </c>
      <c r="F668" s="19" t="str">
        <f>IFERROR(__xludf.DUMMYFUNCTION("""COMPUTED_VALUE"""),"BLUE")</f>
        <v>BLUE</v>
      </c>
      <c r="G668" s="20" t="str">
        <f>IFERROR(__xludf.DUMMYFUNCTION("""COMPUTED_VALUE"""),"Uncle Sams Cider (11/12/2021) (Blue)")</f>
        <v>Uncle Sams Cider (11/12/2021) (Blue)</v>
      </c>
      <c r="H668" s="19"/>
    </row>
    <row r="669">
      <c r="A669" s="9"/>
      <c r="B669" s="15"/>
      <c r="C669" s="9">
        <f>IFERROR(__xludf.DUMMYFUNCTION("""COMPUTED_VALUE"""),44598.5928009143)</f>
        <v>44598.5928</v>
      </c>
      <c r="D669" s="15">
        <f>IFERROR(__xludf.DUMMYFUNCTION("""COMPUTED_VALUE"""),1.0)</f>
        <v>1</v>
      </c>
      <c r="E669" s="16">
        <f>IFERROR(__xludf.DUMMYFUNCTION("""COMPUTED_VALUE"""),63.0)</f>
        <v>63</v>
      </c>
      <c r="F669" s="19" t="str">
        <f>IFERROR(__xludf.DUMMYFUNCTION("""COMPUTED_VALUE"""),"BLUE")</f>
        <v>BLUE</v>
      </c>
      <c r="G669" s="20" t="str">
        <f>IFERROR(__xludf.DUMMYFUNCTION("""COMPUTED_VALUE"""),"Uncle Sams Cider (11/12/2021) (Blue)")</f>
        <v>Uncle Sams Cider (11/12/2021) (Blue)</v>
      </c>
      <c r="H669" s="19"/>
    </row>
    <row r="670">
      <c r="A670" s="9"/>
      <c r="B670" s="15"/>
      <c r="C670" s="9">
        <f>IFERROR(__xludf.DUMMYFUNCTION("""COMPUTED_VALUE"""),44598.5823790856)</f>
        <v>44598.58238</v>
      </c>
      <c r="D670" s="15">
        <f>IFERROR(__xludf.DUMMYFUNCTION("""COMPUTED_VALUE"""),0.999)</f>
        <v>0.999</v>
      </c>
      <c r="E670" s="16">
        <f>IFERROR(__xludf.DUMMYFUNCTION("""COMPUTED_VALUE"""),63.0)</f>
        <v>63</v>
      </c>
      <c r="F670" s="19" t="str">
        <f>IFERROR(__xludf.DUMMYFUNCTION("""COMPUTED_VALUE"""),"BLUE")</f>
        <v>BLUE</v>
      </c>
      <c r="G670" s="20" t="str">
        <f>IFERROR(__xludf.DUMMYFUNCTION("""COMPUTED_VALUE"""),"Uncle Sams Cider (11/12/2021) (Blue)")</f>
        <v>Uncle Sams Cider (11/12/2021) (Blue)</v>
      </c>
      <c r="H670" s="19"/>
    </row>
    <row r="671">
      <c r="A671" s="9"/>
      <c r="B671" s="15"/>
      <c r="C671" s="9">
        <f>IFERROR(__xludf.DUMMYFUNCTION("""COMPUTED_VALUE"""),44598.5719340393)</f>
        <v>44598.57193</v>
      </c>
      <c r="D671" s="15">
        <f>IFERROR(__xludf.DUMMYFUNCTION("""COMPUTED_VALUE"""),1.0)</f>
        <v>1</v>
      </c>
      <c r="E671" s="16">
        <f>IFERROR(__xludf.DUMMYFUNCTION("""COMPUTED_VALUE"""),63.0)</f>
        <v>63</v>
      </c>
      <c r="F671" s="19" t="str">
        <f>IFERROR(__xludf.DUMMYFUNCTION("""COMPUTED_VALUE"""),"BLUE")</f>
        <v>BLUE</v>
      </c>
      <c r="G671" s="20" t="str">
        <f>IFERROR(__xludf.DUMMYFUNCTION("""COMPUTED_VALUE"""),"Uncle Sams Cider (11/12/2021) (Blue)")</f>
        <v>Uncle Sams Cider (11/12/2021) (Blue)</v>
      </c>
      <c r="H671" s="19"/>
    </row>
    <row r="672">
      <c r="A672" s="9"/>
      <c r="B672" s="15"/>
      <c r="C672" s="9">
        <f>IFERROR(__xludf.DUMMYFUNCTION("""COMPUTED_VALUE"""),44598.5615143634)</f>
        <v>44598.56151</v>
      </c>
      <c r="D672" s="15">
        <f>IFERROR(__xludf.DUMMYFUNCTION("""COMPUTED_VALUE"""),1.0)</f>
        <v>1</v>
      </c>
      <c r="E672" s="16">
        <f>IFERROR(__xludf.DUMMYFUNCTION("""COMPUTED_VALUE"""),63.0)</f>
        <v>63</v>
      </c>
      <c r="F672" s="19" t="str">
        <f>IFERROR(__xludf.DUMMYFUNCTION("""COMPUTED_VALUE"""),"BLUE")</f>
        <v>BLUE</v>
      </c>
      <c r="G672" s="20" t="str">
        <f>IFERROR(__xludf.DUMMYFUNCTION("""COMPUTED_VALUE"""),"Uncle Sams Cider (11/12/2021) (Blue)")</f>
        <v>Uncle Sams Cider (11/12/2021) (Blue)</v>
      </c>
      <c r="H672" s="19"/>
    </row>
    <row r="673">
      <c r="A673" s="9"/>
      <c r="B673" s="15"/>
      <c r="C673" s="9">
        <f>IFERROR(__xludf.DUMMYFUNCTION("""COMPUTED_VALUE"""),44598.5510957407)</f>
        <v>44598.5511</v>
      </c>
      <c r="D673" s="15">
        <f>IFERROR(__xludf.DUMMYFUNCTION("""COMPUTED_VALUE"""),0.999)</f>
        <v>0.999</v>
      </c>
      <c r="E673" s="16">
        <f>IFERROR(__xludf.DUMMYFUNCTION("""COMPUTED_VALUE"""),63.0)</f>
        <v>63</v>
      </c>
      <c r="F673" s="19" t="str">
        <f>IFERROR(__xludf.DUMMYFUNCTION("""COMPUTED_VALUE"""),"BLUE")</f>
        <v>BLUE</v>
      </c>
      <c r="G673" s="20" t="str">
        <f>IFERROR(__xludf.DUMMYFUNCTION("""COMPUTED_VALUE"""),"Uncle Sams Cider (11/12/2021) (Blue)")</f>
        <v>Uncle Sams Cider (11/12/2021) (Blue)</v>
      </c>
      <c r="H673" s="19"/>
    </row>
    <row r="674">
      <c r="A674" s="9"/>
      <c r="B674" s="15"/>
      <c r="C674" s="9">
        <f>IFERROR(__xludf.DUMMYFUNCTION("""COMPUTED_VALUE"""),44598.5406642824)</f>
        <v>44598.54066</v>
      </c>
      <c r="D674" s="15">
        <f>IFERROR(__xludf.DUMMYFUNCTION("""COMPUTED_VALUE"""),1.0)</f>
        <v>1</v>
      </c>
      <c r="E674" s="16">
        <f>IFERROR(__xludf.DUMMYFUNCTION("""COMPUTED_VALUE"""),63.0)</f>
        <v>63</v>
      </c>
      <c r="F674" s="19" t="str">
        <f>IFERROR(__xludf.DUMMYFUNCTION("""COMPUTED_VALUE"""),"BLUE")</f>
        <v>BLUE</v>
      </c>
      <c r="G674" s="20" t="str">
        <f>IFERROR(__xludf.DUMMYFUNCTION("""COMPUTED_VALUE"""),"Uncle Sams Cider (11/12/2021) (Blue)")</f>
        <v>Uncle Sams Cider (11/12/2021) (Blue)</v>
      </c>
      <c r="H674" s="19"/>
    </row>
    <row r="675">
      <c r="A675" s="9"/>
      <c r="B675" s="15"/>
      <c r="C675" s="9">
        <f>IFERROR(__xludf.DUMMYFUNCTION("""COMPUTED_VALUE"""),44598.5302425231)</f>
        <v>44598.53024</v>
      </c>
      <c r="D675" s="15">
        <f>IFERROR(__xludf.DUMMYFUNCTION("""COMPUTED_VALUE"""),1.0)</f>
        <v>1</v>
      </c>
      <c r="E675" s="16">
        <f>IFERROR(__xludf.DUMMYFUNCTION("""COMPUTED_VALUE"""),63.0)</f>
        <v>63</v>
      </c>
      <c r="F675" s="19" t="str">
        <f>IFERROR(__xludf.DUMMYFUNCTION("""COMPUTED_VALUE"""),"BLUE")</f>
        <v>BLUE</v>
      </c>
      <c r="G675" s="20" t="str">
        <f>IFERROR(__xludf.DUMMYFUNCTION("""COMPUTED_VALUE"""),"Uncle Sams Cider (11/12/2021) (Blue)")</f>
        <v>Uncle Sams Cider (11/12/2021) (Blue)</v>
      </c>
      <c r="H675" s="19"/>
    </row>
    <row r="676">
      <c r="A676" s="9"/>
      <c r="B676" s="15"/>
      <c r="C676" s="9">
        <f>IFERROR(__xludf.DUMMYFUNCTION("""COMPUTED_VALUE"""),44598.5198218402)</f>
        <v>44598.51982</v>
      </c>
      <c r="D676" s="15">
        <f>IFERROR(__xludf.DUMMYFUNCTION("""COMPUTED_VALUE"""),0.999)</f>
        <v>0.999</v>
      </c>
      <c r="E676" s="16">
        <f>IFERROR(__xludf.DUMMYFUNCTION("""COMPUTED_VALUE"""),63.0)</f>
        <v>63</v>
      </c>
      <c r="F676" s="19" t="str">
        <f>IFERROR(__xludf.DUMMYFUNCTION("""COMPUTED_VALUE"""),"BLUE")</f>
        <v>BLUE</v>
      </c>
      <c r="G676" s="20" t="str">
        <f>IFERROR(__xludf.DUMMYFUNCTION("""COMPUTED_VALUE"""),"Uncle Sams Cider (11/12/2021) (Blue)")</f>
        <v>Uncle Sams Cider (11/12/2021) (Blue)</v>
      </c>
      <c r="H676" s="19"/>
    </row>
    <row r="677">
      <c r="A677" s="9"/>
      <c r="B677" s="15"/>
      <c r="C677" s="9">
        <f>IFERROR(__xludf.DUMMYFUNCTION("""COMPUTED_VALUE"""),44598.509388287)</f>
        <v>44598.50939</v>
      </c>
      <c r="D677" s="15">
        <f>IFERROR(__xludf.DUMMYFUNCTION("""COMPUTED_VALUE"""),1.0)</f>
        <v>1</v>
      </c>
      <c r="E677" s="16">
        <f>IFERROR(__xludf.DUMMYFUNCTION("""COMPUTED_VALUE"""),63.0)</f>
        <v>63</v>
      </c>
      <c r="F677" s="19" t="str">
        <f>IFERROR(__xludf.DUMMYFUNCTION("""COMPUTED_VALUE"""),"BLUE")</f>
        <v>BLUE</v>
      </c>
      <c r="G677" s="20" t="str">
        <f>IFERROR(__xludf.DUMMYFUNCTION("""COMPUTED_VALUE"""),"Uncle Sams Cider (11/12/2021) (Blue)")</f>
        <v>Uncle Sams Cider (11/12/2021) (Blue)</v>
      </c>
      <c r="H677" s="19"/>
    </row>
    <row r="678">
      <c r="A678" s="9"/>
      <c r="B678" s="15"/>
      <c r="C678" s="9">
        <f>IFERROR(__xludf.DUMMYFUNCTION("""COMPUTED_VALUE"""),44598.4989560069)</f>
        <v>44598.49896</v>
      </c>
      <c r="D678" s="15">
        <f>IFERROR(__xludf.DUMMYFUNCTION("""COMPUTED_VALUE"""),0.999)</f>
        <v>0.999</v>
      </c>
      <c r="E678" s="16">
        <f>IFERROR(__xludf.DUMMYFUNCTION("""COMPUTED_VALUE"""),63.0)</f>
        <v>63</v>
      </c>
      <c r="F678" s="19" t="str">
        <f>IFERROR(__xludf.DUMMYFUNCTION("""COMPUTED_VALUE"""),"BLUE")</f>
        <v>BLUE</v>
      </c>
      <c r="G678" s="20" t="str">
        <f>IFERROR(__xludf.DUMMYFUNCTION("""COMPUTED_VALUE"""),"Uncle Sams Cider (11/12/2021) (Blue)")</f>
        <v>Uncle Sams Cider (11/12/2021) (Blue)</v>
      </c>
      <c r="H678" s="19"/>
    </row>
    <row r="679">
      <c r="A679" s="9"/>
      <c r="B679" s="15"/>
      <c r="C679" s="9">
        <f>IFERROR(__xludf.DUMMYFUNCTION("""COMPUTED_VALUE"""),44598.4885099652)</f>
        <v>44598.48851</v>
      </c>
      <c r="D679" s="15">
        <f>IFERROR(__xludf.DUMMYFUNCTION("""COMPUTED_VALUE"""),0.999)</f>
        <v>0.999</v>
      </c>
      <c r="E679" s="16">
        <f>IFERROR(__xludf.DUMMYFUNCTION("""COMPUTED_VALUE"""),63.0)</f>
        <v>63</v>
      </c>
      <c r="F679" s="19" t="str">
        <f>IFERROR(__xludf.DUMMYFUNCTION("""COMPUTED_VALUE"""),"BLUE")</f>
        <v>BLUE</v>
      </c>
      <c r="G679" s="20" t="str">
        <f>IFERROR(__xludf.DUMMYFUNCTION("""COMPUTED_VALUE"""),"Uncle Sams Cider (11/12/2021) (Blue)")</f>
        <v>Uncle Sams Cider (11/12/2021) (Blue)</v>
      </c>
      <c r="H679" s="19"/>
    </row>
    <row r="680">
      <c r="A680" s="9"/>
      <c r="B680" s="15"/>
      <c r="C680" s="9">
        <f>IFERROR(__xludf.DUMMYFUNCTION("""COMPUTED_VALUE"""),44598.4780895601)</f>
        <v>44598.47809</v>
      </c>
      <c r="D680" s="15">
        <f>IFERROR(__xludf.DUMMYFUNCTION("""COMPUTED_VALUE"""),0.999)</f>
        <v>0.999</v>
      </c>
      <c r="E680" s="16">
        <f>IFERROR(__xludf.DUMMYFUNCTION("""COMPUTED_VALUE"""),63.0)</f>
        <v>63</v>
      </c>
      <c r="F680" s="19" t="str">
        <f>IFERROR(__xludf.DUMMYFUNCTION("""COMPUTED_VALUE"""),"BLUE")</f>
        <v>BLUE</v>
      </c>
      <c r="G680" s="20" t="str">
        <f>IFERROR(__xludf.DUMMYFUNCTION("""COMPUTED_VALUE"""),"Uncle Sams Cider (11/12/2021) (Blue)")</f>
        <v>Uncle Sams Cider (11/12/2021) (Blue)</v>
      </c>
      <c r="H680" s="19"/>
    </row>
    <row r="681">
      <c r="A681" s="9"/>
      <c r="B681" s="15"/>
      <c r="C681" s="9">
        <f>IFERROR(__xludf.DUMMYFUNCTION("""COMPUTED_VALUE"""),44598.4676696759)</f>
        <v>44598.46767</v>
      </c>
      <c r="D681" s="15">
        <f>IFERROR(__xludf.DUMMYFUNCTION("""COMPUTED_VALUE"""),0.999)</f>
        <v>0.999</v>
      </c>
      <c r="E681" s="16">
        <f>IFERROR(__xludf.DUMMYFUNCTION("""COMPUTED_VALUE"""),63.0)</f>
        <v>63</v>
      </c>
      <c r="F681" s="19" t="str">
        <f>IFERROR(__xludf.DUMMYFUNCTION("""COMPUTED_VALUE"""),"BLUE")</f>
        <v>BLUE</v>
      </c>
      <c r="G681" s="20" t="str">
        <f>IFERROR(__xludf.DUMMYFUNCTION("""COMPUTED_VALUE"""),"Uncle Sams Cider (11/12/2021) (Blue)")</f>
        <v>Uncle Sams Cider (11/12/2021) (Blue)</v>
      </c>
      <c r="H681" s="19"/>
    </row>
    <row r="682">
      <c r="A682" s="9"/>
      <c r="B682" s="15"/>
      <c r="C682" s="9">
        <f>IFERROR(__xludf.DUMMYFUNCTION("""COMPUTED_VALUE"""),44598.457248368)</f>
        <v>44598.45725</v>
      </c>
      <c r="D682" s="15">
        <f>IFERROR(__xludf.DUMMYFUNCTION("""COMPUTED_VALUE"""),0.999)</f>
        <v>0.999</v>
      </c>
      <c r="E682" s="16">
        <f>IFERROR(__xludf.DUMMYFUNCTION("""COMPUTED_VALUE"""),63.0)</f>
        <v>63</v>
      </c>
      <c r="F682" s="19" t="str">
        <f>IFERROR(__xludf.DUMMYFUNCTION("""COMPUTED_VALUE"""),"BLUE")</f>
        <v>BLUE</v>
      </c>
      <c r="G682" s="20" t="str">
        <f>IFERROR(__xludf.DUMMYFUNCTION("""COMPUTED_VALUE"""),"Uncle Sams Cider (11/12/2021) (Blue)")</f>
        <v>Uncle Sams Cider (11/12/2021) (Blue)</v>
      </c>
      <c r="H682" s="19"/>
    </row>
    <row r="683">
      <c r="A683" s="9"/>
      <c r="B683" s="15"/>
      <c r="C683" s="9">
        <f>IFERROR(__xludf.DUMMYFUNCTION("""COMPUTED_VALUE"""),44598.4468262615)</f>
        <v>44598.44683</v>
      </c>
      <c r="D683" s="15">
        <f>IFERROR(__xludf.DUMMYFUNCTION("""COMPUTED_VALUE"""),0.999)</f>
        <v>0.999</v>
      </c>
      <c r="E683" s="16">
        <f>IFERROR(__xludf.DUMMYFUNCTION("""COMPUTED_VALUE"""),63.0)</f>
        <v>63</v>
      </c>
      <c r="F683" s="19" t="str">
        <f>IFERROR(__xludf.DUMMYFUNCTION("""COMPUTED_VALUE"""),"BLUE")</f>
        <v>BLUE</v>
      </c>
      <c r="G683" s="20" t="str">
        <f>IFERROR(__xludf.DUMMYFUNCTION("""COMPUTED_VALUE"""),"Uncle Sams Cider (11/12/2021) (Blue)")</f>
        <v>Uncle Sams Cider (11/12/2021) (Blue)</v>
      </c>
      <c r="H683" s="19"/>
    </row>
    <row r="684">
      <c r="A684" s="9"/>
      <c r="B684" s="15"/>
      <c r="C684" s="9">
        <f>IFERROR(__xludf.DUMMYFUNCTION("""COMPUTED_VALUE"""),44598.4364036689)</f>
        <v>44598.4364</v>
      </c>
      <c r="D684" s="15">
        <f>IFERROR(__xludf.DUMMYFUNCTION("""COMPUTED_VALUE"""),1.0)</f>
        <v>1</v>
      </c>
      <c r="E684" s="16">
        <f>IFERROR(__xludf.DUMMYFUNCTION("""COMPUTED_VALUE"""),63.0)</f>
        <v>63</v>
      </c>
      <c r="F684" s="19" t="str">
        <f>IFERROR(__xludf.DUMMYFUNCTION("""COMPUTED_VALUE"""),"BLUE")</f>
        <v>BLUE</v>
      </c>
      <c r="G684" s="20" t="str">
        <f>IFERROR(__xludf.DUMMYFUNCTION("""COMPUTED_VALUE"""),"Uncle Sams Cider (11/12/2021) (Blue)")</f>
        <v>Uncle Sams Cider (11/12/2021) (Blue)</v>
      </c>
      <c r="H684" s="19"/>
    </row>
    <row r="685">
      <c r="A685" s="9"/>
      <c r="B685" s="15"/>
      <c r="C685" s="9">
        <f>IFERROR(__xludf.DUMMYFUNCTION("""COMPUTED_VALUE"""),44598.4259821527)</f>
        <v>44598.42598</v>
      </c>
      <c r="D685" s="15">
        <f>IFERROR(__xludf.DUMMYFUNCTION("""COMPUTED_VALUE"""),0.999)</f>
        <v>0.999</v>
      </c>
      <c r="E685" s="16">
        <f>IFERROR(__xludf.DUMMYFUNCTION("""COMPUTED_VALUE"""),63.0)</f>
        <v>63</v>
      </c>
      <c r="F685" s="19" t="str">
        <f>IFERROR(__xludf.DUMMYFUNCTION("""COMPUTED_VALUE"""),"BLUE")</f>
        <v>BLUE</v>
      </c>
      <c r="G685" s="20" t="str">
        <f>IFERROR(__xludf.DUMMYFUNCTION("""COMPUTED_VALUE"""),"Uncle Sams Cider (11/12/2021) (Blue)")</f>
        <v>Uncle Sams Cider (11/12/2021) (Blue)</v>
      </c>
      <c r="H685" s="19"/>
    </row>
    <row r="686">
      <c r="A686" s="9"/>
      <c r="B686" s="15"/>
      <c r="C686" s="9">
        <f>IFERROR(__xludf.DUMMYFUNCTION("""COMPUTED_VALUE"""),44598.4155366898)</f>
        <v>44598.41554</v>
      </c>
      <c r="D686" s="15">
        <f>IFERROR(__xludf.DUMMYFUNCTION("""COMPUTED_VALUE"""),1.0)</f>
        <v>1</v>
      </c>
      <c r="E686" s="16">
        <f>IFERROR(__xludf.DUMMYFUNCTION("""COMPUTED_VALUE"""),63.0)</f>
        <v>63</v>
      </c>
      <c r="F686" s="19" t="str">
        <f>IFERROR(__xludf.DUMMYFUNCTION("""COMPUTED_VALUE"""),"BLUE")</f>
        <v>BLUE</v>
      </c>
      <c r="G686" s="20" t="str">
        <f>IFERROR(__xludf.DUMMYFUNCTION("""COMPUTED_VALUE"""),"Uncle Sams Cider (11/12/2021) (Blue)")</f>
        <v>Uncle Sams Cider (11/12/2021) (Blue)</v>
      </c>
      <c r="H686" s="19"/>
    </row>
    <row r="687">
      <c r="A687" s="9"/>
      <c r="B687" s="15"/>
      <c r="C687" s="9">
        <f>IFERROR(__xludf.DUMMYFUNCTION("""COMPUTED_VALUE"""),44598.4051046875)</f>
        <v>44598.4051</v>
      </c>
      <c r="D687" s="15">
        <f>IFERROR(__xludf.DUMMYFUNCTION("""COMPUTED_VALUE"""),1.0)</f>
        <v>1</v>
      </c>
      <c r="E687" s="16">
        <f>IFERROR(__xludf.DUMMYFUNCTION("""COMPUTED_VALUE"""),64.0)</f>
        <v>64</v>
      </c>
      <c r="F687" s="19" t="str">
        <f>IFERROR(__xludf.DUMMYFUNCTION("""COMPUTED_VALUE"""),"BLUE")</f>
        <v>BLUE</v>
      </c>
      <c r="G687" s="20" t="str">
        <f>IFERROR(__xludf.DUMMYFUNCTION("""COMPUTED_VALUE"""),"Uncle Sams Cider (11/12/2021) (Blue)")</f>
        <v>Uncle Sams Cider (11/12/2021) (Blue)</v>
      </c>
      <c r="H687" s="19"/>
    </row>
    <row r="688">
      <c r="A688" s="9"/>
      <c r="B688" s="15"/>
      <c r="C688" s="9">
        <f>IFERROR(__xludf.DUMMYFUNCTION("""COMPUTED_VALUE"""),44598.394673831)</f>
        <v>44598.39467</v>
      </c>
      <c r="D688" s="15">
        <f>IFERROR(__xludf.DUMMYFUNCTION("""COMPUTED_VALUE"""),1.0)</f>
        <v>1</v>
      </c>
      <c r="E688" s="16">
        <f>IFERROR(__xludf.DUMMYFUNCTION("""COMPUTED_VALUE"""),63.0)</f>
        <v>63</v>
      </c>
      <c r="F688" s="19" t="str">
        <f>IFERROR(__xludf.DUMMYFUNCTION("""COMPUTED_VALUE"""),"BLUE")</f>
        <v>BLUE</v>
      </c>
      <c r="G688" s="20" t="str">
        <f>IFERROR(__xludf.DUMMYFUNCTION("""COMPUTED_VALUE"""),"Uncle Sams Cider (11/12/2021) (Blue)")</f>
        <v>Uncle Sams Cider (11/12/2021) (Blue)</v>
      </c>
      <c r="H688" s="19"/>
    </row>
    <row r="689">
      <c r="A689" s="9"/>
      <c r="B689" s="15"/>
      <c r="C689" s="9">
        <f>IFERROR(__xludf.DUMMYFUNCTION("""COMPUTED_VALUE"""),44598.384252118)</f>
        <v>44598.38425</v>
      </c>
      <c r="D689" s="15">
        <f>IFERROR(__xludf.DUMMYFUNCTION("""COMPUTED_VALUE"""),0.999)</f>
        <v>0.999</v>
      </c>
      <c r="E689" s="16">
        <f>IFERROR(__xludf.DUMMYFUNCTION("""COMPUTED_VALUE"""),64.0)</f>
        <v>64</v>
      </c>
      <c r="F689" s="19" t="str">
        <f>IFERROR(__xludf.DUMMYFUNCTION("""COMPUTED_VALUE"""),"BLUE")</f>
        <v>BLUE</v>
      </c>
      <c r="G689" s="20" t="str">
        <f>IFERROR(__xludf.DUMMYFUNCTION("""COMPUTED_VALUE"""),"Uncle Sams Cider (11/12/2021) (Blue)")</f>
        <v>Uncle Sams Cider (11/12/2021) (Blue)</v>
      </c>
      <c r="H689" s="19"/>
    </row>
    <row r="690">
      <c r="A690" s="9"/>
      <c r="B690" s="15"/>
      <c r="C690" s="9">
        <f>IFERROR(__xludf.DUMMYFUNCTION("""COMPUTED_VALUE"""),44598.373829375)</f>
        <v>44598.37383</v>
      </c>
      <c r="D690" s="15">
        <f>IFERROR(__xludf.DUMMYFUNCTION("""COMPUTED_VALUE"""),0.999)</f>
        <v>0.999</v>
      </c>
      <c r="E690" s="16">
        <f>IFERROR(__xludf.DUMMYFUNCTION("""COMPUTED_VALUE"""),64.0)</f>
        <v>64</v>
      </c>
      <c r="F690" s="19" t="str">
        <f>IFERROR(__xludf.DUMMYFUNCTION("""COMPUTED_VALUE"""),"BLUE")</f>
        <v>BLUE</v>
      </c>
      <c r="G690" s="20" t="str">
        <f>IFERROR(__xludf.DUMMYFUNCTION("""COMPUTED_VALUE"""),"Uncle Sams Cider (11/12/2021) (Blue)")</f>
        <v>Uncle Sams Cider (11/12/2021) (Blue)</v>
      </c>
      <c r="H690" s="19"/>
    </row>
    <row r="691">
      <c r="A691" s="9"/>
      <c r="B691" s="15"/>
      <c r="C691" s="9">
        <f>IFERROR(__xludf.DUMMYFUNCTION("""COMPUTED_VALUE"""),44598.3634073495)</f>
        <v>44598.36341</v>
      </c>
      <c r="D691" s="15">
        <f>IFERROR(__xludf.DUMMYFUNCTION("""COMPUTED_VALUE"""),0.999)</f>
        <v>0.999</v>
      </c>
      <c r="E691" s="16">
        <f>IFERROR(__xludf.DUMMYFUNCTION("""COMPUTED_VALUE"""),64.0)</f>
        <v>64</v>
      </c>
      <c r="F691" s="19" t="str">
        <f>IFERROR(__xludf.DUMMYFUNCTION("""COMPUTED_VALUE"""),"BLUE")</f>
        <v>BLUE</v>
      </c>
      <c r="G691" s="20" t="str">
        <f>IFERROR(__xludf.DUMMYFUNCTION("""COMPUTED_VALUE"""),"Uncle Sams Cider (11/12/2021) (Blue)")</f>
        <v>Uncle Sams Cider (11/12/2021) (Blue)</v>
      </c>
      <c r="H691" s="19"/>
    </row>
    <row r="692">
      <c r="A692" s="9"/>
      <c r="B692" s="15"/>
      <c r="C692" s="9">
        <f>IFERROR(__xludf.DUMMYFUNCTION("""COMPUTED_VALUE"""),44598.352986412)</f>
        <v>44598.35299</v>
      </c>
      <c r="D692" s="15">
        <f>IFERROR(__xludf.DUMMYFUNCTION("""COMPUTED_VALUE"""),1.0)</f>
        <v>1</v>
      </c>
      <c r="E692" s="16">
        <f>IFERROR(__xludf.DUMMYFUNCTION("""COMPUTED_VALUE"""),64.0)</f>
        <v>64</v>
      </c>
      <c r="F692" s="19" t="str">
        <f>IFERROR(__xludf.DUMMYFUNCTION("""COMPUTED_VALUE"""),"BLUE")</f>
        <v>BLUE</v>
      </c>
      <c r="G692" s="20" t="str">
        <f>IFERROR(__xludf.DUMMYFUNCTION("""COMPUTED_VALUE"""),"Uncle Sams Cider (11/12/2021) (Blue)")</f>
        <v>Uncle Sams Cider (11/12/2021) (Blue)</v>
      </c>
      <c r="H692" s="19"/>
    </row>
    <row r="693">
      <c r="A693" s="9"/>
      <c r="B693" s="15"/>
      <c r="C693" s="9">
        <f>IFERROR(__xludf.DUMMYFUNCTION("""COMPUTED_VALUE"""),44598.3425645023)</f>
        <v>44598.34256</v>
      </c>
      <c r="D693" s="15">
        <f>IFERROR(__xludf.DUMMYFUNCTION("""COMPUTED_VALUE"""),0.999)</f>
        <v>0.999</v>
      </c>
      <c r="E693" s="16">
        <f>IFERROR(__xludf.DUMMYFUNCTION("""COMPUTED_VALUE"""),64.0)</f>
        <v>64</v>
      </c>
      <c r="F693" s="19" t="str">
        <f>IFERROR(__xludf.DUMMYFUNCTION("""COMPUTED_VALUE"""),"BLUE")</f>
        <v>BLUE</v>
      </c>
      <c r="G693" s="20" t="str">
        <f>IFERROR(__xludf.DUMMYFUNCTION("""COMPUTED_VALUE"""),"Uncle Sams Cider (11/12/2021) (Blue)")</f>
        <v>Uncle Sams Cider (11/12/2021) (Blue)</v>
      </c>
      <c r="H693" s="19"/>
    </row>
    <row r="694">
      <c r="A694" s="9"/>
      <c r="B694" s="15"/>
      <c r="C694" s="9">
        <f>IFERROR(__xludf.DUMMYFUNCTION("""COMPUTED_VALUE"""),44598.3321431828)</f>
        <v>44598.33214</v>
      </c>
      <c r="D694" s="15">
        <f>IFERROR(__xludf.DUMMYFUNCTION("""COMPUTED_VALUE"""),1.0)</f>
        <v>1</v>
      </c>
      <c r="E694" s="16">
        <f>IFERROR(__xludf.DUMMYFUNCTION("""COMPUTED_VALUE"""),64.0)</f>
        <v>64</v>
      </c>
      <c r="F694" s="19" t="str">
        <f>IFERROR(__xludf.DUMMYFUNCTION("""COMPUTED_VALUE"""),"BLUE")</f>
        <v>BLUE</v>
      </c>
      <c r="G694" s="20" t="str">
        <f>IFERROR(__xludf.DUMMYFUNCTION("""COMPUTED_VALUE"""),"Uncle Sams Cider (11/12/2021) (Blue)")</f>
        <v>Uncle Sams Cider (11/12/2021) (Blue)</v>
      </c>
      <c r="H694" s="19"/>
    </row>
    <row r="695">
      <c r="A695" s="9"/>
      <c r="B695" s="15"/>
      <c r="C695" s="9">
        <f>IFERROR(__xludf.DUMMYFUNCTION("""COMPUTED_VALUE"""),44598.3217216782)</f>
        <v>44598.32172</v>
      </c>
      <c r="D695" s="15">
        <f>IFERROR(__xludf.DUMMYFUNCTION("""COMPUTED_VALUE"""),1.0)</f>
        <v>1</v>
      </c>
      <c r="E695" s="16">
        <f>IFERROR(__xludf.DUMMYFUNCTION("""COMPUTED_VALUE"""),64.0)</f>
        <v>64</v>
      </c>
      <c r="F695" s="19" t="str">
        <f>IFERROR(__xludf.DUMMYFUNCTION("""COMPUTED_VALUE"""),"BLUE")</f>
        <v>BLUE</v>
      </c>
      <c r="G695" s="20" t="str">
        <f>IFERROR(__xludf.DUMMYFUNCTION("""COMPUTED_VALUE"""),"Uncle Sams Cider (11/12/2021) (Blue)")</f>
        <v>Uncle Sams Cider (11/12/2021) (Blue)</v>
      </c>
      <c r="H695" s="19"/>
    </row>
    <row r="696">
      <c r="A696" s="9"/>
      <c r="B696" s="15"/>
      <c r="C696" s="9">
        <f>IFERROR(__xludf.DUMMYFUNCTION("""COMPUTED_VALUE"""),44598.3113021296)</f>
        <v>44598.3113</v>
      </c>
      <c r="D696" s="15">
        <f>IFERROR(__xludf.DUMMYFUNCTION("""COMPUTED_VALUE"""),0.999)</f>
        <v>0.999</v>
      </c>
      <c r="E696" s="16">
        <f>IFERROR(__xludf.DUMMYFUNCTION("""COMPUTED_VALUE"""),64.0)</f>
        <v>64</v>
      </c>
      <c r="F696" s="19" t="str">
        <f>IFERROR(__xludf.DUMMYFUNCTION("""COMPUTED_VALUE"""),"BLUE")</f>
        <v>BLUE</v>
      </c>
      <c r="G696" s="20" t="str">
        <f>IFERROR(__xludf.DUMMYFUNCTION("""COMPUTED_VALUE"""),"Uncle Sams Cider (11/12/2021) (Blue)")</f>
        <v>Uncle Sams Cider (11/12/2021) (Blue)</v>
      </c>
      <c r="H696" s="19"/>
    </row>
    <row r="697">
      <c r="A697" s="9"/>
      <c r="B697" s="15"/>
      <c r="C697" s="9">
        <f>IFERROR(__xludf.DUMMYFUNCTION("""COMPUTED_VALUE"""),44598.3008787963)</f>
        <v>44598.30088</v>
      </c>
      <c r="D697" s="15">
        <f>IFERROR(__xludf.DUMMYFUNCTION("""COMPUTED_VALUE"""),0.999)</f>
        <v>0.999</v>
      </c>
      <c r="E697" s="16">
        <f>IFERROR(__xludf.DUMMYFUNCTION("""COMPUTED_VALUE"""),64.0)</f>
        <v>64</v>
      </c>
      <c r="F697" s="19" t="str">
        <f>IFERROR(__xludf.DUMMYFUNCTION("""COMPUTED_VALUE"""),"BLUE")</f>
        <v>BLUE</v>
      </c>
      <c r="G697" s="20" t="str">
        <f>IFERROR(__xludf.DUMMYFUNCTION("""COMPUTED_VALUE"""),"Uncle Sams Cider (11/12/2021) (Blue)")</f>
        <v>Uncle Sams Cider (11/12/2021) (Blue)</v>
      </c>
      <c r="H697" s="19"/>
    </row>
    <row r="698">
      <c r="A698" s="9"/>
      <c r="B698" s="15"/>
      <c r="C698" s="9">
        <f>IFERROR(__xludf.DUMMYFUNCTION("""COMPUTED_VALUE"""),44598.2904576504)</f>
        <v>44598.29046</v>
      </c>
      <c r="D698" s="15">
        <f>IFERROR(__xludf.DUMMYFUNCTION("""COMPUTED_VALUE"""),0.999)</f>
        <v>0.999</v>
      </c>
      <c r="E698" s="16">
        <f>IFERROR(__xludf.DUMMYFUNCTION("""COMPUTED_VALUE"""),64.0)</f>
        <v>64</v>
      </c>
      <c r="F698" s="19" t="str">
        <f>IFERROR(__xludf.DUMMYFUNCTION("""COMPUTED_VALUE"""),"BLUE")</f>
        <v>BLUE</v>
      </c>
      <c r="G698" s="20" t="str">
        <f>IFERROR(__xludf.DUMMYFUNCTION("""COMPUTED_VALUE"""),"Uncle Sams Cider (11/12/2021) (Blue)")</f>
        <v>Uncle Sams Cider (11/12/2021) (Blue)</v>
      </c>
      <c r="H698" s="19"/>
    </row>
    <row r="699">
      <c r="A699" s="9"/>
      <c r="B699" s="15"/>
      <c r="C699" s="9">
        <f>IFERROR(__xludf.DUMMYFUNCTION("""COMPUTED_VALUE"""),44598.2800353125)</f>
        <v>44598.28004</v>
      </c>
      <c r="D699" s="15">
        <f>IFERROR(__xludf.DUMMYFUNCTION("""COMPUTED_VALUE"""),0.999)</f>
        <v>0.999</v>
      </c>
      <c r="E699" s="16">
        <f>IFERROR(__xludf.DUMMYFUNCTION("""COMPUTED_VALUE"""),64.0)</f>
        <v>64</v>
      </c>
      <c r="F699" s="19" t="str">
        <f>IFERROR(__xludf.DUMMYFUNCTION("""COMPUTED_VALUE"""),"BLUE")</f>
        <v>BLUE</v>
      </c>
      <c r="G699" s="20" t="str">
        <f>IFERROR(__xludf.DUMMYFUNCTION("""COMPUTED_VALUE"""),"Uncle Sams Cider (11/12/2021) (Blue)")</f>
        <v>Uncle Sams Cider (11/12/2021) (Blue)</v>
      </c>
      <c r="H699" s="19"/>
    </row>
    <row r="700">
      <c r="A700" s="9"/>
      <c r="B700" s="15"/>
      <c r="C700" s="9">
        <f>IFERROR(__xludf.DUMMYFUNCTION("""COMPUTED_VALUE"""),44598.2696146643)</f>
        <v>44598.26961</v>
      </c>
      <c r="D700" s="15">
        <f>IFERROR(__xludf.DUMMYFUNCTION("""COMPUTED_VALUE"""),1.0)</f>
        <v>1</v>
      </c>
      <c r="E700" s="16">
        <f>IFERROR(__xludf.DUMMYFUNCTION("""COMPUTED_VALUE"""),64.0)</f>
        <v>64</v>
      </c>
      <c r="F700" s="19" t="str">
        <f>IFERROR(__xludf.DUMMYFUNCTION("""COMPUTED_VALUE"""),"BLUE")</f>
        <v>BLUE</v>
      </c>
      <c r="G700" s="20" t="str">
        <f>IFERROR(__xludf.DUMMYFUNCTION("""COMPUTED_VALUE"""),"Uncle Sams Cider (11/12/2021) (Blue)")</f>
        <v>Uncle Sams Cider (11/12/2021) (Blue)</v>
      </c>
      <c r="H700" s="19"/>
    </row>
    <row r="701">
      <c r="A701" s="9"/>
      <c r="B701" s="15"/>
      <c r="C701" s="9">
        <f>IFERROR(__xludf.DUMMYFUNCTION("""COMPUTED_VALUE"""),44598.25919353)</f>
        <v>44598.25919</v>
      </c>
      <c r="D701" s="15">
        <f>IFERROR(__xludf.DUMMYFUNCTION("""COMPUTED_VALUE"""),1.0)</f>
        <v>1</v>
      </c>
      <c r="E701" s="16">
        <f>IFERROR(__xludf.DUMMYFUNCTION("""COMPUTED_VALUE"""),64.0)</f>
        <v>64</v>
      </c>
      <c r="F701" s="19" t="str">
        <f>IFERROR(__xludf.DUMMYFUNCTION("""COMPUTED_VALUE"""),"BLUE")</f>
        <v>BLUE</v>
      </c>
      <c r="G701" s="20" t="str">
        <f>IFERROR(__xludf.DUMMYFUNCTION("""COMPUTED_VALUE"""),"Uncle Sams Cider (11/12/2021) (Blue)")</f>
        <v>Uncle Sams Cider (11/12/2021) (Blue)</v>
      </c>
      <c r="H701" s="19"/>
    </row>
    <row r="702">
      <c r="A702" s="9"/>
      <c r="B702" s="15"/>
      <c r="C702" s="9">
        <f>IFERROR(__xludf.DUMMYFUNCTION("""COMPUTED_VALUE"""),44598.2487702199)</f>
        <v>44598.24877</v>
      </c>
      <c r="D702" s="15">
        <f>IFERROR(__xludf.DUMMYFUNCTION("""COMPUTED_VALUE"""),1.0)</f>
        <v>1</v>
      </c>
      <c r="E702" s="16">
        <f>IFERROR(__xludf.DUMMYFUNCTION("""COMPUTED_VALUE"""),64.0)</f>
        <v>64</v>
      </c>
      <c r="F702" s="19" t="str">
        <f>IFERROR(__xludf.DUMMYFUNCTION("""COMPUTED_VALUE"""),"BLUE")</f>
        <v>BLUE</v>
      </c>
      <c r="G702" s="20" t="str">
        <f>IFERROR(__xludf.DUMMYFUNCTION("""COMPUTED_VALUE"""),"Uncle Sams Cider (11/12/2021) (Blue)")</f>
        <v>Uncle Sams Cider (11/12/2021) (Blue)</v>
      </c>
      <c r="H702" s="19"/>
    </row>
    <row r="703">
      <c r="A703" s="9"/>
      <c r="B703" s="15"/>
      <c r="C703" s="9">
        <f>IFERROR(__xludf.DUMMYFUNCTION("""COMPUTED_VALUE"""),44598.2383502083)</f>
        <v>44598.23835</v>
      </c>
      <c r="D703" s="15">
        <f>IFERROR(__xludf.DUMMYFUNCTION("""COMPUTED_VALUE"""),0.999)</f>
        <v>0.999</v>
      </c>
      <c r="E703" s="16">
        <f>IFERROR(__xludf.DUMMYFUNCTION("""COMPUTED_VALUE"""),64.0)</f>
        <v>64</v>
      </c>
      <c r="F703" s="19" t="str">
        <f>IFERROR(__xludf.DUMMYFUNCTION("""COMPUTED_VALUE"""),"BLUE")</f>
        <v>BLUE</v>
      </c>
      <c r="G703" s="20" t="str">
        <f>IFERROR(__xludf.DUMMYFUNCTION("""COMPUTED_VALUE"""),"Uncle Sams Cider (11/12/2021) (Blue)")</f>
        <v>Uncle Sams Cider (11/12/2021) (Blue)</v>
      </c>
      <c r="H703" s="19"/>
    </row>
    <row r="704">
      <c r="A704" s="9"/>
      <c r="B704" s="15"/>
      <c r="C704" s="9">
        <f>IFERROR(__xludf.DUMMYFUNCTION("""COMPUTED_VALUE"""),44598.2279286574)</f>
        <v>44598.22793</v>
      </c>
      <c r="D704" s="15">
        <f>IFERROR(__xludf.DUMMYFUNCTION("""COMPUTED_VALUE"""),0.999)</f>
        <v>0.999</v>
      </c>
      <c r="E704" s="16">
        <f>IFERROR(__xludf.DUMMYFUNCTION("""COMPUTED_VALUE"""),64.0)</f>
        <v>64</v>
      </c>
      <c r="F704" s="19" t="str">
        <f>IFERROR(__xludf.DUMMYFUNCTION("""COMPUTED_VALUE"""),"BLUE")</f>
        <v>BLUE</v>
      </c>
      <c r="G704" s="20" t="str">
        <f>IFERROR(__xludf.DUMMYFUNCTION("""COMPUTED_VALUE"""),"Uncle Sams Cider (11/12/2021) (Blue)")</f>
        <v>Uncle Sams Cider (11/12/2021) (Blue)</v>
      </c>
      <c r="H704" s="19"/>
    </row>
    <row r="705">
      <c r="A705" s="9"/>
      <c r="B705" s="15"/>
      <c r="C705" s="9">
        <f>IFERROR(__xludf.DUMMYFUNCTION("""COMPUTED_VALUE"""),44598.2175065162)</f>
        <v>44598.21751</v>
      </c>
      <c r="D705" s="15">
        <f>IFERROR(__xludf.DUMMYFUNCTION("""COMPUTED_VALUE"""),1.0)</f>
        <v>1</v>
      </c>
      <c r="E705" s="16">
        <f>IFERROR(__xludf.DUMMYFUNCTION("""COMPUTED_VALUE"""),64.0)</f>
        <v>64</v>
      </c>
      <c r="F705" s="19" t="str">
        <f>IFERROR(__xludf.DUMMYFUNCTION("""COMPUTED_VALUE"""),"BLUE")</f>
        <v>BLUE</v>
      </c>
      <c r="G705" s="20" t="str">
        <f>IFERROR(__xludf.DUMMYFUNCTION("""COMPUTED_VALUE"""),"Uncle Sams Cider (11/12/2021) (Blue)")</f>
        <v>Uncle Sams Cider (11/12/2021) (Blue)</v>
      </c>
      <c r="H705" s="19"/>
    </row>
    <row r="706">
      <c r="A706" s="9"/>
      <c r="B706" s="15"/>
      <c r="C706" s="9">
        <f>IFERROR(__xludf.DUMMYFUNCTION("""COMPUTED_VALUE"""),44598.2070626273)</f>
        <v>44598.20706</v>
      </c>
      <c r="D706" s="15">
        <f>IFERROR(__xludf.DUMMYFUNCTION("""COMPUTED_VALUE"""),0.999)</f>
        <v>0.999</v>
      </c>
      <c r="E706" s="16">
        <f>IFERROR(__xludf.DUMMYFUNCTION("""COMPUTED_VALUE"""),64.0)</f>
        <v>64</v>
      </c>
      <c r="F706" s="19" t="str">
        <f>IFERROR(__xludf.DUMMYFUNCTION("""COMPUTED_VALUE"""),"BLUE")</f>
        <v>BLUE</v>
      </c>
      <c r="G706" s="20" t="str">
        <f>IFERROR(__xludf.DUMMYFUNCTION("""COMPUTED_VALUE"""),"Uncle Sams Cider (11/12/2021) (Blue)")</f>
        <v>Uncle Sams Cider (11/12/2021) (Blue)</v>
      </c>
      <c r="H706" s="19"/>
    </row>
    <row r="707">
      <c r="A707" s="9"/>
      <c r="B707" s="15"/>
      <c r="C707" s="9">
        <f>IFERROR(__xludf.DUMMYFUNCTION("""COMPUTED_VALUE"""),44598.196630949)</f>
        <v>44598.19663</v>
      </c>
      <c r="D707" s="15">
        <f>IFERROR(__xludf.DUMMYFUNCTION("""COMPUTED_VALUE"""),0.999)</f>
        <v>0.999</v>
      </c>
      <c r="E707" s="16">
        <f>IFERROR(__xludf.DUMMYFUNCTION("""COMPUTED_VALUE"""),64.0)</f>
        <v>64</v>
      </c>
      <c r="F707" s="19" t="str">
        <f>IFERROR(__xludf.DUMMYFUNCTION("""COMPUTED_VALUE"""),"BLUE")</f>
        <v>BLUE</v>
      </c>
      <c r="G707" s="20" t="str">
        <f>IFERROR(__xludf.DUMMYFUNCTION("""COMPUTED_VALUE"""),"Uncle Sams Cider (11/12/2021) (Blue)")</f>
        <v>Uncle Sams Cider (11/12/2021) (Blue)</v>
      </c>
      <c r="H707" s="19"/>
    </row>
    <row r="708">
      <c r="A708" s="9"/>
      <c r="B708" s="15"/>
      <c r="C708" s="9">
        <f>IFERROR(__xludf.DUMMYFUNCTION("""COMPUTED_VALUE"""),44598.1861978009)</f>
        <v>44598.1862</v>
      </c>
      <c r="D708" s="15">
        <f>IFERROR(__xludf.DUMMYFUNCTION("""COMPUTED_VALUE"""),0.999)</f>
        <v>0.999</v>
      </c>
      <c r="E708" s="16">
        <f>IFERROR(__xludf.DUMMYFUNCTION("""COMPUTED_VALUE"""),64.0)</f>
        <v>64</v>
      </c>
      <c r="F708" s="19" t="str">
        <f>IFERROR(__xludf.DUMMYFUNCTION("""COMPUTED_VALUE"""),"BLUE")</f>
        <v>BLUE</v>
      </c>
      <c r="G708" s="20" t="str">
        <f>IFERROR(__xludf.DUMMYFUNCTION("""COMPUTED_VALUE"""),"Uncle Sams Cider (11/12/2021) (Blue)")</f>
        <v>Uncle Sams Cider (11/12/2021) (Blue)</v>
      </c>
      <c r="H708" s="19"/>
    </row>
    <row r="709">
      <c r="A709" s="9"/>
      <c r="B709" s="15"/>
      <c r="C709" s="9">
        <f>IFERROR(__xludf.DUMMYFUNCTION("""COMPUTED_VALUE"""),44598.1757759027)</f>
        <v>44598.17578</v>
      </c>
      <c r="D709" s="15">
        <f>IFERROR(__xludf.DUMMYFUNCTION("""COMPUTED_VALUE"""),0.999)</f>
        <v>0.999</v>
      </c>
      <c r="E709" s="16">
        <f>IFERROR(__xludf.DUMMYFUNCTION("""COMPUTED_VALUE"""),64.0)</f>
        <v>64</v>
      </c>
      <c r="F709" s="19" t="str">
        <f>IFERROR(__xludf.DUMMYFUNCTION("""COMPUTED_VALUE"""),"BLUE")</f>
        <v>BLUE</v>
      </c>
      <c r="G709" s="20" t="str">
        <f>IFERROR(__xludf.DUMMYFUNCTION("""COMPUTED_VALUE"""),"Uncle Sams Cider (11/12/2021) (Blue)")</f>
        <v>Uncle Sams Cider (11/12/2021) (Blue)</v>
      </c>
      <c r="H709" s="19"/>
    </row>
    <row r="710">
      <c r="A710" s="9"/>
      <c r="B710" s="15"/>
      <c r="C710" s="9">
        <f>IFERROR(__xludf.DUMMYFUNCTION("""COMPUTED_VALUE"""),44598.1653521875)</f>
        <v>44598.16535</v>
      </c>
      <c r="D710" s="15">
        <f>IFERROR(__xludf.DUMMYFUNCTION("""COMPUTED_VALUE"""),0.999)</f>
        <v>0.999</v>
      </c>
      <c r="E710" s="16">
        <f>IFERROR(__xludf.DUMMYFUNCTION("""COMPUTED_VALUE"""),64.0)</f>
        <v>64</v>
      </c>
      <c r="F710" s="19" t="str">
        <f>IFERROR(__xludf.DUMMYFUNCTION("""COMPUTED_VALUE"""),"BLUE")</f>
        <v>BLUE</v>
      </c>
      <c r="G710" s="20" t="str">
        <f>IFERROR(__xludf.DUMMYFUNCTION("""COMPUTED_VALUE"""),"Uncle Sams Cider (11/12/2021) (Blue)")</f>
        <v>Uncle Sams Cider (11/12/2021) (Blue)</v>
      </c>
      <c r="H710" s="19"/>
    </row>
    <row r="711">
      <c r="A711" s="9"/>
      <c r="B711" s="15"/>
      <c r="C711" s="9">
        <f>IFERROR(__xludf.DUMMYFUNCTION("""COMPUTED_VALUE"""),44598.1549299884)</f>
        <v>44598.15493</v>
      </c>
      <c r="D711" s="15">
        <f>IFERROR(__xludf.DUMMYFUNCTION("""COMPUTED_VALUE"""),0.999)</f>
        <v>0.999</v>
      </c>
      <c r="E711" s="16">
        <f>IFERROR(__xludf.DUMMYFUNCTION("""COMPUTED_VALUE"""),64.0)</f>
        <v>64</v>
      </c>
      <c r="F711" s="19" t="str">
        <f>IFERROR(__xludf.DUMMYFUNCTION("""COMPUTED_VALUE"""),"BLUE")</f>
        <v>BLUE</v>
      </c>
      <c r="G711" s="20" t="str">
        <f>IFERROR(__xludf.DUMMYFUNCTION("""COMPUTED_VALUE"""),"Uncle Sams Cider (11/12/2021) (Blue)")</f>
        <v>Uncle Sams Cider (11/12/2021) (Blue)</v>
      </c>
      <c r="H711" s="19"/>
    </row>
    <row r="712">
      <c r="A712" s="9"/>
      <c r="B712" s="15"/>
      <c r="C712" s="9">
        <f>IFERROR(__xludf.DUMMYFUNCTION("""COMPUTED_VALUE"""),44598.1445071527)</f>
        <v>44598.14451</v>
      </c>
      <c r="D712" s="15">
        <f>IFERROR(__xludf.DUMMYFUNCTION("""COMPUTED_VALUE"""),1.0)</f>
        <v>1</v>
      </c>
      <c r="E712" s="16">
        <f>IFERROR(__xludf.DUMMYFUNCTION("""COMPUTED_VALUE"""),64.0)</f>
        <v>64</v>
      </c>
      <c r="F712" s="19" t="str">
        <f>IFERROR(__xludf.DUMMYFUNCTION("""COMPUTED_VALUE"""),"BLUE")</f>
        <v>BLUE</v>
      </c>
      <c r="G712" s="20" t="str">
        <f>IFERROR(__xludf.DUMMYFUNCTION("""COMPUTED_VALUE"""),"Uncle Sams Cider (11/12/2021) (Blue)")</f>
        <v>Uncle Sams Cider (11/12/2021) (Blue)</v>
      </c>
      <c r="H712" s="19"/>
    </row>
    <row r="713">
      <c r="A713" s="9"/>
      <c r="B713" s="15"/>
      <c r="C713" s="9">
        <f>IFERROR(__xludf.DUMMYFUNCTION("""COMPUTED_VALUE"""),44598.1340866666)</f>
        <v>44598.13409</v>
      </c>
      <c r="D713" s="15">
        <f>IFERROR(__xludf.DUMMYFUNCTION("""COMPUTED_VALUE"""),0.999)</f>
        <v>0.999</v>
      </c>
      <c r="E713" s="16">
        <f>IFERROR(__xludf.DUMMYFUNCTION("""COMPUTED_VALUE"""),64.0)</f>
        <v>64</v>
      </c>
      <c r="F713" s="19" t="str">
        <f>IFERROR(__xludf.DUMMYFUNCTION("""COMPUTED_VALUE"""),"BLUE")</f>
        <v>BLUE</v>
      </c>
      <c r="G713" s="20" t="str">
        <f>IFERROR(__xludf.DUMMYFUNCTION("""COMPUTED_VALUE"""),"Uncle Sams Cider (11/12/2021) (Blue)")</f>
        <v>Uncle Sams Cider (11/12/2021) (Blue)</v>
      </c>
      <c r="H713" s="19"/>
    </row>
    <row r="714">
      <c r="A714" s="9"/>
      <c r="B714" s="15"/>
      <c r="C714" s="9">
        <f>IFERROR(__xludf.DUMMYFUNCTION("""COMPUTED_VALUE"""),44598.123665706)</f>
        <v>44598.12367</v>
      </c>
      <c r="D714" s="15">
        <f>IFERROR(__xludf.DUMMYFUNCTION("""COMPUTED_VALUE"""),0.999)</f>
        <v>0.999</v>
      </c>
      <c r="E714" s="16">
        <f>IFERROR(__xludf.DUMMYFUNCTION("""COMPUTED_VALUE"""),64.0)</f>
        <v>64</v>
      </c>
      <c r="F714" s="19" t="str">
        <f>IFERROR(__xludf.DUMMYFUNCTION("""COMPUTED_VALUE"""),"BLUE")</f>
        <v>BLUE</v>
      </c>
      <c r="G714" s="20" t="str">
        <f>IFERROR(__xludf.DUMMYFUNCTION("""COMPUTED_VALUE"""),"Uncle Sams Cider (11/12/2021) (Blue)")</f>
        <v>Uncle Sams Cider (11/12/2021) (Blue)</v>
      </c>
      <c r="H714" s="19"/>
    </row>
    <row r="715">
      <c r="A715" s="9"/>
      <c r="B715" s="15"/>
      <c r="C715" s="9">
        <f>IFERROR(__xludf.DUMMYFUNCTION("""COMPUTED_VALUE"""),44598.1132451041)</f>
        <v>44598.11325</v>
      </c>
      <c r="D715" s="15">
        <f>IFERROR(__xludf.DUMMYFUNCTION("""COMPUTED_VALUE"""),0.999)</f>
        <v>0.999</v>
      </c>
      <c r="E715" s="16">
        <f>IFERROR(__xludf.DUMMYFUNCTION("""COMPUTED_VALUE"""),64.0)</f>
        <v>64</v>
      </c>
      <c r="F715" s="19" t="str">
        <f>IFERROR(__xludf.DUMMYFUNCTION("""COMPUTED_VALUE"""),"BLUE")</f>
        <v>BLUE</v>
      </c>
      <c r="G715" s="20" t="str">
        <f>IFERROR(__xludf.DUMMYFUNCTION("""COMPUTED_VALUE"""),"Uncle Sams Cider (11/12/2021) (Blue)")</f>
        <v>Uncle Sams Cider (11/12/2021) (Blue)</v>
      </c>
      <c r="H715" s="19"/>
    </row>
    <row r="716">
      <c r="A716" s="9"/>
      <c r="B716" s="15"/>
      <c r="C716" s="9">
        <f>IFERROR(__xludf.DUMMYFUNCTION("""COMPUTED_VALUE"""),44598.1028009953)</f>
        <v>44598.1028</v>
      </c>
      <c r="D716" s="15">
        <f>IFERROR(__xludf.DUMMYFUNCTION("""COMPUTED_VALUE"""),0.999)</f>
        <v>0.999</v>
      </c>
      <c r="E716" s="16">
        <f>IFERROR(__xludf.DUMMYFUNCTION("""COMPUTED_VALUE"""),64.0)</f>
        <v>64</v>
      </c>
      <c r="F716" s="19" t="str">
        <f>IFERROR(__xludf.DUMMYFUNCTION("""COMPUTED_VALUE"""),"BLUE")</f>
        <v>BLUE</v>
      </c>
      <c r="G716" s="20" t="str">
        <f>IFERROR(__xludf.DUMMYFUNCTION("""COMPUTED_VALUE"""),"Uncle Sams Cider (11/12/2021) (Blue)")</f>
        <v>Uncle Sams Cider (11/12/2021) (Blue)</v>
      </c>
      <c r="H716" s="19"/>
    </row>
    <row r="717">
      <c r="A717" s="9"/>
      <c r="B717" s="15"/>
      <c r="C717" s="9">
        <f>IFERROR(__xludf.DUMMYFUNCTION("""COMPUTED_VALUE"""),44598.0923805671)</f>
        <v>44598.09238</v>
      </c>
      <c r="D717" s="15">
        <f>IFERROR(__xludf.DUMMYFUNCTION("""COMPUTED_VALUE"""),0.999)</f>
        <v>0.999</v>
      </c>
      <c r="E717" s="16">
        <f>IFERROR(__xludf.DUMMYFUNCTION("""COMPUTED_VALUE"""),64.0)</f>
        <v>64</v>
      </c>
      <c r="F717" s="19" t="str">
        <f>IFERROR(__xludf.DUMMYFUNCTION("""COMPUTED_VALUE"""),"BLUE")</f>
        <v>BLUE</v>
      </c>
      <c r="G717" s="20" t="str">
        <f>IFERROR(__xludf.DUMMYFUNCTION("""COMPUTED_VALUE"""),"Uncle Sams Cider (11/12/2021) (Blue)")</f>
        <v>Uncle Sams Cider (11/12/2021) (Blue)</v>
      </c>
      <c r="H717" s="19"/>
    </row>
    <row r="718">
      <c r="A718" s="9"/>
      <c r="B718" s="15"/>
      <c r="C718" s="9">
        <f>IFERROR(__xludf.DUMMYFUNCTION("""COMPUTED_VALUE"""),44598.0819598379)</f>
        <v>44598.08196</v>
      </c>
      <c r="D718" s="15">
        <f>IFERROR(__xludf.DUMMYFUNCTION("""COMPUTED_VALUE"""),0.999)</f>
        <v>0.999</v>
      </c>
      <c r="E718" s="16">
        <f>IFERROR(__xludf.DUMMYFUNCTION("""COMPUTED_VALUE"""),64.0)</f>
        <v>64</v>
      </c>
      <c r="F718" s="19" t="str">
        <f>IFERROR(__xludf.DUMMYFUNCTION("""COMPUTED_VALUE"""),"BLUE")</f>
        <v>BLUE</v>
      </c>
      <c r="G718" s="20" t="str">
        <f>IFERROR(__xludf.DUMMYFUNCTION("""COMPUTED_VALUE"""),"Uncle Sams Cider (11/12/2021) (Blue)")</f>
        <v>Uncle Sams Cider (11/12/2021) (Blue)</v>
      </c>
      <c r="H718" s="19"/>
    </row>
    <row r="719">
      <c r="A719" s="9"/>
      <c r="B719" s="15"/>
      <c r="C719" s="9">
        <f>IFERROR(__xludf.DUMMYFUNCTION("""COMPUTED_VALUE"""),44598.0715388425)</f>
        <v>44598.07154</v>
      </c>
      <c r="D719" s="15">
        <f>IFERROR(__xludf.DUMMYFUNCTION("""COMPUTED_VALUE"""),0.999)</f>
        <v>0.999</v>
      </c>
      <c r="E719" s="16">
        <f>IFERROR(__xludf.DUMMYFUNCTION("""COMPUTED_VALUE"""),64.0)</f>
        <v>64</v>
      </c>
      <c r="F719" s="19" t="str">
        <f>IFERROR(__xludf.DUMMYFUNCTION("""COMPUTED_VALUE"""),"BLUE")</f>
        <v>BLUE</v>
      </c>
      <c r="G719" s="20" t="str">
        <f>IFERROR(__xludf.DUMMYFUNCTION("""COMPUTED_VALUE"""),"Uncle Sams Cider (11/12/2021) (Blue)")</f>
        <v>Uncle Sams Cider (11/12/2021) (Blue)</v>
      </c>
      <c r="H719" s="19"/>
    </row>
    <row r="720">
      <c r="A720" s="9"/>
      <c r="B720" s="15"/>
      <c r="C720" s="9">
        <f>IFERROR(__xludf.DUMMYFUNCTION("""COMPUTED_VALUE"""),44598.061117662)</f>
        <v>44598.06112</v>
      </c>
      <c r="D720" s="15">
        <f>IFERROR(__xludf.DUMMYFUNCTION("""COMPUTED_VALUE"""),0.999)</f>
        <v>0.999</v>
      </c>
      <c r="E720" s="16">
        <f>IFERROR(__xludf.DUMMYFUNCTION("""COMPUTED_VALUE"""),64.0)</f>
        <v>64</v>
      </c>
      <c r="F720" s="19" t="str">
        <f>IFERROR(__xludf.DUMMYFUNCTION("""COMPUTED_VALUE"""),"BLUE")</f>
        <v>BLUE</v>
      </c>
      <c r="G720" s="20" t="str">
        <f>IFERROR(__xludf.DUMMYFUNCTION("""COMPUTED_VALUE"""),"Uncle Sams Cider (11/12/2021) (Blue)")</f>
        <v>Uncle Sams Cider (11/12/2021) (Blue)</v>
      </c>
      <c r="H720" s="19"/>
    </row>
    <row r="721">
      <c r="A721" s="9"/>
      <c r="B721" s="15"/>
      <c r="C721" s="9">
        <f>IFERROR(__xludf.DUMMYFUNCTION("""COMPUTED_VALUE"""),44598.0506968981)</f>
        <v>44598.0507</v>
      </c>
      <c r="D721" s="15">
        <f>IFERROR(__xludf.DUMMYFUNCTION("""COMPUTED_VALUE"""),1.0)</f>
        <v>1</v>
      </c>
      <c r="E721" s="16">
        <f>IFERROR(__xludf.DUMMYFUNCTION("""COMPUTED_VALUE"""),64.0)</f>
        <v>64</v>
      </c>
      <c r="F721" s="19" t="str">
        <f>IFERROR(__xludf.DUMMYFUNCTION("""COMPUTED_VALUE"""),"BLUE")</f>
        <v>BLUE</v>
      </c>
      <c r="G721" s="20" t="str">
        <f>IFERROR(__xludf.DUMMYFUNCTION("""COMPUTED_VALUE"""),"Uncle Sams Cider (11/12/2021) (Blue)")</f>
        <v>Uncle Sams Cider (11/12/2021) (Blue)</v>
      </c>
      <c r="H721" s="19"/>
    </row>
    <row r="722">
      <c r="A722" s="9"/>
      <c r="B722" s="15"/>
      <c r="C722" s="9">
        <f>IFERROR(__xludf.DUMMYFUNCTION("""COMPUTED_VALUE"""),44598.0402756597)</f>
        <v>44598.04028</v>
      </c>
      <c r="D722" s="15">
        <f>IFERROR(__xludf.DUMMYFUNCTION("""COMPUTED_VALUE"""),0.999)</f>
        <v>0.999</v>
      </c>
      <c r="E722" s="16">
        <f>IFERROR(__xludf.DUMMYFUNCTION("""COMPUTED_VALUE"""),64.0)</f>
        <v>64</v>
      </c>
      <c r="F722" s="19" t="str">
        <f>IFERROR(__xludf.DUMMYFUNCTION("""COMPUTED_VALUE"""),"BLUE")</f>
        <v>BLUE</v>
      </c>
      <c r="G722" s="20" t="str">
        <f>IFERROR(__xludf.DUMMYFUNCTION("""COMPUTED_VALUE"""),"Uncle Sams Cider (11/12/2021) (Blue)")</f>
        <v>Uncle Sams Cider (11/12/2021) (Blue)</v>
      </c>
      <c r="H722" s="19"/>
    </row>
    <row r="723">
      <c r="A723" s="9"/>
      <c r="B723" s="15"/>
      <c r="C723" s="9">
        <f>IFERROR(__xludf.DUMMYFUNCTION("""COMPUTED_VALUE"""),44598.0298544676)</f>
        <v>44598.02985</v>
      </c>
      <c r="D723" s="15">
        <f>IFERROR(__xludf.DUMMYFUNCTION("""COMPUTED_VALUE"""),0.999)</f>
        <v>0.999</v>
      </c>
      <c r="E723" s="16">
        <f>IFERROR(__xludf.DUMMYFUNCTION("""COMPUTED_VALUE"""),64.0)</f>
        <v>64</v>
      </c>
      <c r="F723" s="19" t="str">
        <f>IFERROR(__xludf.DUMMYFUNCTION("""COMPUTED_VALUE"""),"BLUE")</f>
        <v>BLUE</v>
      </c>
      <c r="G723" s="20" t="str">
        <f>IFERROR(__xludf.DUMMYFUNCTION("""COMPUTED_VALUE"""),"Uncle Sams Cider (11/12/2021) (Blue)")</f>
        <v>Uncle Sams Cider (11/12/2021) (Blue)</v>
      </c>
      <c r="H723" s="19"/>
    </row>
    <row r="724">
      <c r="A724" s="9"/>
      <c r="B724" s="15"/>
      <c r="C724" s="9">
        <f>IFERROR(__xludf.DUMMYFUNCTION("""COMPUTED_VALUE"""),44598.0194329282)</f>
        <v>44598.01943</v>
      </c>
      <c r="D724" s="15">
        <f>IFERROR(__xludf.DUMMYFUNCTION("""COMPUTED_VALUE"""),0.999)</f>
        <v>0.999</v>
      </c>
      <c r="E724" s="16">
        <f>IFERROR(__xludf.DUMMYFUNCTION("""COMPUTED_VALUE"""),64.0)</f>
        <v>64</v>
      </c>
      <c r="F724" s="19" t="str">
        <f>IFERROR(__xludf.DUMMYFUNCTION("""COMPUTED_VALUE"""),"BLUE")</f>
        <v>BLUE</v>
      </c>
      <c r="G724" s="20" t="str">
        <f>IFERROR(__xludf.DUMMYFUNCTION("""COMPUTED_VALUE"""),"Uncle Sams Cider (11/12/2021) (Blue)")</f>
        <v>Uncle Sams Cider (11/12/2021) (Blue)</v>
      </c>
      <c r="H724" s="19"/>
    </row>
    <row r="725">
      <c r="A725" s="9"/>
      <c r="B725" s="15"/>
      <c r="C725" s="9">
        <f>IFERROR(__xludf.DUMMYFUNCTION("""COMPUTED_VALUE"""),44598.0090132175)</f>
        <v>44598.00901</v>
      </c>
      <c r="D725" s="15">
        <f>IFERROR(__xludf.DUMMYFUNCTION("""COMPUTED_VALUE"""),0.999)</f>
        <v>0.999</v>
      </c>
      <c r="E725" s="16">
        <f>IFERROR(__xludf.DUMMYFUNCTION("""COMPUTED_VALUE"""),64.0)</f>
        <v>64</v>
      </c>
      <c r="F725" s="19" t="str">
        <f>IFERROR(__xludf.DUMMYFUNCTION("""COMPUTED_VALUE"""),"BLUE")</f>
        <v>BLUE</v>
      </c>
      <c r="G725" s="20" t="str">
        <f>IFERROR(__xludf.DUMMYFUNCTION("""COMPUTED_VALUE"""),"Uncle Sams Cider (11/12/2021) (Blue)")</f>
        <v>Uncle Sams Cider (11/12/2021) (Blue)</v>
      </c>
      <c r="H725" s="19"/>
    </row>
    <row r="726">
      <c r="A726" s="9"/>
      <c r="B726" s="15"/>
      <c r="C726" s="9">
        <f>IFERROR(__xludf.DUMMYFUNCTION("""COMPUTED_VALUE"""),44597.9985807291)</f>
        <v>44597.99858</v>
      </c>
      <c r="D726" s="15">
        <f>IFERROR(__xludf.DUMMYFUNCTION("""COMPUTED_VALUE"""),0.999)</f>
        <v>0.999</v>
      </c>
      <c r="E726" s="16">
        <f>IFERROR(__xludf.DUMMYFUNCTION("""COMPUTED_VALUE"""),64.0)</f>
        <v>64</v>
      </c>
      <c r="F726" s="19" t="str">
        <f>IFERROR(__xludf.DUMMYFUNCTION("""COMPUTED_VALUE"""),"BLUE")</f>
        <v>BLUE</v>
      </c>
      <c r="G726" s="20" t="str">
        <f>IFERROR(__xludf.DUMMYFUNCTION("""COMPUTED_VALUE"""),"Uncle Sams Cider (11/12/2021) (Blue)")</f>
        <v>Uncle Sams Cider (11/12/2021) (Blue)</v>
      </c>
      <c r="H726" s="19"/>
    </row>
    <row r="727">
      <c r="A727" s="9"/>
      <c r="B727" s="15"/>
      <c r="C727" s="9">
        <f>IFERROR(__xludf.DUMMYFUNCTION("""COMPUTED_VALUE"""),44597.9881603472)</f>
        <v>44597.98816</v>
      </c>
      <c r="D727" s="15">
        <f>IFERROR(__xludf.DUMMYFUNCTION("""COMPUTED_VALUE"""),0.999)</f>
        <v>0.999</v>
      </c>
      <c r="E727" s="16">
        <f>IFERROR(__xludf.DUMMYFUNCTION("""COMPUTED_VALUE"""),64.0)</f>
        <v>64</v>
      </c>
      <c r="F727" s="19" t="str">
        <f>IFERROR(__xludf.DUMMYFUNCTION("""COMPUTED_VALUE"""),"BLUE")</f>
        <v>BLUE</v>
      </c>
      <c r="G727" s="20" t="str">
        <f>IFERROR(__xludf.DUMMYFUNCTION("""COMPUTED_VALUE"""),"Uncle Sams Cider (11/12/2021) (Blue)")</f>
        <v>Uncle Sams Cider (11/12/2021) (Blue)</v>
      </c>
      <c r="H727" s="19"/>
    </row>
    <row r="728">
      <c r="A728" s="9"/>
      <c r="B728" s="15"/>
      <c r="C728" s="9">
        <f>IFERROR(__xludf.DUMMYFUNCTION("""COMPUTED_VALUE"""),44597.97773978)</f>
        <v>44597.97774</v>
      </c>
      <c r="D728" s="15">
        <f>IFERROR(__xludf.DUMMYFUNCTION("""COMPUTED_VALUE"""),0.999)</f>
        <v>0.999</v>
      </c>
      <c r="E728" s="16">
        <f>IFERROR(__xludf.DUMMYFUNCTION("""COMPUTED_VALUE"""),64.0)</f>
        <v>64</v>
      </c>
      <c r="F728" s="19" t="str">
        <f>IFERROR(__xludf.DUMMYFUNCTION("""COMPUTED_VALUE"""),"BLUE")</f>
        <v>BLUE</v>
      </c>
      <c r="G728" s="20" t="str">
        <f>IFERROR(__xludf.DUMMYFUNCTION("""COMPUTED_VALUE"""),"Uncle Sams Cider (11/12/2021) (Blue)")</f>
        <v>Uncle Sams Cider (11/12/2021) (Blue)</v>
      </c>
      <c r="H728" s="19"/>
    </row>
    <row r="729">
      <c r="A729" s="9"/>
      <c r="B729" s="15"/>
      <c r="C729" s="9">
        <f>IFERROR(__xludf.DUMMYFUNCTION("""COMPUTED_VALUE"""),44597.9673200115)</f>
        <v>44597.96732</v>
      </c>
      <c r="D729" s="15">
        <f>IFERROR(__xludf.DUMMYFUNCTION("""COMPUTED_VALUE"""),0.999)</f>
        <v>0.999</v>
      </c>
      <c r="E729" s="16">
        <f>IFERROR(__xludf.DUMMYFUNCTION("""COMPUTED_VALUE"""),64.0)</f>
        <v>64</v>
      </c>
      <c r="F729" s="19" t="str">
        <f>IFERROR(__xludf.DUMMYFUNCTION("""COMPUTED_VALUE"""),"BLUE")</f>
        <v>BLUE</v>
      </c>
      <c r="G729" s="20" t="str">
        <f>IFERROR(__xludf.DUMMYFUNCTION("""COMPUTED_VALUE"""),"Uncle Sams Cider (11/12/2021) (Blue)")</f>
        <v>Uncle Sams Cider (11/12/2021) (Blue)</v>
      </c>
      <c r="H729" s="19"/>
    </row>
    <row r="730">
      <c r="A730" s="9"/>
      <c r="B730" s="15"/>
      <c r="C730" s="9">
        <f>IFERROR(__xludf.DUMMYFUNCTION("""COMPUTED_VALUE"""),44597.9568980208)</f>
        <v>44597.9569</v>
      </c>
      <c r="D730" s="15">
        <f>IFERROR(__xludf.DUMMYFUNCTION("""COMPUTED_VALUE"""),0.999)</f>
        <v>0.999</v>
      </c>
      <c r="E730" s="16">
        <f>IFERROR(__xludf.DUMMYFUNCTION("""COMPUTED_VALUE"""),64.0)</f>
        <v>64</v>
      </c>
      <c r="F730" s="19" t="str">
        <f>IFERROR(__xludf.DUMMYFUNCTION("""COMPUTED_VALUE"""),"BLUE")</f>
        <v>BLUE</v>
      </c>
      <c r="G730" s="20" t="str">
        <f>IFERROR(__xludf.DUMMYFUNCTION("""COMPUTED_VALUE"""),"Uncle Sams Cider (11/12/2021) (Blue)")</f>
        <v>Uncle Sams Cider (11/12/2021) (Blue)</v>
      </c>
      <c r="H730" s="19"/>
    </row>
    <row r="731">
      <c r="A731" s="9"/>
      <c r="B731" s="15"/>
      <c r="C731" s="9">
        <f>IFERROR(__xludf.DUMMYFUNCTION("""COMPUTED_VALUE"""),44597.9464764583)</f>
        <v>44597.94648</v>
      </c>
      <c r="D731" s="15">
        <f>IFERROR(__xludf.DUMMYFUNCTION("""COMPUTED_VALUE"""),1.0)</f>
        <v>1</v>
      </c>
      <c r="E731" s="16">
        <f>IFERROR(__xludf.DUMMYFUNCTION("""COMPUTED_VALUE"""),64.0)</f>
        <v>64</v>
      </c>
      <c r="F731" s="19" t="str">
        <f>IFERROR(__xludf.DUMMYFUNCTION("""COMPUTED_VALUE"""),"BLUE")</f>
        <v>BLUE</v>
      </c>
      <c r="G731" s="20" t="str">
        <f>IFERROR(__xludf.DUMMYFUNCTION("""COMPUTED_VALUE"""),"Uncle Sams Cider (11/12/2021) (Blue)")</f>
        <v>Uncle Sams Cider (11/12/2021) (Blue)</v>
      </c>
      <c r="H731" s="19"/>
    </row>
    <row r="732">
      <c r="A732" s="9"/>
      <c r="B732" s="15"/>
      <c r="C732" s="9">
        <f>IFERROR(__xludf.DUMMYFUNCTION("""COMPUTED_VALUE"""),44597.9360553935)</f>
        <v>44597.93606</v>
      </c>
      <c r="D732" s="15">
        <f>IFERROR(__xludf.DUMMYFUNCTION("""COMPUTED_VALUE"""),1.0)</f>
        <v>1</v>
      </c>
      <c r="E732" s="16">
        <f>IFERROR(__xludf.DUMMYFUNCTION("""COMPUTED_VALUE"""),64.0)</f>
        <v>64</v>
      </c>
      <c r="F732" s="19" t="str">
        <f>IFERROR(__xludf.DUMMYFUNCTION("""COMPUTED_VALUE"""),"BLUE")</f>
        <v>BLUE</v>
      </c>
      <c r="G732" s="20" t="str">
        <f>IFERROR(__xludf.DUMMYFUNCTION("""COMPUTED_VALUE"""),"Uncle Sams Cider (11/12/2021) (Blue)")</f>
        <v>Uncle Sams Cider (11/12/2021) (Blue)</v>
      </c>
      <c r="H732" s="19"/>
    </row>
    <row r="733">
      <c r="A733" s="9"/>
      <c r="B733" s="15"/>
      <c r="C733" s="9">
        <f>IFERROR(__xludf.DUMMYFUNCTION("""COMPUTED_VALUE"""),44597.9256347222)</f>
        <v>44597.92563</v>
      </c>
      <c r="D733" s="15">
        <f>IFERROR(__xludf.DUMMYFUNCTION("""COMPUTED_VALUE"""),0.999)</f>
        <v>0.999</v>
      </c>
      <c r="E733" s="16">
        <f>IFERROR(__xludf.DUMMYFUNCTION("""COMPUTED_VALUE"""),64.0)</f>
        <v>64</v>
      </c>
      <c r="F733" s="19" t="str">
        <f>IFERROR(__xludf.DUMMYFUNCTION("""COMPUTED_VALUE"""),"BLUE")</f>
        <v>BLUE</v>
      </c>
      <c r="G733" s="20" t="str">
        <f>IFERROR(__xludf.DUMMYFUNCTION("""COMPUTED_VALUE"""),"Uncle Sams Cider (11/12/2021) (Blue)")</f>
        <v>Uncle Sams Cider (11/12/2021) (Blue)</v>
      </c>
      <c r="H733" s="19"/>
    </row>
    <row r="734">
      <c r="A734" s="9"/>
      <c r="B734" s="15"/>
      <c r="C734" s="9">
        <f>IFERROR(__xludf.DUMMYFUNCTION("""COMPUTED_VALUE"""),44597.9152133796)</f>
        <v>44597.91521</v>
      </c>
      <c r="D734" s="15">
        <f>IFERROR(__xludf.DUMMYFUNCTION("""COMPUTED_VALUE"""),0.999)</f>
        <v>0.999</v>
      </c>
      <c r="E734" s="16">
        <f>IFERROR(__xludf.DUMMYFUNCTION("""COMPUTED_VALUE"""),64.0)</f>
        <v>64</v>
      </c>
      <c r="F734" s="19" t="str">
        <f>IFERROR(__xludf.DUMMYFUNCTION("""COMPUTED_VALUE"""),"BLUE")</f>
        <v>BLUE</v>
      </c>
      <c r="G734" s="20" t="str">
        <f>IFERROR(__xludf.DUMMYFUNCTION("""COMPUTED_VALUE"""),"Uncle Sams Cider (11/12/2021) (Blue)")</f>
        <v>Uncle Sams Cider (11/12/2021) (Blue)</v>
      </c>
      <c r="H734" s="19"/>
    </row>
    <row r="735">
      <c r="A735" s="9"/>
      <c r="B735" s="15"/>
      <c r="C735" s="9">
        <f>IFERROR(__xludf.DUMMYFUNCTION("""COMPUTED_VALUE"""),44597.9047912384)</f>
        <v>44597.90479</v>
      </c>
      <c r="D735" s="15">
        <f>IFERROR(__xludf.DUMMYFUNCTION("""COMPUTED_VALUE"""),0.999)</f>
        <v>0.999</v>
      </c>
      <c r="E735" s="16">
        <f>IFERROR(__xludf.DUMMYFUNCTION("""COMPUTED_VALUE"""),65.0)</f>
        <v>65</v>
      </c>
      <c r="F735" s="19" t="str">
        <f>IFERROR(__xludf.DUMMYFUNCTION("""COMPUTED_VALUE"""),"BLUE")</f>
        <v>BLUE</v>
      </c>
      <c r="G735" s="20" t="str">
        <f>IFERROR(__xludf.DUMMYFUNCTION("""COMPUTED_VALUE"""),"Uncle Sams Cider (11/12/2021) (Blue)")</f>
        <v>Uncle Sams Cider (11/12/2021) (Blue)</v>
      </c>
      <c r="H735" s="19"/>
    </row>
    <row r="736">
      <c r="A736" s="9"/>
      <c r="B736" s="15"/>
      <c r="C736" s="9">
        <f>IFERROR(__xludf.DUMMYFUNCTION("""COMPUTED_VALUE"""),44597.8943702546)</f>
        <v>44597.89437</v>
      </c>
      <c r="D736" s="15">
        <f>IFERROR(__xludf.DUMMYFUNCTION("""COMPUTED_VALUE"""),0.999)</f>
        <v>0.999</v>
      </c>
      <c r="E736" s="16">
        <f>IFERROR(__xludf.DUMMYFUNCTION("""COMPUTED_VALUE"""),65.0)</f>
        <v>65</v>
      </c>
      <c r="F736" s="19" t="str">
        <f>IFERROR(__xludf.DUMMYFUNCTION("""COMPUTED_VALUE"""),"BLUE")</f>
        <v>BLUE</v>
      </c>
      <c r="G736" s="20" t="str">
        <f>IFERROR(__xludf.DUMMYFUNCTION("""COMPUTED_VALUE"""),"Uncle Sams Cider (11/12/2021) (Blue)")</f>
        <v>Uncle Sams Cider (11/12/2021) (Blue)</v>
      </c>
      <c r="H736" s="19"/>
    </row>
    <row r="737">
      <c r="A737" s="9"/>
      <c r="B737" s="15"/>
      <c r="C737" s="9">
        <f>IFERROR(__xludf.DUMMYFUNCTION("""COMPUTED_VALUE"""),44597.8839498263)</f>
        <v>44597.88395</v>
      </c>
      <c r="D737" s="15">
        <f>IFERROR(__xludf.DUMMYFUNCTION("""COMPUTED_VALUE"""),0.999)</f>
        <v>0.999</v>
      </c>
      <c r="E737" s="16">
        <f>IFERROR(__xludf.DUMMYFUNCTION("""COMPUTED_VALUE"""),65.0)</f>
        <v>65</v>
      </c>
      <c r="F737" s="19" t="str">
        <f>IFERROR(__xludf.DUMMYFUNCTION("""COMPUTED_VALUE"""),"BLUE")</f>
        <v>BLUE</v>
      </c>
      <c r="G737" s="20" t="str">
        <f>IFERROR(__xludf.DUMMYFUNCTION("""COMPUTED_VALUE"""),"Uncle Sams Cider (11/12/2021) (Blue)")</f>
        <v>Uncle Sams Cider (11/12/2021) (Blue)</v>
      </c>
      <c r="H737" s="19"/>
    </row>
    <row r="738">
      <c r="A738" s="9"/>
      <c r="B738" s="15"/>
      <c r="C738" s="9">
        <f>IFERROR(__xludf.DUMMYFUNCTION("""COMPUTED_VALUE"""),44597.8735301388)</f>
        <v>44597.87353</v>
      </c>
      <c r="D738" s="15">
        <f>IFERROR(__xludf.DUMMYFUNCTION("""COMPUTED_VALUE"""),0.999)</f>
        <v>0.999</v>
      </c>
      <c r="E738" s="16">
        <f>IFERROR(__xludf.DUMMYFUNCTION("""COMPUTED_VALUE"""),65.0)</f>
        <v>65</v>
      </c>
      <c r="F738" s="19" t="str">
        <f>IFERROR(__xludf.DUMMYFUNCTION("""COMPUTED_VALUE"""),"BLUE")</f>
        <v>BLUE</v>
      </c>
      <c r="G738" s="20" t="str">
        <f>IFERROR(__xludf.DUMMYFUNCTION("""COMPUTED_VALUE"""),"Uncle Sams Cider (11/12/2021) (Blue)")</f>
        <v>Uncle Sams Cider (11/12/2021) (Blue)</v>
      </c>
      <c r="H738" s="19"/>
    </row>
    <row r="739">
      <c r="A739" s="9"/>
      <c r="B739" s="15"/>
      <c r="C739" s="9">
        <f>IFERROR(__xludf.DUMMYFUNCTION("""COMPUTED_VALUE"""),44597.8631088194)</f>
        <v>44597.86311</v>
      </c>
      <c r="D739" s="15">
        <f>IFERROR(__xludf.DUMMYFUNCTION("""COMPUTED_VALUE"""),0.999)</f>
        <v>0.999</v>
      </c>
      <c r="E739" s="16">
        <f>IFERROR(__xludf.DUMMYFUNCTION("""COMPUTED_VALUE"""),65.0)</f>
        <v>65</v>
      </c>
      <c r="F739" s="19" t="str">
        <f>IFERROR(__xludf.DUMMYFUNCTION("""COMPUTED_VALUE"""),"BLUE")</f>
        <v>BLUE</v>
      </c>
      <c r="G739" s="20" t="str">
        <f>IFERROR(__xludf.DUMMYFUNCTION("""COMPUTED_VALUE"""),"Uncle Sams Cider (11/12/2021) (Blue)")</f>
        <v>Uncle Sams Cider (11/12/2021) (Blue)</v>
      </c>
      <c r="H739" s="19"/>
    </row>
    <row r="740">
      <c r="A740" s="9"/>
      <c r="B740" s="15"/>
      <c r="C740" s="9">
        <f>IFERROR(__xludf.DUMMYFUNCTION("""COMPUTED_VALUE"""),44597.8526895254)</f>
        <v>44597.85269</v>
      </c>
      <c r="D740" s="15">
        <f>IFERROR(__xludf.DUMMYFUNCTION("""COMPUTED_VALUE"""),0.999)</f>
        <v>0.999</v>
      </c>
      <c r="E740" s="16">
        <f>IFERROR(__xludf.DUMMYFUNCTION("""COMPUTED_VALUE"""),65.0)</f>
        <v>65</v>
      </c>
      <c r="F740" s="19" t="str">
        <f>IFERROR(__xludf.DUMMYFUNCTION("""COMPUTED_VALUE"""),"BLUE")</f>
        <v>BLUE</v>
      </c>
      <c r="G740" s="20" t="str">
        <f>IFERROR(__xludf.DUMMYFUNCTION("""COMPUTED_VALUE"""),"Uncle Sams Cider (11/12/2021) (Blue)")</f>
        <v>Uncle Sams Cider (11/12/2021) (Blue)</v>
      </c>
      <c r="H740" s="19"/>
    </row>
    <row r="741">
      <c r="A741" s="9"/>
      <c r="B741" s="15"/>
      <c r="C741" s="9">
        <f>IFERROR(__xludf.DUMMYFUNCTION("""COMPUTED_VALUE"""),44597.8422691203)</f>
        <v>44597.84227</v>
      </c>
      <c r="D741" s="15">
        <f>IFERROR(__xludf.DUMMYFUNCTION("""COMPUTED_VALUE"""),0.999)</f>
        <v>0.999</v>
      </c>
      <c r="E741" s="16">
        <f>IFERROR(__xludf.DUMMYFUNCTION("""COMPUTED_VALUE"""),65.0)</f>
        <v>65</v>
      </c>
      <c r="F741" s="19" t="str">
        <f>IFERROR(__xludf.DUMMYFUNCTION("""COMPUTED_VALUE"""),"BLUE")</f>
        <v>BLUE</v>
      </c>
      <c r="G741" s="20" t="str">
        <f>IFERROR(__xludf.DUMMYFUNCTION("""COMPUTED_VALUE"""),"Uncle Sams Cider (11/12/2021) (Blue)")</f>
        <v>Uncle Sams Cider (11/12/2021) (Blue)</v>
      </c>
      <c r="H741" s="19"/>
    </row>
    <row r="742">
      <c r="A742" s="9"/>
      <c r="B742" s="15"/>
      <c r="C742" s="9">
        <f>IFERROR(__xludf.DUMMYFUNCTION("""COMPUTED_VALUE"""),44597.8318501157)</f>
        <v>44597.83185</v>
      </c>
      <c r="D742" s="15">
        <f>IFERROR(__xludf.DUMMYFUNCTION("""COMPUTED_VALUE"""),1.0)</f>
        <v>1</v>
      </c>
      <c r="E742" s="16">
        <f>IFERROR(__xludf.DUMMYFUNCTION("""COMPUTED_VALUE"""),65.0)</f>
        <v>65</v>
      </c>
      <c r="F742" s="19" t="str">
        <f>IFERROR(__xludf.DUMMYFUNCTION("""COMPUTED_VALUE"""),"BLUE")</f>
        <v>BLUE</v>
      </c>
      <c r="G742" s="20" t="str">
        <f>IFERROR(__xludf.DUMMYFUNCTION("""COMPUTED_VALUE"""),"Uncle Sams Cider (11/12/2021) (Blue)")</f>
        <v>Uncle Sams Cider (11/12/2021) (Blue)</v>
      </c>
      <c r="H742" s="19"/>
    </row>
    <row r="743">
      <c r="A743" s="9"/>
      <c r="B743" s="15"/>
      <c r="C743" s="9">
        <f>IFERROR(__xludf.DUMMYFUNCTION("""COMPUTED_VALUE"""),44597.8214303356)</f>
        <v>44597.82143</v>
      </c>
      <c r="D743" s="15">
        <f>IFERROR(__xludf.DUMMYFUNCTION("""COMPUTED_VALUE"""),0.999)</f>
        <v>0.999</v>
      </c>
      <c r="E743" s="16">
        <f>IFERROR(__xludf.DUMMYFUNCTION("""COMPUTED_VALUE"""),65.0)</f>
        <v>65</v>
      </c>
      <c r="F743" s="19" t="str">
        <f>IFERROR(__xludf.DUMMYFUNCTION("""COMPUTED_VALUE"""),"BLUE")</f>
        <v>BLUE</v>
      </c>
      <c r="G743" s="20" t="str">
        <f>IFERROR(__xludf.DUMMYFUNCTION("""COMPUTED_VALUE"""),"Uncle Sams Cider (11/12/2021) (Blue)")</f>
        <v>Uncle Sams Cider (11/12/2021) (Blue)</v>
      </c>
      <c r="H743" s="19"/>
    </row>
    <row r="744">
      <c r="A744" s="9"/>
      <c r="B744" s="15"/>
      <c r="C744" s="9">
        <f>IFERROR(__xludf.DUMMYFUNCTION("""COMPUTED_VALUE"""),44597.81100853)</f>
        <v>44597.81101</v>
      </c>
      <c r="D744" s="15">
        <f>IFERROR(__xludf.DUMMYFUNCTION("""COMPUTED_VALUE"""),0.999)</f>
        <v>0.999</v>
      </c>
      <c r="E744" s="16">
        <f>IFERROR(__xludf.DUMMYFUNCTION("""COMPUTED_VALUE"""),65.0)</f>
        <v>65</v>
      </c>
      <c r="F744" s="19" t="str">
        <f>IFERROR(__xludf.DUMMYFUNCTION("""COMPUTED_VALUE"""),"BLUE")</f>
        <v>BLUE</v>
      </c>
      <c r="G744" s="20" t="str">
        <f>IFERROR(__xludf.DUMMYFUNCTION("""COMPUTED_VALUE"""),"Uncle Sams Cider (11/12/2021) (Blue)")</f>
        <v>Uncle Sams Cider (11/12/2021) (Blue)</v>
      </c>
      <c r="H744" s="19"/>
    </row>
    <row r="745">
      <c r="A745" s="9"/>
      <c r="B745" s="15"/>
      <c r="C745" s="9">
        <f>IFERROR(__xludf.DUMMYFUNCTION("""COMPUTED_VALUE"""),44597.8005881365)</f>
        <v>44597.80059</v>
      </c>
      <c r="D745" s="15">
        <f>IFERROR(__xludf.DUMMYFUNCTION("""COMPUTED_VALUE"""),0.999)</f>
        <v>0.999</v>
      </c>
      <c r="E745" s="16">
        <f>IFERROR(__xludf.DUMMYFUNCTION("""COMPUTED_VALUE"""),65.0)</f>
        <v>65</v>
      </c>
      <c r="F745" s="19" t="str">
        <f>IFERROR(__xludf.DUMMYFUNCTION("""COMPUTED_VALUE"""),"BLUE")</f>
        <v>BLUE</v>
      </c>
      <c r="G745" s="20" t="str">
        <f>IFERROR(__xludf.DUMMYFUNCTION("""COMPUTED_VALUE"""),"Uncle Sams Cider (11/12/2021) (Blue)")</f>
        <v>Uncle Sams Cider (11/12/2021) (Blue)</v>
      </c>
      <c r="H745" s="19"/>
    </row>
    <row r="746">
      <c r="A746" s="9"/>
      <c r="B746" s="15"/>
      <c r="C746" s="9">
        <f>IFERROR(__xludf.DUMMYFUNCTION("""COMPUTED_VALUE"""),44597.790155405)</f>
        <v>44597.79016</v>
      </c>
      <c r="D746" s="15">
        <f>IFERROR(__xludf.DUMMYFUNCTION("""COMPUTED_VALUE"""),0.999)</f>
        <v>0.999</v>
      </c>
      <c r="E746" s="16">
        <f>IFERROR(__xludf.DUMMYFUNCTION("""COMPUTED_VALUE"""),65.0)</f>
        <v>65</v>
      </c>
      <c r="F746" s="19" t="str">
        <f>IFERROR(__xludf.DUMMYFUNCTION("""COMPUTED_VALUE"""),"BLUE")</f>
        <v>BLUE</v>
      </c>
      <c r="G746" s="20" t="str">
        <f>IFERROR(__xludf.DUMMYFUNCTION("""COMPUTED_VALUE"""),"Uncle Sams Cider (11/12/2021) (Blue)")</f>
        <v>Uncle Sams Cider (11/12/2021) (Blue)</v>
      </c>
      <c r="H746" s="19"/>
    </row>
    <row r="747">
      <c r="A747" s="9"/>
      <c r="B747" s="15"/>
      <c r="C747" s="9">
        <f>IFERROR(__xludf.DUMMYFUNCTION("""COMPUTED_VALUE"""),44597.7797330208)</f>
        <v>44597.77973</v>
      </c>
      <c r="D747" s="15">
        <f>IFERROR(__xludf.DUMMYFUNCTION("""COMPUTED_VALUE"""),0.999)</f>
        <v>0.999</v>
      </c>
      <c r="E747" s="16">
        <f>IFERROR(__xludf.DUMMYFUNCTION("""COMPUTED_VALUE"""),65.0)</f>
        <v>65</v>
      </c>
      <c r="F747" s="19" t="str">
        <f>IFERROR(__xludf.DUMMYFUNCTION("""COMPUTED_VALUE"""),"BLUE")</f>
        <v>BLUE</v>
      </c>
      <c r="G747" s="20" t="str">
        <f>IFERROR(__xludf.DUMMYFUNCTION("""COMPUTED_VALUE"""),"Uncle Sams Cider (11/12/2021) (Blue)")</f>
        <v>Uncle Sams Cider (11/12/2021) (Blue)</v>
      </c>
      <c r="H747" s="19"/>
    </row>
    <row r="748">
      <c r="A748" s="9"/>
      <c r="B748" s="15"/>
      <c r="C748" s="9">
        <f>IFERROR(__xludf.DUMMYFUNCTION("""COMPUTED_VALUE"""),44597.769313287)</f>
        <v>44597.76931</v>
      </c>
      <c r="D748" s="15">
        <f>IFERROR(__xludf.DUMMYFUNCTION("""COMPUTED_VALUE"""),0.999)</f>
        <v>0.999</v>
      </c>
      <c r="E748" s="16">
        <f>IFERROR(__xludf.DUMMYFUNCTION("""COMPUTED_VALUE"""),65.0)</f>
        <v>65</v>
      </c>
      <c r="F748" s="19" t="str">
        <f>IFERROR(__xludf.DUMMYFUNCTION("""COMPUTED_VALUE"""),"BLUE")</f>
        <v>BLUE</v>
      </c>
      <c r="G748" s="20" t="str">
        <f>IFERROR(__xludf.DUMMYFUNCTION("""COMPUTED_VALUE"""),"Uncle Sams Cider (11/12/2021) (Blue)")</f>
        <v>Uncle Sams Cider (11/12/2021) (Blue)</v>
      </c>
      <c r="H748" s="19"/>
    </row>
    <row r="749">
      <c r="A749" s="9"/>
      <c r="B749" s="15"/>
      <c r="C749" s="9">
        <f>IFERROR(__xludf.DUMMYFUNCTION("""COMPUTED_VALUE"""),44597.7588929513)</f>
        <v>44597.75889</v>
      </c>
      <c r="D749" s="15">
        <f>IFERROR(__xludf.DUMMYFUNCTION("""COMPUTED_VALUE"""),1.0)</f>
        <v>1</v>
      </c>
      <c r="E749" s="16">
        <f>IFERROR(__xludf.DUMMYFUNCTION("""COMPUTED_VALUE"""),65.0)</f>
        <v>65</v>
      </c>
      <c r="F749" s="19" t="str">
        <f>IFERROR(__xludf.DUMMYFUNCTION("""COMPUTED_VALUE"""),"BLUE")</f>
        <v>BLUE</v>
      </c>
      <c r="G749" s="20" t="str">
        <f>IFERROR(__xludf.DUMMYFUNCTION("""COMPUTED_VALUE"""),"Uncle Sams Cider (11/12/2021) (Blue)")</f>
        <v>Uncle Sams Cider (11/12/2021) (Blue)</v>
      </c>
      <c r="H749" s="19"/>
    </row>
    <row r="750">
      <c r="A750" s="9"/>
      <c r="B750" s="15"/>
      <c r="C750" s="9">
        <f>IFERROR(__xludf.DUMMYFUNCTION("""COMPUTED_VALUE"""),44597.7484704166)</f>
        <v>44597.74847</v>
      </c>
      <c r="D750" s="15">
        <f>IFERROR(__xludf.DUMMYFUNCTION("""COMPUTED_VALUE"""),0.999)</f>
        <v>0.999</v>
      </c>
      <c r="E750" s="16">
        <f>IFERROR(__xludf.DUMMYFUNCTION("""COMPUTED_VALUE"""),65.0)</f>
        <v>65</v>
      </c>
      <c r="F750" s="19" t="str">
        <f>IFERROR(__xludf.DUMMYFUNCTION("""COMPUTED_VALUE"""),"BLUE")</f>
        <v>BLUE</v>
      </c>
      <c r="G750" s="20" t="str">
        <f>IFERROR(__xludf.DUMMYFUNCTION("""COMPUTED_VALUE"""),"Uncle Sams Cider (11/12/2021) (Blue)")</f>
        <v>Uncle Sams Cider (11/12/2021) (Blue)</v>
      </c>
      <c r="H750" s="19"/>
    </row>
    <row r="751">
      <c r="A751" s="9"/>
      <c r="B751" s="15"/>
      <c r="C751" s="9">
        <f>IFERROR(__xludf.DUMMYFUNCTION("""COMPUTED_VALUE"""),44597.7380498032)</f>
        <v>44597.73805</v>
      </c>
      <c r="D751" s="15">
        <f>IFERROR(__xludf.DUMMYFUNCTION("""COMPUTED_VALUE"""),0.999)</f>
        <v>0.999</v>
      </c>
      <c r="E751" s="16">
        <f>IFERROR(__xludf.DUMMYFUNCTION("""COMPUTED_VALUE"""),65.0)</f>
        <v>65</v>
      </c>
      <c r="F751" s="19" t="str">
        <f>IFERROR(__xludf.DUMMYFUNCTION("""COMPUTED_VALUE"""),"BLUE")</f>
        <v>BLUE</v>
      </c>
      <c r="G751" s="20" t="str">
        <f>IFERROR(__xludf.DUMMYFUNCTION("""COMPUTED_VALUE"""),"Uncle Sams Cider (11/12/2021) (Blue)")</f>
        <v>Uncle Sams Cider (11/12/2021) (Blue)</v>
      </c>
      <c r="H751" s="19"/>
    </row>
    <row r="752">
      <c r="A752" s="9"/>
      <c r="B752" s="15"/>
      <c r="C752" s="9">
        <f>IFERROR(__xludf.DUMMYFUNCTION("""COMPUTED_VALUE"""),44597.7276290393)</f>
        <v>44597.72763</v>
      </c>
      <c r="D752" s="15">
        <f>IFERROR(__xludf.DUMMYFUNCTION("""COMPUTED_VALUE"""),0.999)</f>
        <v>0.999</v>
      </c>
      <c r="E752" s="16">
        <f>IFERROR(__xludf.DUMMYFUNCTION("""COMPUTED_VALUE"""),65.0)</f>
        <v>65</v>
      </c>
      <c r="F752" s="19" t="str">
        <f>IFERROR(__xludf.DUMMYFUNCTION("""COMPUTED_VALUE"""),"BLUE")</f>
        <v>BLUE</v>
      </c>
      <c r="G752" s="20" t="str">
        <f>IFERROR(__xludf.DUMMYFUNCTION("""COMPUTED_VALUE"""),"Uncle Sams Cider (11/12/2021) (Blue)")</f>
        <v>Uncle Sams Cider (11/12/2021) (Blue)</v>
      </c>
      <c r="H752" s="19"/>
    </row>
    <row r="753">
      <c r="A753" s="9"/>
      <c r="B753" s="15"/>
      <c r="C753" s="9">
        <f>IFERROR(__xludf.DUMMYFUNCTION("""COMPUTED_VALUE"""),44597.7172066898)</f>
        <v>44597.71721</v>
      </c>
      <c r="D753" s="15">
        <f>IFERROR(__xludf.DUMMYFUNCTION("""COMPUTED_VALUE"""),0.999)</f>
        <v>0.999</v>
      </c>
      <c r="E753" s="16">
        <f>IFERROR(__xludf.DUMMYFUNCTION("""COMPUTED_VALUE"""),65.0)</f>
        <v>65</v>
      </c>
      <c r="F753" s="19" t="str">
        <f>IFERROR(__xludf.DUMMYFUNCTION("""COMPUTED_VALUE"""),"BLUE")</f>
        <v>BLUE</v>
      </c>
      <c r="G753" s="20" t="str">
        <f>IFERROR(__xludf.DUMMYFUNCTION("""COMPUTED_VALUE"""),"Uncle Sams Cider (11/12/2021) (Blue)")</f>
        <v>Uncle Sams Cider (11/12/2021) (Blue)</v>
      </c>
      <c r="H753" s="19"/>
    </row>
    <row r="754">
      <c r="A754" s="9"/>
      <c r="B754" s="15"/>
      <c r="C754" s="9">
        <f>IFERROR(__xludf.DUMMYFUNCTION("""COMPUTED_VALUE"""),44597.706786956)</f>
        <v>44597.70679</v>
      </c>
      <c r="D754" s="15">
        <f>IFERROR(__xludf.DUMMYFUNCTION("""COMPUTED_VALUE"""),0.999)</f>
        <v>0.999</v>
      </c>
      <c r="E754" s="16">
        <f>IFERROR(__xludf.DUMMYFUNCTION("""COMPUTED_VALUE"""),65.0)</f>
        <v>65</v>
      </c>
      <c r="F754" s="19" t="str">
        <f>IFERROR(__xludf.DUMMYFUNCTION("""COMPUTED_VALUE"""),"BLUE")</f>
        <v>BLUE</v>
      </c>
      <c r="G754" s="20" t="str">
        <f>IFERROR(__xludf.DUMMYFUNCTION("""COMPUTED_VALUE"""),"Uncle Sams Cider (11/12/2021) (Blue)")</f>
        <v>Uncle Sams Cider (11/12/2021) (Blue)</v>
      </c>
      <c r="H754" s="19"/>
    </row>
    <row r="755">
      <c r="A755" s="9"/>
      <c r="B755" s="15"/>
      <c r="C755" s="9">
        <f>IFERROR(__xludf.DUMMYFUNCTION("""COMPUTED_VALUE"""),44597.6963655555)</f>
        <v>44597.69637</v>
      </c>
      <c r="D755" s="15">
        <f>IFERROR(__xludf.DUMMYFUNCTION("""COMPUTED_VALUE"""),0.999)</f>
        <v>0.999</v>
      </c>
      <c r="E755" s="16">
        <f>IFERROR(__xludf.DUMMYFUNCTION("""COMPUTED_VALUE"""),65.0)</f>
        <v>65</v>
      </c>
      <c r="F755" s="19" t="str">
        <f>IFERROR(__xludf.DUMMYFUNCTION("""COMPUTED_VALUE"""),"BLUE")</f>
        <v>BLUE</v>
      </c>
      <c r="G755" s="20" t="str">
        <f>IFERROR(__xludf.DUMMYFUNCTION("""COMPUTED_VALUE"""),"Uncle Sams Cider (11/12/2021) (Blue)")</f>
        <v>Uncle Sams Cider (11/12/2021) (Blue)</v>
      </c>
      <c r="H755" s="19"/>
    </row>
    <row r="756">
      <c r="A756" s="9"/>
      <c r="B756" s="15"/>
      <c r="C756" s="9">
        <f>IFERROR(__xludf.DUMMYFUNCTION("""COMPUTED_VALUE"""),44597.6859421527)</f>
        <v>44597.68594</v>
      </c>
      <c r="D756" s="15">
        <f>IFERROR(__xludf.DUMMYFUNCTION("""COMPUTED_VALUE"""),0.999)</f>
        <v>0.999</v>
      </c>
      <c r="E756" s="16">
        <f>IFERROR(__xludf.DUMMYFUNCTION("""COMPUTED_VALUE"""),65.0)</f>
        <v>65</v>
      </c>
      <c r="F756" s="19" t="str">
        <f>IFERROR(__xludf.DUMMYFUNCTION("""COMPUTED_VALUE"""),"BLUE")</f>
        <v>BLUE</v>
      </c>
      <c r="G756" s="20" t="str">
        <f>IFERROR(__xludf.DUMMYFUNCTION("""COMPUTED_VALUE"""),"Uncle Sams Cider (11/12/2021) (Blue)")</f>
        <v>Uncle Sams Cider (11/12/2021) (Blue)</v>
      </c>
      <c r="H756" s="19"/>
    </row>
    <row r="757">
      <c r="A757" s="9"/>
      <c r="B757" s="15"/>
      <c r="C757" s="9">
        <f>IFERROR(__xludf.DUMMYFUNCTION("""COMPUTED_VALUE"""),44597.6755087847)</f>
        <v>44597.67551</v>
      </c>
      <c r="D757" s="15">
        <f>IFERROR(__xludf.DUMMYFUNCTION("""COMPUTED_VALUE"""),0.999)</f>
        <v>0.999</v>
      </c>
      <c r="E757" s="16">
        <f>IFERROR(__xludf.DUMMYFUNCTION("""COMPUTED_VALUE"""),65.0)</f>
        <v>65</v>
      </c>
      <c r="F757" s="19" t="str">
        <f>IFERROR(__xludf.DUMMYFUNCTION("""COMPUTED_VALUE"""),"BLUE")</f>
        <v>BLUE</v>
      </c>
      <c r="G757" s="20" t="str">
        <f>IFERROR(__xludf.DUMMYFUNCTION("""COMPUTED_VALUE"""),"Uncle Sams Cider (11/12/2021) (Blue)")</f>
        <v>Uncle Sams Cider (11/12/2021) (Blue)</v>
      </c>
      <c r="H757" s="19"/>
    </row>
    <row r="758">
      <c r="A758" s="9"/>
      <c r="B758" s="15"/>
      <c r="C758" s="9">
        <f>IFERROR(__xludf.DUMMYFUNCTION("""COMPUTED_VALUE"""),44597.6650866319)</f>
        <v>44597.66509</v>
      </c>
      <c r="D758" s="15">
        <f>IFERROR(__xludf.DUMMYFUNCTION("""COMPUTED_VALUE"""),0.999)</f>
        <v>0.999</v>
      </c>
      <c r="E758" s="16">
        <f>IFERROR(__xludf.DUMMYFUNCTION("""COMPUTED_VALUE"""),65.0)</f>
        <v>65</v>
      </c>
      <c r="F758" s="19" t="str">
        <f>IFERROR(__xludf.DUMMYFUNCTION("""COMPUTED_VALUE"""),"BLUE")</f>
        <v>BLUE</v>
      </c>
      <c r="G758" s="20" t="str">
        <f>IFERROR(__xludf.DUMMYFUNCTION("""COMPUTED_VALUE"""),"Uncle Sams Cider (11/12/2021) (Blue)")</f>
        <v>Uncle Sams Cider (11/12/2021) (Blue)</v>
      </c>
      <c r="H758" s="19"/>
    </row>
    <row r="759">
      <c r="A759" s="9"/>
      <c r="B759" s="15"/>
      <c r="C759" s="9">
        <f>IFERROR(__xludf.DUMMYFUNCTION("""COMPUTED_VALUE"""),44597.6546660763)</f>
        <v>44597.65467</v>
      </c>
      <c r="D759" s="15">
        <f>IFERROR(__xludf.DUMMYFUNCTION("""COMPUTED_VALUE"""),0.999)</f>
        <v>0.999</v>
      </c>
      <c r="E759" s="16">
        <f>IFERROR(__xludf.DUMMYFUNCTION("""COMPUTED_VALUE"""),65.0)</f>
        <v>65</v>
      </c>
      <c r="F759" s="19" t="str">
        <f>IFERROR(__xludf.DUMMYFUNCTION("""COMPUTED_VALUE"""),"BLUE")</f>
        <v>BLUE</v>
      </c>
      <c r="G759" s="20" t="str">
        <f>IFERROR(__xludf.DUMMYFUNCTION("""COMPUTED_VALUE"""),"Uncle Sams Cider (11/12/2021) (Blue)")</f>
        <v>Uncle Sams Cider (11/12/2021) (Blue)</v>
      </c>
      <c r="H759" s="19"/>
    </row>
    <row r="760">
      <c r="A760" s="9"/>
      <c r="B760" s="15"/>
      <c r="C760" s="9">
        <f>IFERROR(__xludf.DUMMYFUNCTION("""COMPUTED_VALUE"""),44597.6442335416)</f>
        <v>44597.64423</v>
      </c>
      <c r="D760" s="15">
        <f>IFERROR(__xludf.DUMMYFUNCTION("""COMPUTED_VALUE"""),1.0)</f>
        <v>1</v>
      </c>
      <c r="E760" s="16">
        <f>IFERROR(__xludf.DUMMYFUNCTION("""COMPUTED_VALUE"""),65.0)</f>
        <v>65</v>
      </c>
      <c r="F760" s="19" t="str">
        <f>IFERROR(__xludf.DUMMYFUNCTION("""COMPUTED_VALUE"""),"BLUE")</f>
        <v>BLUE</v>
      </c>
      <c r="G760" s="20" t="str">
        <f>IFERROR(__xludf.DUMMYFUNCTION("""COMPUTED_VALUE"""),"Uncle Sams Cider (11/12/2021) (Blue)")</f>
        <v>Uncle Sams Cider (11/12/2021) (Blue)</v>
      </c>
      <c r="H760" s="19"/>
    </row>
    <row r="761">
      <c r="A761" s="9"/>
      <c r="B761" s="15"/>
      <c r="C761" s="9">
        <f>IFERROR(__xludf.DUMMYFUNCTION("""COMPUTED_VALUE"""),44597.6338123611)</f>
        <v>44597.63381</v>
      </c>
      <c r="D761" s="15">
        <f>IFERROR(__xludf.DUMMYFUNCTION("""COMPUTED_VALUE"""),0.999)</f>
        <v>0.999</v>
      </c>
      <c r="E761" s="16">
        <f>IFERROR(__xludf.DUMMYFUNCTION("""COMPUTED_VALUE"""),65.0)</f>
        <v>65</v>
      </c>
      <c r="F761" s="19" t="str">
        <f>IFERROR(__xludf.DUMMYFUNCTION("""COMPUTED_VALUE"""),"BLUE")</f>
        <v>BLUE</v>
      </c>
      <c r="G761" s="20" t="str">
        <f>IFERROR(__xludf.DUMMYFUNCTION("""COMPUTED_VALUE"""),"Uncle Sams Cider (11/12/2021) (Blue)")</f>
        <v>Uncle Sams Cider (11/12/2021) (Blue)</v>
      </c>
      <c r="H761" s="19"/>
    </row>
    <row r="762">
      <c r="A762" s="9"/>
      <c r="B762" s="15"/>
      <c r="C762" s="9">
        <f>IFERROR(__xludf.DUMMYFUNCTION("""COMPUTED_VALUE"""),44597.6233924884)</f>
        <v>44597.62339</v>
      </c>
      <c r="D762" s="15">
        <f>IFERROR(__xludf.DUMMYFUNCTION("""COMPUTED_VALUE"""),0.999)</f>
        <v>0.999</v>
      </c>
      <c r="E762" s="16">
        <f>IFERROR(__xludf.DUMMYFUNCTION("""COMPUTED_VALUE"""),65.0)</f>
        <v>65</v>
      </c>
      <c r="F762" s="19" t="str">
        <f>IFERROR(__xludf.DUMMYFUNCTION("""COMPUTED_VALUE"""),"BLUE")</f>
        <v>BLUE</v>
      </c>
      <c r="G762" s="20" t="str">
        <f>IFERROR(__xludf.DUMMYFUNCTION("""COMPUTED_VALUE"""),"Uncle Sams Cider (11/12/2021) (Blue)")</f>
        <v>Uncle Sams Cider (11/12/2021) (Blue)</v>
      </c>
      <c r="H762" s="19"/>
    </row>
    <row r="763">
      <c r="A763" s="9"/>
      <c r="B763" s="15"/>
      <c r="C763" s="9">
        <f>IFERROR(__xludf.DUMMYFUNCTION("""COMPUTED_VALUE"""),44597.6129725462)</f>
        <v>44597.61297</v>
      </c>
      <c r="D763" s="15">
        <f>IFERROR(__xludf.DUMMYFUNCTION("""COMPUTED_VALUE"""),0.999)</f>
        <v>0.999</v>
      </c>
      <c r="E763" s="16">
        <f>IFERROR(__xludf.DUMMYFUNCTION("""COMPUTED_VALUE"""),66.0)</f>
        <v>66</v>
      </c>
      <c r="F763" s="19" t="str">
        <f>IFERROR(__xludf.DUMMYFUNCTION("""COMPUTED_VALUE"""),"BLUE")</f>
        <v>BLUE</v>
      </c>
      <c r="G763" s="20" t="str">
        <f>IFERROR(__xludf.DUMMYFUNCTION("""COMPUTED_VALUE"""),"Uncle Sams Cider (11/12/2021) (Blue)")</f>
        <v>Uncle Sams Cider (11/12/2021) (Blue)</v>
      </c>
      <c r="H763" s="19"/>
    </row>
    <row r="764">
      <c r="A764" s="9"/>
      <c r="B764" s="15"/>
      <c r="C764" s="9">
        <f>IFERROR(__xludf.DUMMYFUNCTION("""COMPUTED_VALUE"""),44597.6025492245)</f>
        <v>44597.60255</v>
      </c>
      <c r="D764" s="15">
        <f>IFERROR(__xludf.DUMMYFUNCTION("""COMPUTED_VALUE"""),0.999)</f>
        <v>0.999</v>
      </c>
      <c r="E764" s="16">
        <f>IFERROR(__xludf.DUMMYFUNCTION("""COMPUTED_VALUE"""),65.0)</f>
        <v>65</v>
      </c>
      <c r="F764" s="19" t="str">
        <f>IFERROR(__xludf.DUMMYFUNCTION("""COMPUTED_VALUE"""),"BLUE")</f>
        <v>BLUE</v>
      </c>
      <c r="G764" s="20" t="str">
        <f>IFERROR(__xludf.DUMMYFUNCTION("""COMPUTED_VALUE"""),"Uncle Sams Cider (11/12/2021) (Blue)")</f>
        <v>Uncle Sams Cider (11/12/2021) (Blue)</v>
      </c>
      <c r="H764" s="19"/>
    </row>
    <row r="765">
      <c r="A765" s="9"/>
      <c r="B765" s="15"/>
      <c r="C765" s="9">
        <f>IFERROR(__xludf.DUMMYFUNCTION("""COMPUTED_VALUE"""),44597.5921289814)</f>
        <v>44597.59213</v>
      </c>
      <c r="D765" s="15">
        <f>IFERROR(__xludf.DUMMYFUNCTION("""COMPUTED_VALUE"""),0.999)</f>
        <v>0.999</v>
      </c>
      <c r="E765" s="16">
        <f>IFERROR(__xludf.DUMMYFUNCTION("""COMPUTED_VALUE"""),66.0)</f>
        <v>66</v>
      </c>
      <c r="F765" s="19" t="str">
        <f>IFERROR(__xludf.DUMMYFUNCTION("""COMPUTED_VALUE"""),"BLUE")</f>
        <v>BLUE</v>
      </c>
      <c r="G765" s="20" t="str">
        <f>IFERROR(__xludf.DUMMYFUNCTION("""COMPUTED_VALUE"""),"Uncle Sams Cider (11/12/2021) (Blue)")</f>
        <v>Uncle Sams Cider (11/12/2021) (Blue)</v>
      </c>
      <c r="H765" s="19"/>
    </row>
    <row r="766">
      <c r="A766" s="9"/>
      <c r="B766" s="15"/>
      <c r="C766" s="9">
        <f>IFERROR(__xludf.DUMMYFUNCTION("""COMPUTED_VALUE"""),44597.5817078819)</f>
        <v>44597.58171</v>
      </c>
      <c r="D766" s="15">
        <f>IFERROR(__xludf.DUMMYFUNCTION("""COMPUTED_VALUE"""),0.999)</f>
        <v>0.999</v>
      </c>
      <c r="E766" s="16">
        <f>IFERROR(__xludf.DUMMYFUNCTION("""COMPUTED_VALUE"""),66.0)</f>
        <v>66</v>
      </c>
      <c r="F766" s="19" t="str">
        <f>IFERROR(__xludf.DUMMYFUNCTION("""COMPUTED_VALUE"""),"BLUE")</f>
        <v>BLUE</v>
      </c>
      <c r="G766" s="20" t="str">
        <f>IFERROR(__xludf.DUMMYFUNCTION("""COMPUTED_VALUE"""),"Uncle Sams Cider (11/12/2021) (Blue)")</f>
        <v>Uncle Sams Cider (11/12/2021) (Blue)</v>
      </c>
      <c r="H766" s="19"/>
    </row>
    <row r="767">
      <c r="A767" s="9"/>
      <c r="B767" s="15"/>
      <c r="C767" s="9">
        <f>IFERROR(__xludf.DUMMYFUNCTION("""COMPUTED_VALUE"""),44597.571286493)</f>
        <v>44597.57129</v>
      </c>
      <c r="D767" s="15">
        <f>IFERROR(__xludf.DUMMYFUNCTION("""COMPUTED_VALUE"""),0.999)</f>
        <v>0.999</v>
      </c>
      <c r="E767" s="16">
        <f>IFERROR(__xludf.DUMMYFUNCTION("""COMPUTED_VALUE"""),66.0)</f>
        <v>66</v>
      </c>
      <c r="F767" s="19" t="str">
        <f>IFERROR(__xludf.DUMMYFUNCTION("""COMPUTED_VALUE"""),"BLUE")</f>
        <v>BLUE</v>
      </c>
      <c r="G767" s="20" t="str">
        <f>IFERROR(__xludf.DUMMYFUNCTION("""COMPUTED_VALUE"""),"Uncle Sams Cider (11/12/2021) (Blue)")</f>
        <v>Uncle Sams Cider (11/12/2021) (Blue)</v>
      </c>
      <c r="H767" s="19"/>
    </row>
    <row r="768">
      <c r="A768" s="9"/>
      <c r="B768" s="15"/>
      <c r="C768" s="9">
        <f>IFERROR(__xludf.DUMMYFUNCTION("""COMPUTED_VALUE"""),44597.5608667245)</f>
        <v>44597.56087</v>
      </c>
      <c r="D768" s="15">
        <f>IFERROR(__xludf.DUMMYFUNCTION("""COMPUTED_VALUE"""),0.999)</f>
        <v>0.999</v>
      </c>
      <c r="E768" s="16">
        <f>IFERROR(__xludf.DUMMYFUNCTION("""COMPUTED_VALUE"""),66.0)</f>
        <v>66</v>
      </c>
      <c r="F768" s="19" t="str">
        <f>IFERROR(__xludf.DUMMYFUNCTION("""COMPUTED_VALUE"""),"BLUE")</f>
        <v>BLUE</v>
      </c>
      <c r="G768" s="20" t="str">
        <f>IFERROR(__xludf.DUMMYFUNCTION("""COMPUTED_VALUE"""),"Uncle Sams Cider (11/12/2021) (Blue)")</f>
        <v>Uncle Sams Cider (11/12/2021) (Blue)</v>
      </c>
      <c r="H768" s="19"/>
    </row>
    <row r="769">
      <c r="A769" s="9"/>
      <c r="B769" s="15"/>
      <c r="C769" s="9">
        <f>IFERROR(__xludf.DUMMYFUNCTION("""COMPUTED_VALUE"""),44597.5504335995)</f>
        <v>44597.55043</v>
      </c>
      <c r="D769" s="15">
        <f>IFERROR(__xludf.DUMMYFUNCTION("""COMPUTED_VALUE"""),0.999)</f>
        <v>0.999</v>
      </c>
      <c r="E769" s="16">
        <f>IFERROR(__xludf.DUMMYFUNCTION("""COMPUTED_VALUE"""),66.0)</f>
        <v>66</v>
      </c>
      <c r="F769" s="19" t="str">
        <f>IFERROR(__xludf.DUMMYFUNCTION("""COMPUTED_VALUE"""),"BLUE")</f>
        <v>BLUE</v>
      </c>
      <c r="G769" s="20" t="str">
        <f>IFERROR(__xludf.DUMMYFUNCTION("""COMPUTED_VALUE"""),"Uncle Sams Cider (11/12/2021) (Blue)")</f>
        <v>Uncle Sams Cider (11/12/2021) (Blue)</v>
      </c>
      <c r="H769" s="19"/>
    </row>
    <row r="770">
      <c r="A770" s="9"/>
      <c r="B770" s="15"/>
      <c r="C770" s="9">
        <f>IFERROR(__xludf.DUMMYFUNCTION("""COMPUTED_VALUE"""),44597.5400115162)</f>
        <v>44597.54001</v>
      </c>
      <c r="D770" s="15">
        <f>IFERROR(__xludf.DUMMYFUNCTION("""COMPUTED_VALUE"""),0.999)</f>
        <v>0.999</v>
      </c>
      <c r="E770" s="16">
        <f>IFERROR(__xludf.DUMMYFUNCTION("""COMPUTED_VALUE"""),66.0)</f>
        <v>66</v>
      </c>
      <c r="F770" s="19" t="str">
        <f>IFERROR(__xludf.DUMMYFUNCTION("""COMPUTED_VALUE"""),"BLUE")</f>
        <v>BLUE</v>
      </c>
      <c r="G770" s="20" t="str">
        <f>IFERROR(__xludf.DUMMYFUNCTION("""COMPUTED_VALUE"""),"Uncle Sams Cider (11/12/2021) (Blue)")</f>
        <v>Uncle Sams Cider (11/12/2021) (Blue)</v>
      </c>
      <c r="H770" s="19"/>
    </row>
    <row r="771">
      <c r="A771" s="9"/>
      <c r="B771" s="15"/>
      <c r="C771" s="9">
        <f>IFERROR(__xludf.DUMMYFUNCTION("""COMPUTED_VALUE"""),44597.5295773495)</f>
        <v>44597.52958</v>
      </c>
      <c r="D771" s="15">
        <f>IFERROR(__xludf.DUMMYFUNCTION("""COMPUTED_VALUE"""),0.999)</f>
        <v>0.999</v>
      </c>
      <c r="E771" s="16">
        <f>IFERROR(__xludf.DUMMYFUNCTION("""COMPUTED_VALUE"""),66.0)</f>
        <v>66</v>
      </c>
      <c r="F771" s="19" t="str">
        <f>IFERROR(__xludf.DUMMYFUNCTION("""COMPUTED_VALUE"""),"BLUE")</f>
        <v>BLUE</v>
      </c>
      <c r="G771" s="20" t="str">
        <f>IFERROR(__xludf.DUMMYFUNCTION("""COMPUTED_VALUE"""),"Uncle Sams Cider (11/12/2021) (Blue)")</f>
        <v>Uncle Sams Cider (11/12/2021) (Blue)</v>
      </c>
      <c r="H771" s="19"/>
    </row>
    <row r="772">
      <c r="A772" s="9"/>
      <c r="B772" s="15"/>
      <c r="C772" s="9">
        <f>IFERROR(__xludf.DUMMYFUNCTION("""COMPUTED_VALUE"""),44597.5191567592)</f>
        <v>44597.51916</v>
      </c>
      <c r="D772" s="15">
        <f>IFERROR(__xludf.DUMMYFUNCTION("""COMPUTED_VALUE"""),0.999)</f>
        <v>0.999</v>
      </c>
      <c r="E772" s="16">
        <f>IFERROR(__xludf.DUMMYFUNCTION("""COMPUTED_VALUE"""),66.0)</f>
        <v>66</v>
      </c>
      <c r="F772" s="19" t="str">
        <f>IFERROR(__xludf.DUMMYFUNCTION("""COMPUTED_VALUE"""),"BLUE")</f>
        <v>BLUE</v>
      </c>
      <c r="G772" s="20" t="str">
        <f>IFERROR(__xludf.DUMMYFUNCTION("""COMPUTED_VALUE"""),"Uncle Sams Cider (11/12/2021) (Blue)")</f>
        <v>Uncle Sams Cider (11/12/2021) (Blue)</v>
      </c>
      <c r="H772" s="19"/>
    </row>
    <row r="773">
      <c r="A773" s="9"/>
      <c r="B773" s="15"/>
      <c r="C773" s="9">
        <f>IFERROR(__xludf.DUMMYFUNCTION("""COMPUTED_VALUE"""),44597.5087368055)</f>
        <v>44597.50874</v>
      </c>
      <c r="D773" s="15">
        <f>IFERROR(__xludf.DUMMYFUNCTION("""COMPUTED_VALUE"""),0.999)</f>
        <v>0.999</v>
      </c>
      <c r="E773" s="16">
        <f>IFERROR(__xludf.DUMMYFUNCTION("""COMPUTED_VALUE"""),66.0)</f>
        <v>66</v>
      </c>
      <c r="F773" s="19" t="str">
        <f>IFERROR(__xludf.DUMMYFUNCTION("""COMPUTED_VALUE"""),"BLUE")</f>
        <v>BLUE</v>
      </c>
      <c r="G773" s="20" t="str">
        <f>IFERROR(__xludf.DUMMYFUNCTION("""COMPUTED_VALUE"""),"Uncle Sams Cider (11/12/2021) (Blue)")</f>
        <v>Uncle Sams Cider (11/12/2021) (Blue)</v>
      </c>
      <c r="H773" s="19"/>
    </row>
    <row r="774">
      <c r="A774" s="9"/>
      <c r="B774" s="15"/>
      <c r="C774" s="9">
        <f>IFERROR(__xludf.DUMMYFUNCTION("""COMPUTED_VALUE"""),44597.4983155208)</f>
        <v>44597.49832</v>
      </c>
      <c r="D774" s="15">
        <f>IFERROR(__xludf.DUMMYFUNCTION("""COMPUTED_VALUE"""),0.999)</f>
        <v>0.999</v>
      </c>
      <c r="E774" s="16">
        <f>IFERROR(__xludf.DUMMYFUNCTION("""COMPUTED_VALUE"""),66.0)</f>
        <v>66</v>
      </c>
      <c r="F774" s="19" t="str">
        <f>IFERROR(__xludf.DUMMYFUNCTION("""COMPUTED_VALUE"""),"BLUE")</f>
        <v>BLUE</v>
      </c>
      <c r="G774" s="20" t="str">
        <f>IFERROR(__xludf.DUMMYFUNCTION("""COMPUTED_VALUE"""),"Uncle Sams Cider (11/12/2021) (Blue)")</f>
        <v>Uncle Sams Cider (11/12/2021) (Blue)</v>
      </c>
      <c r="H774" s="19"/>
    </row>
    <row r="775">
      <c r="A775" s="9"/>
      <c r="B775" s="15"/>
      <c r="C775" s="9">
        <f>IFERROR(__xludf.DUMMYFUNCTION("""COMPUTED_VALUE"""),44597.4878965625)</f>
        <v>44597.4879</v>
      </c>
      <c r="D775" s="15">
        <f>IFERROR(__xludf.DUMMYFUNCTION("""COMPUTED_VALUE"""),0.999)</f>
        <v>0.999</v>
      </c>
      <c r="E775" s="16">
        <f>IFERROR(__xludf.DUMMYFUNCTION("""COMPUTED_VALUE"""),66.0)</f>
        <v>66</v>
      </c>
      <c r="F775" s="19" t="str">
        <f>IFERROR(__xludf.DUMMYFUNCTION("""COMPUTED_VALUE"""),"BLUE")</f>
        <v>BLUE</v>
      </c>
      <c r="G775" s="20" t="str">
        <f>IFERROR(__xludf.DUMMYFUNCTION("""COMPUTED_VALUE"""),"Uncle Sams Cider (11/12/2021) (Blue)")</f>
        <v>Uncle Sams Cider (11/12/2021) (Blue)</v>
      </c>
      <c r="H775" s="19"/>
    </row>
    <row r="776">
      <c r="A776" s="9"/>
      <c r="B776" s="15"/>
      <c r="C776" s="9">
        <f>IFERROR(__xludf.DUMMYFUNCTION("""COMPUTED_VALUE"""),44597.4774744444)</f>
        <v>44597.47747</v>
      </c>
      <c r="D776" s="15">
        <f>IFERROR(__xludf.DUMMYFUNCTION("""COMPUTED_VALUE"""),0.999)</f>
        <v>0.999</v>
      </c>
      <c r="E776" s="16">
        <f>IFERROR(__xludf.DUMMYFUNCTION("""COMPUTED_VALUE"""),66.0)</f>
        <v>66</v>
      </c>
      <c r="F776" s="19" t="str">
        <f>IFERROR(__xludf.DUMMYFUNCTION("""COMPUTED_VALUE"""),"BLUE")</f>
        <v>BLUE</v>
      </c>
      <c r="G776" s="20" t="str">
        <f>IFERROR(__xludf.DUMMYFUNCTION("""COMPUTED_VALUE"""),"Uncle Sams Cider (11/12/2021) (Blue)")</f>
        <v>Uncle Sams Cider (11/12/2021) (Blue)</v>
      </c>
      <c r="H776" s="19"/>
    </row>
    <row r="777">
      <c r="A777" s="9"/>
      <c r="B777" s="15"/>
      <c r="C777" s="9">
        <f>IFERROR(__xludf.DUMMYFUNCTION("""COMPUTED_VALUE"""),44597.4670539351)</f>
        <v>44597.46705</v>
      </c>
      <c r="D777" s="15">
        <f>IFERROR(__xludf.DUMMYFUNCTION("""COMPUTED_VALUE"""),0.999)</f>
        <v>0.999</v>
      </c>
      <c r="E777" s="16">
        <f>IFERROR(__xludf.DUMMYFUNCTION("""COMPUTED_VALUE"""),66.0)</f>
        <v>66</v>
      </c>
      <c r="F777" s="19" t="str">
        <f>IFERROR(__xludf.DUMMYFUNCTION("""COMPUTED_VALUE"""),"BLUE")</f>
        <v>BLUE</v>
      </c>
      <c r="G777" s="20" t="str">
        <f>IFERROR(__xludf.DUMMYFUNCTION("""COMPUTED_VALUE"""),"Uncle Sams Cider (11/12/2021) (Blue)")</f>
        <v>Uncle Sams Cider (11/12/2021) (Blue)</v>
      </c>
      <c r="H777" s="19"/>
    </row>
    <row r="778">
      <c r="A778" s="9"/>
      <c r="B778" s="15"/>
      <c r="C778" s="9">
        <f>IFERROR(__xludf.DUMMYFUNCTION("""COMPUTED_VALUE"""),44597.4566203819)</f>
        <v>44597.45662</v>
      </c>
      <c r="D778" s="15">
        <f>IFERROR(__xludf.DUMMYFUNCTION("""COMPUTED_VALUE"""),0.999)</f>
        <v>0.999</v>
      </c>
      <c r="E778" s="16">
        <f>IFERROR(__xludf.DUMMYFUNCTION("""COMPUTED_VALUE"""),66.0)</f>
        <v>66</v>
      </c>
      <c r="F778" s="19" t="str">
        <f>IFERROR(__xludf.DUMMYFUNCTION("""COMPUTED_VALUE"""),"BLUE")</f>
        <v>BLUE</v>
      </c>
      <c r="G778" s="20" t="str">
        <f>IFERROR(__xludf.DUMMYFUNCTION("""COMPUTED_VALUE"""),"Uncle Sams Cider (11/12/2021) (Blue)")</f>
        <v>Uncle Sams Cider (11/12/2021) (Blue)</v>
      </c>
      <c r="H778" s="19"/>
    </row>
    <row r="779">
      <c r="A779" s="9"/>
      <c r="B779" s="15"/>
      <c r="C779" s="9">
        <f>IFERROR(__xludf.DUMMYFUNCTION("""COMPUTED_VALUE"""),44597.446187743)</f>
        <v>44597.44619</v>
      </c>
      <c r="D779" s="15">
        <f>IFERROR(__xludf.DUMMYFUNCTION("""COMPUTED_VALUE"""),0.999)</f>
        <v>0.999</v>
      </c>
      <c r="E779" s="16">
        <f>IFERROR(__xludf.DUMMYFUNCTION("""COMPUTED_VALUE"""),66.0)</f>
        <v>66</v>
      </c>
      <c r="F779" s="19" t="str">
        <f>IFERROR(__xludf.DUMMYFUNCTION("""COMPUTED_VALUE"""),"BLUE")</f>
        <v>BLUE</v>
      </c>
      <c r="G779" s="20" t="str">
        <f>IFERROR(__xludf.DUMMYFUNCTION("""COMPUTED_VALUE"""),"Uncle Sams Cider (11/12/2021) (Blue)")</f>
        <v>Uncle Sams Cider (11/12/2021) (Blue)</v>
      </c>
      <c r="H779" s="19"/>
    </row>
    <row r="780">
      <c r="A780" s="9"/>
      <c r="B780" s="15"/>
      <c r="C780" s="9">
        <f>IFERROR(__xludf.DUMMYFUNCTION("""COMPUTED_VALUE"""),44597.4357660069)</f>
        <v>44597.43577</v>
      </c>
      <c r="D780" s="15">
        <f>IFERROR(__xludf.DUMMYFUNCTION("""COMPUTED_VALUE"""),0.999)</f>
        <v>0.999</v>
      </c>
      <c r="E780" s="16">
        <f>IFERROR(__xludf.DUMMYFUNCTION("""COMPUTED_VALUE"""),66.0)</f>
        <v>66</v>
      </c>
      <c r="F780" s="19" t="str">
        <f>IFERROR(__xludf.DUMMYFUNCTION("""COMPUTED_VALUE"""),"BLUE")</f>
        <v>BLUE</v>
      </c>
      <c r="G780" s="20" t="str">
        <f>IFERROR(__xludf.DUMMYFUNCTION("""COMPUTED_VALUE"""),"Uncle Sams Cider (11/12/2021) (Blue)")</f>
        <v>Uncle Sams Cider (11/12/2021) (Blue)</v>
      </c>
      <c r="H780" s="19"/>
    </row>
    <row r="781">
      <c r="A781" s="9"/>
      <c r="B781" s="15"/>
      <c r="C781" s="9">
        <f>IFERROR(__xludf.DUMMYFUNCTION("""COMPUTED_VALUE"""),44597.4253460995)</f>
        <v>44597.42535</v>
      </c>
      <c r="D781" s="15">
        <f>IFERROR(__xludf.DUMMYFUNCTION("""COMPUTED_VALUE"""),0.999)</f>
        <v>0.999</v>
      </c>
      <c r="E781" s="16">
        <f>IFERROR(__xludf.DUMMYFUNCTION("""COMPUTED_VALUE"""),66.0)</f>
        <v>66</v>
      </c>
      <c r="F781" s="19" t="str">
        <f>IFERROR(__xludf.DUMMYFUNCTION("""COMPUTED_VALUE"""),"BLUE")</f>
        <v>BLUE</v>
      </c>
      <c r="G781" s="20" t="str">
        <f>IFERROR(__xludf.DUMMYFUNCTION("""COMPUTED_VALUE"""),"Uncle Sams Cider (11/12/2021) (Blue)")</f>
        <v>Uncle Sams Cider (11/12/2021) (Blue)</v>
      </c>
      <c r="H781" s="19"/>
    </row>
    <row r="782">
      <c r="A782" s="9"/>
      <c r="B782" s="15"/>
      <c r="C782" s="9">
        <f>IFERROR(__xludf.DUMMYFUNCTION("""COMPUTED_VALUE"""),44597.4149243402)</f>
        <v>44597.41492</v>
      </c>
      <c r="D782" s="15">
        <f>IFERROR(__xludf.DUMMYFUNCTION("""COMPUTED_VALUE"""),0.999)</f>
        <v>0.999</v>
      </c>
      <c r="E782" s="16">
        <f>IFERROR(__xludf.DUMMYFUNCTION("""COMPUTED_VALUE"""),66.0)</f>
        <v>66</v>
      </c>
      <c r="F782" s="19" t="str">
        <f>IFERROR(__xludf.DUMMYFUNCTION("""COMPUTED_VALUE"""),"BLUE")</f>
        <v>BLUE</v>
      </c>
      <c r="G782" s="20" t="str">
        <f>IFERROR(__xludf.DUMMYFUNCTION("""COMPUTED_VALUE"""),"Uncle Sams Cider (11/12/2021) (Blue)")</f>
        <v>Uncle Sams Cider (11/12/2021) (Blue)</v>
      </c>
      <c r="H782" s="19"/>
    </row>
    <row r="783">
      <c r="A783" s="9"/>
      <c r="B783" s="15"/>
      <c r="C783" s="9">
        <f>IFERROR(__xludf.DUMMYFUNCTION("""COMPUTED_VALUE"""),44597.4045035185)</f>
        <v>44597.4045</v>
      </c>
      <c r="D783" s="15">
        <f>IFERROR(__xludf.DUMMYFUNCTION("""COMPUTED_VALUE"""),0.999)</f>
        <v>0.999</v>
      </c>
      <c r="E783" s="16">
        <f>IFERROR(__xludf.DUMMYFUNCTION("""COMPUTED_VALUE"""),66.0)</f>
        <v>66</v>
      </c>
      <c r="F783" s="19" t="str">
        <f>IFERROR(__xludf.DUMMYFUNCTION("""COMPUTED_VALUE"""),"BLUE")</f>
        <v>BLUE</v>
      </c>
      <c r="G783" s="20" t="str">
        <f>IFERROR(__xludf.DUMMYFUNCTION("""COMPUTED_VALUE"""),"Uncle Sams Cider (11/12/2021) (Blue)")</f>
        <v>Uncle Sams Cider (11/12/2021) (Blue)</v>
      </c>
      <c r="H783" s="19"/>
    </row>
    <row r="784">
      <c r="A784" s="9"/>
      <c r="B784" s="15"/>
      <c r="C784" s="9">
        <f>IFERROR(__xludf.DUMMYFUNCTION("""COMPUTED_VALUE"""),44597.3940826273)</f>
        <v>44597.39408</v>
      </c>
      <c r="D784" s="15">
        <f>IFERROR(__xludf.DUMMYFUNCTION("""COMPUTED_VALUE"""),0.999)</f>
        <v>0.999</v>
      </c>
      <c r="E784" s="16">
        <f>IFERROR(__xludf.DUMMYFUNCTION("""COMPUTED_VALUE"""),66.0)</f>
        <v>66</v>
      </c>
      <c r="F784" s="19" t="str">
        <f>IFERROR(__xludf.DUMMYFUNCTION("""COMPUTED_VALUE"""),"BLUE")</f>
        <v>BLUE</v>
      </c>
      <c r="G784" s="20" t="str">
        <f>IFERROR(__xludf.DUMMYFUNCTION("""COMPUTED_VALUE"""),"Uncle Sams Cider (11/12/2021) (Blue)")</f>
        <v>Uncle Sams Cider (11/12/2021) (Blue)</v>
      </c>
      <c r="H784" s="19"/>
    </row>
    <row r="785">
      <c r="A785" s="9"/>
      <c r="B785" s="15"/>
      <c r="C785" s="9">
        <f>IFERROR(__xludf.DUMMYFUNCTION("""COMPUTED_VALUE"""),44597.3836619791)</f>
        <v>44597.38366</v>
      </c>
      <c r="D785" s="15">
        <f>IFERROR(__xludf.DUMMYFUNCTION("""COMPUTED_VALUE"""),0.999)</f>
        <v>0.999</v>
      </c>
      <c r="E785" s="16">
        <f>IFERROR(__xludf.DUMMYFUNCTION("""COMPUTED_VALUE"""),66.0)</f>
        <v>66</v>
      </c>
      <c r="F785" s="19" t="str">
        <f>IFERROR(__xludf.DUMMYFUNCTION("""COMPUTED_VALUE"""),"BLUE")</f>
        <v>BLUE</v>
      </c>
      <c r="G785" s="20" t="str">
        <f>IFERROR(__xludf.DUMMYFUNCTION("""COMPUTED_VALUE"""),"Uncle Sams Cider (11/12/2021) (Blue)")</f>
        <v>Uncle Sams Cider (11/12/2021) (Blue)</v>
      </c>
      <c r="H785" s="19"/>
    </row>
    <row r="786">
      <c r="A786" s="9"/>
      <c r="B786" s="15"/>
      <c r="C786" s="9">
        <f>IFERROR(__xludf.DUMMYFUNCTION("""COMPUTED_VALUE"""),44597.3732415972)</f>
        <v>44597.37324</v>
      </c>
      <c r="D786" s="15">
        <f>IFERROR(__xludf.DUMMYFUNCTION("""COMPUTED_VALUE"""),0.999)</f>
        <v>0.999</v>
      </c>
      <c r="E786" s="16">
        <f>IFERROR(__xludf.DUMMYFUNCTION("""COMPUTED_VALUE"""),66.0)</f>
        <v>66</v>
      </c>
      <c r="F786" s="19" t="str">
        <f>IFERROR(__xludf.DUMMYFUNCTION("""COMPUTED_VALUE"""),"BLUE")</f>
        <v>BLUE</v>
      </c>
      <c r="G786" s="20" t="str">
        <f>IFERROR(__xludf.DUMMYFUNCTION("""COMPUTED_VALUE"""),"Uncle Sams Cider (11/12/2021) (Blue)")</f>
        <v>Uncle Sams Cider (11/12/2021) (Blue)</v>
      </c>
      <c r="H786" s="19"/>
    </row>
    <row r="787">
      <c r="A787" s="9"/>
      <c r="B787" s="15"/>
      <c r="C787" s="9">
        <f>IFERROR(__xludf.DUMMYFUNCTION("""COMPUTED_VALUE"""),44597.3628194675)</f>
        <v>44597.36282</v>
      </c>
      <c r="D787" s="15">
        <f>IFERROR(__xludf.DUMMYFUNCTION("""COMPUTED_VALUE"""),0.999)</f>
        <v>0.999</v>
      </c>
      <c r="E787" s="16">
        <f>IFERROR(__xludf.DUMMYFUNCTION("""COMPUTED_VALUE"""),66.0)</f>
        <v>66</v>
      </c>
      <c r="F787" s="19" t="str">
        <f>IFERROR(__xludf.DUMMYFUNCTION("""COMPUTED_VALUE"""),"BLUE")</f>
        <v>BLUE</v>
      </c>
      <c r="G787" s="20" t="str">
        <f>IFERROR(__xludf.DUMMYFUNCTION("""COMPUTED_VALUE"""),"Uncle Sams Cider (11/12/2021) (Blue)")</f>
        <v>Uncle Sams Cider (11/12/2021) (Blue)</v>
      </c>
      <c r="H787" s="19"/>
    </row>
    <row r="788">
      <c r="A788" s="9"/>
      <c r="B788" s="15"/>
      <c r="C788" s="9">
        <f>IFERROR(__xludf.DUMMYFUNCTION("""COMPUTED_VALUE"""),44597.3523875231)</f>
        <v>44597.35239</v>
      </c>
      <c r="D788" s="15">
        <f>IFERROR(__xludf.DUMMYFUNCTION("""COMPUTED_VALUE"""),0.999)</f>
        <v>0.999</v>
      </c>
      <c r="E788" s="16">
        <f>IFERROR(__xludf.DUMMYFUNCTION("""COMPUTED_VALUE"""),66.0)</f>
        <v>66</v>
      </c>
      <c r="F788" s="19" t="str">
        <f>IFERROR(__xludf.DUMMYFUNCTION("""COMPUTED_VALUE"""),"BLUE")</f>
        <v>BLUE</v>
      </c>
      <c r="G788" s="20" t="str">
        <f>IFERROR(__xludf.DUMMYFUNCTION("""COMPUTED_VALUE"""),"Uncle Sams Cider (11/12/2021) (Blue)")</f>
        <v>Uncle Sams Cider (11/12/2021) (Blue)</v>
      </c>
      <c r="H788" s="19"/>
    </row>
    <row r="789">
      <c r="A789" s="9"/>
      <c r="B789" s="15"/>
      <c r="C789" s="9">
        <f>IFERROR(__xludf.DUMMYFUNCTION("""COMPUTED_VALUE"""),44597.3419678935)</f>
        <v>44597.34197</v>
      </c>
      <c r="D789" s="15">
        <f>IFERROR(__xludf.DUMMYFUNCTION("""COMPUTED_VALUE"""),0.999)</f>
        <v>0.999</v>
      </c>
      <c r="E789" s="16">
        <f>IFERROR(__xludf.DUMMYFUNCTION("""COMPUTED_VALUE"""),66.0)</f>
        <v>66</v>
      </c>
      <c r="F789" s="19" t="str">
        <f>IFERROR(__xludf.DUMMYFUNCTION("""COMPUTED_VALUE"""),"BLUE")</f>
        <v>BLUE</v>
      </c>
      <c r="G789" s="20" t="str">
        <f>IFERROR(__xludf.DUMMYFUNCTION("""COMPUTED_VALUE"""),"Uncle Sams Cider (11/12/2021) (Blue)")</f>
        <v>Uncle Sams Cider (11/12/2021) (Blue)</v>
      </c>
      <c r="H789" s="19"/>
    </row>
    <row r="790">
      <c r="A790" s="9"/>
      <c r="B790" s="15"/>
      <c r="C790" s="9">
        <f>IFERROR(__xludf.DUMMYFUNCTION("""COMPUTED_VALUE"""),44597.3315468634)</f>
        <v>44597.33155</v>
      </c>
      <c r="D790" s="15">
        <f>IFERROR(__xludf.DUMMYFUNCTION("""COMPUTED_VALUE"""),0.999)</f>
        <v>0.999</v>
      </c>
      <c r="E790" s="16">
        <f>IFERROR(__xludf.DUMMYFUNCTION("""COMPUTED_VALUE"""),66.0)</f>
        <v>66</v>
      </c>
      <c r="F790" s="19" t="str">
        <f>IFERROR(__xludf.DUMMYFUNCTION("""COMPUTED_VALUE"""),"BLUE")</f>
        <v>BLUE</v>
      </c>
      <c r="G790" s="20" t="str">
        <f>IFERROR(__xludf.DUMMYFUNCTION("""COMPUTED_VALUE"""),"Uncle Sams Cider (11/12/2021) (Blue)")</f>
        <v>Uncle Sams Cider (11/12/2021) (Blue)</v>
      </c>
      <c r="H790" s="19"/>
    </row>
    <row r="791">
      <c r="A791" s="9"/>
      <c r="B791" s="15"/>
      <c r="C791" s="9">
        <f>IFERROR(__xludf.DUMMYFUNCTION("""COMPUTED_VALUE"""),44597.321126956)</f>
        <v>44597.32113</v>
      </c>
      <c r="D791" s="15">
        <f>IFERROR(__xludf.DUMMYFUNCTION("""COMPUTED_VALUE"""),0.999)</f>
        <v>0.999</v>
      </c>
      <c r="E791" s="16">
        <f>IFERROR(__xludf.DUMMYFUNCTION("""COMPUTED_VALUE"""),66.0)</f>
        <v>66</v>
      </c>
      <c r="F791" s="19" t="str">
        <f>IFERROR(__xludf.DUMMYFUNCTION("""COMPUTED_VALUE"""),"BLUE")</f>
        <v>BLUE</v>
      </c>
      <c r="G791" s="20" t="str">
        <f>IFERROR(__xludf.DUMMYFUNCTION("""COMPUTED_VALUE"""),"Uncle Sams Cider (11/12/2021) (Blue)")</f>
        <v>Uncle Sams Cider (11/12/2021) (Blue)</v>
      </c>
      <c r="H791" s="19"/>
    </row>
    <row r="792">
      <c r="A792" s="9"/>
      <c r="B792" s="15"/>
      <c r="C792" s="9">
        <f>IFERROR(__xludf.DUMMYFUNCTION("""COMPUTED_VALUE"""),44597.3107052314)</f>
        <v>44597.31071</v>
      </c>
      <c r="D792" s="15">
        <f>IFERROR(__xludf.DUMMYFUNCTION("""COMPUTED_VALUE"""),0.999)</f>
        <v>0.999</v>
      </c>
      <c r="E792" s="16">
        <f>IFERROR(__xludf.DUMMYFUNCTION("""COMPUTED_VALUE"""),66.0)</f>
        <v>66</v>
      </c>
      <c r="F792" s="19" t="str">
        <f>IFERROR(__xludf.DUMMYFUNCTION("""COMPUTED_VALUE"""),"BLUE")</f>
        <v>BLUE</v>
      </c>
      <c r="G792" s="20" t="str">
        <f>IFERROR(__xludf.DUMMYFUNCTION("""COMPUTED_VALUE"""),"Uncle Sams Cider (11/12/2021) (Blue)")</f>
        <v>Uncle Sams Cider (11/12/2021) (Blue)</v>
      </c>
      <c r="H792" s="19"/>
    </row>
    <row r="793">
      <c r="A793" s="9"/>
      <c r="B793" s="15"/>
      <c r="C793" s="9">
        <f>IFERROR(__xludf.DUMMYFUNCTION("""COMPUTED_VALUE"""),44597.3002848495)</f>
        <v>44597.30028</v>
      </c>
      <c r="D793" s="15">
        <f>IFERROR(__xludf.DUMMYFUNCTION("""COMPUTED_VALUE"""),0.999)</f>
        <v>0.999</v>
      </c>
      <c r="E793" s="16">
        <f>IFERROR(__xludf.DUMMYFUNCTION("""COMPUTED_VALUE"""),66.0)</f>
        <v>66</v>
      </c>
      <c r="F793" s="19" t="str">
        <f>IFERROR(__xludf.DUMMYFUNCTION("""COMPUTED_VALUE"""),"BLUE")</f>
        <v>BLUE</v>
      </c>
      <c r="G793" s="20" t="str">
        <f>IFERROR(__xludf.DUMMYFUNCTION("""COMPUTED_VALUE"""),"Uncle Sams Cider (11/12/2021) (Blue)")</f>
        <v>Uncle Sams Cider (11/12/2021) (Blue)</v>
      </c>
      <c r="H793" s="19"/>
    </row>
    <row r="794">
      <c r="A794" s="9"/>
      <c r="B794" s="15"/>
      <c r="C794" s="9">
        <f>IFERROR(__xludf.DUMMYFUNCTION("""COMPUTED_VALUE"""),44597.2898637037)</f>
        <v>44597.28986</v>
      </c>
      <c r="D794" s="15">
        <f>IFERROR(__xludf.DUMMYFUNCTION("""COMPUTED_VALUE"""),0.999)</f>
        <v>0.999</v>
      </c>
      <c r="E794" s="16">
        <f>IFERROR(__xludf.DUMMYFUNCTION("""COMPUTED_VALUE"""),67.0)</f>
        <v>67</v>
      </c>
      <c r="F794" s="19" t="str">
        <f>IFERROR(__xludf.DUMMYFUNCTION("""COMPUTED_VALUE"""),"BLUE")</f>
        <v>BLUE</v>
      </c>
      <c r="G794" s="20" t="str">
        <f>IFERROR(__xludf.DUMMYFUNCTION("""COMPUTED_VALUE"""),"Uncle Sams Cider (11/12/2021) (Blue)")</f>
        <v>Uncle Sams Cider (11/12/2021) (Blue)</v>
      </c>
      <c r="H794" s="19"/>
    </row>
    <row r="795">
      <c r="A795" s="9"/>
      <c r="B795" s="15"/>
      <c r="C795" s="9">
        <f>IFERROR(__xludf.DUMMYFUNCTION("""COMPUTED_VALUE"""),44597.2794423611)</f>
        <v>44597.27944</v>
      </c>
      <c r="D795" s="15">
        <f>IFERROR(__xludf.DUMMYFUNCTION("""COMPUTED_VALUE"""),0.999)</f>
        <v>0.999</v>
      </c>
      <c r="E795" s="16">
        <f>IFERROR(__xludf.DUMMYFUNCTION("""COMPUTED_VALUE"""),67.0)</f>
        <v>67</v>
      </c>
      <c r="F795" s="19" t="str">
        <f>IFERROR(__xludf.DUMMYFUNCTION("""COMPUTED_VALUE"""),"BLUE")</f>
        <v>BLUE</v>
      </c>
      <c r="G795" s="20" t="str">
        <f>IFERROR(__xludf.DUMMYFUNCTION("""COMPUTED_VALUE"""),"Uncle Sams Cider (11/12/2021) (Blue)")</f>
        <v>Uncle Sams Cider (11/12/2021) (Blue)</v>
      </c>
      <c r="H795" s="19"/>
    </row>
    <row r="796">
      <c r="A796" s="9"/>
      <c r="B796" s="15"/>
      <c r="C796" s="9">
        <f>IFERROR(__xludf.DUMMYFUNCTION("""COMPUTED_VALUE"""),44597.2690216087)</f>
        <v>44597.26902</v>
      </c>
      <c r="D796" s="15">
        <f>IFERROR(__xludf.DUMMYFUNCTION("""COMPUTED_VALUE"""),0.999)</f>
        <v>0.999</v>
      </c>
      <c r="E796" s="16">
        <f>IFERROR(__xludf.DUMMYFUNCTION("""COMPUTED_VALUE"""),67.0)</f>
        <v>67</v>
      </c>
      <c r="F796" s="19" t="str">
        <f>IFERROR(__xludf.DUMMYFUNCTION("""COMPUTED_VALUE"""),"BLUE")</f>
        <v>BLUE</v>
      </c>
      <c r="G796" s="20" t="str">
        <f>IFERROR(__xludf.DUMMYFUNCTION("""COMPUTED_VALUE"""),"Uncle Sams Cider (11/12/2021) (Blue)")</f>
        <v>Uncle Sams Cider (11/12/2021) (Blue)</v>
      </c>
      <c r="H796" s="19"/>
    </row>
    <row r="797">
      <c r="A797" s="9"/>
      <c r="B797" s="15"/>
      <c r="C797" s="9">
        <f>IFERROR(__xludf.DUMMYFUNCTION("""COMPUTED_VALUE"""),44597.2585769791)</f>
        <v>44597.25858</v>
      </c>
      <c r="D797" s="15">
        <f>IFERROR(__xludf.DUMMYFUNCTION("""COMPUTED_VALUE"""),0.999)</f>
        <v>0.999</v>
      </c>
      <c r="E797" s="16">
        <f>IFERROR(__xludf.DUMMYFUNCTION("""COMPUTED_VALUE"""),67.0)</f>
        <v>67</v>
      </c>
      <c r="F797" s="19" t="str">
        <f>IFERROR(__xludf.DUMMYFUNCTION("""COMPUTED_VALUE"""),"BLUE")</f>
        <v>BLUE</v>
      </c>
      <c r="G797" s="20" t="str">
        <f>IFERROR(__xludf.DUMMYFUNCTION("""COMPUTED_VALUE"""),"Uncle Sams Cider (11/12/2021) (Blue)")</f>
        <v>Uncle Sams Cider (11/12/2021) (Blue)</v>
      </c>
      <c r="H797" s="19"/>
    </row>
    <row r="798">
      <c r="A798" s="9"/>
      <c r="B798" s="15"/>
      <c r="C798" s="9">
        <f>IFERROR(__xludf.DUMMYFUNCTION("""COMPUTED_VALUE"""),44597.2481571064)</f>
        <v>44597.24816</v>
      </c>
      <c r="D798" s="15">
        <f>IFERROR(__xludf.DUMMYFUNCTION("""COMPUTED_VALUE"""),0.999)</f>
        <v>0.999</v>
      </c>
      <c r="E798" s="16">
        <f>IFERROR(__xludf.DUMMYFUNCTION("""COMPUTED_VALUE"""),67.0)</f>
        <v>67</v>
      </c>
      <c r="F798" s="19" t="str">
        <f>IFERROR(__xludf.DUMMYFUNCTION("""COMPUTED_VALUE"""),"BLUE")</f>
        <v>BLUE</v>
      </c>
      <c r="G798" s="20" t="str">
        <f>IFERROR(__xludf.DUMMYFUNCTION("""COMPUTED_VALUE"""),"Uncle Sams Cider (11/12/2021) (Blue)")</f>
        <v>Uncle Sams Cider (11/12/2021) (Blue)</v>
      </c>
      <c r="H798" s="19"/>
    </row>
    <row r="799">
      <c r="A799" s="9"/>
      <c r="B799" s="15"/>
      <c r="C799" s="9">
        <f>IFERROR(__xludf.DUMMYFUNCTION("""COMPUTED_VALUE"""),44597.2377362268)</f>
        <v>44597.23774</v>
      </c>
      <c r="D799" s="15">
        <f>IFERROR(__xludf.DUMMYFUNCTION("""COMPUTED_VALUE"""),0.999)</f>
        <v>0.999</v>
      </c>
      <c r="E799" s="16">
        <f>IFERROR(__xludf.DUMMYFUNCTION("""COMPUTED_VALUE"""),67.0)</f>
        <v>67</v>
      </c>
      <c r="F799" s="19" t="str">
        <f>IFERROR(__xludf.DUMMYFUNCTION("""COMPUTED_VALUE"""),"BLUE")</f>
        <v>BLUE</v>
      </c>
      <c r="G799" s="20" t="str">
        <f>IFERROR(__xludf.DUMMYFUNCTION("""COMPUTED_VALUE"""),"Uncle Sams Cider (11/12/2021) (Blue)")</f>
        <v>Uncle Sams Cider (11/12/2021) (Blue)</v>
      </c>
      <c r="H799" s="19"/>
    </row>
    <row r="800">
      <c r="A800" s="9"/>
      <c r="B800" s="15"/>
      <c r="C800" s="9">
        <f>IFERROR(__xludf.DUMMYFUNCTION("""COMPUTED_VALUE"""),44597.2273149768)</f>
        <v>44597.22731</v>
      </c>
      <c r="D800" s="15">
        <f>IFERROR(__xludf.DUMMYFUNCTION("""COMPUTED_VALUE"""),0.999)</f>
        <v>0.999</v>
      </c>
      <c r="E800" s="16">
        <f>IFERROR(__xludf.DUMMYFUNCTION("""COMPUTED_VALUE"""),67.0)</f>
        <v>67</v>
      </c>
      <c r="F800" s="19" t="str">
        <f>IFERROR(__xludf.DUMMYFUNCTION("""COMPUTED_VALUE"""),"BLUE")</f>
        <v>BLUE</v>
      </c>
      <c r="G800" s="20" t="str">
        <f>IFERROR(__xludf.DUMMYFUNCTION("""COMPUTED_VALUE"""),"Uncle Sams Cider (11/12/2021) (Blue)")</f>
        <v>Uncle Sams Cider (11/12/2021) (Blue)</v>
      </c>
      <c r="H800" s="19"/>
    </row>
    <row r="801">
      <c r="A801" s="9"/>
      <c r="B801" s="15"/>
      <c r="C801" s="9">
        <f>IFERROR(__xludf.DUMMYFUNCTION("""COMPUTED_VALUE"""),44597.216894155)</f>
        <v>44597.21689</v>
      </c>
      <c r="D801" s="15">
        <f>IFERROR(__xludf.DUMMYFUNCTION("""COMPUTED_VALUE"""),0.999)</f>
        <v>0.999</v>
      </c>
      <c r="E801" s="16">
        <f>IFERROR(__xludf.DUMMYFUNCTION("""COMPUTED_VALUE"""),67.0)</f>
        <v>67</v>
      </c>
      <c r="F801" s="19" t="str">
        <f>IFERROR(__xludf.DUMMYFUNCTION("""COMPUTED_VALUE"""),"BLUE")</f>
        <v>BLUE</v>
      </c>
      <c r="G801" s="20" t="str">
        <f>IFERROR(__xludf.DUMMYFUNCTION("""COMPUTED_VALUE"""),"Uncle Sams Cider (11/12/2021) (Blue)")</f>
        <v>Uncle Sams Cider (11/12/2021) (Blue)</v>
      </c>
      <c r="H801" s="19"/>
    </row>
    <row r="802">
      <c r="A802" s="9"/>
      <c r="B802" s="15"/>
      <c r="C802" s="9">
        <f>IFERROR(__xludf.DUMMYFUNCTION("""COMPUTED_VALUE"""),44597.2064723032)</f>
        <v>44597.20647</v>
      </c>
      <c r="D802" s="15">
        <f>IFERROR(__xludf.DUMMYFUNCTION("""COMPUTED_VALUE"""),0.999)</f>
        <v>0.999</v>
      </c>
      <c r="E802" s="16">
        <f>IFERROR(__xludf.DUMMYFUNCTION("""COMPUTED_VALUE"""),67.0)</f>
        <v>67</v>
      </c>
      <c r="F802" s="19" t="str">
        <f>IFERROR(__xludf.DUMMYFUNCTION("""COMPUTED_VALUE"""),"BLUE")</f>
        <v>BLUE</v>
      </c>
      <c r="G802" s="20" t="str">
        <f>IFERROR(__xludf.DUMMYFUNCTION("""COMPUTED_VALUE"""),"Uncle Sams Cider (11/12/2021) (Blue)")</f>
        <v>Uncle Sams Cider (11/12/2021) (Blue)</v>
      </c>
      <c r="H802" s="19"/>
    </row>
    <row r="803">
      <c r="A803" s="9"/>
      <c r="B803" s="15"/>
      <c r="C803" s="9">
        <f>IFERROR(__xludf.DUMMYFUNCTION("""COMPUTED_VALUE"""),44597.1960492939)</f>
        <v>44597.19605</v>
      </c>
      <c r="D803" s="15">
        <f>IFERROR(__xludf.DUMMYFUNCTION("""COMPUTED_VALUE"""),0.999)</f>
        <v>0.999</v>
      </c>
      <c r="E803" s="16">
        <f>IFERROR(__xludf.DUMMYFUNCTION("""COMPUTED_VALUE"""),67.0)</f>
        <v>67</v>
      </c>
      <c r="F803" s="19" t="str">
        <f>IFERROR(__xludf.DUMMYFUNCTION("""COMPUTED_VALUE"""),"BLUE")</f>
        <v>BLUE</v>
      </c>
      <c r="G803" s="20" t="str">
        <f>IFERROR(__xludf.DUMMYFUNCTION("""COMPUTED_VALUE"""),"Uncle Sams Cider (11/12/2021) (Blue)")</f>
        <v>Uncle Sams Cider (11/12/2021) (Blue)</v>
      </c>
      <c r="H803" s="19"/>
    </row>
    <row r="804">
      <c r="A804" s="9"/>
      <c r="B804" s="15"/>
      <c r="C804" s="9">
        <f>IFERROR(__xludf.DUMMYFUNCTION("""COMPUTED_VALUE"""),44597.1856299421)</f>
        <v>44597.18563</v>
      </c>
      <c r="D804" s="15">
        <f>IFERROR(__xludf.DUMMYFUNCTION("""COMPUTED_VALUE"""),1.0)</f>
        <v>1</v>
      </c>
      <c r="E804" s="16">
        <f>IFERROR(__xludf.DUMMYFUNCTION("""COMPUTED_VALUE"""),67.0)</f>
        <v>67</v>
      </c>
      <c r="F804" s="19" t="str">
        <f>IFERROR(__xludf.DUMMYFUNCTION("""COMPUTED_VALUE"""),"BLUE")</f>
        <v>BLUE</v>
      </c>
      <c r="G804" s="20" t="str">
        <f>IFERROR(__xludf.DUMMYFUNCTION("""COMPUTED_VALUE"""),"Uncle Sams Cider (11/12/2021) (Blue)")</f>
        <v>Uncle Sams Cider (11/12/2021) (Blue)</v>
      </c>
      <c r="H804" s="19"/>
    </row>
    <row r="805">
      <c r="A805" s="9"/>
      <c r="B805" s="15"/>
      <c r="C805" s="9">
        <f>IFERROR(__xludf.DUMMYFUNCTION("""COMPUTED_VALUE"""),44597.1752092361)</f>
        <v>44597.17521</v>
      </c>
      <c r="D805" s="15">
        <f>IFERROR(__xludf.DUMMYFUNCTION("""COMPUTED_VALUE"""),0.999)</f>
        <v>0.999</v>
      </c>
      <c r="E805" s="16">
        <f>IFERROR(__xludf.DUMMYFUNCTION("""COMPUTED_VALUE"""),67.0)</f>
        <v>67</v>
      </c>
      <c r="F805" s="19" t="str">
        <f>IFERROR(__xludf.DUMMYFUNCTION("""COMPUTED_VALUE"""),"BLUE")</f>
        <v>BLUE</v>
      </c>
      <c r="G805" s="20" t="str">
        <f>IFERROR(__xludf.DUMMYFUNCTION("""COMPUTED_VALUE"""),"Uncle Sams Cider (11/12/2021) (Blue)")</f>
        <v>Uncle Sams Cider (11/12/2021) (Blue)</v>
      </c>
      <c r="H805" s="19"/>
    </row>
    <row r="806">
      <c r="A806" s="9"/>
      <c r="B806" s="15"/>
      <c r="C806" s="9">
        <f>IFERROR(__xludf.DUMMYFUNCTION("""COMPUTED_VALUE"""),44597.1647755208)</f>
        <v>44597.16478</v>
      </c>
      <c r="D806" s="15">
        <f>IFERROR(__xludf.DUMMYFUNCTION("""COMPUTED_VALUE"""),0.999)</f>
        <v>0.999</v>
      </c>
      <c r="E806" s="16">
        <f>IFERROR(__xludf.DUMMYFUNCTION("""COMPUTED_VALUE"""),67.0)</f>
        <v>67</v>
      </c>
      <c r="F806" s="19" t="str">
        <f>IFERROR(__xludf.DUMMYFUNCTION("""COMPUTED_VALUE"""),"BLUE")</f>
        <v>BLUE</v>
      </c>
      <c r="G806" s="20" t="str">
        <f>IFERROR(__xludf.DUMMYFUNCTION("""COMPUTED_VALUE"""),"Uncle Sams Cider (11/12/2021) (Blue)")</f>
        <v>Uncle Sams Cider (11/12/2021) (Blue)</v>
      </c>
      <c r="H806" s="19"/>
    </row>
    <row r="807">
      <c r="A807" s="9"/>
      <c r="B807" s="15"/>
      <c r="C807" s="9">
        <f>IFERROR(__xludf.DUMMYFUNCTION("""COMPUTED_VALUE"""),44597.1543534837)</f>
        <v>44597.15435</v>
      </c>
      <c r="D807" s="15">
        <f>IFERROR(__xludf.DUMMYFUNCTION("""COMPUTED_VALUE"""),0.999)</f>
        <v>0.999</v>
      </c>
      <c r="E807" s="16">
        <f>IFERROR(__xludf.DUMMYFUNCTION("""COMPUTED_VALUE"""),67.0)</f>
        <v>67</v>
      </c>
      <c r="F807" s="19" t="str">
        <f>IFERROR(__xludf.DUMMYFUNCTION("""COMPUTED_VALUE"""),"BLUE")</f>
        <v>BLUE</v>
      </c>
      <c r="G807" s="20" t="str">
        <f>IFERROR(__xludf.DUMMYFUNCTION("""COMPUTED_VALUE"""),"Uncle Sams Cider (11/12/2021) (Blue)")</f>
        <v>Uncle Sams Cider (11/12/2021) (Blue)</v>
      </c>
      <c r="H807" s="19"/>
    </row>
    <row r="808">
      <c r="A808" s="9"/>
      <c r="B808" s="15"/>
      <c r="C808" s="9">
        <f>IFERROR(__xludf.DUMMYFUNCTION("""COMPUTED_VALUE"""),44597.1439328125)</f>
        <v>44597.14393</v>
      </c>
      <c r="D808" s="15">
        <f>IFERROR(__xludf.DUMMYFUNCTION("""COMPUTED_VALUE"""),0.999)</f>
        <v>0.999</v>
      </c>
      <c r="E808" s="16">
        <f>IFERROR(__xludf.DUMMYFUNCTION("""COMPUTED_VALUE"""),67.0)</f>
        <v>67</v>
      </c>
      <c r="F808" s="19" t="str">
        <f>IFERROR(__xludf.DUMMYFUNCTION("""COMPUTED_VALUE"""),"BLUE")</f>
        <v>BLUE</v>
      </c>
      <c r="G808" s="20" t="str">
        <f>IFERROR(__xludf.DUMMYFUNCTION("""COMPUTED_VALUE"""),"Uncle Sams Cider (11/12/2021) (Blue)")</f>
        <v>Uncle Sams Cider (11/12/2021) (Blue)</v>
      </c>
      <c r="H808" s="19"/>
    </row>
    <row r="809">
      <c r="A809" s="9"/>
      <c r="B809" s="15"/>
      <c r="C809" s="9">
        <f>IFERROR(__xludf.DUMMYFUNCTION("""COMPUTED_VALUE"""),44597.1335119907)</f>
        <v>44597.13351</v>
      </c>
      <c r="D809" s="15">
        <f>IFERROR(__xludf.DUMMYFUNCTION("""COMPUTED_VALUE"""),0.999)</f>
        <v>0.999</v>
      </c>
      <c r="E809" s="16">
        <f>IFERROR(__xludf.DUMMYFUNCTION("""COMPUTED_VALUE"""),67.0)</f>
        <v>67</v>
      </c>
      <c r="F809" s="19" t="str">
        <f>IFERROR(__xludf.DUMMYFUNCTION("""COMPUTED_VALUE"""),"BLUE")</f>
        <v>BLUE</v>
      </c>
      <c r="G809" s="20" t="str">
        <f>IFERROR(__xludf.DUMMYFUNCTION("""COMPUTED_VALUE"""),"Uncle Sams Cider (11/12/2021) (Blue)")</f>
        <v>Uncle Sams Cider (11/12/2021) (Blue)</v>
      </c>
      <c r="H809" s="19"/>
    </row>
    <row r="810">
      <c r="A810" s="9"/>
      <c r="B810" s="15"/>
      <c r="C810" s="9">
        <f>IFERROR(__xludf.DUMMYFUNCTION("""COMPUTED_VALUE"""),44597.123089537)</f>
        <v>44597.12309</v>
      </c>
      <c r="D810" s="15">
        <f>IFERROR(__xludf.DUMMYFUNCTION("""COMPUTED_VALUE"""),0.999)</f>
        <v>0.999</v>
      </c>
      <c r="E810" s="16">
        <f>IFERROR(__xludf.DUMMYFUNCTION("""COMPUTED_VALUE"""),67.0)</f>
        <v>67</v>
      </c>
      <c r="F810" s="19" t="str">
        <f>IFERROR(__xludf.DUMMYFUNCTION("""COMPUTED_VALUE"""),"BLUE")</f>
        <v>BLUE</v>
      </c>
      <c r="G810" s="20" t="str">
        <f>IFERROR(__xludf.DUMMYFUNCTION("""COMPUTED_VALUE"""),"Uncle Sams Cider (11/12/2021) (Blue)")</f>
        <v>Uncle Sams Cider (11/12/2021) (Blue)</v>
      </c>
      <c r="H810" s="19"/>
    </row>
    <row r="811">
      <c r="A811" s="9"/>
      <c r="B811" s="15"/>
      <c r="C811" s="9">
        <f>IFERROR(__xludf.DUMMYFUNCTION("""COMPUTED_VALUE"""),44597.1126674768)</f>
        <v>44597.11267</v>
      </c>
      <c r="D811" s="15">
        <f>IFERROR(__xludf.DUMMYFUNCTION("""COMPUTED_VALUE"""),0.999)</f>
        <v>0.999</v>
      </c>
      <c r="E811" s="16">
        <f>IFERROR(__xludf.DUMMYFUNCTION("""COMPUTED_VALUE"""),67.0)</f>
        <v>67</v>
      </c>
      <c r="F811" s="19" t="str">
        <f>IFERROR(__xludf.DUMMYFUNCTION("""COMPUTED_VALUE"""),"BLUE")</f>
        <v>BLUE</v>
      </c>
      <c r="G811" s="20" t="str">
        <f>IFERROR(__xludf.DUMMYFUNCTION("""COMPUTED_VALUE"""),"Uncle Sams Cider (11/12/2021) (Blue)")</f>
        <v>Uncle Sams Cider (11/12/2021) (Blue)</v>
      </c>
      <c r="H811" s="19"/>
    </row>
    <row r="812">
      <c r="A812" s="9"/>
      <c r="B812" s="15"/>
      <c r="C812" s="9">
        <f>IFERROR(__xludf.DUMMYFUNCTION("""COMPUTED_VALUE"""),44597.1022470833)</f>
        <v>44597.10225</v>
      </c>
      <c r="D812" s="15">
        <f>IFERROR(__xludf.DUMMYFUNCTION("""COMPUTED_VALUE"""),0.999)</f>
        <v>0.999</v>
      </c>
      <c r="E812" s="16">
        <f>IFERROR(__xludf.DUMMYFUNCTION("""COMPUTED_VALUE"""),67.0)</f>
        <v>67</v>
      </c>
      <c r="F812" s="19" t="str">
        <f>IFERROR(__xludf.DUMMYFUNCTION("""COMPUTED_VALUE"""),"BLUE")</f>
        <v>BLUE</v>
      </c>
      <c r="G812" s="20" t="str">
        <f>IFERROR(__xludf.DUMMYFUNCTION("""COMPUTED_VALUE"""),"Uncle Sams Cider (11/12/2021) (Blue)")</f>
        <v>Uncle Sams Cider (11/12/2021) (Blue)</v>
      </c>
      <c r="H812" s="19"/>
    </row>
    <row r="813">
      <c r="A813" s="9"/>
      <c r="B813" s="15"/>
      <c r="C813" s="9">
        <f>IFERROR(__xludf.DUMMYFUNCTION("""COMPUTED_VALUE"""),44597.0918245254)</f>
        <v>44597.09182</v>
      </c>
      <c r="D813" s="15">
        <f>IFERROR(__xludf.DUMMYFUNCTION("""COMPUTED_VALUE"""),0.999)</f>
        <v>0.999</v>
      </c>
      <c r="E813" s="16">
        <f>IFERROR(__xludf.DUMMYFUNCTION("""COMPUTED_VALUE"""),67.0)</f>
        <v>67</v>
      </c>
      <c r="F813" s="19" t="str">
        <f>IFERROR(__xludf.DUMMYFUNCTION("""COMPUTED_VALUE"""),"BLUE")</f>
        <v>BLUE</v>
      </c>
      <c r="G813" s="20" t="str">
        <f>IFERROR(__xludf.DUMMYFUNCTION("""COMPUTED_VALUE"""),"Uncle Sams Cider (11/12/2021) (Blue)")</f>
        <v>Uncle Sams Cider (11/12/2021) (Blue)</v>
      </c>
      <c r="H813" s="19"/>
    </row>
    <row r="814">
      <c r="A814" s="9"/>
      <c r="B814" s="15"/>
      <c r="C814" s="9">
        <f>IFERROR(__xludf.DUMMYFUNCTION("""COMPUTED_VALUE"""),44597.0814049305)</f>
        <v>44597.0814</v>
      </c>
      <c r="D814" s="15">
        <f>IFERROR(__xludf.DUMMYFUNCTION("""COMPUTED_VALUE"""),0.999)</f>
        <v>0.999</v>
      </c>
      <c r="E814" s="16">
        <f>IFERROR(__xludf.DUMMYFUNCTION("""COMPUTED_VALUE"""),67.0)</f>
        <v>67</v>
      </c>
      <c r="F814" s="19" t="str">
        <f>IFERROR(__xludf.DUMMYFUNCTION("""COMPUTED_VALUE"""),"BLUE")</f>
        <v>BLUE</v>
      </c>
      <c r="G814" s="20" t="str">
        <f>IFERROR(__xludf.DUMMYFUNCTION("""COMPUTED_VALUE"""),"Uncle Sams Cider (11/12/2021) (Blue)")</f>
        <v>Uncle Sams Cider (11/12/2021) (Blue)</v>
      </c>
      <c r="H814" s="19"/>
    </row>
    <row r="815">
      <c r="A815" s="9"/>
      <c r="B815" s="15"/>
      <c r="C815" s="9">
        <f>IFERROR(__xludf.DUMMYFUNCTION("""COMPUTED_VALUE"""),44597.0709834606)</f>
        <v>44597.07098</v>
      </c>
      <c r="D815" s="15">
        <f>IFERROR(__xludf.DUMMYFUNCTION("""COMPUTED_VALUE"""),0.999)</f>
        <v>0.999</v>
      </c>
      <c r="E815" s="16">
        <f>IFERROR(__xludf.DUMMYFUNCTION("""COMPUTED_VALUE"""),67.0)</f>
        <v>67</v>
      </c>
      <c r="F815" s="19" t="str">
        <f>IFERROR(__xludf.DUMMYFUNCTION("""COMPUTED_VALUE"""),"BLUE")</f>
        <v>BLUE</v>
      </c>
      <c r="G815" s="20" t="str">
        <f>IFERROR(__xludf.DUMMYFUNCTION("""COMPUTED_VALUE"""),"Uncle Sams Cider (11/12/2021) (Blue)")</f>
        <v>Uncle Sams Cider (11/12/2021) (Blue)</v>
      </c>
      <c r="H815" s="19"/>
    </row>
    <row r="816">
      <c r="A816" s="9"/>
      <c r="B816" s="15"/>
      <c r="C816" s="9">
        <f>IFERROR(__xludf.DUMMYFUNCTION("""COMPUTED_VALUE"""),44597.0605614467)</f>
        <v>44597.06056</v>
      </c>
      <c r="D816" s="15">
        <f>IFERROR(__xludf.DUMMYFUNCTION("""COMPUTED_VALUE"""),0.999)</f>
        <v>0.999</v>
      </c>
      <c r="E816" s="16">
        <f>IFERROR(__xludf.DUMMYFUNCTION("""COMPUTED_VALUE"""),67.0)</f>
        <v>67</v>
      </c>
      <c r="F816" s="19" t="str">
        <f>IFERROR(__xludf.DUMMYFUNCTION("""COMPUTED_VALUE"""),"BLUE")</f>
        <v>BLUE</v>
      </c>
      <c r="G816" s="20" t="str">
        <f>IFERROR(__xludf.DUMMYFUNCTION("""COMPUTED_VALUE"""),"Uncle Sams Cider (11/12/2021) (Blue)")</f>
        <v>Uncle Sams Cider (11/12/2021) (Blue)</v>
      </c>
      <c r="H816" s="19"/>
    </row>
    <row r="817">
      <c r="A817" s="9"/>
      <c r="B817" s="15"/>
      <c r="C817" s="9">
        <f>IFERROR(__xludf.DUMMYFUNCTION("""COMPUTED_VALUE"""),44597.0501151504)</f>
        <v>44597.05012</v>
      </c>
      <c r="D817" s="15">
        <f>IFERROR(__xludf.DUMMYFUNCTION("""COMPUTED_VALUE"""),0.999)</f>
        <v>0.999</v>
      </c>
      <c r="E817" s="16">
        <f>IFERROR(__xludf.DUMMYFUNCTION("""COMPUTED_VALUE"""),68.0)</f>
        <v>68</v>
      </c>
      <c r="F817" s="19" t="str">
        <f>IFERROR(__xludf.DUMMYFUNCTION("""COMPUTED_VALUE"""),"BLUE")</f>
        <v>BLUE</v>
      </c>
      <c r="G817" s="20" t="str">
        <f>IFERROR(__xludf.DUMMYFUNCTION("""COMPUTED_VALUE"""),"Uncle Sams Cider (11/12/2021) (Blue)")</f>
        <v>Uncle Sams Cider (11/12/2021) (Blue)</v>
      </c>
      <c r="H817" s="19"/>
    </row>
    <row r="818">
      <c r="A818" s="9"/>
      <c r="B818" s="15"/>
      <c r="C818" s="9">
        <f>IFERROR(__xludf.DUMMYFUNCTION("""COMPUTED_VALUE"""),44597.039694074)</f>
        <v>44597.03969</v>
      </c>
      <c r="D818" s="15">
        <f>IFERROR(__xludf.DUMMYFUNCTION("""COMPUTED_VALUE"""),0.999)</f>
        <v>0.999</v>
      </c>
      <c r="E818" s="16">
        <f>IFERROR(__xludf.DUMMYFUNCTION("""COMPUTED_VALUE"""),68.0)</f>
        <v>68</v>
      </c>
      <c r="F818" s="19" t="str">
        <f>IFERROR(__xludf.DUMMYFUNCTION("""COMPUTED_VALUE"""),"BLUE")</f>
        <v>BLUE</v>
      </c>
      <c r="G818" s="20" t="str">
        <f>IFERROR(__xludf.DUMMYFUNCTION("""COMPUTED_VALUE"""),"Uncle Sams Cider (11/12/2021) (Blue)")</f>
        <v>Uncle Sams Cider (11/12/2021) (Blue)</v>
      </c>
      <c r="H818" s="19"/>
    </row>
    <row r="819">
      <c r="A819" s="9"/>
      <c r="B819" s="15"/>
      <c r="C819" s="9">
        <f>IFERROR(__xludf.DUMMYFUNCTION("""COMPUTED_VALUE"""),44597.0292732638)</f>
        <v>44597.02927</v>
      </c>
      <c r="D819" s="15">
        <f>IFERROR(__xludf.DUMMYFUNCTION("""COMPUTED_VALUE"""),0.999)</f>
        <v>0.999</v>
      </c>
      <c r="E819" s="16">
        <f>IFERROR(__xludf.DUMMYFUNCTION("""COMPUTED_VALUE"""),68.0)</f>
        <v>68</v>
      </c>
      <c r="F819" s="19" t="str">
        <f>IFERROR(__xludf.DUMMYFUNCTION("""COMPUTED_VALUE"""),"BLUE")</f>
        <v>BLUE</v>
      </c>
      <c r="G819" s="20" t="str">
        <f>IFERROR(__xludf.DUMMYFUNCTION("""COMPUTED_VALUE"""),"Uncle Sams Cider (11/12/2021) (Blue)")</f>
        <v>Uncle Sams Cider (11/12/2021) (Blue)</v>
      </c>
      <c r="H819" s="19"/>
    </row>
    <row r="820">
      <c r="A820" s="9"/>
      <c r="B820" s="15"/>
      <c r="C820" s="9">
        <f>IFERROR(__xludf.DUMMYFUNCTION("""COMPUTED_VALUE"""),44597.0188298726)</f>
        <v>44597.01883</v>
      </c>
      <c r="D820" s="15">
        <f>IFERROR(__xludf.DUMMYFUNCTION("""COMPUTED_VALUE"""),0.999)</f>
        <v>0.999</v>
      </c>
      <c r="E820" s="16">
        <f>IFERROR(__xludf.DUMMYFUNCTION("""COMPUTED_VALUE"""),68.0)</f>
        <v>68</v>
      </c>
      <c r="F820" s="19" t="str">
        <f>IFERROR(__xludf.DUMMYFUNCTION("""COMPUTED_VALUE"""),"BLUE")</f>
        <v>BLUE</v>
      </c>
      <c r="G820" s="20" t="str">
        <f>IFERROR(__xludf.DUMMYFUNCTION("""COMPUTED_VALUE"""),"Uncle Sams Cider (11/12/2021) (Blue)")</f>
        <v>Uncle Sams Cider (11/12/2021) (Blue)</v>
      </c>
      <c r="H820" s="19"/>
    </row>
    <row r="821">
      <c r="A821" s="9"/>
      <c r="B821" s="15"/>
      <c r="C821" s="9">
        <f>IFERROR(__xludf.DUMMYFUNCTION("""COMPUTED_VALUE"""),44597.0084079629)</f>
        <v>44597.00841</v>
      </c>
      <c r="D821" s="15">
        <f>IFERROR(__xludf.DUMMYFUNCTION("""COMPUTED_VALUE"""),0.999)</f>
        <v>0.999</v>
      </c>
      <c r="E821" s="16">
        <f>IFERROR(__xludf.DUMMYFUNCTION("""COMPUTED_VALUE"""),67.0)</f>
        <v>67</v>
      </c>
      <c r="F821" s="19" t="str">
        <f>IFERROR(__xludf.DUMMYFUNCTION("""COMPUTED_VALUE"""),"BLUE")</f>
        <v>BLUE</v>
      </c>
      <c r="G821" s="20" t="str">
        <f>IFERROR(__xludf.DUMMYFUNCTION("""COMPUTED_VALUE"""),"Uncle Sams Cider (11/12/2021) (Blue)")</f>
        <v>Uncle Sams Cider (11/12/2021) (Blue)</v>
      </c>
      <c r="H821" s="19"/>
    </row>
    <row r="822">
      <c r="A822" s="9"/>
      <c r="B822" s="15"/>
      <c r="C822" s="9">
        <f>IFERROR(__xludf.DUMMYFUNCTION("""COMPUTED_VALUE"""),44596.997986574)</f>
        <v>44596.99799</v>
      </c>
      <c r="D822" s="15">
        <f>IFERROR(__xludf.DUMMYFUNCTION("""COMPUTED_VALUE"""),0.999)</f>
        <v>0.999</v>
      </c>
      <c r="E822" s="16">
        <f>IFERROR(__xludf.DUMMYFUNCTION("""COMPUTED_VALUE"""),67.0)</f>
        <v>67</v>
      </c>
      <c r="F822" s="19" t="str">
        <f>IFERROR(__xludf.DUMMYFUNCTION("""COMPUTED_VALUE"""),"BLUE")</f>
        <v>BLUE</v>
      </c>
      <c r="G822" s="20" t="str">
        <f>IFERROR(__xludf.DUMMYFUNCTION("""COMPUTED_VALUE"""),"Uncle Sams Cider (11/12/2021) (Blue)")</f>
        <v>Uncle Sams Cider (11/12/2021) (Blue)</v>
      </c>
      <c r="H822" s="19"/>
    </row>
    <row r="823">
      <c r="A823" s="9"/>
      <c r="B823" s="15"/>
      <c r="C823" s="9">
        <f>IFERROR(__xludf.DUMMYFUNCTION("""COMPUTED_VALUE"""),44596.9875534143)</f>
        <v>44596.98755</v>
      </c>
      <c r="D823" s="15">
        <f>IFERROR(__xludf.DUMMYFUNCTION("""COMPUTED_VALUE"""),0.999)</f>
        <v>0.999</v>
      </c>
      <c r="E823" s="16">
        <f>IFERROR(__xludf.DUMMYFUNCTION("""COMPUTED_VALUE"""),67.0)</f>
        <v>67</v>
      </c>
      <c r="F823" s="19" t="str">
        <f>IFERROR(__xludf.DUMMYFUNCTION("""COMPUTED_VALUE"""),"BLUE")</f>
        <v>BLUE</v>
      </c>
      <c r="G823" s="20" t="str">
        <f>IFERROR(__xludf.DUMMYFUNCTION("""COMPUTED_VALUE"""),"Uncle Sams Cider (11/12/2021) (Blue)")</f>
        <v>Uncle Sams Cider (11/12/2021) (Blue)</v>
      </c>
      <c r="H823" s="19"/>
    </row>
    <row r="824">
      <c r="A824" s="9"/>
      <c r="B824" s="15"/>
      <c r="C824" s="9">
        <f>IFERROR(__xludf.DUMMYFUNCTION("""COMPUTED_VALUE"""),44596.9771209953)</f>
        <v>44596.97712</v>
      </c>
      <c r="D824" s="15">
        <f>IFERROR(__xludf.DUMMYFUNCTION("""COMPUTED_VALUE"""),1.0)</f>
        <v>1</v>
      </c>
      <c r="E824" s="16">
        <f>IFERROR(__xludf.DUMMYFUNCTION("""COMPUTED_VALUE"""),66.0)</f>
        <v>66</v>
      </c>
      <c r="F824" s="19" t="str">
        <f>IFERROR(__xludf.DUMMYFUNCTION("""COMPUTED_VALUE"""),"BLUE")</f>
        <v>BLUE</v>
      </c>
      <c r="G824" s="20" t="str">
        <f>IFERROR(__xludf.DUMMYFUNCTION("""COMPUTED_VALUE"""),"Uncle Sams Cider (11/12/2021) (Blue)")</f>
        <v>Uncle Sams Cider (11/12/2021) (Blue)</v>
      </c>
      <c r="H824" s="19"/>
    </row>
    <row r="825">
      <c r="A825" s="9"/>
      <c r="B825" s="15"/>
      <c r="C825" s="9">
        <f>IFERROR(__xludf.DUMMYFUNCTION("""COMPUTED_VALUE"""),44596.9666894097)</f>
        <v>44596.96669</v>
      </c>
      <c r="D825" s="15">
        <f>IFERROR(__xludf.DUMMYFUNCTION("""COMPUTED_VALUE"""),0.999)</f>
        <v>0.999</v>
      </c>
      <c r="E825" s="16">
        <f>IFERROR(__xludf.DUMMYFUNCTION("""COMPUTED_VALUE"""),66.0)</f>
        <v>66</v>
      </c>
      <c r="F825" s="19" t="str">
        <f>IFERROR(__xludf.DUMMYFUNCTION("""COMPUTED_VALUE"""),"BLUE")</f>
        <v>BLUE</v>
      </c>
      <c r="G825" s="20" t="str">
        <f>IFERROR(__xludf.DUMMYFUNCTION("""COMPUTED_VALUE"""),"Uncle Sams Cider (11/12/2021) (Blue)")</f>
        <v>Uncle Sams Cider (11/12/2021) (Blue)</v>
      </c>
      <c r="H825" s="19"/>
    </row>
    <row r="826">
      <c r="A826" s="9"/>
      <c r="B826" s="15"/>
      <c r="C826" s="9">
        <f>IFERROR(__xludf.DUMMYFUNCTION("""COMPUTED_VALUE"""),44596.9562684143)</f>
        <v>44596.95627</v>
      </c>
      <c r="D826" s="15">
        <f>IFERROR(__xludf.DUMMYFUNCTION("""COMPUTED_VALUE"""),0.999)</f>
        <v>0.999</v>
      </c>
      <c r="E826" s="16">
        <f>IFERROR(__xludf.DUMMYFUNCTION("""COMPUTED_VALUE"""),65.0)</f>
        <v>65</v>
      </c>
      <c r="F826" s="19" t="str">
        <f>IFERROR(__xludf.DUMMYFUNCTION("""COMPUTED_VALUE"""),"BLUE")</f>
        <v>BLUE</v>
      </c>
      <c r="G826" s="20" t="str">
        <f>IFERROR(__xludf.DUMMYFUNCTION("""COMPUTED_VALUE"""),"Uncle Sams Cider (11/12/2021) (Blue)")</f>
        <v>Uncle Sams Cider (11/12/2021) (Blue)</v>
      </c>
      <c r="H826" s="19"/>
    </row>
    <row r="827">
      <c r="A827" s="9"/>
      <c r="B827" s="15"/>
      <c r="C827" s="9">
        <f>IFERROR(__xludf.DUMMYFUNCTION("""COMPUTED_VALUE"""),44596.9458466782)</f>
        <v>44596.94585</v>
      </c>
      <c r="D827" s="15">
        <f>IFERROR(__xludf.DUMMYFUNCTION("""COMPUTED_VALUE"""),0.999)</f>
        <v>0.999</v>
      </c>
      <c r="E827" s="16">
        <f>IFERROR(__xludf.DUMMYFUNCTION("""COMPUTED_VALUE"""),65.0)</f>
        <v>65</v>
      </c>
      <c r="F827" s="19" t="str">
        <f>IFERROR(__xludf.DUMMYFUNCTION("""COMPUTED_VALUE"""),"BLUE")</f>
        <v>BLUE</v>
      </c>
      <c r="G827" s="20" t="str">
        <f>IFERROR(__xludf.DUMMYFUNCTION("""COMPUTED_VALUE"""),"Uncle Sams Cider (11/12/2021) (Blue)")</f>
        <v>Uncle Sams Cider (11/12/2021) (Blue)</v>
      </c>
      <c r="H827" s="19"/>
    </row>
    <row r="828">
      <c r="A828" s="9"/>
      <c r="B828" s="15"/>
      <c r="C828" s="9">
        <f>IFERROR(__xludf.DUMMYFUNCTION("""COMPUTED_VALUE"""),44596.9354248842)</f>
        <v>44596.93542</v>
      </c>
      <c r="D828" s="15">
        <f>IFERROR(__xludf.DUMMYFUNCTION("""COMPUTED_VALUE"""),0.999)</f>
        <v>0.999</v>
      </c>
      <c r="E828" s="16">
        <f>IFERROR(__xludf.DUMMYFUNCTION("""COMPUTED_VALUE"""),65.0)</f>
        <v>65</v>
      </c>
      <c r="F828" s="19" t="str">
        <f>IFERROR(__xludf.DUMMYFUNCTION("""COMPUTED_VALUE"""),"BLUE")</f>
        <v>BLUE</v>
      </c>
      <c r="G828" s="20" t="str">
        <f>IFERROR(__xludf.DUMMYFUNCTION("""COMPUTED_VALUE"""),"Uncle Sams Cider (11/12/2021) (Blue)")</f>
        <v>Uncle Sams Cider (11/12/2021) (Blue)</v>
      </c>
      <c r="H828" s="19"/>
    </row>
    <row r="829">
      <c r="A829" s="9"/>
      <c r="B829" s="15"/>
      <c r="C829" s="9">
        <f>IFERROR(__xludf.DUMMYFUNCTION("""COMPUTED_VALUE"""),44596.9250049652)</f>
        <v>44596.925</v>
      </c>
      <c r="D829" s="15">
        <f>IFERROR(__xludf.DUMMYFUNCTION("""COMPUTED_VALUE"""),1.0)</f>
        <v>1</v>
      </c>
      <c r="E829" s="16">
        <f>IFERROR(__xludf.DUMMYFUNCTION("""COMPUTED_VALUE"""),64.0)</f>
        <v>64</v>
      </c>
      <c r="F829" s="19" t="str">
        <f>IFERROR(__xludf.DUMMYFUNCTION("""COMPUTED_VALUE"""),"BLUE")</f>
        <v>BLUE</v>
      </c>
      <c r="G829" s="20" t="str">
        <f>IFERROR(__xludf.DUMMYFUNCTION("""COMPUTED_VALUE"""),"Uncle Sams Cider (11/12/2021) (Blue)")</f>
        <v>Uncle Sams Cider (11/12/2021) (Blue)</v>
      </c>
      <c r="H829" s="19"/>
    </row>
    <row r="830">
      <c r="A830" s="9"/>
      <c r="B830" s="15"/>
      <c r="C830" s="9">
        <f>IFERROR(__xludf.DUMMYFUNCTION("""COMPUTED_VALUE"""),44596.9145836689)</f>
        <v>44596.91458</v>
      </c>
      <c r="D830" s="15">
        <f>IFERROR(__xludf.DUMMYFUNCTION("""COMPUTED_VALUE"""),1.0)</f>
        <v>1</v>
      </c>
      <c r="E830" s="16">
        <f>IFERROR(__xludf.DUMMYFUNCTION("""COMPUTED_VALUE"""),64.0)</f>
        <v>64</v>
      </c>
      <c r="F830" s="19" t="str">
        <f>IFERROR(__xludf.DUMMYFUNCTION("""COMPUTED_VALUE"""),"BLUE")</f>
        <v>BLUE</v>
      </c>
      <c r="G830" s="20" t="str">
        <f>IFERROR(__xludf.DUMMYFUNCTION("""COMPUTED_VALUE"""),"Uncle Sams Cider (11/12/2021) (Blue)")</f>
        <v>Uncle Sams Cider (11/12/2021) (Blue)</v>
      </c>
      <c r="H830" s="19"/>
    </row>
    <row r="831">
      <c r="A831" s="9"/>
      <c r="B831" s="15"/>
      <c r="C831" s="9">
        <f>IFERROR(__xludf.DUMMYFUNCTION("""COMPUTED_VALUE"""),44596.9041616898)</f>
        <v>44596.90416</v>
      </c>
      <c r="D831" s="15">
        <f>IFERROR(__xludf.DUMMYFUNCTION("""COMPUTED_VALUE"""),1.0)</f>
        <v>1</v>
      </c>
      <c r="E831" s="16">
        <f>IFERROR(__xludf.DUMMYFUNCTION("""COMPUTED_VALUE"""),63.0)</f>
        <v>63</v>
      </c>
      <c r="F831" s="19" t="str">
        <f>IFERROR(__xludf.DUMMYFUNCTION("""COMPUTED_VALUE"""),"BLUE")</f>
        <v>BLUE</v>
      </c>
      <c r="G831" s="20" t="str">
        <f>IFERROR(__xludf.DUMMYFUNCTION("""COMPUTED_VALUE"""),"Uncle Sams Cider (11/12/2021) (Blue)")</f>
        <v>Uncle Sams Cider (11/12/2021) (Blue)</v>
      </c>
      <c r="H831" s="19"/>
    </row>
    <row r="832">
      <c r="A832" s="9"/>
      <c r="B832" s="15"/>
      <c r="C832" s="9">
        <f>IFERROR(__xludf.DUMMYFUNCTION("""COMPUTED_VALUE"""),44596.8937407175)</f>
        <v>44596.89374</v>
      </c>
      <c r="D832" s="15">
        <f>IFERROR(__xludf.DUMMYFUNCTION("""COMPUTED_VALUE"""),1.0)</f>
        <v>1</v>
      </c>
      <c r="E832" s="16">
        <f>IFERROR(__xludf.DUMMYFUNCTION("""COMPUTED_VALUE"""),63.0)</f>
        <v>63</v>
      </c>
      <c r="F832" s="19" t="str">
        <f>IFERROR(__xludf.DUMMYFUNCTION("""COMPUTED_VALUE"""),"BLUE")</f>
        <v>BLUE</v>
      </c>
      <c r="G832" s="20" t="str">
        <f>IFERROR(__xludf.DUMMYFUNCTION("""COMPUTED_VALUE"""),"Uncle Sams Cider (11/12/2021) (Blue)")</f>
        <v>Uncle Sams Cider (11/12/2021) (Blue)</v>
      </c>
      <c r="H832" s="19"/>
    </row>
    <row r="833">
      <c r="A833" s="9"/>
      <c r="B833" s="15"/>
      <c r="C833" s="9">
        <f>IFERROR(__xludf.DUMMYFUNCTION("""COMPUTED_VALUE"""),44596.8833190277)</f>
        <v>44596.88332</v>
      </c>
      <c r="D833" s="15">
        <f>IFERROR(__xludf.DUMMYFUNCTION("""COMPUTED_VALUE"""),1.0)</f>
        <v>1</v>
      </c>
      <c r="E833" s="16">
        <f>IFERROR(__xludf.DUMMYFUNCTION("""COMPUTED_VALUE"""),62.0)</f>
        <v>62</v>
      </c>
      <c r="F833" s="19" t="str">
        <f>IFERROR(__xludf.DUMMYFUNCTION("""COMPUTED_VALUE"""),"BLUE")</f>
        <v>BLUE</v>
      </c>
      <c r="G833" s="20" t="str">
        <f>IFERROR(__xludf.DUMMYFUNCTION("""COMPUTED_VALUE"""),"Uncle Sams Cider (11/12/2021) (Blue)")</f>
        <v>Uncle Sams Cider (11/12/2021) (Blue)</v>
      </c>
      <c r="H833" s="19"/>
    </row>
    <row r="834">
      <c r="A834" s="9"/>
      <c r="B834" s="15"/>
      <c r="C834" s="9">
        <f>IFERROR(__xludf.DUMMYFUNCTION("""COMPUTED_VALUE"""),44596.8728976273)</f>
        <v>44596.8729</v>
      </c>
      <c r="D834" s="15">
        <f>IFERROR(__xludf.DUMMYFUNCTION("""COMPUTED_VALUE"""),1.0)</f>
        <v>1</v>
      </c>
      <c r="E834" s="16">
        <f>IFERROR(__xludf.DUMMYFUNCTION("""COMPUTED_VALUE"""),62.0)</f>
        <v>62</v>
      </c>
      <c r="F834" s="19" t="str">
        <f>IFERROR(__xludf.DUMMYFUNCTION("""COMPUTED_VALUE"""),"BLUE")</f>
        <v>BLUE</v>
      </c>
      <c r="G834" s="20" t="str">
        <f>IFERROR(__xludf.DUMMYFUNCTION("""COMPUTED_VALUE"""),"Uncle Sams Cider (11/12/2021) (Blue)")</f>
        <v>Uncle Sams Cider (11/12/2021) (Blue)</v>
      </c>
      <c r="H834" s="19"/>
    </row>
    <row r="835">
      <c r="A835" s="9"/>
      <c r="B835" s="15"/>
      <c r="C835" s="9">
        <f>IFERROR(__xludf.DUMMYFUNCTION("""COMPUTED_VALUE"""),44596.8624762037)</f>
        <v>44596.86248</v>
      </c>
      <c r="D835" s="15">
        <f>IFERROR(__xludf.DUMMYFUNCTION("""COMPUTED_VALUE"""),1.0)</f>
        <v>1</v>
      </c>
      <c r="E835" s="16">
        <f>IFERROR(__xludf.DUMMYFUNCTION("""COMPUTED_VALUE"""),62.0)</f>
        <v>62</v>
      </c>
      <c r="F835" s="19" t="str">
        <f>IFERROR(__xludf.DUMMYFUNCTION("""COMPUTED_VALUE"""),"BLUE")</f>
        <v>BLUE</v>
      </c>
      <c r="G835" s="20" t="str">
        <f>IFERROR(__xludf.DUMMYFUNCTION("""COMPUTED_VALUE"""),"Uncle Sams Cider (11/12/2021) (Blue)")</f>
        <v>Uncle Sams Cider (11/12/2021) (Blue)</v>
      </c>
      <c r="H835" s="19"/>
    </row>
    <row r="836">
      <c r="A836" s="9"/>
      <c r="B836" s="15"/>
      <c r="C836" s="9">
        <f>IFERROR(__xludf.DUMMYFUNCTION("""COMPUTED_VALUE"""),44596.8520531134)</f>
        <v>44596.85205</v>
      </c>
      <c r="D836" s="15">
        <f>IFERROR(__xludf.DUMMYFUNCTION("""COMPUTED_VALUE"""),1.0)</f>
        <v>1</v>
      </c>
      <c r="E836" s="16">
        <f>IFERROR(__xludf.DUMMYFUNCTION("""COMPUTED_VALUE"""),61.0)</f>
        <v>61</v>
      </c>
      <c r="F836" s="19" t="str">
        <f>IFERROR(__xludf.DUMMYFUNCTION("""COMPUTED_VALUE"""),"BLUE")</f>
        <v>BLUE</v>
      </c>
      <c r="G836" s="20" t="str">
        <f>IFERROR(__xludf.DUMMYFUNCTION("""COMPUTED_VALUE"""),"Uncle Sams Cider (11/12/2021) (Blue)")</f>
        <v>Uncle Sams Cider (11/12/2021) (Blue)</v>
      </c>
      <c r="H836" s="19"/>
    </row>
    <row r="837">
      <c r="A837" s="9"/>
      <c r="B837" s="15"/>
      <c r="C837" s="9">
        <f>IFERROR(__xludf.DUMMYFUNCTION("""COMPUTED_VALUE"""),44596.8416320949)</f>
        <v>44596.84163</v>
      </c>
      <c r="D837" s="15">
        <f>IFERROR(__xludf.DUMMYFUNCTION("""COMPUTED_VALUE"""),1.0)</f>
        <v>1</v>
      </c>
      <c r="E837" s="16">
        <f>IFERROR(__xludf.DUMMYFUNCTION("""COMPUTED_VALUE"""),61.0)</f>
        <v>61</v>
      </c>
      <c r="F837" s="19" t="str">
        <f>IFERROR(__xludf.DUMMYFUNCTION("""COMPUTED_VALUE"""),"BLUE")</f>
        <v>BLUE</v>
      </c>
      <c r="G837" s="20" t="str">
        <f>IFERROR(__xludf.DUMMYFUNCTION("""COMPUTED_VALUE"""),"Uncle Sams Cider (11/12/2021) (Blue)")</f>
        <v>Uncle Sams Cider (11/12/2021) (Blue)</v>
      </c>
      <c r="H837" s="19"/>
    </row>
    <row r="838">
      <c r="A838" s="9"/>
      <c r="B838" s="15"/>
      <c r="C838" s="9">
        <f>IFERROR(__xludf.DUMMYFUNCTION("""COMPUTED_VALUE"""),44596.8311868634)</f>
        <v>44596.83119</v>
      </c>
      <c r="D838" s="15">
        <f>IFERROR(__xludf.DUMMYFUNCTION("""COMPUTED_VALUE"""),1.0)</f>
        <v>1</v>
      </c>
      <c r="E838" s="16">
        <f>IFERROR(__xludf.DUMMYFUNCTION("""COMPUTED_VALUE"""),61.0)</f>
        <v>61</v>
      </c>
      <c r="F838" s="19" t="str">
        <f>IFERROR(__xludf.DUMMYFUNCTION("""COMPUTED_VALUE"""),"BLUE")</f>
        <v>BLUE</v>
      </c>
      <c r="G838" s="20" t="str">
        <f>IFERROR(__xludf.DUMMYFUNCTION("""COMPUTED_VALUE"""),"Uncle Sams Cider (11/12/2021) (Blue)")</f>
        <v>Uncle Sams Cider (11/12/2021) (Blue)</v>
      </c>
      <c r="H838" s="19"/>
    </row>
    <row r="839">
      <c r="A839" s="9"/>
      <c r="B839" s="15"/>
      <c r="C839" s="9">
        <f>IFERROR(__xludf.DUMMYFUNCTION("""COMPUTED_VALUE"""),44596.8207666087)</f>
        <v>44596.82077</v>
      </c>
      <c r="D839" s="15">
        <f>IFERROR(__xludf.DUMMYFUNCTION("""COMPUTED_VALUE"""),1.0)</f>
        <v>1</v>
      </c>
      <c r="E839" s="16">
        <f>IFERROR(__xludf.DUMMYFUNCTION("""COMPUTED_VALUE"""),61.0)</f>
        <v>61</v>
      </c>
      <c r="F839" s="19" t="str">
        <f>IFERROR(__xludf.DUMMYFUNCTION("""COMPUTED_VALUE"""),"BLUE")</f>
        <v>BLUE</v>
      </c>
      <c r="G839" s="20" t="str">
        <f>IFERROR(__xludf.DUMMYFUNCTION("""COMPUTED_VALUE"""),"Uncle Sams Cider (11/12/2021) (Blue)")</f>
        <v>Uncle Sams Cider (11/12/2021) (Blue)</v>
      </c>
      <c r="H839" s="19"/>
    </row>
    <row r="840">
      <c r="A840" s="9"/>
      <c r="B840" s="15"/>
      <c r="C840" s="9">
        <f>IFERROR(__xludf.DUMMYFUNCTION("""COMPUTED_VALUE"""),44596.8103445138)</f>
        <v>44596.81034</v>
      </c>
      <c r="D840" s="15">
        <f>IFERROR(__xludf.DUMMYFUNCTION("""COMPUTED_VALUE"""),1.0)</f>
        <v>1</v>
      </c>
      <c r="E840" s="16">
        <f>IFERROR(__xludf.DUMMYFUNCTION("""COMPUTED_VALUE"""),62.0)</f>
        <v>62</v>
      </c>
      <c r="F840" s="19" t="str">
        <f>IFERROR(__xludf.DUMMYFUNCTION("""COMPUTED_VALUE"""),"BLUE")</f>
        <v>BLUE</v>
      </c>
      <c r="G840" s="20" t="str">
        <f>IFERROR(__xludf.DUMMYFUNCTION("""COMPUTED_VALUE"""),"Uncle Sams Cider (11/12/2021) (Blue)")</f>
        <v>Uncle Sams Cider (11/12/2021) (Blue)</v>
      </c>
      <c r="H840" s="19"/>
    </row>
    <row r="841">
      <c r="A841" s="9"/>
      <c r="B841" s="15"/>
      <c r="C841" s="9">
        <f>IFERROR(__xludf.DUMMYFUNCTION("""COMPUTED_VALUE"""),44596.7999229282)</f>
        <v>44596.79992</v>
      </c>
      <c r="D841" s="15">
        <f>IFERROR(__xludf.DUMMYFUNCTION("""COMPUTED_VALUE"""),1.0)</f>
        <v>1</v>
      </c>
      <c r="E841" s="16">
        <f>IFERROR(__xludf.DUMMYFUNCTION("""COMPUTED_VALUE"""),61.0)</f>
        <v>61</v>
      </c>
      <c r="F841" s="19" t="str">
        <f>IFERROR(__xludf.DUMMYFUNCTION("""COMPUTED_VALUE"""),"BLUE")</f>
        <v>BLUE</v>
      </c>
      <c r="G841" s="20" t="str">
        <f>IFERROR(__xludf.DUMMYFUNCTION("""COMPUTED_VALUE"""),"Uncle Sams Cider (11/12/2021) (Blue)")</f>
        <v>Uncle Sams Cider (11/12/2021) (Blue)</v>
      </c>
      <c r="H841" s="19"/>
    </row>
    <row r="842">
      <c r="A842" s="9"/>
      <c r="B842" s="15"/>
      <c r="C842" s="9">
        <f>IFERROR(__xludf.DUMMYFUNCTION("""COMPUTED_VALUE"""),44596.7894900347)</f>
        <v>44596.78949</v>
      </c>
      <c r="D842" s="15">
        <f>IFERROR(__xludf.DUMMYFUNCTION("""COMPUTED_VALUE"""),1.0)</f>
        <v>1</v>
      </c>
      <c r="E842" s="16">
        <f>IFERROR(__xludf.DUMMYFUNCTION("""COMPUTED_VALUE"""),62.0)</f>
        <v>62</v>
      </c>
      <c r="F842" s="19" t="str">
        <f>IFERROR(__xludf.DUMMYFUNCTION("""COMPUTED_VALUE"""),"BLUE")</f>
        <v>BLUE</v>
      </c>
      <c r="G842" s="20" t="str">
        <f>IFERROR(__xludf.DUMMYFUNCTION("""COMPUTED_VALUE"""),"Uncle Sams Cider (11/12/2021) (Blue)")</f>
        <v>Uncle Sams Cider (11/12/2021) (Blue)</v>
      </c>
      <c r="H842" s="19"/>
    </row>
    <row r="843">
      <c r="A843" s="9"/>
      <c r="B843" s="15"/>
      <c r="C843" s="9">
        <f>IFERROR(__xludf.DUMMYFUNCTION("""COMPUTED_VALUE"""),44596.7790683796)</f>
        <v>44596.77907</v>
      </c>
      <c r="D843" s="15">
        <f>IFERROR(__xludf.DUMMYFUNCTION("""COMPUTED_VALUE"""),1.0)</f>
        <v>1</v>
      </c>
      <c r="E843" s="16">
        <f>IFERROR(__xludf.DUMMYFUNCTION("""COMPUTED_VALUE"""),62.0)</f>
        <v>62</v>
      </c>
      <c r="F843" s="19" t="str">
        <f>IFERROR(__xludf.DUMMYFUNCTION("""COMPUTED_VALUE"""),"BLUE")</f>
        <v>BLUE</v>
      </c>
      <c r="G843" s="20" t="str">
        <f>IFERROR(__xludf.DUMMYFUNCTION("""COMPUTED_VALUE"""),"Uncle Sams Cider (11/12/2021) (Blue)")</f>
        <v>Uncle Sams Cider (11/12/2021) (Blue)</v>
      </c>
      <c r="H843" s="19"/>
    </row>
    <row r="844">
      <c r="A844" s="9"/>
      <c r="B844" s="15"/>
      <c r="C844" s="9">
        <f>IFERROR(__xludf.DUMMYFUNCTION("""COMPUTED_VALUE"""),44596.7686475578)</f>
        <v>44596.76865</v>
      </c>
      <c r="D844" s="15">
        <f>IFERROR(__xludf.DUMMYFUNCTION("""COMPUTED_VALUE"""),1.0)</f>
        <v>1</v>
      </c>
      <c r="E844" s="16">
        <f>IFERROR(__xludf.DUMMYFUNCTION("""COMPUTED_VALUE"""),62.0)</f>
        <v>62</v>
      </c>
      <c r="F844" s="19" t="str">
        <f>IFERROR(__xludf.DUMMYFUNCTION("""COMPUTED_VALUE"""),"BLUE")</f>
        <v>BLUE</v>
      </c>
      <c r="G844" s="20" t="str">
        <f>IFERROR(__xludf.DUMMYFUNCTION("""COMPUTED_VALUE"""),"Uncle Sams Cider (11/12/2021) (Blue)")</f>
        <v>Uncle Sams Cider (11/12/2021) (Blue)</v>
      </c>
      <c r="H844" s="19"/>
    </row>
    <row r="845">
      <c r="A845" s="9"/>
      <c r="B845" s="15"/>
      <c r="C845" s="9">
        <f>IFERROR(__xludf.DUMMYFUNCTION("""COMPUTED_VALUE"""),44596.7582143865)</f>
        <v>44596.75821</v>
      </c>
      <c r="D845" s="15">
        <f>IFERROR(__xludf.DUMMYFUNCTION("""COMPUTED_VALUE"""),1.0)</f>
        <v>1</v>
      </c>
      <c r="E845" s="16">
        <f>IFERROR(__xludf.DUMMYFUNCTION("""COMPUTED_VALUE"""),61.0)</f>
        <v>61</v>
      </c>
      <c r="F845" s="19" t="str">
        <f>IFERROR(__xludf.DUMMYFUNCTION("""COMPUTED_VALUE"""),"BLUE")</f>
        <v>BLUE</v>
      </c>
      <c r="G845" s="20" t="str">
        <f>IFERROR(__xludf.DUMMYFUNCTION("""COMPUTED_VALUE"""),"Uncle Sams Cider (11/12/2021) (Blue)")</f>
        <v>Uncle Sams Cider (11/12/2021) (Blue)</v>
      </c>
      <c r="H845" s="19"/>
    </row>
    <row r="846">
      <c r="A846" s="9"/>
      <c r="B846" s="15"/>
      <c r="C846" s="9">
        <f>IFERROR(__xludf.DUMMYFUNCTION("""COMPUTED_VALUE"""),44596.7477806944)</f>
        <v>44596.74778</v>
      </c>
      <c r="D846" s="15">
        <f>IFERROR(__xludf.DUMMYFUNCTION("""COMPUTED_VALUE"""),1.0)</f>
        <v>1</v>
      </c>
      <c r="E846" s="16">
        <f>IFERROR(__xludf.DUMMYFUNCTION("""COMPUTED_VALUE"""),62.0)</f>
        <v>62</v>
      </c>
      <c r="F846" s="19" t="str">
        <f>IFERROR(__xludf.DUMMYFUNCTION("""COMPUTED_VALUE"""),"BLUE")</f>
        <v>BLUE</v>
      </c>
      <c r="G846" s="20" t="str">
        <f>IFERROR(__xludf.DUMMYFUNCTION("""COMPUTED_VALUE"""),"Uncle Sams Cider (11/12/2021) (Blue)")</f>
        <v>Uncle Sams Cider (11/12/2021) (Blue)</v>
      </c>
      <c r="H846" s="19"/>
    </row>
    <row r="847">
      <c r="A847" s="9"/>
      <c r="B847" s="15"/>
      <c r="C847" s="9">
        <f>IFERROR(__xludf.DUMMYFUNCTION("""COMPUTED_VALUE"""),44596.737360324)</f>
        <v>44596.73736</v>
      </c>
      <c r="D847" s="15">
        <f>IFERROR(__xludf.DUMMYFUNCTION("""COMPUTED_VALUE"""),1.0)</f>
        <v>1</v>
      </c>
      <c r="E847" s="16">
        <f>IFERROR(__xludf.DUMMYFUNCTION("""COMPUTED_VALUE"""),62.0)</f>
        <v>62</v>
      </c>
      <c r="F847" s="19" t="str">
        <f>IFERROR(__xludf.DUMMYFUNCTION("""COMPUTED_VALUE"""),"BLUE")</f>
        <v>BLUE</v>
      </c>
      <c r="G847" s="20" t="str">
        <f>IFERROR(__xludf.DUMMYFUNCTION("""COMPUTED_VALUE"""),"Uncle Sams Cider (11/12/2021) (Blue)")</f>
        <v>Uncle Sams Cider (11/12/2021) (Blue)</v>
      </c>
      <c r="H847" s="19"/>
    </row>
    <row r="848">
      <c r="A848" s="9"/>
      <c r="B848" s="15"/>
      <c r="C848" s="9">
        <f>IFERROR(__xludf.DUMMYFUNCTION("""COMPUTED_VALUE"""),44596.7269399305)</f>
        <v>44596.72694</v>
      </c>
      <c r="D848" s="15">
        <f>IFERROR(__xludf.DUMMYFUNCTION("""COMPUTED_VALUE"""),1.0)</f>
        <v>1</v>
      </c>
      <c r="E848" s="16">
        <f>IFERROR(__xludf.DUMMYFUNCTION("""COMPUTED_VALUE"""),62.0)</f>
        <v>62</v>
      </c>
      <c r="F848" s="19" t="str">
        <f>IFERROR(__xludf.DUMMYFUNCTION("""COMPUTED_VALUE"""),"BLUE")</f>
        <v>BLUE</v>
      </c>
      <c r="G848" s="20" t="str">
        <f>IFERROR(__xludf.DUMMYFUNCTION("""COMPUTED_VALUE"""),"Uncle Sams Cider (11/12/2021) (Blue)")</f>
        <v>Uncle Sams Cider (11/12/2021) (Blue)</v>
      </c>
      <c r="H848" s="19"/>
    </row>
    <row r="849">
      <c r="A849" s="9"/>
      <c r="B849" s="15"/>
      <c r="C849" s="9">
        <f>IFERROR(__xludf.DUMMYFUNCTION("""COMPUTED_VALUE"""),44596.7165180555)</f>
        <v>44596.71652</v>
      </c>
      <c r="D849" s="15">
        <f>IFERROR(__xludf.DUMMYFUNCTION("""COMPUTED_VALUE"""),1.0)</f>
        <v>1</v>
      </c>
      <c r="E849" s="16">
        <f>IFERROR(__xludf.DUMMYFUNCTION("""COMPUTED_VALUE"""),62.0)</f>
        <v>62</v>
      </c>
      <c r="F849" s="19" t="str">
        <f>IFERROR(__xludf.DUMMYFUNCTION("""COMPUTED_VALUE"""),"BLUE")</f>
        <v>BLUE</v>
      </c>
      <c r="G849" s="20" t="str">
        <f>IFERROR(__xludf.DUMMYFUNCTION("""COMPUTED_VALUE"""),"Uncle Sams Cider (11/12/2021) (Blue)")</f>
        <v>Uncle Sams Cider (11/12/2021) (Blue)</v>
      </c>
      <c r="H849" s="19"/>
    </row>
    <row r="850">
      <c r="A850" s="9"/>
      <c r="B850" s="15"/>
      <c r="C850" s="9">
        <f>IFERROR(__xludf.DUMMYFUNCTION("""COMPUTED_VALUE"""),44596.7060948495)</f>
        <v>44596.70609</v>
      </c>
      <c r="D850" s="15">
        <f>IFERROR(__xludf.DUMMYFUNCTION("""COMPUTED_VALUE"""),1.0)</f>
        <v>1</v>
      </c>
      <c r="E850" s="16">
        <f>IFERROR(__xludf.DUMMYFUNCTION("""COMPUTED_VALUE"""),62.0)</f>
        <v>62</v>
      </c>
      <c r="F850" s="19" t="str">
        <f>IFERROR(__xludf.DUMMYFUNCTION("""COMPUTED_VALUE"""),"BLUE")</f>
        <v>BLUE</v>
      </c>
      <c r="G850" s="20" t="str">
        <f>IFERROR(__xludf.DUMMYFUNCTION("""COMPUTED_VALUE"""),"Uncle Sams Cider (11/12/2021) (Blue)")</f>
        <v>Uncle Sams Cider (11/12/2021) (Blue)</v>
      </c>
      <c r="H850" s="19"/>
    </row>
    <row r="851">
      <c r="A851" s="9"/>
      <c r="B851" s="15"/>
      <c r="C851" s="9">
        <f>IFERROR(__xludf.DUMMYFUNCTION("""COMPUTED_VALUE"""),44596.6956738888)</f>
        <v>44596.69567</v>
      </c>
      <c r="D851" s="15">
        <f>IFERROR(__xludf.DUMMYFUNCTION("""COMPUTED_VALUE"""),1.0)</f>
        <v>1</v>
      </c>
      <c r="E851" s="16">
        <f>IFERROR(__xludf.DUMMYFUNCTION("""COMPUTED_VALUE"""),62.0)</f>
        <v>62</v>
      </c>
      <c r="F851" s="19" t="str">
        <f>IFERROR(__xludf.DUMMYFUNCTION("""COMPUTED_VALUE"""),"BLUE")</f>
        <v>BLUE</v>
      </c>
      <c r="G851" s="20" t="str">
        <f>IFERROR(__xludf.DUMMYFUNCTION("""COMPUTED_VALUE"""),"Uncle Sams Cider (11/12/2021) (Blue)")</f>
        <v>Uncle Sams Cider (11/12/2021) (Blue)</v>
      </c>
      <c r="H851" s="19"/>
    </row>
    <row r="852">
      <c r="A852" s="9"/>
      <c r="B852" s="15"/>
      <c r="C852" s="9">
        <f>IFERROR(__xludf.DUMMYFUNCTION("""COMPUTED_VALUE"""),44596.6852519097)</f>
        <v>44596.68525</v>
      </c>
      <c r="D852" s="15">
        <f>IFERROR(__xludf.DUMMYFUNCTION("""COMPUTED_VALUE"""),1.0)</f>
        <v>1</v>
      </c>
      <c r="E852" s="16">
        <f>IFERROR(__xludf.DUMMYFUNCTION("""COMPUTED_VALUE"""),62.0)</f>
        <v>62</v>
      </c>
      <c r="F852" s="19" t="str">
        <f>IFERROR(__xludf.DUMMYFUNCTION("""COMPUTED_VALUE"""),"BLUE")</f>
        <v>BLUE</v>
      </c>
      <c r="G852" s="20" t="str">
        <f>IFERROR(__xludf.DUMMYFUNCTION("""COMPUTED_VALUE"""),"Uncle Sams Cider (11/12/2021) (Blue)")</f>
        <v>Uncle Sams Cider (11/12/2021) (Blue)</v>
      </c>
      <c r="H852" s="19"/>
    </row>
    <row r="853">
      <c r="A853" s="9"/>
      <c r="B853" s="15"/>
      <c r="C853" s="9">
        <f>IFERROR(__xludf.DUMMYFUNCTION("""COMPUTED_VALUE"""),44596.6748293518)</f>
        <v>44596.67483</v>
      </c>
      <c r="D853" s="15">
        <f>IFERROR(__xludf.DUMMYFUNCTION("""COMPUTED_VALUE"""),1.0)</f>
        <v>1</v>
      </c>
      <c r="E853" s="16">
        <f>IFERROR(__xludf.DUMMYFUNCTION("""COMPUTED_VALUE"""),62.0)</f>
        <v>62</v>
      </c>
      <c r="F853" s="19" t="str">
        <f>IFERROR(__xludf.DUMMYFUNCTION("""COMPUTED_VALUE"""),"BLUE")</f>
        <v>BLUE</v>
      </c>
      <c r="G853" s="20" t="str">
        <f>IFERROR(__xludf.DUMMYFUNCTION("""COMPUTED_VALUE"""),"Uncle Sams Cider (11/12/2021) (Blue)")</f>
        <v>Uncle Sams Cider (11/12/2021) (Blue)</v>
      </c>
      <c r="H853" s="19"/>
    </row>
    <row r="854">
      <c r="A854" s="9"/>
      <c r="B854" s="15"/>
      <c r="C854" s="9">
        <f>IFERROR(__xludf.DUMMYFUNCTION("""COMPUTED_VALUE"""),44596.6644075347)</f>
        <v>44596.66441</v>
      </c>
      <c r="D854" s="15">
        <f>IFERROR(__xludf.DUMMYFUNCTION("""COMPUTED_VALUE"""),1.0)</f>
        <v>1</v>
      </c>
      <c r="E854" s="16">
        <f>IFERROR(__xludf.DUMMYFUNCTION("""COMPUTED_VALUE"""),62.0)</f>
        <v>62</v>
      </c>
      <c r="F854" s="19" t="str">
        <f>IFERROR(__xludf.DUMMYFUNCTION("""COMPUTED_VALUE"""),"BLUE")</f>
        <v>BLUE</v>
      </c>
      <c r="G854" s="20" t="str">
        <f>IFERROR(__xludf.DUMMYFUNCTION("""COMPUTED_VALUE"""),"Uncle Sams Cider (11/12/2021) (Blue)")</f>
        <v>Uncle Sams Cider (11/12/2021) (Blue)</v>
      </c>
      <c r="H854" s="19"/>
    </row>
    <row r="855">
      <c r="A855" s="9"/>
      <c r="B855" s="15"/>
      <c r="C855" s="9">
        <f>IFERROR(__xludf.DUMMYFUNCTION("""COMPUTED_VALUE"""),44596.653985949)</f>
        <v>44596.65399</v>
      </c>
      <c r="D855" s="15">
        <f>IFERROR(__xludf.DUMMYFUNCTION("""COMPUTED_VALUE"""),1.0)</f>
        <v>1</v>
      </c>
      <c r="E855" s="16">
        <f>IFERROR(__xludf.DUMMYFUNCTION("""COMPUTED_VALUE"""),62.0)</f>
        <v>62</v>
      </c>
      <c r="F855" s="19" t="str">
        <f>IFERROR(__xludf.DUMMYFUNCTION("""COMPUTED_VALUE"""),"BLUE")</f>
        <v>BLUE</v>
      </c>
      <c r="G855" s="20" t="str">
        <f>IFERROR(__xludf.DUMMYFUNCTION("""COMPUTED_VALUE"""),"Uncle Sams Cider (11/12/2021) (Blue)")</f>
        <v>Uncle Sams Cider (11/12/2021) (Blue)</v>
      </c>
      <c r="H855" s="19"/>
    </row>
    <row r="856">
      <c r="A856" s="9"/>
      <c r="B856" s="15"/>
      <c r="C856" s="9">
        <f>IFERROR(__xludf.DUMMYFUNCTION("""COMPUTED_VALUE"""),44596.6435670023)</f>
        <v>44596.64357</v>
      </c>
      <c r="D856" s="15">
        <f>IFERROR(__xludf.DUMMYFUNCTION("""COMPUTED_VALUE"""),1.0)</f>
        <v>1</v>
      </c>
      <c r="E856" s="16">
        <f>IFERROR(__xludf.DUMMYFUNCTION("""COMPUTED_VALUE"""),62.0)</f>
        <v>62</v>
      </c>
      <c r="F856" s="19" t="str">
        <f>IFERROR(__xludf.DUMMYFUNCTION("""COMPUTED_VALUE"""),"BLUE")</f>
        <v>BLUE</v>
      </c>
      <c r="G856" s="20" t="str">
        <f>IFERROR(__xludf.DUMMYFUNCTION("""COMPUTED_VALUE"""),"Uncle Sams Cider (11/12/2021) (Blue)")</f>
        <v>Uncle Sams Cider (11/12/2021) (Blue)</v>
      </c>
      <c r="H856" s="19"/>
    </row>
    <row r="857">
      <c r="A857" s="9"/>
      <c r="B857" s="15"/>
      <c r="C857" s="9">
        <f>IFERROR(__xludf.DUMMYFUNCTION("""COMPUTED_VALUE"""),44596.6331490277)</f>
        <v>44596.63315</v>
      </c>
      <c r="D857" s="15">
        <f>IFERROR(__xludf.DUMMYFUNCTION("""COMPUTED_VALUE"""),1.0)</f>
        <v>1</v>
      </c>
      <c r="E857" s="16">
        <f>IFERROR(__xludf.DUMMYFUNCTION("""COMPUTED_VALUE"""),62.0)</f>
        <v>62</v>
      </c>
      <c r="F857" s="19" t="str">
        <f>IFERROR(__xludf.DUMMYFUNCTION("""COMPUTED_VALUE"""),"BLUE")</f>
        <v>BLUE</v>
      </c>
      <c r="G857" s="20" t="str">
        <f>IFERROR(__xludf.DUMMYFUNCTION("""COMPUTED_VALUE"""),"Uncle Sams Cider (11/12/2021) (Blue)")</f>
        <v>Uncle Sams Cider (11/12/2021) (Blue)</v>
      </c>
      <c r="H857" s="19"/>
    </row>
    <row r="858">
      <c r="A858" s="9"/>
      <c r="B858" s="15"/>
      <c r="C858" s="9">
        <f>IFERROR(__xludf.DUMMYFUNCTION("""COMPUTED_VALUE"""),44596.622727905)</f>
        <v>44596.62273</v>
      </c>
      <c r="D858" s="15">
        <f>IFERROR(__xludf.DUMMYFUNCTION("""COMPUTED_VALUE"""),1.0)</f>
        <v>1</v>
      </c>
      <c r="E858" s="16">
        <f>IFERROR(__xludf.DUMMYFUNCTION("""COMPUTED_VALUE"""),62.0)</f>
        <v>62</v>
      </c>
      <c r="F858" s="19" t="str">
        <f>IFERROR(__xludf.DUMMYFUNCTION("""COMPUTED_VALUE"""),"BLUE")</f>
        <v>BLUE</v>
      </c>
      <c r="G858" s="20" t="str">
        <f>IFERROR(__xludf.DUMMYFUNCTION("""COMPUTED_VALUE"""),"Uncle Sams Cider (11/12/2021) (Blue)")</f>
        <v>Uncle Sams Cider (11/12/2021) (Blue)</v>
      </c>
      <c r="H858" s="19"/>
    </row>
    <row r="859">
      <c r="A859" s="9"/>
      <c r="B859" s="15"/>
      <c r="C859" s="9">
        <f>IFERROR(__xludf.DUMMYFUNCTION("""COMPUTED_VALUE"""),44596.6123062384)</f>
        <v>44596.61231</v>
      </c>
      <c r="D859" s="15">
        <f>IFERROR(__xludf.DUMMYFUNCTION("""COMPUTED_VALUE"""),1.0)</f>
        <v>1</v>
      </c>
      <c r="E859" s="16">
        <f>IFERROR(__xludf.DUMMYFUNCTION("""COMPUTED_VALUE"""),62.0)</f>
        <v>62</v>
      </c>
      <c r="F859" s="19" t="str">
        <f>IFERROR(__xludf.DUMMYFUNCTION("""COMPUTED_VALUE"""),"BLUE")</f>
        <v>BLUE</v>
      </c>
      <c r="G859" s="20" t="str">
        <f>IFERROR(__xludf.DUMMYFUNCTION("""COMPUTED_VALUE"""),"Uncle Sams Cider (11/12/2021) (Blue)")</f>
        <v>Uncle Sams Cider (11/12/2021) (Blue)</v>
      </c>
      <c r="H859" s="19"/>
    </row>
    <row r="860">
      <c r="A860" s="9"/>
      <c r="B860" s="15"/>
      <c r="C860" s="9">
        <f>IFERROR(__xludf.DUMMYFUNCTION("""COMPUTED_VALUE"""),44596.6018853009)</f>
        <v>44596.60189</v>
      </c>
      <c r="D860" s="15">
        <f>IFERROR(__xludf.DUMMYFUNCTION("""COMPUTED_VALUE"""),1.0)</f>
        <v>1</v>
      </c>
      <c r="E860" s="16">
        <f>IFERROR(__xludf.DUMMYFUNCTION("""COMPUTED_VALUE"""),62.0)</f>
        <v>62</v>
      </c>
      <c r="F860" s="19" t="str">
        <f>IFERROR(__xludf.DUMMYFUNCTION("""COMPUTED_VALUE"""),"BLUE")</f>
        <v>BLUE</v>
      </c>
      <c r="G860" s="20" t="str">
        <f>IFERROR(__xludf.DUMMYFUNCTION("""COMPUTED_VALUE"""),"Uncle Sams Cider (11/12/2021) (Blue)")</f>
        <v>Uncle Sams Cider (11/12/2021) (Blue)</v>
      </c>
      <c r="H860" s="19"/>
    </row>
    <row r="861">
      <c r="A861" s="9"/>
      <c r="B861" s="15"/>
      <c r="C861" s="9">
        <f>IFERROR(__xludf.DUMMYFUNCTION("""COMPUTED_VALUE"""),44596.5914639467)</f>
        <v>44596.59146</v>
      </c>
      <c r="D861" s="15">
        <f>IFERROR(__xludf.DUMMYFUNCTION("""COMPUTED_VALUE"""),1.0)</f>
        <v>1</v>
      </c>
      <c r="E861" s="16">
        <f>IFERROR(__xludf.DUMMYFUNCTION("""COMPUTED_VALUE"""),62.0)</f>
        <v>62</v>
      </c>
      <c r="F861" s="19" t="str">
        <f>IFERROR(__xludf.DUMMYFUNCTION("""COMPUTED_VALUE"""),"BLUE")</f>
        <v>BLUE</v>
      </c>
      <c r="G861" s="20" t="str">
        <f>IFERROR(__xludf.DUMMYFUNCTION("""COMPUTED_VALUE"""),"Uncle Sams Cider (11/12/2021) (Blue)")</f>
        <v>Uncle Sams Cider (11/12/2021) (Blue)</v>
      </c>
      <c r="H861" s="19"/>
    </row>
    <row r="862">
      <c r="A862" s="9"/>
      <c r="B862" s="15"/>
      <c r="C862" s="9">
        <f>IFERROR(__xludf.DUMMYFUNCTION("""COMPUTED_VALUE"""),44596.5810320717)</f>
        <v>44596.58103</v>
      </c>
      <c r="D862" s="15">
        <f>IFERROR(__xludf.DUMMYFUNCTION("""COMPUTED_VALUE"""),1.0)</f>
        <v>1</v>
      </c>
      <c r="E862" s="16">
        <f>IFERROR(__xludf.DUMMYFUNCTION("""COMPUTED_VALUE"""),62.0)</f>
        <v>62</v>
      </c>
      <c r="F862" s="19" t="str">
        <f>IFERROR(__xludf.DUMMYFUNCTION("""COMPUTED_VALUE"""),"BLUE")</f>
        <v>BLUE</v>
      </c>
      <c r="G862" s="20" t="str">
        <f>IFERROR(__xludf.DUMMYFUNCTION("""COMPUTED_VALUE"""),"Uncle Sams Cider (11/12/2021) (Blue)")</f>
        <v>Uncle Sams Cider (11/12/2021) (Blue)</v>
      </c>
      <c r="H862" s="19"/>
    </row>
    <row r="863">
      <c r="A863" s="9"/>
      <c r="B863" s="15"/>
      <c r="C863" s="9">
        <f>IFERROR(__xludf.DUMMYFUNCTION("""COMPUTED_VALUE"""),44596.5705993518)</f>
        <v>44596.5706</v>
      </c>
      <c r="D863" s="15">
        <f>IFERROR(__xludf.DUMMYFUNCTION("""COMPUTED_VALUE"""),1.0)</f>
        <v>1</v>
      </c>
      <c r="E863" s="16">
        <f>IFERROR(__xludf.DUMMYFUNCTION("""COMPUTED_VALUE"""),62.0)</f>
        <v>62</v>
      </c>
      <c r="F863" s="19" t="str">
        <f>IFERROR(__xludf.DUMMYFUNCTION("""COMPUTED_VALUE"""),"BLUE")</f>
        <v>BLUE</v>
      </c>
      <c r="G863" s="20" t="str">
        <f>IFERROR(__xludf.DUMMYFUNCTION("""COMPUTED_VALUE"""),"Uncle Sams Cider (11/12/2021) (Blue)")</f>
        <v>Uncle Sams Cider (11/12/2021) (Blue)</v>
      </c>
      <c r="H863" s="19"/>
    </row>
    <row r="864">
      <c r="A864" s="9"/>
      <c r="B864" s="15"/>
      <c r="C864" s="9">
        <f>IFERROR(__xludf.DUMMYFUNCTION("""COMPUTED_VALUE"""),44596.5601787615)</f>
        <v>44596.56018</v>
      </c>
      <c r="D864" s="15">
        <f>IFERROR(__xludf.DUMMYFUNCTION("""COMPUTED_VALUE"""),1.0)</f>
        <v>1</v>
      </c>
      <c r="E864" s="16">
        <f>IFERROR(__xludf.DUMMYFUNCTION("""COMPUTED_VALUE"""),62.0)</f>
        <v>62</v>
      </c>
      <c r="F864" s="19" t="str">
        <f>IFERROR(__xludf.DUMMYFUNCTION("""COMPUTED_VALUE"""),"BLUE")</f>
        <v>BLUE</v>
      </c>
      <c r="G864" s="20" t="str">
        <f>IFERROR(__xludf.DUMMYFUNCTION("""COMPUTED_VALUE"""),"Uncle Sams Cider (11/12/2021) (Blue)")</f>
        <v>Uncle Sams Cider (11/12/2021) (Blue)</v>
      </c>
      <c r="H864" s="19"/>
    </row>
    <row r="865">
      <c r="A865" s="9"/>
      <c r="B865" s="15"/>
      <c r="C865" s="9">
        <f>IFERROR(__xludf.DUMMYFUNCTION("""COMPUTED_VALUE"""),44596.5497574884)</f>
        <v>44596.54976</v>
      </c>
      <c r="D865" s="15">
        <f>IFERROR(__xludf.DUMMYFUNCTION("""COMPUTED_VALUE"""),1.0)</f>
        <v>1</v>
      </c>
      <c r="E865" s="16">
        <f>IFERROR(__xludf.DUMMYFUNCTION("""COMPUTED_VALUE"""),62.0)</f>
        <v>62</v>
      </c>
      <c r="F865" s="19" t="str">
        <f>IFERROR(__xludf.DUMMYFUNCTION("""COMPUTED_VALUE"""),"BLUE")</f>
        <v>BLUE</v>
      </c>
      <c r="G865" s="20" t="str">
        <f>IFERROR(__xludf.DUMMYFUNCTION("""COMPUTED_VALUE"""),"Uncle Sams Cider (11/12/2021) (Blue)")</f>
        <v>Uncle Sams Cider (11/12/2021) (Blue)</v>
      </c>
      <c r="H865" s="19"/>
    </row>
    <row r="866">
      <c r="A866" s="9"/>
      <c r="B866" s="15"/>
      <c r="C866" s="9">
        <f>IFERROR(__xludf.DUMMYFUNCTION("""COMPUTED_VALUE"""),44596.5393370717)</f>
        <v>44596.53934</v>
      </c>
      <c r="D866" s="15">
        <f>IFERROR(__xludf.DUMMYFUNCTION("""COMPUTED_VALUE"""),1.0)</f>
        <v>1</v>
      </c>
      <c r="E866" s="16">
        <f>IFERROR(__xludf.DUMMYFUNCTION("""COMPUTED_VALUE"""),62.0)</f>
        <v>62</v>
      </c>
      <c r="F866" s="19" t="str">
        <f>IFERROR(__xludf.DUMMYFUNCTION("""COMPUTED_VALUE"""),"BLUE")</f>
        <v>BLUE</v>
      </c>
      <c r="G866" s="20" t="str">
        <f>IFERROR(__xludf.DUMMYFUNCTION("""COMPUTED_VALUE"""),"Uncle Sams Cider (11/12/2021) (Blue)")</f>
        <v>Uncle Sams Cider (11/12/2021) (Blue)</v>
      </c>
      <c r="H866" s="19"/>
    </row>
    <row r="867">
      <c r="A867" s="9"/>
      <c r="B867" s="15"/>
      <c r="C867" s="9">
        <f>IFERROR(__xludf.DUMMYFUNCTION("""COMPUTED_VALUE"""),44596.5289176851)</f>
        <v>44596.52892</v>
      </c>
      <c r="D867" s="15">
        <f>IFERROR(__xludf.DUMMYFUNCTION("""COMPUTED_VALUE"""),1.0)</f>
        <v>1</v>
      </c>
      <c r="E867" s="16">
        <f>IFERROR(__xludf.DUMMYFUNCTION("""COMPUTED_VALUE"""),62.0)</f>
        <v>62</v>
      </c>
      <c r="F867" s="19" t="str">
        <f>IFERROR(__xludf.DUMMYFUNCTION("""COMPUTED_VALUE"""),"BLUE")</f>
        <v>BLUE</v>
      </c>
      <c r="G867" s="20" t="str">
        <f>IFERROR(__xludf.DUMMYFUNCTION("""COMPUTED_VALUE"""),"Uncle Sams Cider (11/12/2021) (Blue)")</f>
        <v>Uncle Sams Cider (11/12/2021) (Blue)</v>
      </c>
      <c r="H867" s="19"/>
    </row>
    <row r="868">
      <c r="A868" s="9"/>
      <c r="B868" s="15"/>
      <c r="C868" s="9">
        <f>IFERROR(__xludf.DUMMYFUNCTION("""COMPUTED_VALUE"""),44596.51848375)</f>
        <v>44596.51848</v>
      </c>
      <c r="D868" s="15">
        <f>IFERROR(__xludf.DUMMYFUNCTION("""COMPUTED_VALUE"""),1.0)</f>
        <v>1</v>
      </c>
      <c r="E868" s="16">
        <f>IFERROR(__xludf.DUMMYFUNCTION("""COMPUTED_VALUE"""),62.0)</f>
        <v>62</v>
      </c>
      <c r="F868" s="19" t="str">
        <f>IFERROR(__xludf.DUMMYFUNCTION("""COMPUTED_VALUE"""),"BLUE")</f>
        <v>BLUE</v>
      </c>
      <c r="G868" s="20" t="str">
        <f>IFERROR(__xludf.DUMMYFUNCTION("""COMPUTED_VALUE"""),"Uncle Sams Cider (11/12/2021) (Blue)")</f>
        <v>Uncle Sams Cider (11/12/2021) (Blue)</v>
      </c>
      <c r="H868" s="19"/>
    </row>
    <row r="869">
      <c r="A869" s="9"/>
      <c r="B869" s="15"/>
      <c r="C869" s="9">
        <f>IFERROR(__xludf.DUMMYFUNCTION("""COMPUTED_VALUE"""),44596.5080510648)</f>
        <v>44596.50805</v>
      </c>
      <c r="D869" s="15">
        <f>IFERROR(__xludf.DUMMYFUNCTION("""COMPUTED_VALUE"""),1.0)</f>
        <v>1</v>
      </c>
      <c r="E869" s="16">
        <f>IFERROR(__xludf.DUMMYFUNCTION("""COMPUTED_VALUE"""),62.0)</f>
        <v>62</v>
      </c>
      <c r="F869" s="19" t="str">
        <f>IFERROR(__xludf.DUMMYFUNCTION("""COMPUTED_VALUE"""),"BLUE")</f>
        <v>BLUE</v>
      </c>
      <c r="G869" s="20" t="str">
        <f>IFERROR(__xludf.DUMMYFUNCTION("""COMPUTED_VALUE"""),"Uncle Sams Cider (11/12/2021) (Blue)")</f>
        <v>Uncle Sams Cider (11/12/2021) (Blue)</v>
      </c>
      <c r="H869" s="19"/>
    </row>
    <row r="870">
      <c r="A870" s="9"/>
      <c r="B870" s="15"/>
      <c r="C870" s="9">
        <f>IFERROR(__xludf.DUMMYFUNCTION("""COMPUTED_VALUE"""),44596.4976298495)</f>
        <v>44596.49763</v>
      </c>
      <c r="D870" s="15">
        <f>IFERROR(__xludf.DUMMYFUNCTION("""COMPUTED_VALUE"""),1.0)</f>
        <v>1</v>
      </c>
      <c r="E870" s="16">
        <f>IFERROR(__xludf.DUMMYFUNCTION("""COMPUTED_VALUE"""),62.0)</f>
        <v>62</v>
      </c>
      <c r="F870" s="19" t="str">
        <f>IFERROR(__xludf.DUMMYFUNCTION("""COMPUTED_VALUE"""),"BLUE")</f>
        <v>BLUE</v>
      </c>
      <c r="G870" s="20" t="str">
        <f>IFERROR(__xludf.DUMMYFUNCTION("""COMPUTED_VALUE"""),"Uncle Sams Cider (11/12/2021) (Blue)")</f>
        <v>Uncle Sams Cider (11/12/2021) (Blue)</v>
      </c>
      <c r="H870" s="19"/>
    </row>
    <row r="871">
      <c r="A871" s="9"/>
      <c r="B871" s="15"/>
      <c r="C871" s="9">
        <f>IFERROR(__xludf.DUMMYFUNCTION("""COMPUTED_VALUE"""),44596.4871954861)</f>
        <v>44596.4872</v>
      </c>
      <c r="D871" s="15">
        <f>IFERROR(__xludf.DUMMYFUNCTION("""COMPUTED_VALUE"""),1.0)</f>
        <v>1</v>
      </c>
      <c r="E871" s="16">
        <f>IFERROR(__xludf.DUMMYFUNCTION("""COMPUTED_VALUE"""),62.0)</f>
        <v>62</v>
      </c>
      <c r="F871" s="19" t="str">
        <f>IFERROR(__xludf.DUMMYFUNCTION("""COMPUTED_VALUE"""),"BLUE")</f>
        <v>BLUE</v>
      </c>
      <c r="G871" s="20" t="str">
        <f>IFERROR(__xludf.DUMMYFUNCTION("""COMPUTED_VALUE"""),"Uncle Sams Cider (11/12/2021) (Blue)")</f>
        <v>Uncle Sams Cider (11/12/2021) (Blue)</v>
      </c>
      <c r="H871" s="19"/>
    </row>
    <row r="872">
      <c r="A872" s="9"/>
      <c r="B872" s="15"/>
      <c r="C872" s="9">
        <f>IFERROR(__xludf.DUMMYFUNCTION("""COMPUTED_VALUE"""),44596.476774618)</f>
        <v>44596.47677</v>
      </c>
      <c r="D872" s="15">
        <f>IFERROR(__xludf.DUMMYFUNCTION("""COMPUTED_VALUE"""),1.0)</f>
        <v>1</v>
      </c>
      <c r="E872" s="16">
        <f>IFERROR(__xludf.DUMMYFUNCTION("""COMPUTED_VALUE"""),62.0)</f>
        <v>62</v>
      </c>
      <c r="F872" s="19" t="str">
        <f>IFERROR(__xludf.DUMMYFUNCTION("""COMPUTED_VALUE"""),"BLUE")</f>
        <v>BLUE</v>
      </c>
      <c r="G872" s="20" t="str">
        <f>IFERROR(__xludf.DUMMYFUNCTION("""COMPUTED_VALUE"""),"Uncle Sams Cider (11/12/2021) (Blue)")</f>
        <v>Uncle Sams Cider (11/12/2021) (Blue)</v>
      </c>
      <c r="H872" s="19"/>
    </row>
    <row r="873">
      <c r="A873" s="9"/>
      <c r="B873" s="15"/>
      <c r="C873" s="9">
        <f>IFERROR(__xludf.DUMMYFUNCTION("""COMPUTED_VALUE"""),44596.4663531944)</f>
        <v>44596.46635</v>
      </c>
      <c r="D873" s="15">
        <f>IFERROR(__xludf.DUMMYFUNCTION("""COMPUTED_VALUE"""),1.0)</f>
        <v>1</v>
      </c>
      <c r="E873" s="16">
        <f>IFERROR(__xludf.DUMMYFUNCTION("""COMPUTED_VALUE"""),62.0)</f>
        <v>62</v>
      </c>
      <c r="F873" s="19" t="str">
        <f>IFERROR(__xludf.DUMMYFUNCTION("""COMPUTED_VALUE"""),"BLUE")</f>
        <v>BLUE</v>
      </c>
      <c r="G873" s="20" t="str">
        <f>IFERROR(__xludf.DUMMYFUNCTION("""COMPUTED_VALUE"""),"Uncle Sams Cider (11/12/2021) (Blue)")</f>
        <v>Uncle Sams Cider (11/12/2021) (Blue)</v>
      </c>
      <c r="H873" s="19"/>
    </row>
    <row r="874">
      <c r="A874" s="9"/>
      <c r="B874" s="15"/>
      <c r="C874" s="9">
        <f>IFERROR(__xludf.DUMMYFUNCTION("""COMPUTED_VALUE"""),44596.4559327199)</f>
        <v>44596.45593</v>
      </c>
      <c r="D874" s="15">
        <f>IFERROR(__xludf.DUMMYFUNCTION("""COMPUTED_VALUE"""),1.0)</f>
        <v>1</v>
      </c>
      <c r="E874" s="16">
        <f>IFERROR(__xludf.DUMMYFUNCTION("""COMPUTED_VALUE"""),62.0)</f>
        <v>62</v>
      </c>
      <c r="F874" s="19" t="str">
        <f>IFERROR(__xludf.DUMMYFUNCTION("""COMPUTED_VALUE"""),"BLUE")</f>
        <v>BLUE</v>
      </c>
      <c r="G874" s="20" t="str">
        <f>IFERROR(__xludf.DUMMYFUNCTION("""COMPUTED_VALUE"""),"Uncle Sams Cider (11/12/2021) (Blue)")</f>
        <v>Uncle Sams Cider (11/12/2021) (Blue)</v>
      </c>
      <c r="H874" s="19"/>
    </row>
    <row r="875">
      <c r="A875" s="9"/>
      <c r="B875" s="15"/>
      <c r="C875" s="9">
        <f>IFERROR(__xludf.DUMMYFUNCTION("""COMPUTED_VALUE"""),44596.4455015393)</f>
        <v>44596.4455</v>
      </c>
      <c r="D875" s="15">
        <f>IFERROR(__xludf.DUMMYFUNCTION("""COMPUTED_VALUE"""),1.0)</f>
        <v>1</v>
      </c>
      <c r="E875" s="16">
        <f>IFERROR(__xludf.DUMMYFUNCTION("""COMPUTED_VALUE"""),62.0)</f>
        <v>62</v>
      </c>
      <c r="F875" s="19" t="str">
        <f>IFERROR(__xludf.DUMMYFUNCTION("""COMPUTED_VALUE"""),"BLUE")</f>
        <v>BLUE</v>
      </c>
      <c r="G875" s="20" t="str">
        <f>IFERROR(__xludf.DUMMYFUNCTION("""COMPUTED_VALUE"""),"Uncle Sams Cider (11/12/2021) (Blue)")</f>
        <v>Uncle Sams Cider (11/12/2021) (Blue)</v>
      </c>
      <c r="H875" s="19"/>
    </row>
    <row r="876">
      <c r="A876" s="9"/>
      <c r="B876" s="15"/>
      <c r="C876" s="9">
        <f>IFERROR(__xludf.DUMMYFUNCTION("""COMPUTED_VALUE"""),44596.4350810648)</f>
        <v>44596.43508</v>
      </c>
      <c r="D876" s="15">
        <f>IFERROR(__xludf.DUMMYFUNCTION("""COMPUTED_VALUE"""),1.0)</f>
        <v>1</v>
      </c>
      <c r="E876" s="16">
        <f>IFERROR(__xludf.DUMMYFUNCTION("""COMPUTED_VALUE"""),62.0)</f>
        <v>62</v>
      </c>
      <c r="F876" s="19" t="str">
        <f>IFERROR(__xludf.DUMMYFUNCTION("""COMPUTED_VALUE"""),"BLUE")</f>
        <v>BLUE</v>
      </c>
      <c r="G876" s="20" t="str">
        <f>IFERROR(__xludf.DUMMYFUNCTION("""COMPUTED_VALUE"""),"Uncle Sams Cider (11/12/2021) (Blue)")</f>
        <v>Uncle Sams Cider (11/12/2021) (Blue)</v>
      </c>
      <c r="H876" s="19"/>
    </row>
    <row r="877">
      <c r="A877" s="9"/>
      <c r="B877" s="15"/>
      <c r="C877" s="9">
        <f>IFERROR(__xludf.DUMMYFUNCTION("""COMPUTED_VALUE"""),44596.4246481944)</f>
        <v>44596.42465</v>
      </c>
      <c r="D877" s="15">
        <f>IFERROR(__xludf.DUMMYFUNCTION("""COMPUTED_VALUE"""),1.0)</f>
        <v>1</v>
      </c>
      <c r="E877" s="16">
        <f>IFERROR(__xludf.DUMMYFUNCTION("""COMPUTED_VALUE"""),62.0)</f>
        <v>62</v>
      </c>
      <c r="F877" s="19" t="str">
        <f>IFERROR(__xludf.DUMMYFUNCTION("""COMPUTED_VALUE"""),"BLUE")</f>
        <v>BLUE</v>
      </c>
      <c r="G877" s="20" t="str">
        <f>IFERROR(__xludf.DUMMYFUNCTION("""COMPUTED_VALUE"""),"Uncle Sams Cider (11/12/2021) (Blue)")</f>
        <v>Uncle Sams Cider (11/12/2021) (Blue)</v>
      </c>
      <c r="H877" s="19"/>
    </row>
    <row r="878">
      <c r="A878" s="9"/>
      <c r="B878" s="15"/>
      <c r="C878" s="9">
        <f>IFERROR(__xludf.DUMMYFUNCTION("""COMPUTED_VALUE"""),44596.4142280324)</f>
        <v>44596.41423</v>
      </c>
      <c r="D878" s="15">
        <f>IFERROR(__xludf.DUMMYFUNCTION("""COMPUTED_VALUE"""),1.0)</f>
        <v>1</v>
      </c>
      <c r="E878" s="16">
        <f>IFERROR(__xludf.DUMMYFUNCTION("""COMPUTED_VALUE"""),62.0)</f>
        <v>62</v>
      </c>
      <c r="F878" s="19" t="str">
        <f>IFERROR(__xludf.DUMMYFUNCTION("""COMPUTED_VALUE"""),"BLUE")</f>
        <v>BLUE</v>
      </c>
      <c r="G878" s="20" t="str">
        <f>IFERROR(__xludf.DUMMYFUNCTION("""COMPUTED_VALUE"""),"Uncle Sams Cider (11/12/2021) (Blue)")</f>
        <v>Uncle Sams Cider (11/12/2021) (Blue)</v>
      </c>
      <c r="H878" s="19"/>
    </row>
    <row r="879">
      <c r="A879" s="9"/>
      <c r="B879" s="15"/>
      <c r="C879" s="9">
        <f>IFERROR(__xludf.DUMMYFUNCTION("""COMPUTED_VALUE"""),44596.4038080092)</f>
        <v>44596.40381</v>
      </c>
      <c r="D879" s="15">
        <f>IFERROR(__xludf.DUMMYFUNCTION("""COMPUTED_VALUE"""),1.0)</f>
        <v>1</v>
      </c>
      <c r="E879" s="16">
        <f>IFERROR(__xludf.DUMMYFUNCTION("""COMPUTED_VALUE"""),62.0)</f>
        <v>62</v>
      </c>
      <c r="F879" s="19" t="str">
        <f>IFERROR(__xludf.DUMMYFUNCTION("""COMPUTED_VALUE"""),"BLUE")</f>
        <v>BLUE</v>
      </c>
      <c r="G879" s="20" t="str">
        <f>IFERROR(__xludf.DUMMYFUNCTION("""COMPUTED_VALUE"""),"Uncle Sams Cider (11/12/2021) (Blue)")</f>
        <v>Uncle Sams Cider (11/12/2021) (Blue)</v>
      </c>
      <c r="H879" s="19"/>
    </row>
    <row r="880">
      <c r="A880" s="9"/>
      <c r="B880" s="15"/>
      <c r="C880" s="9">
        <f>IFERROR(__xludf.DUMMYFUNCTION("""COMPUTED_VALUE"""),44596.3933857407)</f>
        <v>44596.39339</v>
      </c>
      <c r="D880" s="15">
        <f>IFERROR(__xludf.DUMMYFUNCTION("""COMPUTED_VALUE"""),1.0)</f>
        <v>1</v>
      </c>
      <c r="E880" s="16">
        <f>IFERROR(__xludf.DUMMYFUNCTION("""COMPUTED_VALUE"""),62.0)</f>
        <v>62</v>
      </c>
      <c r="F880" s="19" t="str">
        <f>IFERROR(__xludf.DUMMYFUNCTION("""COMPUTED_VALUE"""),"BLUE")</f>
        <v>BLUE</v>
      </c>
      <c r="G880" s="20" t="str">
        <f>IFERROR(__xludf.DUMMYFUNCTION("""COMPUTED_VALUE"""),"Uncle Sams Cider (11/12/2021) (Blue)")</f>
        <v>Uncle Sams Cider (11/12/2021) (Blue)</v>
      </c>
      <c r="H880" s="19"/>
    </row>
    <row r="881">
      <c r="A881" s="9"/>
      <c r="B881" s="15"/>
      <c r="C881" s="9">
        <f>IFERROR(__xludf.DUMMYFUNCTION("""COMPUTED_VALUE"""),44596.382940787)</f>
        <v>44596.38294</v>
      </c>
      <c r="D881" s="15">
        <f>IFERROR(__xludf.DUMMYFUNCTION("""COMPUTED_VALUE"""),1.0)</f>
        <v>1</v>
      </c>
      <c r="E881" s="16">
        <f>IFERROR(__xludf.DUMMYFUNCTION("""COMPUTED_VALUE"""),62.0)</f>
        <v>62</v>
      </c>
      <c r="F881" s="19" t="str">
        <f>IFERROR(__xludf.DUMMYFUNCTION("""COMPUTED_VALUE"""),"BLUE")</f>
        <v>BLUE</v>
      </c>
      <c r="G881" s="20" t="str">
        <f>IFERROR(__xludf.DUMMYFUNCTION("""COMPUTED_VALUE"""),"Uncle Sams Cider (11/12/2021) (Blue)")</f>
        <v>Uncle Sams Cider (11/12/2021) (Blue)</v>
      </c>
      <c r="H881" s="19"/>
    </row>
    <row r="882">
      <c r="A882" s="9"/>
      <c r="B882" s="15"/>
      <c r="C882" s="9">
        <f>IFERROR(__xludf.DUMMYFUNCTION("""COMPUTED_VALUE"""),44596.3725087268)</f>
        <v>44596.37251</v>
      </c>
      <c r="D882" s="15">
        <f>IFERROR(__xludf.DUMMYFUNCTION("""COMPUTED_VALUE"""),1.0)</f>
        <v>1</v>
      </c>
      <c r="E882" s="16">
        <f>IFERROR(__xludf.DUMMYFUNCTION("""COMPUTED_VALUE"""),62.0)</f>
        <v>62</v>
      </c>
      <c r="F882" s="19" t="str">
        <f>IFERROR(__xludf.DUMMYFUNCTION("""COMPUTED_VALUE"""),"BLUE")</f>
        <v>BLUE</v>
      </c>
      <c r="G882" s="20" t="str">
        <f>IFERROR(__xludf.DUMMYFUNCTION("""COMPUTED_VALUE"""),"Uncle Sams Cider (11/12/2021) (Blue)")</f>
        <v>Uncle Sams Cider (11/12/2021) (Blue)</v>
      </c>
      <c r="H882" s="19"/>
    </row>
    <row r="883">
      <c r="A883" s="9"/>
      <c r="B883" s="15"/>
      <c r="C883" s="9">
        <f>IFERROR(__xludf.DUMMYFUNCTION("""COMPUTED_VALUE"""),44596.36208853)</f>
        <v>44596.36209</v>
      </c>
      <c r="D883" s="15">
        <f>IFERROR(__xludf.DUMMYFUNCTION("""COMPUTED_VALUE"""),1.0)</f>
        <v>1</v>
      </c>
      <c r="E883" s="16">
        <f>IFERROR(__xludf.DUMMYFUNCTION("""COMPUTED_VALUE"""),62.0)</f>
        <v>62</v>
      </c>
      <c r="F883" s="19" t="str">
        <f>IFERROR(__xludf.DUMMYFUNCTION("""COMPUTED_VALUE"""),"BLUE")</f>
        <v>BLUE</v>
      </c>
      <c r="G883" s="20" t="str">
        <f>IFERROR(__xludf.DUMMYFUNCTION("""COMPUTED_VALUE"""),"Uncle Sams Cider (11/12/2021) (Blue)")</f>
        <v>Uncle Sams Cider (11/12/2021) (Blue)</v>
      </c>
      <c r="H883" s="19"/>
    </row>
    <row r="884">
      <c r="A884" s="9"/>
      <c r="B884" s="15"/>
      <c r="C884" s="9">
        <f>IFERROR(__xludf.DUMMYFUNCTION("""COMPUTED_VALUE"""),44596.3516676851)</f>
        <v>44596.35167</v>
      </c>
      <c r="D884" s="15">
        <f>IFERROR(__xludf.DUMMYFUNCTION("""COMPUTED_VALUE"""),1.0)</f>
        <v>1</v>
      </c>
      <c r="E884" s="16">
        <f>IFERROR(__xludf.DUMMYFUNCTION("""COMPUTED_VALUE"""),62.0)</f>
        <v>62</v>
      </c>
      <c r="F884" s="19" t="str">
        <f>IFERROR(__xludf.DUMMYFUNCTION("""COMPUTED_VALUE"""),"BLUE")</f>
        <v>BLUE</v>
      </c>
      <c r="G884" s="20" t="str">
        <f>IFERROR(__xludf.DUMMYFUNCTION("""COMPUTED_VALUE"""),"Uncle Sams Cider (11/12/2021) (Blue)")</f>
        <v>Uncle Sams Cider (11/12/2021) (Blue)</v>
      </c>
      <c r="H884" s="19"/>
    </row>
    <row r="885">
      <c r="A885" s="9"/>
      <c r="B885" s="15"/>
      <c r="C885" s="9">
        <f>IFERROR(__xludf.DUMMYFUNCTION("""COMPUTED_VALUE"""),44596.3412356365)</f>
        <v>44596.34124</v>
      </c>
      <c r="D885" s="15">
        <f>IFERROR(__xludf.DUMMYFUNCTION("""COMPUTED_VALUE"""),1.0)</f>
        <v>1</v>
      </c>
      <c r="E885" s="16">
        <f>IFERROR(__xludf.DUMMYFUNCTION("""COMPUTED_VALUE"""),62.0)</f>
        <v>62</v>
      </c>
      <c r="F885" s="19" t="str">
        <f>IFERROR(__xludf.DUMMYFUNCTION("""COMPUTED_VALUE"""),"BLUE")</f>
        <v>BLUE</v>
      </c>
      <c r="G885" s="20" t="str">
        <f>IFERROR(__xludf.DUMMYFUNCTION("""COMPUTED_VALUE"""),"Uncle Sams Cider (11/12/2021) (Blue)")</f>
        <v>Uncle Sams Cider (11/12/2021) (Blue)</v>
      </c>
      <c r="H885" s="19"/>
    </row>
    <row r="886">
      <c r="A886" s="9"/>
      <c r="B886" s="15"/>
      <c r="C886" s="9">
        <f>IFERROR(__xludf.DUMMYFUNCTION("""COMPUTED_VALUE"""),44596.3308019675)</f>
        <v>44596.3308</v>
      </c>
      <c r="D886" s="15">
        <f>IFERROR(__xludf.DUMMYFUNCTION("""COMPUTED_VALUE"""),1.0)</f>
        <v>1</v>
      </c>
      <c r="E886" s="16">
        <f>IFERROR(__xludf.DUMMYFUNCTION("""COMPUTED_VALUE"""),62.0)</f>
        <v>62</v>
      </c>
      <c r="F886" s="19" t="str">
        <f>IFERROR(__xludf.DUMMYFUNCTION("""COMPUTED_VALUE"""),"BLUE")</f>
        <v>BLUE</v>
      </c>
      <c r="G886" s="20" t="str">
        <f>IFERROR(__xludf.DUMMYFUNCTION("""COMPUTED_VALUE"""),"Uncle Sams Cider (11/12/2021) (Blue)")</f>
        <v>Uncle Sams Cider (11/12/2021) (Blue)</v>
      </c>
      <c r="H886" s="19"/>
    </row>
    <row r="887">
      <c r="A887" s="9"/>
      <c r="B887" s="15"/>
      <c r="C887" s="9">
        <f>IFERROR(__xludf.DUMMYFUNCTION("""COMPUTED_VALUE"""),44596.320380324)</f>
        <v>44596.32038</v>
      </c>
      <c r="D887" s="15">
        <f>IFERROR(__xludf.DUMMYFUNCTION("""COMPUTED_VALUE"""),1.0)</f>
        <v>1</v>
      </c>
      <c r="E887" s="16">
        <f>IFERROR(__xludf.DUMMYFUNCTION("""COMPUTED_VALUE"""),62.0)</f>
        <v>62</v>
      </c>
      <c r="F887" s="19" t="str">
        <f>IFERROR(__xludf.DUMMYFUNCTION("""COMPUTED_VALUE"""),"BLUE")</f>
        <v>BLUE</v>
      </c>
      <c r="G887" s="20" t="str">
        <f>IFERROR(__xludf.DUMMYFUNCTION("""COMPUTED_VALUE"""),"Uncle Sams Cider (11/12/2021) (Blue)")</f>
        <v>Uncle Sams Cider (11/12/2021) (Blue)</v>
      </c>
      <c r="H887" s="19"/>
    </row>
    <row r="888">
      <c r="A888" s="9"/>
      <c r="B888" s="15"/>
      <c r="C888" s="9">
        <f>IFERROR(__xludf.DUMMYFUNCTION("""COMPUTED_VALUE"""),44596.3099580671)</f>
        <v>44596.30996</v>
      </c>
      <c r="D888" s="15">
        <f>IFERROR(__xludf.DUMMYFUNCTION("""COMPUTED_VALUE"""),1.0)</f>
        <v>1</v>
      </c>
      <c r="E888" s="16">
        <f>IFERROR(__xludf.DUMMYFUNCTION("""COMPUTED_VALUE"""),62.0)</f>
        <v>62</v>
      </c>
      <c r="F888" s="19" t="str">
        <f>IFERROR(__xludf.DUMMYFUNCTION("""COMPUTED_VALUE"""),"BLUE")</f>
        <v>BLUE</v>
      </c>
      <c r="G888" s="20" t="str">
        <f>IFERROR(__xludf.DUMMYFUNCTION("""COMPUTED_VALUE"""),"Uncle Sams Cider (11/12/2021) (Blue)")</f>
        <v>Uncle Sams Cider (11/12/2021) (Blue)</v>
      </c>
      <c r="H888" s="19"/>
    </row>
    <row r="889">
      <c r="A889" s="9"/>
      <c r="B889" s="15"/>
      <c r="C889" s="9">
        <f>IFERROR(__xludf.DUMMYFUNCTION("""COMPUTED_VALUE"""),44596.2995361111)</f>
        <v>44596.29954</v>
      </c>
      <c r="D889" s="15">
        <f>IFERROR(__xludf.DUMMYFUNCTION("""COMPUTED_VALUE"""),1.0)</f>
        <v>1</v>
      </c>
      <c r="E889" s="16">
        <f>IFERROR(__xludf.DUMMYFUNCTION("""COMPUTED_VALUE"""),62.0)</f>
        <v>62</v>
      </c>
      <c r="F889" s="19" t="str">
        <f>IFERROR(__xludf.DUMMYFUNCTION("""COMPUTED_VALUE"""),"BLUE")</f>
        <v>BLUE</v>
      </c>
      <c r="G889" s="20" t="str">
        <f>IFERROR(__xludf.DUMMYFUNCTION("""COMPUTED_VALUE"""),"Uncle Sams Cider (11/12/2021) (Blue)")</f>
        <v>Uncle Sams Cider (11/12/2021) (Blue)</v>
      </c>
      <c r="H889" s="19"/>
    </row>
    <row r="890">
      <c r="A890" s="9"/>
      <c r="B890" s="15"/>
      <c r="C890" s="9">
        <f>IFERROR(__xludf.DUMMYFUNCTION("""COMPUTED_VALUE"""),44596.2891149305)</f>
        <v>44596.28911</v>
      </c>
      <c r="D890" s="15">
        <f>IFERROR(__xludf.DUMMYFUNCTION("""COMPUTED_VALUE"""),1.0)</f>
        <v>1</v>
      </c>
      <c r="E890" s="16">
        <f>IFERROR(__xludf.DUMMYFUNCTION("""COMPUTED_VALUE"""),62.0)</f>
        <v>62</v>
      </c>
      <c r="F890" s="19" t="str">
        <f>IFERROR(__xludf.DUMMYFUNCTION("""COMPUTED_VALUE"""),"BLUE")</f>
        <v>BLUE</v>
      </c>
      <c r="G890" s="20" t="str">
        <f>IFERROR(__xludf.DUMMYFUNCTION("""COMPUTED_VALUE"""),"Uncle Sams Cider (11/12/2021) (Blue)")</f>
        <v>Uncle Sams Cider (11/12/2021) (Blue)</v>
      </c>
      <c r="H890" s="19"/>
    </row>
    <row r="891">
      <c r="A891" s="9"/>
      <c r="B891" s="15"/>
      <c r="C891" s="9">
        <f>IFERROR(__xludf.DUMMYFUNCTION("""COMPUTED_VALUE"""),44596.2786956712)</f>
        <v>44596.2787</v>
      </c>
      <c r="D891" s="15">
        <f>IFERROR(__xludf.DUMMYFUNCTION("""COMPUTED_VALUE"""),1.0)</f>
        <v>1</v>
      </c>
      <c r="E891" s="16">
        <f>IFERROR(__xludf.DUMMYFUNCTION("""COMPUTED_VALUE"""),62.0)</f>
        <v>62</v>
      </c>
      <c r="F891" s="19" t="str">
        <f>IFERROR(__xludf.DUMMYFUNCTION("""COMPUTED_VALUE"""),"BLUE")</f>
        <v>BLUE</v>
      </c>
      <c r="G891" s="20" t="str">
        <f>IFERROR(__xludf.DUMMYFUNCTION("""COMPUTED_VALUE"""),"Uncle Sams Cider (11/12/2021) (Blue)")</f>
        <v>Uncle Sams Cider (11/12/2021) (Blue)</v>
      </c>
      <c r="H891" s="19"/>
    </row>
    <row r="892">
      <c r="A892" s="9"/>
      <c r="B892" s="15"/>
      <c r="C892" s="9">
        <f>IFERROR(__xludf.DUMMYFUNCTION("""COMPUTED_VALUE"""),44596.2682744328)</f>
        <v>44596.26827</v>
      </c>
      <c r="D892" s="15">
        <f>IFERROR(__xludf.DUMMYFUNCTION("""COMPUTED_VALUE"""),1.0)</f>
        <v>1</v>
      </c>
      <c r="E892" s="16">
        <f>IFERROR(__xludf.DUMMYFUNCTION("""COMPUTED_VALUE"""),62.0)</f>
        <v>62</v>
      </c>
      <c r="F892" s="19" t="str">
        <f>IFERROR(__xludf.DUMMYFUNCTION("""COMPUTED_VALUE"""),"BLUE")</f>
        <v>BLUE</v>
      </c>
      <c r="G892" s="20" t="str">
        <f>IFERROR(__xludf.DUMMYFUNCTION("""COMPUTED_VALUE"""),"Uncle Sams Cider (11/12/2021) (Blue)")</f>
        <v>Uncle Sams Cider (11/12/2021) (Blue)</v>
      </c>
      <c r="H892" s="19"/>
    </row>
    <row r="893">
      <c r="A893" s="9"/>
      <c r="B893" s="15"/>
      <c r="C893" s="9">
        <f>IFERROR(__xludf.DUMMYFUNCTION("""COMPUTED_VALUE"""),44596.2578523611)</f>
        <v>44596.25785</v>
      </c>
      <c r="D893" s="15">
        <f>IFERROR(__xludf.DUMMYFUNCTION("""COMPUTED_VALUE"""),1.0)</f>
        <v>1</v>
      </c>
      <c r="E893" s="16">
        <f>IFERROR(__xludf.DUMMYFUNCTION("""COMPUTED_VALUE"""),62.0)</f>
        <v>62</v>
      </c>
      <c r="F893" s="19" t="str">
        <f>IFERROR(__xludf.DUMMYFUNCTION("""COMPUTED_VALUE"""),"BLUE")</f>
        <v>BLUE</v>
      </c>
      <c r="G893" s="20" t="str">
        <f>IFERROR(__xludf.DUMMYFUNCTION("""COMPUTED_VALUE"""),"Uncle Sams Cider (11/12/2021) (Blue)")</f>
        <v>Uncle Sams Cider (11/12/2021) (Blue)</v>
      </c>
      <c r="H893" s="19"/>
    </row>
    <row r="894">
      <c r="A894" s="9"/>
      <c r="B894" s="15"/>
      <c r="C894" s="9">
        <f>IFERROR(__xludf.DUMMYFUNCTION("""COMPUTED_VALUE"""),44596.2474288657)</f>
        <v>44596.24743</v>
      </c>
      <c r="D894" s="15">
        <f>IFERROR(__xludf.DUMMYFUNCTION("""COMPUTED_VALUE"""),1.0)</f>
        <v>1</v>
      </c>
      <c r="E894" s="16">
        <f>IFERROR(__xludf.DUMMYFUNCTION("""COMPUTED_VALUE"""),62.0)</f>
        <v>62</v>
      </c>
      <c r="F894" s="19" t="str">
        <f>IFERROR(__xludf.DUMMYFUNCTION("""COMPUTED_VALUE"""),"BLUE")</f>
        <v>BLUE</v>
      </c>
      <c r="G894" s="20" t="str">
        <f>IFERROR(__xludf.DUMMYFUNCTION("""COMPUTED_VALUE"""),"Uncle Sams Cider (11/12/2021) (Blue)")</f>
        <v>Uncle Sams Cider (11/12/2021) (Blue)</v>
      </c>
      <c r="H894" s="19"/>
    </row>
    <row r="895">
      <c r="A895" s="9"/>
      <c r="B895" s="15"/>
      <c r="C895" s="9">
        <f>IFERROR(__xludf.DUMMYFUNCTION("""COMPUTED_VALUE"""),44596.2370080092)</f>
        <v>44596.23701</v>
      </c>
      <c r="D895" s="15">
        <f>IFERROR(__xludf.DUMMYFUNCTION("""COMPUTED_VALUE"""),1.0)</f>
        <v>1</v>
      </c>
      <c r="E895" s="16">
        <f>IFERROR(__xludf.DUMMYFUNCTION("""COMPUTED_VALUE"""),62.0)</f>
        <v>62</v>
      </c>
      <c r="F895" s="19" t="str">
        <f>IFERROR(__xludf.DUMMYFUNCTION("""COMPUTED_VALUE"""),"BLUE")</f>
        <v>BLUE</v>
      </c>
      <c r="G895" s="20" t="str">
        <f>IFERROR(__xludf.DUMMYFUNCTION("""COMPUTED_VALUE"""),"Uncle Sams Cider (11/12/2021) (Blue)")</f>
        <v>Uncle Sams Cider (11/12/2021) (Blue)</v>
      </c>
      <c r="H895" s="19"/>
    </row>
    <row r="896">
      <c r="A896" s="9"/>
      <c r="B896" s="15"/>
      <c r="C896" s="9">
        <f>IFERROR(__xludf.DUMMYFUNCTION("""COMPUTED_VALUE"""),44596.2265872337)</f>
        <v>44596.22659</v>
      </c>
      <c r="D896" s="15">
        <f>IFERROR(__xludf.DUMMYFUNCTION("""COMPUTED_VALUE"""),1.0)</f>
        <v>1</v>
      </c>
      <c r="E896" s="16">
        <f>IFERROR(__xludf.DUMMYFUNCTION("""COMPUTED_VALUE"""),62.0)</f>
        <v>62</v>
      </c>
      <c r="F896" s="19" t="str">
        <f>IFERROR(__xludf.DUMMYFUNCTION("""COMPUTED_VALUE"""),"BLUE")</f>
        <v>BLUE</v>
      </c>
      <c r="G896" s="20" t="str">
        <f>IFERROR(__xludf.DUMMYFUNCTION("""COMPUTED_VALUE"""),"Uncle Sams Cider (11/12/2021) (Blue)")</f>
        <v>Uncle Sams Cider (11/12/2021) (Blue)</v>
      </c>
      <c r="H896" s="19"/>
    </row>
    <row r="897">
      <c r="A897" s="9"/>
      <c r="B897" s="15"/>
      <c r="C897" s="9">
        <f>IFERROR(__xludf.DUMMYFUNCTION("""COMPUTED_VALUE"""),44596.2161647337)</f>
        <v>44596.21616</v>
      </c>
      <c r="D897" s="15">
        <f>IFERROR(__xludf.DUMMYFUNCTION("""COMPUTED_VALUE"""),1.0)</f>
        <v>1</v>
      </c>
      <c r="E897" s="16">
        <f>IFERROR(__xludf.DUMMYFUNCTION("""COMPUTED_VALUE"""),62.0)</f>
        <v>62</v>
      </c>
      <c r="F897" s="19" t="str">
        <f>IFERROR(__xludf.DUMMYFUNCTION("""COMPUTED_VALUE"""),"BLUE")</f>
        <v>BLUE</v>
      </c>
      <c r="G897" s="20" t="str">
        <f>IFERROR(__xludf.DUMMYFUNCTION("""COMPUTED_VALUE"""),"Uncle Sams Cider (11/12/2021) (Blue)")</f>
        <v>Uncle Sams Cider (11/12/2021) (Blue)</v>
      </c>
      <c r="H897" s="19"/>
    </row>
    <row r="898">
      <c r="A898" s="9"/>
      <c r="B898" s="15"/>
      <c r="C898" s="9">
        <f>IFERROR(__xludf.DUMMYFUNCTION("""COMPUTED_VALUE"""),44596.2057435416)</f>
        <v>44596.20574</v>
      </c>
      <c r="D898" s="15">
        <f>IFERROR(__xludf.DUMMYFUNCTION("""COMPUTED_VALUE"""),1.0)</f>
        <v>1</v>
      </c>
      <c r="E898" s="16">
        <f>IFERROR(__xludf.DUMMYFUNCTION("""COMPUTED_VALUE"""),62.0)</f>
        <v>62</v>
      </c>
      <c r="F898" s="19" t="str">
        <f>IFERROR(__xludf.DUMMYFUNCTION("""COMPUTED_VALUE"""),"BLUE")</f>
        <v>BLUE</v>
      </c>
      <c r="G898" s="20" t="str">
        <f>IFERROR(__xludf.DUMMYFUNCTION("""COMPUTED_VALUE"""),"Uncle Sams Cider (11/12/2021) (Blue)")</f>
        <v>Uncle Sams Cider (11/12/2021) (Blue)</v>
      </c>
      <c r="H898" s="19"/>
    </row>
    <row r="899">
      <c r="A899" s="9"/>
      <c r="B899" s="15"/>
      <c r="C899" s="9">
        <f>IFERROR(__xludf.DUMMYFUNCTION("""COMPUTED_VALUE"""),44596.195312118)</f>
        <v>44596.19531</v>
      </c>
      <c r="D899" s="15">
        <f>IFERROR(__xludf.DUMMYFUNCTION("""COMPUTED_VALUE"""),1.0)</f>
        <v>1</v>
      </c>
      <c r="E899" s="16">
        <f>IFERROR(__xludf.DUMMYFUNCTION("""COMPUTED_VALUE"""),62.0)</f>
        <v>62</v>
      </c>
      <c r="F899" s="19" t="str">
        <f>IFERROR(__xludf.DUMMYFUNCTION("""COMPUTED_VALUE"""),"BLUE")</f>
        <v>BLUE</v>
      </c>
      <c r="G899" s="20" t="str">
        <f>IFERROR(__xludf.DUMMYFUNCTION("""COMPUTED_VALUE"""),"Uncle Sams Cider (11/12/2021) (Blue)")</f>
        <v>Uncle Sams Cider (11/12/2021) (Blue)</v>
      </c>
      <c r="H899" s="19"/>
    </row>
    <row r="900">
      <c r="A900" s="9"/>
      <c r="B900" s="15"/>
      <c r="C900" s="9">
        <f>IFERROR(__xludf.DUMMYFUNCTION("""COMPUTED_VALUE"""),44596.1848790509)</f>
        <v>44596.18488</v>
      </c>
      <c r="D900" s="15">
        <f>IFERROR(__xludf.DUMMYFUNCTION("""COMPUTED_VALUE"""),1.0)</f>
        <v>1</v>
      </c>
      <c r="E900" s="16">
        <f>IFERROR(__xludf.DUMMYFUNCTION("""COMPUTED_VALUE"""),62.0)</f>
        <v>62</v>
      </c>
      <c r="F900" s="19" t="str">
        <f>IFERROR(__xludf.DUMMYFUNCTION("""COMPUTED_VALUE"""),"BLUE")</f>
        <v>BLUE</v>
      </c>
      <c r="G900" s="20" t="str">
        <f>IFERROR(__xludf.DUMMYFUNCTION("""COMPUTED_VALUE"""),"Uncle Sams Cider (11/12/2021) (Blue)")</f>
        <v>Uncle Sams Cider (11/12/2021) (Blue)</v>
      </c>
      <c r="H900" s="19"/>
    </row>
    <row r="901">
      <c r="A901" s="9"/>
      <c r="B901" s="15"/>
      <c r="C901" s="9">
        <f>IFERROR(__xludf.DUMMYFUNCTION("""COMPUTED_VALUE"""),44596.1744591898)</f>
        <v>44596.17446</v>
      </c>
      <c r="D901" s="15">
        <f>IFERROR(__xludf.DUMMYFUNCTION("""COMPUTED_VALUE"""),1.0)</f>
        <v>1</v>
      </c>
      <c r="E901" s="16">
        <f>IFERROR(__xludf.DUMMYFUNCTION("""COMPUTED_VALUE"""),62.0)</f>
        <v>62</v>
      </c>
      <c r="F901" s="19" t="str">
        <f>IFERROR(__xludf.DUMMYFUNCTION("""COMPUTED_VALUE"""),"BLUE")</f>
        <v>BLUE</v>
      </c>
      <c r="G901" s="20" t="str">
        <f>IFERROR(__xludf.DUMMYFUNCTION("""COMPUTED_VALUE"""),"Uncle Sams Cider (11/12/2021) (Blue)")</f>
        <v>Uncle Sams Cider (11/12/2021) (Blue)</v>
      </c>
      <c r="H901" s="19"/>
    </row>
    <row r="902">
      <c r="A902" s="9"/>
      <c r="B902" s="15"/>
      <c r="C902" s="9">
        <f>IFERROR(__xludf.DUMMYFUNCTION("""COMPUTED_VALUE"""),44596.1640378588)</f>
        <v>44596.16404</v>
      </c>
      <c r="D902" s="15">
        <f>IFERROR(__xludf.DUMMYFUNCTION("""COMPUTED_VALUE"""),1.0)</f>
        <v>1</v>
      </c>
      <c r="E902" s="16">
        <f>IFERROR(__xludf.DUMMYFUNCTION("""COMPUTED_VALUE"""),62.0)</f>
        <v>62</v>
      </c>
      <c r="F902" s="19" t="str">
        <f>IFERROR(__xludf.DUMMYFUNCTION("""COMPUTED_VALUE"""),"BLUE")</f>
        <v>BLUE</v>
      </c>
      <c r="G902" s="20" t="str">
        <f>IFERROR(__xludf.DUMMYFUNCTION("""COMPUTED_VALUE"""),"Uncle Sams Cider (11/12/2021) (Blue)")</f>
        <v>Uncle Sams Cider (11/12/2021) (Blue)</v>
      </c>
      <c r="H902" s="19"/>
    </row>
    <row r="903">
      <c r="A903" s="9"/>
      <c r="B903" s="15"/>
      <c r="C903" s="9">
        <f>IFERROR(__xludf.DUMMYFUNCTION("""COMPUTED_VALUE"""),44596.1536042824)</f>
        <v>44596.1536</v>
      </c>
      <c r="D903" s="15">
        <f>IFERROR(__xludf.DUMMYFUNCTION("""COMPUTED_VALUE"""),1.0)</f>
        <v>1</v>
      </c>
      <c r="E903" s="16">
        <f>IFERROR(__xludf.DUMMYFUNCTION("""COMPUTED_VALUE"""),62.0)</f>
        <v>62</v>
      </c>
      <c r="F903" s="19" t="str">
        <f>IFERROR(__xludf.DUMMYFUNCTION("""COMPUTED_VALUE"""),"BLUE")</f>
        <v>BLUE</v>
      </c>
      <c r="G903" s="20" t="str">
        <f>IFERROR(__xludf.DUMMYFUNCTION("""COMPUTED_VALUE"""),"Uncle Sams Cider (11/12/2021) (Blue)")</f>
        <v>Uncle Sams Cider (11/12/2021) (Blue)</v>
      </c>
      <c r="H903" s="19"/>
    </row>
    <row r="904">
      <c r="A904" s="9"/>
      <c r="B904" s="15"/>
      <c r="C904" s="9">
        <f>IFERROR(__xludf.DUMMYFUNCTION("""COMPUTED_VALUE"""),44596.1431835416)</f>
        <v>44596.14318</v>
      </c>
      <c r="D904" s="15">
        <f>IFERROR(__xludf.DUMMYFUNCTION("""COMPUTED_VALUE"""),1.0)</f>
        <v>1</v>
      </c>
      <c r="E904" s="16">
        <f>IFERROR(__xludf.DUMMYFUNCTION("""COMPUTED_VALUE"""),62.0)</f>
        <v>62</v>
      </c>
      <c r="F904" s="19" t="str">
        <f>IFERROR(__xludf.DUMMYFUNCTION("""COMPUTED_VALUE"""),"BLUE")</f>
        <v>BLUE</v>
      </c>
      <c r="G904" s="20" t="str">
        <f>IFERROR(__xludf.DUMMYFUNCTION("""COMPUTED_VALUE"""),"Uncle Sams Cider (11/12/2021) (Blue)")</f>
        <v>Uncle Sams Cider (11/12/2021) (Blue)</v>
      </c>
      <c r="H904" s="19"/>
    </row>
    <row r="905">
      <c r="A905" s="9"/>
      <c r="B905" s="15"/>
      <c r="C905" s="9">
        <f>IFERROR(__xludf.DUMMYFUNCTION("""COMPUTED_VALUE"""),44596.1327632986)</f>
        <v>44596.13276</v>
      </c>
      <c r="D905" s="15">
        <f>IFERROR(__xludf.DUMMYFUNCTION("""COMPUTED_VALUE"""),1.0)</f>
        <v>1</v>
      </c>
      <c r="E905" s="16">
        <f>IFERROR(__xludf.DUMMYFUNCTION("""COMPUTED_VALUE"""),62.0)</f>
        <v>62</v>
      </c>
      <c r="F905" s="19" t="str">
        <f>IFERROR(__xludf.DUMMYFUNCTION("""COMPUTED_VALUE"""),"BLUE")</f>
        <v>BLUE</v>
      </c>
      <c r="G905" s="20" t="str">
        <f>IFERROR(__xludf.DUMMYFUNCTION("""COMPUTED_VALUE"""),"Uncle Sams Cider (11/12/2021) (Blue)")</f>
        <v>Uncle Sams Cider (11/12/2021) (Blue)</v>
      </c>
      <c r="H905" s="19"/>
    </row>
    <row r="906">
      <c r="A906" s="9"/>
      <c r="B906" s="15"/>
      <c r="C906" s="9">
        <f>IFERROR(__xludf.DUMMYFUNCTION("""COMPUTED_VALUE"""),44596.1223410069)</f>
        <v>44596.12234</v>
      </c>
      <c r="D906" s="15">
        <f>IFERROR(__xludf.DUMMYFUNCTION("""COMPUTED_VALUE"""),1.0)</f>
        <v>1</v>
      </c>
      <c r="E906" s="16">
        <f>IFERROR(__xludf.DUMMYFUNCTION("""COMPUTED_VALUE"""),62.0)</f>
        <v>62</v>
      </c>
      <c r="F906" s="19" t="str">
        <f>IFERROR(__xludf.DUMMYFUNCTION("""COMPUTED_VALUE"""),"BLUE")</f>
        <v>BLUE</v>
      </c>
      <c r="G906" s="20" t="str">
        <f>IFERROR(__xludf.DUMMYFUNCTION("""COMPUTED_VALUE"""),"Uncle Sams Cider (11/12/2021) (Blue)")</f>
        <v>Uncle Sams Cider (11/12/2021) (Blue)</v>
      </c>
      <c r="H906" s="19"/>
    </row>
    <row r="907">
      <c r="A907" s="9"/>
      <c r="B907" s="15"/>
      <c r="C907" s="9">
        <f>IFERROR(__xludf.DUMMYFUNCTION("""COMPUTED_VALUE"""),44596.1119184953)</f>
        <v>44596.11192</v>
      </c>
      <c r="D907" s="15">
        <f>IFERROR(__xludf.DUMMYFUNCTION("""COMPUTED_VALUE"""),1.0)</f>
        <v>1</v>
      </c>
      <c r="E907" s="16">
        <f>IFERROR(__xludf.DUMMYFUNCTION("""COMPUTED_VALUE"""),62.0)</f>
        <v>62</v>
      </c>
      <c r="F907" s="19" t="str">
        <f>IFERROR(__xludf.DUMMYFUNCTION("""COMPUTED_VALUE"""),"BLUE")</f>
        <v>BLUE</v>
      </c>
      <c r="G907" s="20" t="str">
        <f>IFERROR(__xludf.DUMMYFUNCTION("""COMPUTED_VALUE"""),"Uncle Sams Cider (11/12/2021) (Blue)")</f>
        <v>Uncle Sams Cider (11/12/2021) (Blue)</v>
      </c>
      <c r="H907" s="19"/>
    </row>
    <row r="908">
      <c r="A908" s="9"/>
      <c r="B908" s="15"/>
      <c r="C908" s="9">
        <f>IFERROR(__xludf.DUMMYFUNCTION("""COMPUTED_VALUE"""),44596.1014849421)</f>
        <v>44596.10148</v>
      </c>
      <c r="D908" s="15">
        <f>IFERROR(__xludf.DUMMYFUNCTION("""COMPUTED_VALUE"""),1.0)</f>
        <v>1</v>
      </c>
      <c r="E908" s="16">
        <f>IFERROR(__xludf.DUMMYFUNCTION("""COMPUTED_VALUE"""),62.0)</f>
        <v>62</v>
      </c>
      <c r="F908" s="19" t="str">
        <f>IFERROR(__xludf.DUMMYFUNCTION("""COMPUTED_VALUE"""),"BLUE")</f>
        <v>BLUE</v>
      </c>
      <c r="G908" s="20" t="str">
        <f>IFERROR(__xludf.DUMMYFUNCTION("""COMPUTED_VALUE"""),"Uncle Sams Cider (11/12/2021) (Blue)")</f>
        <v>Uncle Sams Cider (11/12/2021) (Blue)</v>
      </c>
      <c r="H908" s="19"/>
    </row>
    <row r="909">
      <c r="A909" s="9"/>
      <c r="B909" s="15"/>
      <c r="C909" s="9">
        <f>IFERROR(__xludf.DUMMYFUNCTION("""COMPUTED_VALUE"""),44596.0910623958)</f>
        <v>44596.09106</v>
      </c>
      <c r="D909" s="15">
        <f>IFERROR(__xludf.DUMMYFUNCTION("""COMPUTED_VALUE"""),1.0)</f>
        <v>1</v>
      </c>
      <c r="E909" s="16">
        <f>IFERROR(__xludf.DUMMYFUNCTION("""COMPUTED_VALUE"""),62.0)</f>
        <v>62</v>
      </c>
      <c r="F909" s="19" t="str">
        <f>IFERROR(__xludf.DUMMYFUNCTION("""COMPUTED_VALUE"""),"BLUE")</f>
        <v>BLUE</v>
      </c>
      <c r="G909" s="20" t="str">
        <f>IFERROR(__xludf.DUMMYFUNCTION("""COMPUTED_VALUE"""),"Uncle Sams Cider (11/12/2021) (Blue)")</f>
        <v>Uncle Sams Cider (11/12/2021) (Blue)</v>
      </c>
      <c r="H909" s="19"/>
    </row>
    <row r="910">
      <c r="A910" s="9"/>
      <c r="B910" s="15"/>
      <c r="C910" s="9">
        <f>IFERROR(__xludf.DUMMYFUNCTION("""COMPUTED_VALUE"""),44596.0806416898)</f>
        <v>44596.08064</v>
      </c>
      <c r="D910" s="15">
        <f>IFERROR(__xludf.DUMMYFUNCTION("""COMPUTED_VALUE"""),1.0)</f>
        <v>1</v>
      </c>
      <c r="E910" s="16">
        <f>IFERROR(__xludf.DUMMYFUNCTION("""COMPUTED_VALUE"""),62.0)</f>
        <v>62</v>
      </c>
      <c r="F910" s="19" t="str">
        <f>IFERROR(__xludf.DUMMYFUNCTION("""COMPUTED_VALUE"""),"BLUE")</f>
        <v>BLUE</v>
      </c>
      <c r="G910" s="20" t="str">
        <f>IFERROR(__xludf.DUMMYFUNCTION("""COMPUTED_VALUE"""),"Uncle Sams Cider (11/12/2021) (Blue)")</f>
        <v>Uncle Sams Cider (11/12/2021) (Blue)</v>
      </c>
      <c r="H910" s="19"/>
    </row>
    <row r="911">
      <c r="A911" s="9"/>
      <c r="B911" s="15"/>
      <c r="C911" s="9">
        <f>IFERROR(__xludf.DUMMYFUNCTION("""COMPUTED_VALUE"""),44596.0702229398)</f>
        <v>44596.07022</v>
      </c>
      <c r="D911" s="15">
        <f>IFERROR(__xludf.DUMMYFUNCTION("""COMPUTED_VALUE"""),1.0)</f>
        <v>1</v>
      </c>
      <c r="E911" s="16">
        <f>IFERROR(__xludf.DUMMYFUNCTION("""COMPUTED_VALUE"""),62.0)</f>
        <v>62</v>
      </c>
      <c r="F911" s="19" t="str">
        <f>IFERROR(__xludf.DUMMYFUNCTION("""COMPUTED_VALUE"""),"BLUE")</f>
        <v>BLUE</v>
      </c>
      <c r="G911" s="20" t="str">
        <f>IFERROR(__xludf.DUMMYFUNCTION("""COMPUTED_VALUE"""),"Uncle Sams Cider (11/12/2021) (Blue)")</f>
        <v>Uncle Sams Cider (11/12/2021) (Blue)</v>
      </c>
      <c r="H911" s="19"/>
    </row>
    <row r="912">
      <c r="A912" s="9"/>
      <c r="B912" s="15"/>
      <c r="C912" s="9">
        <f>IFERROR(__xludf.DUMMYFUNCTION("""COMPUTED_VALUE"""),44596.0597803356)</f>
        <v>44596.05978</v>
      </c>
      <c r="D912" s="15">
        <f>IFERROR(__xludf.DUMMYFUNCTION("""COMPUTED_VALUE"""),1.0)</f>
        <v>1</v>
      </c>
      <c r="E912" s="16">
        <f>IFERROR(__xludf.DUMMYFUNCTION("""COMPUTED_VALUE"""),62.0)</f>
        <v>62</v>
      </c>
      <c r="F912" s="19" t="str">
        <f>IFERROR(__xludf.DUMMYFUNCTION("""COMPUTED_VALUE"""),"BLUE")</f>
        <v>BLUE</v>
      </c>
      <c r="G912" s="20" t="str">
        <f>IFERROR(__xludf.DUMMYFUNCTION("""COMPUTED_VALUE"""),"Uncle Sams Cider (11/12/2021) (Blue)")</f>
        <v>Uncle Sams Cider (11/12/2021) (Blue)</v>
      </c>
      <c r="H912" s="19"/>
    </row>
    <row r="913">
      <c r="A913" s="9"/>
      <c r="B913" s="15"/>
      <c r="C913" s="9">
        <f>IFERROR(__xludf.DUMMYFUNCTION("""COMPUTED_VALUE"""),44596.049347662)</f>
        <v>44596.04935</v>
      </c>
      <c r="D913" s="15">
        <f>IFERROR(__xludf.DUMMYFUNCTION("""COMPUTED_VALUE"""),1.0)</f>
        <v>1</v>
      </c>
      <c r="E913" s="16">
        <f>IFERROR(__xludf.DUMMYFUNCTION("""COMPUTED_VALUE"""),62.0)</f>
        <v>62</v>
      </c>
      <c r="F913" s="19" t="str">
        <f>IFERROR(__xludf.DUMMYFUNCTION("""COMPUTED_VALUE"""),"BLUE")</f>
        <v>BLUE</v>
      </c>
      <c r="G913" s="20" t="str">
        <f>IFERROR(__xludf.DUMMYFUNCTION("""COMPUTED_VALUE"""),"Uncle Sams Cider (11/12/2021) (Blue)")</f>
        <v>Uncle Sams Cider (11/12/2021) (Blue)</v>
      </c>
      <c r="H913" s="19"/>
    </row>
    <row r="914">
      <c r="A914" s="9"/>
      <c r="B914" s="15"/>
      <c r="C914" s="9">
        <f>IFERROR(__xludf.DUMMYFUNCTION("""COMPUTED_VALUE"""),44596.0389269097)</f>
        <v>44596.03893</v>
      </c>
      <c r="D914" s="15">
        <f>IFERROR(__xludf.DUMMYFUNCTION("""COMPUTED_VALUE"""),1.0)</f>
        <v>1</v>
      </c>
      <c r="E914" s="16">
        <f>IFERROR(__xludf.DUMMYFUNCTION("""COMPUTED_VALUE"""),62.0)</f>
        <v>62</v>
      </c>
      <c r="F914" s="19" t="str">
        <f>IFERROR(__xludf.DUMMYFUNCTION("""COMPUTED_VALUE"""),"BLUE")</f>
        <v>BLUE</v>
      </c>
      <c r="G914" s="20" t="str">
        <f>IFERROR(__xludf.DUMMYFUNCTION("""COMPUTED_VALUE"""),"Uncle Sams Cider (11/12/2021) (Blue)")</f>
        <v>Uncle Sams Cider (11/12/2021) (Blue)</v>
      </c>
      <c r="H914" s="19"/>
    </row>
    <row r="915">
      <c r="A915" s="9"/>
      <c r="B915" s="15"/>
      <c r="C915" s="9">
        <f>IFERROR(__xludf.DUMMYFUNCTION("""COMPUTED_VALUE"""),44596.0285045138)</f>
        <v>44596.0285</v>
      </c>
      <c r="D915" s="15">
        <f>IFERROR(__xludf.DUMMYFUNCTION("""COMPUTED_VALUE"""),1.0)</f>
        <v>1</v>
      </c>
      <c r="E915" s="16">
        <f>IFERROR(__xludf.DUMMYFUNCTION("""COMPUTED_VALUE"""),62.0)</f>
        <v>62</v>
      </c>
      <c r="F915" s="19" t="str">
        <f>IFERROR(__xludf.DUMMYFUNCTION("""COMPUTED_VALUE"""),"BLUE")</f>
        <v>BLUE</v>
      </c>
      <c r="G915" s="20" t="str">
        <f>IFERROR(__xludf.DUMMYFUNCTION("""COMPUTED_VALUE"""),"Uncle Sams Cider (11/12/2021) (Blue)")</f>
        <v>Uncle Sams Cider (11/12/2021) (Blue)</v>
      </c>
      <c r="H915" s="19"/>
    </row>
    <row r="916">
      <c r="A916" s="9"/>
      <c r="B916" s="15"/>
      <c r="C916" s="9">
        <f>IFERROR(__xludf.DUMMYFUNCTION("""COMPUTED_VALUE"""),44596.0180597453)</f>
        <v>44596.01806</v>
      </c>
      <c r="D916" s="15">
        <f>IFERROR(__xludf.DUMMYFUNCTION("""COMPUTED_VALUE"""),1.0)</f>
        <v>1</v>
      </c>
      <c r="E916" s="16">
        <f>IFERROR(__xludf.DUMMYFUNCTION("""COMPUTED_VALUE"""),62.0)</f>
        <v>62</v>
      </c>
      <c r="F916" s="19" t="str">
        <f>IFERROR(__xludf.DUMMYFUNCTION("""COMPUTED_VALUE"""),"BLUE")</f>
        <v>BLUE</v>
      </c>
      <c r="G916" s="20" t="str">
        <f>IFERROR(__xludf.DUMMYFUNCTION("""COMPUTED_VALUE"""),"Uncle Sams Cider (11/12/2021) (Blue)")</f>
        <v>Uncle Sams Cider (11/12/2021) (Blue)</v>
      </c>
      <c r="H916" s="19"/>
    </row>
    <row r="917">
      <c r="A917" s="9"/>
      <c r="B917" s="15"/>
      <c r="C917" s="9">
        <f>IFERROR(__xludf.DUMMYFUNCTION("""COMPUTED_VALUE"""),44596.0076381944)</f>
        <v>44596.00764</v>
      </c>
      <c r="D917" s="15">
        <f>IFERROR(__xludf.DUMMYFUNCTION("""COMPUTED_VALUE"""),1.0)</f>
        <v>1</v>
      </c>
      <c r="E917" s="16">
        <f>IFERROR(__xludf.DUMMYFUNCTION("""COMPUTED_VALUE"""),62.0)</f>
        <v>62</v>
      </c>
      <c r="F917" s="19" t="str">
        <f>IFERROR(__xludf.DUMMYFUNCTION("""COMPUTED_VALUE"""),"BLUE")</f>
        <v>BLUE</v>
      </c>
      <c r="G917" s="20" t="str">
        <f>IFERROR(__xludf.DUMMYFUNCTION("""COMPUTED_VALUE"""),"Uncle Sams Cider (11/12/2021) (Blue)")</f>
        <v>Uncle Sams Cider (11/12/2021) (Blue)</v>
      </c>
      <c r="H917" s="19"/>
    </row>
    <row r="918">
      <c r="A918" s="9"/>
      <c r="B918" s="15"/>
      <c r="C918" s="9">
        <f>IFERROR(__xludf.DUMMYFUNCTION("""COMPUTED_VALUE"""),44595.9972170254)</f>
        <v>44595.99722</v>
      </c>
      <c r="D918" s="15">
        <f>IFERROR(__xludf.DUMMYFUNCTION("""COMPUTED_VALUE"""),1.0)</f>
        <v>1</v>
      </c>
      <c r="E918" s="16">
        <f>IFERROR(__xludf.DUMMYFUNCTION("""COMPUTED_VALUE"""),62.0)</f>
        <v>62</v>
      </c>
      <c r="F918" s="19" t="str">
        <f>IFERROR(__xludf.DUMMYFUNCTION("""COMPUTED_VALUE"""),"BLUE")</f>
        <v>BLUE</v>
      </c>
      <c r="G918" s="20" t="str">
        <f>IFERROR(__xludf.DUMMYFUNCTION("""COMPUTED_VALUE"""),"Uncle Sams Cider (11/12/2021) (Blue)")</f>
        <v>Uncle Sams Cider (11/12/2021) (Blue)</v>
      </c>
      <c r="H918" s="19"/>
    </row>
    <row r="919">
      <c r="A919" s="9"/>
      <c r="B919" s="15"/>
      <c r="C919" s="9">
        <f>IFERROR(__xludf.DUMMYFUNCTION("""COMPUTED_VALUE"""),44595.9867968171)</f>
        <v>44595.9868</v>
      </c>
      <c r="D919" s="15">
        <f>IFERROR(__xludf.DUMMYFUNCTION("""COMPUTED_VALUE"""),1.0)</f>
        <v>1</v>
      </c>
      <c r="E919" s="16">
        <f>IFERROR(__xludf.DUMMYFUNCTION("""COMPUTED_VALUE"""),62.0)</f>
        <v>62</v>
      </c>
      <c r="F919" s="19" t="str">
        <f>IFERROR(__xludf.DUMMYFUNCTION("""COMPUTED_VALUE"""),"BLUE")</f>
        <v>BLUE</v>
      </c>
      <c r="G919" s="20" t="str">
        <f>IFERROR(__xludf.DUMMYFUNCTION("""COMPUTED_VALUE"""),"Uncle Sams Cider (11/12/2021) (Blue)")</f>
        <v>Uncle Sams Cider (11/12/2021) (Blue)</v>
      </c>
      <c r="H919" s="19"/>
    </row>
    <row r="920">
      <c r="A920" s="9"/>
      <c r="B920" s="15"/>
      <c r="C920" s="9">
        <f>IFERROR(__xludf.DUMMYFUNCTION("""COMPUTED_VALUE"""),44595.9763646527)</f>
        <v>44595.97636</v>
      </c>
      <c r="D920" s="15">
        <f>IFERROR(__xludf.DUMMYFUNCTION("""COMPUTED_VALUE"""),1.0)</f>
        <v>1</v>
      </c>
      <c r="E920" s="16">
        <f>IFERROR(__xludf.DUMMYFUNCTION("""COMPUTED_VALUE"""),62.0)</f>
        <v>62</v>
      </c>
      <c r="F920" s="19" t="str">
        <f>IFERROR(__xludf.DUMMYFUNCTION("""COMPUTED_VALUE"""),"BLUE")</f>
        <v>BLUE</v>
      </c>
      <c r="G920" s="20" t="str">
        <f>IFERROR(__xludf.DUMMYFUNCTION("""COMPUTED_VALUE"""),"Uncle Sams Cider (11/12/2021) (Blue)")</f>
        <v>Uncle Sams Cider (11/12/2021) (Blue)</v>
      </c>
      <c r="H920" s="19"/>
    </row>
    <row r="921">
      <c r="A921" s="9"/>
      <c r="B921" s="15"/>
      <c r="C921" s="9">
        <f>IFERROR(__xludf.DUMMYFUNCTION("""COMPUTED_VALUE"""),44595.9659429166)</f>
        <v>44595.96594</v>
      </c>
      <c r="D921" s="15">
        <f>IFERROR(__xludf.DUMMYFUNCTION("""COMPUTED_VALUE"""),1.0)</f>
        <v>1</v>
      </c>
      <c r="E921" s="16">
        <f>IFERROR(__xludf.DUMMYFUNCTION("""COMPUTED_VALUE"""),62.0)</f>
        <v>62</v>
      </c>
      <c r="F921" s="19" t="str">
        <f>IFERROR(__xludf.DUMMYFUNCTION("""COMPUTED_VALUE"""),"BLUE")</f>
        <v>BLUE</v>
      </c>
      <c r="G921" s="20" t="str">
        <f>IFERROR(__xludf.DUMMYFUNCTION("""COMPUTED_VALUE"""),"Uncle Sams Cider (11/12/2021) (Blue)")</f>
        <v>Uncle Sams Cider (11/12/2021) (Blue)</v>
      </c>
      <c r="H921" s="19"/>
    </row>
    <row r="922">
      <c r="A922" s="9"/>
      <c r="B922" s="15"/>
      <c r="C922" s="9">
        <f>IFERROR(__xludf.DUMMYFUNCTION("""COMPUTED_VALUE"""),44595.9555211111)</f>
        <v>44595.95552</v>
      </c>
      <c r="D922" s="15">
        <f>IFERROR(__xludf.DUMMYFUNCTION("""COMPUTED_VALUE"""),1.0)</f>
        <v>1</v>
      </c>
      <c r="E922" s="16">
        <f>IFERROR(__xludf.DUMMYFUNCTION("""COMPUTED_VALUE"""),62.0)</f>
        <v>62</v>
      </c>
      <c r="F922" s="19" t="str">
        <f>IFERROR(__xludf.DUMMYFUNCTION("""COMPUTED_VALUE"""),"BLUE")</f>
        <v>BLUE</v>
      </c>
      <c r="G922" s="20" t="str">
        <f>IFERROR(__xludf.DUMMYFUNCTION("""COMPUTED_VALUE"""),"Uncle Sams Cider (11/12/2021) (Blue)")</f>
        <v>Uncle Sams Cider (11/12/2021) (Blue)</v>
      </c>
      <c r="H922" s="19"/>
    </row>
    <row r="923">
      <c r="A923" s="9"/>
      <c r="B923" s="15"/>
      <c r="C923" s="9">
        <f>IFERROR(__xludf.DUMMYFUNCTION("""COMPUTED_VALUE"""),44595.9451005787)</f>
        <v>44595.9451</v>
      </c>
      <c r="D923" s="15">
        <f>IFERROR(__xludf.DUMMYFUNCTION("""COMPUTED_VALUE"""),1.0)</f>
        <v>1</v>
      </c>
      <c r="E923" s="16">
        <f>IFERROR(__xludf.DUMMYFUNCTION("""COMPUTED_VALUE"""),62.0)</f>
        <v>62</v>
      </c>
      <c r="F923" s="19" t="str">
        <f>IFERROR(__xludf.DUMMYFUNCTION("""COMPUTED_VALUE"""),"BLUE")</f>
        <v>BLUE</v>
      </c>
      <c r="G923" s="20" t="str">
        <f>IFERROR(__xludf.DUMMYFUNCTION("""COMPUTED_VALUE"""),"Uncle Sams Cider (11/12/2021) (Blue)")</f>
        <v>Uncle Sams Cider (11/12/2021) (Blue)</v>
      </c>
      <c r="H923" s="19"/>
    </row>
    <row r="924">
      <c r="A924" s="9"/>
      <c r="B924" s="15"/>
      <c r="C924" s="9">
        <f>IFERROR(__xludf.DUMMYFUNCTION("""COMPUTED_VALUE"""),44595.9346796527)</f>
        <v>44595.93468</v>
      </c>
      <c r="D924" s="15">
        <f>IFERROR(__xludf.DUMMYFUNCTION("""COMPUTED_VALUE"""),1.0)</f>
        <v>1</v>
      </c>
      <c r="E924" s="16">
        <f>IFERROR(__xludf.DUMMYFUNCTION("""COMPUTED_VALUE"""),62.0)</f>
        <v>62</v>
      </c>
      <c r="F924" s="19" t="str">
        <f>IFERROR(__xludf.DUMMYFUNCTION("""COMPUTED_VALUE"""),"BLUE")</f>
        <v>BLUE</v>
      </c>
      <c r="G924" s="20" t="str">
        <f>IFERROR(__xludf.DUMMYFUNCTION("""COMPUTED_VALUE"""),"Uncle Sams Cider (11/12/2021) (Blue)")</f>
        <v>Uncle Sams Cider (11/12/2021) (Blue)</v>
      </c>
      <c r="H924" s="19"/>
    </row>
    <row r="925">
      <c r="A925" s="9"/>
      <c r="B925" s="15"/>
      <c r="C925" s="9">
        <f>IFERROR(__xludf.DUMMYFUNCTION("""COMPUTED_VALUE"""),44595.9242596643)</f>
        <v>44595.92426</v>
      </c>
      <c r="D925" s="15">
        <f>IFERROR(__xludf.DUMMYFUNCTION("""COMPUTED_VALUE"""),1.0)</f>
        <v>1</v>
      </c>
      <c r="E925" s="16">
        <f>IFERROR(__xludf.DUMMYFUNCTION("""COMPUTED_VALUE"""),62.0)</f>
        <v>62</v>
      </c>
      <c r="F925" s="19" t="str">
        <f>IFERROR(__xludf.DUMMYFUNCTION("""COMPUTED_VALUE"""),"BLUE")</f>
        <v>BLUE</v>
      </c>
      <c r="G925" s="20" t="str">
        <f>IFERROR(__xludf.DUMMYFUNCTION("""COMPUTED_VALUE"""),"Uncle Sams Cider (11/12/2021) (Blue)")</f>
        <v>Uncle Sams Cider (11/12/2021) (Blue)</v>
      </c>
      <c r="H925" s="19"/>
    </row>
    <row r="926">
      <c r="A926" s="9"/>
      <c r="B926" s="15"/>
      <c r="C926" s="9">
        <f>IFERROR(__xludf.DUMMYFUNCTION("""COMPUTED_VALUE"""),44595.9138387962)</f>
        <v>44595.91384</v>
      </c>
      <c r="D926" s="15">
        <f>IFERROR(__xludf.DUMMYFUNCTION("""COMPUTED_VALUE"""),1.0)</f>
        <v>1</v>
      </c>
      <c r="E926" s="16">
        <f>IFERROR(__xludf.DUMMYFUNCTION("""COMPUTED_VALUE"""),62.0)</f>
        <v>62</v>
      </c>
      <c r="F926" s="19" t="str">
        <f>IFERROR(__xludf.DUMMYFUNCTION("""COMPUTED_VALUE"""),"BLUE")</f>
        <v>BLUE</v>
      </c>
      <c r="G926" s="20" t="str">
        <f>IFERROR(__xludf.DUMMYFUNCTION("""COMPUTED_VALUE"""),"Uncle Sams Cider (11/12/2021) (Blue)")</f>
        <v>Uncle Sams Cider (11/12/2021) (Blue)</v>
      </c>
      <c r="H926" s="19"/>
    </row>
    <row r="927">
      <c r="A927" s="9"/>
      <c r="B927" s="15"/>
      <c r="C927" s="9">
        <f>IFERROR(__xludf.DUMMYFUNCTION("""COMPUTED_VALUE"""),44595.9034195833)</f>
        <v>44595.90342</v>
      </c>
      <c r="D927" s="15">
        <f>IFERROR(__xludf.DUMMYFUNCTION("""COMPUTED_VALUE"""),1.0)</f>
        <v>1</v>
      </c>
      <c r="E927" s="16">
        <f>IFERROR(__xludf.DUMMYFUNCTION("""COMPUTED_VALUE"""),62.0)</f>
        <v>62</v>
      </c>
      <c r="F927" s="19" t="str">
        <f>IFERROR(__xludf.DUMMYFUNCTION("""COMPUTED_VALUE"""),"BLUE")</f>
        <v>BLUE</v>
      </c>
      <c r="G927" s="20" t="str">
        <f>IFERROR(__xludf.DUMMYFUNCTION("""COMPUTED_VALUE"""),"Uncle Sams Cider (11/12/2021) (Blue)")</f>
        <v>Uncle Sams Cider (11/12/2021) (Blue)</v>
      </c>
      <c r="H927" s="19"/>
    </row>
    <row r="928">
      <c r="A928" s="9"/>
      <c r="B928" s="15"/>
      <c r="C928" s="9">
        <f>IFERROR(__xludf.DUMMYFUNCTION("""COMPUTED_VALUE"""),44595.8929739583)</f>
        <v>44595.89297</v>
      </c>
      <c r="D928" s="15">
        <f>IFERROR(__xludf.DUMMYFUNCTION("""COMPUTED_VALUE"""),1.0)</f>
        <v>1</v>
      </c>
      <c r="E928" s="16">
        <f>IFERROR(__xludf.DUMMYFUNCTION("""COMPUTED_VALUE"""),62.0)</f>
        <v>62</v>
      </c>
      <c r="F928" s="19" t="str">
        <f>IFERROR(__xludf.DUMMYFUNCTION("""COMPUTED_VALUE"""),"BLUE")</f>
        <v>BLUE</v>
      </c>
      <c r="G928" s="20" t="str">
        <f>IFERROR(__xludf.DUMMYFUNCTION("""COMPUTED_VALUE"""),"Uncle Sams Cider (11/12/2021) (Blue)")</f>
        <v>Uncle Sams Cider (11/12/2021) (Blue)</v>
      </c>
      <c r="H928" s="19"/>
    </row>
    <row r="929">
      <c r="A929" s="9"/>
      <c r="B929" s="15"/>
      <c r="C929" s="9">
        <f>IFERROR(__xludf.DUMMYFUNCTION("""COMPUTED_VALUE"""),44595.8825531944)</f>
        <v>44595.88255</v>
      </c>
      <c r="D929" s="15">
        <f>IFERROR(__xludf.DUMMYFUNCTION("""COMPUTED_VALUE"""),1.0)</f>
        <v>1</v>
      </c>
      <c r="E929" s="16">
        <f>IFERROR(__xludf.DUMMYFUNCTION("""COMPUTED_VALUE"""),62.0)</f>
        <v>62</v>
      </c>
      <c r="F929" s="19" t="str">
        <f>IFERROR(__xludf.DUMMYFUNCTION("""COMPUTED_VALUE"""),"BLUE")</f>
        <v>BLUE</v>
      </c>
      <c r="G929" s="20" t="str">
        <f>IFERROR(__xludf.DUMMYFUNCTION("""COMPUTED_VALUE"""),"Uncle Sams Cider (11/12/2021) (Blue)")</f>
        <v>Uncle Sams Cider (11/12/2021) (Blue)</v>
      </c>
      <c r="H929" s="19"/>
    </row>
    <row r="930">
      <c r="A930" s="9"/>
      <c r="B930" s="15"/>
      <c r="C930" s="9">
        <f>IFERROR(__xludf.DUMMYFUNCTION("""COMPUTED_VALUE"""),44595.8721317939)</f>
        <v>44595.87213</v>
      </c>
      <c r="D930" s="15">
        <f>IFERROR(__xludf.DUMMYFUNCTION("""COMPUTED_VALUE"""),1.0)</f>
        <v>1</v>
      </c>
      <c r="E930" s="16">
        <f>IFERROR(__xludf.DUMMYFUNCTION("""COMPUTED_VALUE"""),62.0)</f>
        <v>62</v>
      </c>
      <c r="F930" s="19" t="str">
        <f>IFERROR(__xludf.DUMMYFUNCTION("""COMPUTED_VALUE"""),"BLUE")</f>
        <v>BLUE</v>
      </c>
      <c r="G930" s="20" t="str">
        <f>IFERROR(__xludf.DUMMYFUNCTION("""COMPUTED_VALUE"""),"Uncle Sams Cider (11/12/2021) (Blue)")</f>
        <v>Uncle Sams Cider (11/12/2021) (Blue)</v>
      </c>
      <c r="H930" s="19"/>
    </row>
    <row r="931">
      <c r="A931" s="9"/>
      <c r="B931" s="15"/>
      <c r="C931" s="9">
        <f>IFERROR(__xludf.DUMMYFUNCTION("""COMPUTED_VALUE"""),44595.8617118518)</f>
        <v>44595.86171</v>
      </c>
      <c r="D931" s="15">
        <f>IFERROR(__xludf.DUMMYFUNCTION("""COMPUTED_VALUE"""),1.0)</f>
        <v>1</v>
      </c>
      <c r="E931" s="16">
        <f>IFERROR(__xludf.DUMMYFUNCTION("""COMPUTED_VALUE"""),62.0)</f>
        <v>62</v>
      </c>
      <c r="F931" s="19" t="str">
        <f>IFERROR(__xludf.DUMMYFUNCTION("""COMPUTED_VALUE"""),"BLUE")</f>
        <v>BLUE</v>
      </c>
      <c r="G931" s="20" t="str">
        <f>IFERROR(__xludf.DUMMYFUNCTION("""COMPUTED_VALUE"""),"Uncle Sams Cider (11/12/2021) (Blue)")</f>
        <v>Uncle Sams Cider (11/12/2021) (Blue)</v>
      </c>
      <c r="H931" s="19"/>
    </row>
    <row r="932">
      <c r="A932" s="9"/>
      <c r="B932" s="15"/>
      <c r="C932" s="9">
        <f>IFERROR(__xludf.DUMMYFUNCTION("""COMPUTED_VALUE"""),44595.8512912499)</f>
        <v>44595.85129</v>
      </c>
      <c r="D932" s="15">
        <f>IFERROR(__xludf.DUMMYFUNCTION("""COMPUTED_VALUE"""),1.0)</f>
        <v>1</v>
      </c>
      <c r="E932" s="16">
        <f>IFERROR(__xludf.DUMMYFUNCTION("""COMPUTED_VALUE"""),62.0)</f>
        <v>62</v>
      </c>
      <c r="F932" s="19" t="str">
        <f>IFERROR(__xludf.DUMMYFUNCTION("""COMPUTED_VALUE"""),"BLUE")</f>
        <v>BLUE</v>
      </c>
      <c r="G932" s="20" t="str">
        <f>IFERROR(__xludf.DUMMYFUNCTION("""COMPUTED_VALUE"""),"Uncle Sams Cider (11/12/2021) (Blue)")</f>
        <v>Uncle Sams Cider (11/12/2021) (Blue)</v>
      </c>
      <c r="H932" s="19"/>
    </row>
    <row r="933">
      <c r="A933" s="9"/>
      <c r="B933" s="15"/>
      <c r="C933" s="9">
        <f>IFERROR(__xludf.DUMMYFUNCTION("""COMPUTED_VALUE"""),44595.8408699537)</f>
        <v>44595.84087</v>
      </c>
      <c r="D933" s="15">
        <f>IFERROR(__xludf.DUMMYFUNCTION("""COMPUTED_VALUE"""),1.0)</f>
        <v>1</v>
      </c>
      <c r="E933" s="16">
        <f>IFERROR(__xludf.DUMMYFUNCTION("""COMPUTED_VALUE"""),62.0)</f>
        <v>62</v>
      </c>
      <c r="F933" s="19" t="str">
        <f>IFERROR(__xludf.DUMMYFUNCTION("""COMPUTED_VALUE"""),"BLUE")</f>
        <v>BLUE</v>
      </c>
      <c r="G933" s="20" t="str">
        <f>IFERROR(__xludf.DUMMYFUNCTION("""COMPUTED_VALUE"""),"Uncle Sams Cider (11/12/2021) (Blue)")</f>
        <v>Uncle Sams Cider (11/12/2021) (Blue)</v>
      </c>
      <c r="H933" s="19"/>
    </row>
    <row r="934">
      <c r="A934" s="9"/>
      <c r="B934" s="15"/>
      <c r="C934" s="9">
        <f>IFERROR(__xludf.DUMMYFUNCTION("""COMPUTED_VALUE"""),44595.8304488888)</f>
        <v>44595.83045</v>
      </c>
      <c r="D934" s="15">
        <f>IFERROR(__xludf.DUMMYFUNCTION("""COMPUTED_VALUE"""),1.0)</f>
        <v>1</v>
      </c>
      <c r="E934" s="16">
        <f>IFERROR(__xludf.DUMMYFUNCTION("""COMPUTED_VALUE"""),62.0)</f>
        <v>62</v>
      </c>
      <c r="F934" s="19" t="str">
        <f>IFERROR(__xludf.DUMMYFUNCTION("""COMPUTED_VALUE"""),"BLUE")</f>
        <v>BLUE</v>
      </c>
      <c r="G934" s="20" t="str">
        <f>IFERROR(__xludf.DUMMYFUNCTION("""COMPUTED_VALUE"""),"Uncle Sams Cider (11/12/2021) (Blue)")</f>
        <v>Uncle Sams Cider (11/12/2021) (Blue)</v>
      </c>
      <c r="H934" s="19"/>
    </row>
    <row r="935">
      <c r="A935" s="9"/>
      <c r="B935" s="15"/>
      <c r="C935" s="9">
        <f>IFERROR(__xludf.DUMMYFUNCTION("""COMPUTED_VALUE"""),44595.8200157291)</f>
        <v>44595.82002</v>
      </c>
      <c r="D935" s="15">
        <f>IFERROR(__xludf.DUMMYFUNCTION("""COMPUTED_VALUE"""),1.0)</f>
        <v>1</v>
      </c>
      <c r="E935" s="16">
        <f>IFERROR(__xludf.DUMMYFUNCTION("""COMPUTED_VALUE"""),62.0)</f>
        <v>62</v>
      </c>
      <c r="F935" s="19" t="str">
        <f>IFERROR(__xludf.DUMMYFUNCTION("""COMPUTED_VALUE"""),"BLUE")</f>
        <v>BLUE</v>
      </c>
      <c r="G935" s="20" t="str">
        <f>IFERROR(__xludf.DUMMYFUNCTION("""COMPUTED_VALUE"""),"Uncle Sams Cider (11/12/2021) (Blue)")</f>
        <v>Uncle Sams Cider (11/12/2021) (Blue)</v>
      </c>
      <c r="H935" s="19"/>
    </row>
    <row r="936">
      <c r="A936" s="9"/>
      <c r="B936" s="15"/>
      <c r="C936" s="9">
        <f>IFERROR(__xludf.DUMMYFUNCTION("""COMPUTED_VALUE"""),44595.8095941319)</f>
        <v>44595.80959</v>
      </c>
      <c r="D936" s="15">
        <f>IFERROR(__xludf.DUMMYFUNCTION("""COMPUTED_VALUE"""),1.0)</f>
        <v>1</v>
      </c>
      <c r="E936" s="16">
        <f>IFERROR(__xludf.DUMMYFUNCTION("""COMPUTED_VALUE"""),62.0)</f>
        <v>62</v>
      </c>
      <c r="F936" s="19" t="str">
        <f>IFERROR(__xludf.DUMMYFUNCTION("""COMPUTED_VALUE"""),"BLUE")</f>
        <v>BLUE</v>
      </c>
      <c r="G936" s="20" t="str">
        <f>IFERROR(__xludf.DUMMYFUNCTION("""COMPUTED_VALUE"""),"Uncle Sams Cider (11/12/2021) (Blue)")</f>
        <v>Uncle Sams Cider (11/12/2021) (Blue)</v>
      </c>
      <c r="H936" s="19"/>
    </row>
    <row r="937">
      <c r="A937" s="9"/>
      <c r="B937" s="15"/>
      <c r="C937" s="9">
        <f>IFERROR(__xludf.DUMMYFUNCTION("""COMPUTED_VALUE"""),44595.7991723495)</f>
        <v>44595.79917</v>
      </c>
      <c r="D937" s="15">
        <f>IFERROR(__xludf.DUMMYFUNCTION("""COMPUTED_VALUE"""),1.0)</f>
        <v>1</v>
      </c>
      <c r="E937" s="16">
        <f>IFERROR(__xludf.DUMMYFUNCTION("""COMPUTED_VALUE"""),62.0)</f>
        <v>62</v>
      </c>
      <c r="F937" s="19" t="str">
        <f>IFERROR(__xludf.DUMMYFUNCTION("""COMPUTED_VALUE"""),"BLUE")</f>
        <v>BLUE</v>
      </c>
      <c r="G937" s="20" t="str">
        <f>IFERROR(__xludf.DUMMYFUNCTION("""COMPUTED_VALUE"""),"Uncle Sams Cider (11/12/2021) (Blue)")</f>
        <v>Uncle Sams Cider (11/12/2021) (Blue)</v>
      </c>
      <c r="H937" s="19"/>
    </row>
    <row r="938">
      <c r="A938" s="9"/>
      <c r="B938" s="15"/>
      <c r="C938" s="9">
        <f>IFERROR(__xludf.DUMMYFUNCTION("""COMPUTED_VALUE"""),44595.7887516203)</f>
        <v>44595.78875</v>
      </c>
      <c r="D938" s="15">
        <f>IFERROR(__xludf.DUMMYFUNCTION("""COMPUTED_VALUE"""),1.0)</f>
        <v>1</v>
      </c>
      <c r="E938" s="16">
        <f>IFERROR(__xludf.DUMMYFUNCTION("""COMPUTED_VALUE"""),63.0)</f>
        <v>63</v>
      </c>
      <c r="F938" s="19" t="str">
        <f>IFERROR(__xludf.DUMMYFUNCTION("""COMPUTED_VALUE"""),"BLUE")</f>
        <v>BLUE</v>
      </c>
      <c r="G938" s="20" t="str">
        <f>IFERROR(__xludf.DUMMYFUNCTION("""COMPUTED_VALUE"""),"Uncle Sams Cider (11/12/2021) (Blue)")</f>
        <v>Uncle Sams Cider (11/12/2021) (Blue)</v>
      </c>
      <c r="H938" s="19"/>
    </row>
    <row r="939">
      <c r="A939" s="9"/>
      <c r="B939" s="15"/>
      <c r="C939" s="9">
        <f>IFERROR(__xludf.DUMMYFUNCTION("""COMPUTED_VALUE"""),44595.7783299537)</f>
        <v>44595.77833</v>
      </c>
      <c r="D939" s="15">
        <f>IFERROR(__xludf.DUMMYFUNCTION("""COMPUTED_VALUE"""),1.0)</f>
        <v>1</v>
      </c>
      <c r="E939" s="16">
        <f>IFERROR(__xludf.DUMMYFUNCTION("""COMPUTED_VALUE"""),63.0)</f>
        <v>63</v>
      </c>
      <c r="F939" s="19" t="str">
        <f>IFERROR(__xludf.DUMMYFUNCTION("""COMPUTED_VALUE"""),"BLUE")</f>
        <v>BLUE</v>
      </c>
      <c r="G939" s="20" t="str">
        <f>IFERROR(__xludf.DUMMYFUNCTION("""COMPUTED_VALUE"""),"Uncle Sams Cider (11/12/2021) (Blue)")</f>
        <v>Uncle Sams Cider (11/12/2021) (Blue)</v>
      </c>
      <c r="H939" s="19"/>
    </row>
    <row r="940">
      <c r="A940" s="9"/>
      <c r="B940" s="15"/>
      <c r="C940" s="9">
        <f>IFERROR(__xludf.DUMMYFUNCTION("""COMPUTED_VALUE"""),44595.7679099074)</f>
        <v>44595.76791</v>
      </c>
      <c r="D940" s="15">
        <f>IFERROR(__xludf.DUMMYFUNCTION("""COMPUTED_VALUE"""),1.0)</f>
        <v>1</v>
      </c>
      <c r="E940" s="16">
        <f>IFERROR(__xludf.DUMMYFUNCTION("""COMPUTED_VALUE"""),63.0)</f>
        <v>63</v>
      </c>
      <c r="F940" s="19" t="str">
        <f>IFERROR(__xludf.DUMMYFUNCTION("""COMPUTED_VALUE"""),"BLUE")</f>
        <v>BLUE</v>
      </c>
      <c r="G940" s="20" t="str">
        <f>IFERROR(__xludf.DUMMYFUNCTION("""COMPUTED_VALUE"""),"Uncle Sams Cider (11/12/2021) (Blue)")</f>
        <v>Uncle Sams Cider (11/12/2021) (Blue)</v>
      </c>
      <c r="H940" s="19"/>
    </row>
    <row r="941">
      <c r="A941" s="9"/>
      <c r="B941" s="15"/>
      <c r="C941" s="9">
        <f>IFERROR(__xludf.DUMMYFUNCTION("""COMPUTED_VALUE"""),44595.75748853)</f>
        <v>44595.75749</v>
      </c>
      <c r="D941" s="15">
        <f>IFERROR(__xludf.DUMMYFUNCTION("""COMPUTED_VALUE"""),1.0)</f>
        <v>1</v>
      </c>
      <c r="E941" s="16">
        <f>IFERROR(__xludf.DUMMYFUNCTION("""COMPUTED_VALUE"""),63.0)</f>
        <v>63</v>
      </c>
      <c r="F941" s="19" t="str">
        <f>IFERROR(__xludf.DUMMYFUNCTION("""COMPUTED_VALUE"""),"BLUE")</f>
        <v>BLUE</v>
      </c>
      <c r="G941" s="20" t="str">
        <f>IFERROR(__xludf.DUMMYFUNCTION("""COMPUTED_VALUE"""),"Uncle Sams Cider (11/12/2021) (Blue)")</f>
        <v>Uncle Sams Cider (11/12/2021) (Blue)</v>
      </c>
      <c r="H941" s="19"/>
    </row>
    <row r="942">
      <c r="A942" s="9"/>
      <c r="B942" s="15"/>
      <c r="C942" s="9">
        <f>IFERROR(__xludf.DUMMYFUNCTION("""COMPUTED_VALUE"""),44595.7470568634)</f>
        <v>44595.74706</v>
      </c>
      <c r="D942" s="15">
        <f>IFERROR(__xludf.DUMMYFUNCTION("""COMPUTED_VALUE"""),1.0)</f>
        <v>1</v>
      </c>
      <c r="E942" s="16">
        <f>IFERROR(__xludf.DUMMYFUNCTION("""COMPUTED_VALUE"""),63.0)</f>
        <v>63</v>
      </c>
      <c r="F942" s="19" t="str">
        <f>IFERROR(__xludf.DUMMYFUNCTION("""COMPUTED_VALUE"""),"BLUE")</f>
        <v>BLUE</v>
      </c>
      <c r="G942" s="20" t="str">
        <f>IFERROR(__xludf.DUMMYFUNCTION("""COMPUTED_VALUE"""),"Uncle Sams Cider (11/12/2021) (Blue)")</f>
        <v>Uncle Sams Cider (11/12/2021) (Blue)</v>
      </c>
      <c r="H942" s="19"/>
    </row>
    <row r="943">
      <c r="A943" s="9"/>
      <c r="B943" s="15"/>
      <c r="C943" s="9">
        <f>IFERROR(__xludf.DUMMYFUNCTION("""COMPUTED_VALUE"""),44595.736635162)</f>
        <v>44595.73664</v>
      </c>
      <c r="D943" s="15">
        <f>IFERROR(__xludf.DUMMYFUNCTION("""COMPUTED_VALUE"""),1.0)</f>
        <v>1</v>
      </c>
      <c r="E943" s="16">
        <f>IFERROR(__xludf.DUMMYFUNCTION("""COMPUTED_VALUE"""),63.0)</f>
        <v>63</v>
      </c>
      <c r="F943" s="19" t="str">
        <f>IFERROR(__xludf.DUMMYFUNCTION("""COMPUTED_VALUE"""),"BLUE")</f>
        <v>BLUE</v>
      </c>
      <c r="G943" s="20" t="str">
        <f>IFERROR(__xludf.DUMMYFUNCTION("""COMPUTED_VALUE"""),"Uncle Sams Cider (11/12/2021) (Blue)")</f>
        <v>Uncle Sams Cider (11/12/2021) (Blue)</v>
      </c>
      <c r="H943" s="19"/>
    </row>
    <row r="944">
      <c r="A944" s="9"/>
      <c r="B944" s="15"/>
      <c r="C944" s="9">
        <f>IFERROR(__xludf.DUMMYFUNCTION("""COMPUTED_VALUE"""),44595.7262142129)</f>
        <v>44595.72621</v>
      </c>
      <c r="D944" s="15">
        <f>IFERROR(__xludf.DUMMYFUNCTION("""COMPUTED_VALUE"""),1.0)</f>
        <v>1</v>
      </c>
      <c r="E944" s="16">
        <f>IFERROR(__xludf.DUMMYFUNCTION("""COMPUTED_VALUE"""),63.0)</f>
        <v>63</v>
      </c>
      <c r="F944" s="19" t="str">
        <f>IFERROR(__xludf.DUMMYFUNCTION("""COMPUTED_VALUE"""),"BLUE")</f>
        <v>BLUE</v>
      </c>
      <c r="G944" s="20" t="str">
        <f>IFERROR(__xludf.DUMMYFUNCTION("""COMPUTED_VALUE"""),"Uncle Sams Cider (11/12/2021) (Blue)")</f>
        <v>Uncle Sams Cider (11/12/2021) (Blue)</v>
      </c>
      <c r="H944" s="19"/>
    </row>
    <row r="945">
      <c r="A945" s="9"/>
      <c r="B945" s="15"/>
      <c r="C945" s="9">
        <f>IFERROR(__xludf.DUMMYFUNCTION("""COMPUTED_VALUE"""),44595.7157939004)</f>
        <v>44595.71579</v>
      </c>
      <c r="D945" s="15">
        <f>IFERROR(__xludf.DUMMYFUNCTION("""COMPUTED_VALUE"""),0.999)</f>
        <v>0.999</v>
      </c>
      <c r="E945" s="16">
        <f>IFERROR(__xludf.DUMMYFUNCTION("""COMPUTED_VALUE"""),63.0)</f>
        <v>63</v>
      </c>
      <c r="F945" s="19" t="str">
        <f>IFERROR(__xludf.DUMMYFUNCTION("""COMPUTED_VALUE"""),"BLUE")</f>
        <v>BLUE</v>
      </c>
      <c r="G945" s="20" t="str">
        <f>IFERROR(__xludf.DUMMYFUNCTION("""COMPUTED_VALUE"""),"Uncle Sams Cider (11/12/2021) (Blue)")</f>
        <v>Uncle Sams Cider (11/12/2021) (Blue)</v>
      </c>
      <c r="H945" s="19"/>
    </row>
    <row r="946">
      <c r="A946" s="9"/>
      <c r="B946" s="15"/>
      <c r="C946" s="9">
        <f>IFERROR(__xludf.DUMMYFUNCTION("""COMPUTED_VALUE"""),44595.705371875)</f>
        <v>44595.70537</v>
      </c>
      <c r="D946" s="15">
        <f>IFERROR(__xludf.DUMMYFUNCTION("""COMPUTED_VALUE"""),1.0)</f>
        <v>1</v>
      </c>
      <c r="E946" s="16">
        <f>IFERROR(__xludf.DUMMYFUNCTION("""COMPUTED_VALUE"""),63.0)</f>
        <v>63</v>
      </c>
      <c r="F946" s="19" t="str">
        <f>IFERROR(__xludf.DUMMYFUNCTION("""COMPUTED_VALUE"""),"BLUE")</f>
        <v>BLUE</v>
      </c>
      <c r="G946" s="20" t="str">
        <f>IFERROR(__xludf.DUMMYFUNCTION("""COMPUTED_VALUE"""),"Uncle Sams Cider (11/12/2021) (Blue)")</f>
        <v>Uncle Sams Cider (11/12/2021) (Blue)</v>
      </c>
      <c r="H946" s="19"/>
    </row>
    <row r="947">
      <c r="A947" s="9"/>
      <c r="B947" s="15"/>
      <c r="C947" s="9">
        <f>IFERROR(__xludf.DUMMYFUNCTION("""COMPUTED_VALUE"""),44595.6949490046)</f>
        <v>44595.69495</v>
      </c>
      <c r="D947" s="15">
        <f>IFERROR(__xludf.DUMMYFUNCTION("""COMPUTED_VALUE"""),1.0)</f>
        <v>1</v>
      </c>
      <c r="E947" s="16">
        <f>IFERROR(__xludf.DUMMYFUNCTION("""COMPUTED_VALUE"""),63.0)</f>
        <v>63</v>
      </c>
      <c r="F947" s="19" t="str">
        <f>IFERROR(__xludf.DUMMYFUNCTION("""COMPUTED_VALUE"""),"BLUE")</f>
        <v>BLUE</v>
      </c>
      <c r="G947" s="20" t="str">
        <f>IFERROR(__xludf.DUMMYFUNCTION("""COMPUTED_VALUE"""),"Uncle Sams Cider (11/12/2021) (Blue)")</f>
        <v>Uncle Sams Cider (11/12/2021) (Blue)</v>
      </c>
      <c r="H947" s="19"/>
    </row>
    <row r="948">
      <c r="A948" s="9"/>
      <c r="B948" s="15"/>
      <c r="C948" s="9">
        <f>IFERROR(__xludf.DUMMYFUNCTION("""COMPUTED_VALUE"""),44595.684527743)</f>
        <v>44595.68453</v>
      </c>
      <c r="D948" s="15">
        <f>IFERROR(__xludf.DUMMYFUNCTION("""COMPUTED_VALUE"""),1.0)</f>
        <v>1</v>
      </c>
      <c r="E948" s="16">
        <f>IFERROR(__xludf.DUMMYFUNCTION("""COMPUTED_VALUE"""),63.0)</f>
        <v>63</v>
      </c>
      <c r="F948" s="19" t="str">
        <f>IFERROR(__xludf.DUMMYFUNCTION("""COMPUTED_VALUE"""),"BLUE")</f>
        <v>BLUE</v>
      </c>
      <c r="G948" s="20" t="str">
        <f>IFERROR(__xludf.DUMMYFUNCTION("""COMPUTED_VALUE"""),"Uncle Sams Cider (11/12/2021) (Blue)")</f>
        <v>Uncle Sams Cider (11/12/2021) (Blue)</v>
      </c>
      <c r="H948" s="19"/>
    </row>
    <row r="949">
      <c r="A949" s="9"/>
      <c r="B949" s="15"/>
      <c r="C949" s="9">
        <f>IFERROR(__xludf.DUMMYFUNCTION("""COMPUTED_VALUE"""),44595.6741062847)</f>
        <v>44595.67411</v>
      </c>
      <c r="D949" s="15">
        <f>IFERROR(__xludf.DUMMYFUNCTION("""COMPUTED_VALUE"""),1.0)</f>
        <v>1</v>
      </c>
      <c r="E949" s="16">
        <f>IFERROR(__xludf.DUMMYFUNCTION("""COMPUTED_VALUE"""),63.0)</f>
        <v>63</v>
      </c>
      <c r="F949" s="19" t="str">
        <f>IFERROR(__xludf.DUMMYFUNCTION("""COMPUTED_VALUE"""),"BLUE")</f>
        <v>BLUE</v>
      </c>
      <c r="G949" s="20" t="str">
        <f>IFERROR(__xludf.DUMMYFUNCTION("""COMPUTED_VALUE"""),"Uncle Sams Cider (11/12/2021) (Blue)")</f>
        <v>Uncle Sams Cider (11/12/2021) (Blue)</v>
      </c>
      <c r="H949" s="19"/>
    </row>
    <row r="950">
      <c r="A950" s="9"/>
      <c r="B950" s="15"/>
      <c r="C950" s="9">
        <f>IFERROR(__xludf.DUMMYFUNCTION("""COMPUTED_VALUE"""),44595.6636612847)</f>
        <v>44595.66366</v>
      </c>
      <c r="D950" s="15">
        <f>IFERROR(__xludf.DUMMYFUNCTION("""COMPUTED_VALUE"""),1.0)</f>
        <v>1</v>
      </c>
      <c r="E950" s="16">
        <f>IFERROR(__xludf.DUMMYFUNCTION("""COMPUTED_VALUE"""),63.0)</f>
        <v>63</v>
      </c>
      <c r="F950" s="19" t="str">
        <f>IFERROR(__xludf.DUMMYFUNCTION("""COMPUTED_VALUE"""),"BLUE")</f>
        <v>BLUE</v>
      </c>
      <c r="G950" s="20" t="str">
        <f>IFERROR(__xludf.DUMMYFUNCTION("""COMPUTED_VALUE"""),"Uncle Sams Cider (11/12/2021) (Blue)")</f>
        <v>Uncle Sams Cider (11/12/2021) (Blue)</v>
      </c>
      <c r="H950" s="19"/>
    </row>
    <row r="951">
      <c r="A951" s="9"/>
      <c r="B951" s="15"/>
      <c r="C951" s="9">
        <f>IFERROR(__xludf.DUMMYFUNCTION("""COMPUTED_VALUE"""),44595.6532414467)</f>
        <v>44595.65324</v>
      </c>
      <c r="D951" s="15">
        <f>IFERROR(__xludf.DUMMYFUNCTION("""COMPUTED_VALUE"""),1.0)</f>
        <v>1</v>
      </c>
      <c r="E951" s="16">
        <f>IFERROR(__xludf.DUMMYFUNCTION("""COMPUTED_VALUE"""),63.0)</f>
        <v>63</v>
      </c>
      <c r="F951" s="19" t="str">
        <f>IFERROR(__xludf.DUMMYFUNCTION("""COMPUTED_VALUE"""),"BLUE")</f>
        <v>BLUE</v>
      </c>
      <c r="G951" s="20" t="str">
        <f>IFERROR(__xludf.DUMMYFUNCTION("""COMPUTED_VALUE"""),"Uncle Sams Cider (11/12/2021) (Blue)")</f>
        <v>Uncle Sams Cider (11/12/2021) (Blue)</v>
      </c>
      <c r="H951" s="19"/>
    </row>
    <row r="952">
      <c r="A952" s="9"/>
      <c r="B952" s="15"/>
      <c r="C952" s="9">
        <f>IFERROR(__xludf.DUMMYFUNCTION("""COMPUTED_VALUE"""),44595.6428217592)</f>
        <v>44595.64282</v>
      </c>
      <c r="D952" s="15">
        <f>IFERROR(__xludf.DUMMYFUNCTION("""COMPUTED_VALUE"""),1.0)</f>
        <v>1</v>
      </c>
      <c r="E952" s="16">
        <f>IFERROR(__xludf.DUMMYFUNCTION("""COMPUTED_VALUE"""),63.0)</f>
        <v>63</v>
      </c>
      <c r="F952" s="19" t="str">
        <f>IFERROR(__xludf.DUMMYFUNCTION("""COMPUTED_VALUE"""),"BLUE")</f>
        <v>BLUE</v>
      </c>
      <c r="G952" s="20" t="str">
        <f>IFERROR(__xludf.DUMMYFUNCTION("""COMPUTED_VALUE"""),"Uncle Sams Cider (11/12/2021) (Blue)")</f>
        <v>Uncle Sams Cider (11/12/2021) (Blue)</v>
      </c>
      <c r="H952" s="19"/>
    </row>
    <row r="953">
      <c r="A953" s="9"/>
      <c r="B953" s="15"/>
      <c r="C953" s="9">
        <f>IFERROR(__xludf.DUMMYFUNCTION("""COMPUTED_VALUE"""),44595.6324006597)</f>
        <v>44595.6324</v>
      </c>
      <c r="D953" s="15">
        <f>IFERROR(__xludf.DUMMYFUNCTION("""COMPUTED_VALUE"""),1.0)</f>
        <v>1</v>
      </c>
      <c r="E953" s="16">
        <f>IFERROR(__xludf.DUMMYFUNCTION("""COMPUTED_VALUE"""),63.0)</f>
        <v>63</v>
      </c>
      <c r="F953" s="19" t="str">
        <f>IFERROR(__xludf.DUMMYFUNCTION("""COMPUTED_VALUE"""),"BLUE")</f>
        <v>BLUE</v>
      </c>
      <c r="G953" s="20" t="str">
        <f>IFERROR(__xludf.DUMMYFUNCTION("""COMPUTED_VALUE"""),"Uncle Sams Cider (11/12/2021) (Blue)")</f>
        <v>Uncle Sams Cider (11/12/2021) (Blue)</v>
      </c>
      <c r="H953" s="19"/>
    </row>
    <row r="954">
      <c r="A954" s="9"/>
      <c r="B954" s="15"/>
      <c r="C954" s="9">
        <f>IFERROR(__xludf.DUMMYFUNCTION("""COMPUTED_VALUE"""),44595.6219672338)</f>
        <v>44595.62197</v>
      </c>
      <c r="D954" s="15">
        <f>IFERROR(__xludf.DUMMYFUNCTION("""COMPUTED_VALUE"""),1.0)</f>
        <v>1</v>
      </c>
      <c r="E954" s="16">
        <f>IFERROR(__xludf.DUMMYFUNCTION("""COMPUTED_VALUE"""),63.0)</f>
        <v>63</v>
      </c>
      <c r="F954" s="19" t="str">
        <f>IFERROR(__xludf.DUMMYFUNCTION("""COMPUTED_VALUE"""),"BLUE")</f>
        <v>BLUE</v>
      </c>
      <c r="G954" s="20" t="str">
        <f>IFERROR(__xludf.DUMMYFUNCTION("""COMPUTED_VALUE"""),"Uncle Sams Cider (11/12/2021) (Blue)")</f>
        <v>Uncle Sams Cider (11/12/2021) (Blue)</v>
      </c>
      <c r="H954" s="19"/>
    </row>
    <row r="955">
      <c r="A955" s="9"/>
      <c r="B955" s="15"/>
      <c r="C955" s="9">
        <f>IFERROR(__xludf.DUMMYFUNCTION("""COMPUTED_VALUE"""),44595.6115460416)</f>
        <v>44595.61155</v>
      </c>
      <c r="D955" s="15">
        <f>IFERROR(__xludf.DUMMYFUNCTION("""COMPUTED_VALUE"""),1.0)</f>
        <v>1</v>
      </c>
      <c r="E955" s="16">
        <f>IFERROR(__xludf.DUMMYFUNCTION("""COMPUTED_VALUE"""),63.0)</f>
        <v>63</v>
      </c>
      <c r="F955" s="19" t="str">
        <f>IFERROR(__xludf.DUMMYFUNCTION("""COMPUTED_VALUE"""),"BLUE")</f>
        <v>BLUE</v>
      </c>
      <c r="G955" s="20" t="str">
        <f>IFERROR(__xludf.DUMMYFUNCTION("""COMPUTED_VALUE"""),"Uncle Sams Cider (11/12/2021) (Blue)")</f>
        <v>Uncle Sams Cider (11/12/2021) (Blue)</v>
      </c>
      <c r="H955" s="19"/>
    </row>
    <row r="956">
      <c r="A956" s="9"/>
      <c r="B956" s="15"/>
      <c r="C956" s="9">
        <f>IFERROR(__xludf.DUMMYFUNCTION("""COMPUTED_VALUE"""),44595.6011232523)</f>
        <v>44595.60112</v>
      </c>
      <c r="D956" s="15">
        <f>IFERROR(__xludf.DUMMYFUNCTION("""COMPUTED_VALUE"""),1.0)</f>
        <v>1</v>
      </c>
      <c r="E956" s="16">
        <f>IFERROR(__xludf.DUMMYFUNCTION("""COMPUTED_VALUE"""),63.0)</f>
        <v>63</v>
      </c>
      <c r="F956" s="19" t="str">
        <f>IFERROR(__xludf.DUMMYFUNCTION("""COMPUTED_VALUE"""),"BLUE")</f>
        <v>BLUE</v>
      </c>
      <c r="G956" s="20" t="str">
        <f>IFERROR(__xludf.DUMMYFUNCTION("""COMPUTED_VALUE"""),"Uncle Sams Cider (11/12/2021) (Blue)")</f>
        <v>Uncle Sams Cider (11/12/2021) (Blue)</v>
      </c>
      <c r="H956" s="19"/>
    </row>
    <row r="957">
      <c r="A957" s="9"/>
      <c r="B957" s="15"/>
      <c r="C957" s="9">
        <f>IFERROR(__xludf.DUMMYFUNCTION("""COMPUTED_VALUE"""),44595.5907003124)</f>
        <v>44595.5907</v>
      </c>
      <c r="D957" s="15">
        <f>IFERROR(__xludf.DUMMYFUNCTION("""COMPUTED_VALUE"""),1.0)</f>
        <v>1</v>
      </c>
      <c r="E957" s="16">
        <f>IFERROR(__xludf.DUMMYFUNCTION("""COMPUTED_VALUE"""),63.0)</f>
        <v>63</v>
      </c>
      <c r="F957" s="19" t="str">
        <f>IFERROR(__xludf.DUMMYFUNCTION("""COMPUTED_VALUE"""),"BLUE")</f>
        <v>BLUE</v>
      </c>
      <c r="G957" s="20" t="str">
        <f>IFERROR(__xludf.DUMMYFUNCTION("""COMPUTED_VALUE"""),"Uncle Sams Cider (11/12/2021) (Blue)")</f>
        <v>Uncle Sams Cider (11/12/2021) (Blue)</v>
      </c>
      <c r="H957" s="19"/>
    </row>
    <row r="958">
      <c r="A958" s="9"/>
      <c r="B958" s="15"/>
      <c r="C958" s="9">
        <f>IFERROR(__xludf.DUMMYFUNCTION("""COMPUTED_VALUE"""),44595.580278993)</f>
        <v>44595.58028</v>
      </c>
      <c r="D958" s="15">
        <f>IFERROR(__xludf.DUMMYFUNCTION("""COMPUTED_VALUE"""),1.0)</f>
        <v>1</v>
      </c>
      <c r="E958" s="16">
        <f>IFERROR(__xludf.DUMMYFUNCTION("""COMPUTED_VALUE"""),63.0)</f>
        <v>63</v>
      </c>
      <c r="F958" s="19" t="str">
        <f>IFERROR(__xludf.DUMMYFUNCTION("""COMPUTED_VALUE"""),"BLUE")</f>
        <v>BLUE</v>
      </c>
      <c r="G958" s="20" t="str">
        <f>IFERROR(__xludf.DUMMYFUNCTION("""COMPUTED_VALUE"""),"Uncle Sams Cider (11/12/2021) (Blue)")</f>
        <v>Uncle Sams Cider (11/12/2021) (Blue)</v>
      </c>
      <c r="H958" s="19"/>
    </row>
    <row r="959">
      <c r="A959" s="9"/>
      <c r="B959" s="15"/>
      <c r="C959" s="9">
        <f>IFERROR(__xludf.DUMMYFUNCTION("""COMPUTED_VALUE"""),44595.5698580555)</f>
        <v>44595.56986</v>
      </c>
      <c r="D959" s="15">
        <f>IFERROR(__xludf.DUMMYFUNCTION("""COMPUTED_VALUE"""),1.0)</f>
        <v>1</v>
      </c>
      <c r="E959" s="16">
        <f>IFERROR(__xludf.DUMMYFUNCTION("""COMPUTED_VALUE"""),63.0)</f>
        <v>63</v>
      </c>
      <c r="F959" s="19" t="str">
        <f>IFERROR(__xludf.DUMMYFUNCTION("""COMPUTED_VALUE"""),"BLUE")</f>
        <v>BLUE</v>
      </c>
      <c r="G959" s="20" t="str">
        <f>IFERROR(__xludf.DUMMYFUNCTION("""COMPUTED_VALUE"""),"Uncle Sams Cider (11/12/2021) (Blue)")</f>
        <v>Uncle Sams Cider (11/12/2021) (Blue)</v>
      </c>
      <c r="H959" s="19"/>
    </row>
    <row r="960">
      <c r="A960" s="9"/>
      <c r="B960" s="15"/>
      <c r="C960" s="9">
        <f>IFERROR(__xludf.DUMMYFUNCTION("""COMPUTED_VALUE"""),44595.559438287)</f>
        <v>44595.55944</v>
      </c>
      <c r="D960" s="15">
        <f>IFERROR(__xludf.DUMMYFUNCTION("""COMPUTED_VALUE"""),1.0)</f>
        <v>1</v>
      </c>
      <c r="E960" s="16">
        <f>IFERROR(__xludf.DUMMYFUNCTION("""COMPUTED_VALUE"""),63.0)</f>
        <v>63</v>
      </c>
      <c r="F960" s="19" t="str">
        <f>IFERROR(__xludf.DUMMYFUNCTION("""COMPUTED_VALUE"""),"BLUE")</f>
        <v>BLUE</v>
      </c>
      <c r="G960" s="20" t="str">
        <f>IFERROR(__xludf.DUMMYFUNCTION("""COMPUTED_VALUE"""),"Uncle Sams Cider (11/12/2021) (Blue)")</f>
        <v>Uncle Sams Cider (11/12/2021) (Blue)</v>
      </c>
      <c r="H960" s="19"/>
    </row>
    <row r="961">
      <c r="A961" s="9"/>
      <c r="B961" s="15"/>
      <c r="C961" s="9">
        <f>IFERROR(__xludf.DUMMYFUNCTION("""COMPUTED_VALUE"""),44595.5490174652)</f>
        <v>44595.54902</v>
      </c>
      <c r="D961" s="15">
        <f>IFERROR(__xludf.DUMMYFUNCTION("""COMPUTED_VALUE"""),1.0)</f>
        <v>1</v>
      </c>
      <c r="E961" s="16">
        <f>IFERROR(__xludf.DUMMYFUNCTION("""COMPUTED_VALUE"""),63.0)</f>
        <v>63</v>
      </c>
      <c r="F961" s="19" t="str">
        <f>IFERROR(__xludf.DUMMYFUNCTION("""COMPUTED_VALUE"""),"BLUE")</f>
        <v>BLUE</v>
      </c>
      <c r="G961" s="20" t="str">
        <f>IFERROR(__xludf.DUMMYFUNCTION("""COMPUTED_VALUE"""),"Uncle Sams Cider (11/12/2021) (Blue)")</f>
        <v>Uncle Sams Cider (11/12/2021) (Blue)</v>
      </c>
      <c r="H961" s="19"/>
    </row>
    <row r="962">
      <c r="A962" s="9"/>
      <c r="B962" s="15"/>
      <c r="C962" s="9">
        <f>IFERROR(__xludf.DUMMYFUNCTION("""COMPUTED_VALUE"""),44595.5385837847)</f>
        <v>44595.53858</v>
      </c>
      <c r="D962" s="15">
        <f>IFERROR(__xludf.DUMMYFUNCTION("""COMPUTED_VALUE"""),1.0)</f>
        <v>1</v>
      </c>
      <c r="E962" s="16">
        <f>IFERROR(__xludf.DUMMYFUNCTION("""COMPUTED_VALUE"""),63.0)</f>
        <v>63</v>
      </c>
      <c r="F962" s="19" t="str">
        <f>IFERROR(__xludf.DUMMYFUNCTION("""COMPUTED_VALUE"""),"BLUE")</f>
        <v>BLUE</v>
      </c>
      <c r="G962" s="20" t="str">
        <f>IFERROR(__xludf.DUMMYFUNCTION("""COMPUTED_VALUE"""),"Uncle Sams Cider (11/12/2021) (Blue)")</f>
        <v>Uncle Sams Cider (11/12/2021) (Blue)</v>
      </c>
      <c r="H962" s="19"/>
    </row>
    <row r="963">
      <c r="A963" s="9"/>
      <c r="B963" s="15"/>
      <c r="C963" s="9">
        <f>IFERROR(__xludf.DUMMYFUNCTION("""COMPUTED_VALUE"""),44595.5281620023)</f>
        <v>44595.52816</v>
      </c>
      <c r="D963" s="15">
        <f>IFERROR(__xludf.DUMMYFUNCTION("""COMPUTED_VALUE"""),1.0)</f>
        <v>1</v>
      </c>
      <c r="E963" s="16">
        <f>IFERROR(__xludf.DUMMYFUNCTION("""COMPUTED_VALUE"""),63.0)</f>
        <v>63</v>
      </c>
      <c r="F963" s="19" t="str">
        <f>IFERROR(__xludf.DUMMYFUNCTION("""COMPUTED_VALUE"""),"BLUE")</f>
        <v>BLUE</v>
      </c>
      <c r="G963" s="20" t="str">
        <f>IFERROR(__xludf.DUMMYFUNCTION("""COMPUTED_VALUE"""),"Uncle Sams Cider (11/12/2021) (Blue)")</f>
        <v>Uncle Sams Cider (11/12/2021) (Blue)</v>
      </c>
      <c r="H963" s="19"/>
    </row>
    <row r="964">
      <c r="A964" s="9"/>
      <c r="B964" s="15"/>
      <c r="C964" s="9">
        <f>IFERROR(__xludf.DUMMYFUNCTION("""COMPUTED_VALUE"""),44595.5177400462)</f>
        <v>44595.51774</v>
      </c>
      <c r="D964" s="15">
        <f>IFERROR(__xludf.DUMMYFUNCTION("""COMPUTED_VALUE"""),1.0)</f>
        <v>1</v>
      </c>
      <c r="E964" s="16">
        <f>IFERROR(__xludf.DUMMYFUNCTION("""COMPUTED_VALUE"""),63.0)</f>
        <v>63</v>
      </c>
      <c r="F964" s="19" t="str">
        <f>IFERROR(__xludf.DUMMYFUNCTION("""COMPUTED_VALUE"""),"BLUE")</f>
        <v>BLUE</v>
      </c>
      <c r="G964" s="20" t="str">
        <f>IFERROR(__xludf.DUMMYFUNCTION("""COMPUTED_VALUE"""),"Uncle Sams Cider (11/12/2021) (Blue)")</f>
        <v>Uncle Sams Cider (11/12/2021) (Blue)</v>
      </c>
      <c r="H964" s="19"/>
    </row>
    <row r="965">
      <c r="A965" s="9"/>
      <c r="B965" s="15"/>
      <c r="C965" s="9">
        <f>IFERROR(__xludf.DUMMYFUNCTION("""COMPUTED_VALUE"""),44595.5073179629)</f>
        <v>44595.50732</v>
      </c>
      <c r="D965" s="15">
        <f>IFERROR(__xludf.DUMMYFUNCTION("""COMPUTED_VALUE"""),1.0)</f>
        <v>1</v>
      </c>
      <c r="E965" s="16">
        <f>IFERROR(__xludf.DUMMYFUNCTION("""COMPUTED_VALUE"""),63.0)</f>
        <v>63</v>
      </c>
      <c r="F965" s="19" t="str">
        <f>IFERROR(__xludf.DUMMYFUNCTION("""COMPUTED_VALUE"""),"BLUE")</f>
        <v>BLUE</v>
      </c>
      <c r="G965" s="20" t="str">
        <f>IFERROR(__xludf.DUMMYFUNCTION("""COMPUTED_VALUE"""),"Uncle Sams Cider (11/12/2021) (Blue)")</f>
        <v>Uncle Sams Cider (11/12/2021) (Blue)</v>
      </c>
      <c r="H965" s="19"/>
    </row>
    <row r="966">
      <c r="A966" s="9"/>
      <c r="B966" s="15"/>
      <c r="C966" s="9">
        <f>IFERROR(__xludf.DUMMYFUNCTION("""COMPUTED_VALUE"""),44595.4968865277)</f>
        <v>44595.49689</v>
      </c>
      <c r="D966" s="15">
        <f>IFERROR(__xludf.DUMMYFUNCTION("""COMPUTED_VALUE"""),1.0)</f>
        <v>1</v>
      </c>
      <c r="E966" s="16">
        <f>IFERROR(__xludf.DUMMYFUNCTION("""COMPUTED_VALUE"""),63.0)</f>
        <v>63</v>
      </c>
      <c r="F966" s="19" t="str">
        <f>IFERROR(__xludf.DUMMYFUNCTION("""COMPUTED_VALUE"""),"BLUE")</f>
        <v>BLUE</v>
      </c>
      <c r="G966" s="20" t="str">
        <f>IFERROR(__xludf.DUMMYFUNCTION("""COMPUTED_VALUE"""),"Uncle Sams Cider (11/12/2021) (Blue)")</f>
        <v>Uncle Sams Cider (11/12/2021) (Blue)</v>
      </c>
      <c r="H966" s="19"/>
    </row>
    <row r="967">
      <c r="A967" s="9"/>
      <c r="B967" s="15"/>
      <c r="C967" s="9">
        <f>IFERROR(__xludf.DUMMYFUNCTION("""COMPUTED_VALUE"""),44595.4864662037)</f>
        <v>44595.48647</v>
      </c>
      <c r="D967" s="15">
        <f>IFERROR(__xludf.DUMMYFUNCTION("""COMPUTED_VALUE"""),1.0)</f>
        <v>1</v>
      </c>
      <c r="E967" s="16">
        <f>IFERROR(__xludf.DUMMYFUNCTION("""COMPUTED_VALUE"""),63.0)</f>
        <v>63</v>
      </c>
      <c r="F967" s="19" t="str">
        <f>IFERROR(__xludf.DUMMYFUNCTION("""COMPUTED_VALUE"""),"BLUE")</f>
        <v>BLUE</v>
      </c>
      <c r="G967" s="20" t="str">
        <f>IFERROR(__xludf.DUMMYFUNCTION("""COMPUTED_VALUE"""),"Uncle Sams Cider (11/12/2021) (Blue)")</f>
        <v>Uncle Sams Cider (11/12/2021) (Blue)</v>
      </c>
      <c r="H967" s="19"/>
    </row>
    <row r="968">
      <c r="A968" s="9"/>
      <c r="B968" s="15"/>
      <c r="C968" s="9">
        <f>IFERROR(__xludf.DUMMYFUNCTION("""COMPUTED_VALUE"""),44595.4760449999)</f>
        <v>44595.47604</v>
      </c>
      <c r="D968" s="15">
        <f>IFERROR(__xludf.DUMMYFUNCTION("""COMPUTED_VALUE"""),1.0)</f>
        <v>1</v>
      </c>
      <c r="E968" s="16">
        <f>IFERROR(__xludf.DUMMYFUNCTION("""COMPUTED_VALUE"""),63.0)</f>
        <v>63</v>
      </c>
      <c r="F968" s="19" t="str">
        <f>IFERROR(__xludf.DUMMYFUNCTION("""COMPUTED_VALUE"""),"BLUE")</f>
        <v>BLUE</v>
      </c>
      <c r="G968" s="20" t="str">
        <f>IFERROR(__xludf.DUMMYFUNCTION("""COMPUTED_VALUE"""),"Uncle Sams Cider (11/12/2021) (Blue)")</f>
        <v>Uncle Sams Cider (11/12/2021) (Blue)</v>
      </c>
      <c r="H968" s="19"/>
    </row>
    <row r="969">
      <c r="A969" s="9"/>
      <c r="B969" s="15"/>
      <c r="C969" s="9">
        <f>IFERROR(__xludf.DUMMYFUNCTION("""COMPUTED_VALUE"""),44595.4656240625)</f>
        <v>44595.46562</v>
      </c>
      <c r="D969" s="15">
        <f>IFERROR(__xludf.DUMMYFUNCTION("""COMPUTED_VALUE"""),1.0)</f>
        <v>1</v>
      </c>
      <c r="E969" s="16">
        <f>IFERROR(__xludf.DUMMYFUNCTION("""COMPUTED_VALUE"""),63.0)</f>
        <v>63</v>
      </c>
      <c r="F969" s="19" t="str">
        <f>IFERROR(__xludf.DUMMYFUNCTION("""COMPUTED_VALUE"""),"BLUE")</f>
        <v>BLUE</v>
      </c>
      <c r="G969" s="20" t="str">
        <f>IFERROR(__xludf.DUMMYFUNCTION("""COMPUTED_VALUE"""),"Uncle Sams Cider (11/12/2021) (Blue)")</f>
        <v>Uncle Sams Cider (11/12/2021) (Blue)</v>
      </c>
      <c r="H969" s="19"/>
    </row>
    <row r="970">
      <c r="A970" s="9"/>
      <c r="B970" s="15"/>
      <c r="C970" s="9">
        <f>IFERROR(__xludf.DUMMYFUNCTION("""COMPUTED_VALUE"""),44595.455203287)</f>
        <v>44595.4552</v>
      </c>
      <c r="D970" s="15">
        <f>IFERROR(__xludf.DUMMYFUNCTION("""COMPUTED_VALUE"""),1.0)</f>
        <v>1</v>
      </c>
      <c r="E970" s="16">
        <f>IFERROR(__xludf.DUMMYFUNCTION("""COMPUTED_VALUE"""),63.0)</f>
        <v>63</v>
      </c>
      <c r="F970" s="19" t="str">
        <f>IFERROR(__xludf.DUMMYFUNCTION("""COMPUTED_VALUE"""),"BLUE")</f>
        <v>BLUE</v>
      </c>
      <c r="G970" s="20" t="str">
        <f>IFERROR(__xludf.DUMMYFUNCTION("""COMPUTED_VALUE"""),"Uncle Sams Cider (11/12/2021) (Blue)")</f>
        <v>Uncle Sams Cider (11/12/2021) (Blue)</v>
      </c>
      <c r="H970" s="19"/>
    </row>
    <row r="971">
      <c r="A971" s="9"/>
      <c r="B971" s="15"/>
      <c r="C971" s="9">
        <f>IFERROR(__xludf.DUMMYFUNCTION("""COMPUTED_VALUE"""),44595.4447810069)</f>
        <v>44595.44478</v>
      </c>
      <c r="D971" s="15">
        <f>IFERROR(__xludf.DUMMYFUNCTION("""COMPUTED_VALUE"""),1.0)</f>
        <v>1</v>
      </c>
      <c r="E971" s="16">
        <f>IFERROR(__xludf.DUMMYFUNCTION("""COMPUTED_VALUE"""),63.0)</f>
        <v>63</v>
      </c>
      <c r="F971" s="19" t="str">
        <f>IFERROR(__xludf.DUMMYFUNCTION("""COMPUTED_VALUE"""),"BLUE")</f>
        <v>BLUE</v>
      </c>
      <c r="G971" s="20" t="str">
        <f>IFERROR(__xludf.DUMMYFUNCTION("""COMPUTED_VALUE"""),"Uncle Sams Cider (11/12/2021) (Blue)")</f>
        <v>Uncle Sams Cider (11/12/2021) (Blue)</v>
      </c>
      <c r="H971" s="19"/>
    </row>
    <row r="972">
      <c r="A972" s="9"/>
      <c r="B972" s="15"/>
      <c r="C972" s="9">
        <f>IFERROR(__xludf.DUMMYFUNCTION("""COMPUTED_VALUE"""),44595.4343600694)</f>
        <v>44595.43436</v>
      </c>
      <c r="D972" s="15">
        <f>IFERROR(__xludf.DUMMYFUNCTION("""COMPUTED_VALUE"""),1.0)</f>
        <v>1</v>
      </c>
      <c r="E972" s="16">
        <f>IFERROR(__xludf.DUMMYFUNCTION("""COMPUTED_VALUE"""),63.0)</f>
        <v>63</v>
      </c>
      <c r="F972" s="19" t="str">
        <f>IFERROR(__xludf.DUMMYFUNCTION("""COMPUTED_VALUE"""),"BLUE")</f>
        <v>BLUE</v>
      </c>
      <c r="G972" s="20" t="str">
        <f>IFERROR(__xludf.DUMMYFUNCTION("""COMPUTED_VALUE"""),"Uncle Sams Cider (11/12/2021) (Blue)")</f>
        <v>Uncle Sams Cider (11/12/2021) (Blue)</v>
      </c>
      <c r="H972" s="19"/>
    </row>
    <row r="973">
      <c r="A973" s="9"/>
      <c r="B973" s="15"/>
      <c r="C973" s="9">
        <f>IFERROR(__xludf.DUMMYFUNCTION("""COMPUTED_VALUE"""),44595.4239380671)</f>
        <v>44595.42394</v>
      </c>
      <c r="D973" s="15">
        <f>IFERROR(__xludf.DUMMYFUNCTION("""COMPUTED_VALUE"""),1.0)</f>
        <v>1</v>
      </c>
      <c r="E973" s="16">
        <f>IFERROR(__xludf.DUMMYFUNCTION("""COMPUTED_VALUE"""),63.0)</f>
        <v>63</v>
      </c>
      <c r="F973" s="19" t="str">
        <f>IFERROR(__xludf.DUMMYFUNCTION("""COMPUTED_VALUE"""),"BLUE")</f>
        <v>BLUE</v>
      </c>
      <c r="G973" s="20" t="str">
        <f>IFERROR(__xludf.DUMMYFUNCTION("""COMPUTED_VALUE"""),"Uncle Sams Cider (11/12/2021) (Blue)")</f>
        <v>Uncle Sams Cider (11/12/2021) (Blue)</v>
      </c>
      <c r="H973" s="19"/>
    </row>
    <row r="974">
      <c r="A974" s="9"/>
      <c r="B974" s="15"/>
      <c r="C974" s="9">
        <f>IFERROR(__xludf.DUMMYFUNCTION("""COMPUTED_VALUE"""),44595.4135180092)</f>
        <v>44595.41352</v>
      </c>
      <c r="D974" s="15">
        <f>IFERROR(__xludf.DUMMYFUNCTION("""COMPUTED_VALUE"""),1.0)</f>
        <v>1</v>
      </c>
      <c r="E974" s="16">
        <f>IFERROR(__xludf.DUMMYFUNCTION("""COMPUTED_VALUE"""),63.0)</f>
        <v>63</v>
      </c>
      <c r="F974" s="19" t="str">
        <f>IFERROR(__xludf.DUMMYFUNCTION("""COMPUTED_VALUE"""),"BLUE")</f>
        <v>BLUE</v>
      </c>
      <c r="G974" s="20" t="str">
        <f>IFERROR(__xludf.DUMMYFUNCTION("""COMPUTED_VALUE"""),"Uncle Sams Cider (11/12/2021) (Blue)")</f>
        <v>Uncle Sams Cider (11/12/2021) (Blue)</v>
      </c>
      <c r="H974" s="19"/>
    </row>
    <row r="975">
      <c r="A975" s="9"/>
      <c r="B975" s="15"/>
      <c r="C975" s="9">
        <f>IFERROR(__xludf.DUMMYFUNCTION("""COMPUTED_VALUE"""),44595.4030961689)</f>
        <v>44595.4031</v>
      </c>
      <c r="D975" s="15">
        <f>IFERROR(__xludf.DUMMYFUNCTION("""COMPUTED_VALUE"""),1.0)</f>
        <v>1</v>
      </c>
      <c r="E975" s="16">
        <f>IFERROR(__xludf.DUMMYFUNCTION("""COMPUTED_VALUE"""),63.0)</f>
        <v>63</v>
      </c>
      <c r="F975" s="19" t="str">
        <f>IFERROR(__xludf.DUMMYFUNCTION("""COMPUTED_VALUE"""),"BLUE")</f>
        <v>BLUE</v>
      </c>
      <c r="G975" s="20" t="str">
        <f>IFERROR(__xludf.DUMMYFUNCTION("""COMPUTED_VALUE"""),"Uncle Sams Cider (11/12/2021) (Blue)")</f>
        <v>Uncle Sams Cider (11/12/2021) (Blue)</v>
      </c>
      <c r="H975" s="19"/>
    </row>
    <row r="976">
      <c r="A976" s="9"/>
      <c r="B976" s="15"/>
      <c r="C976" s="9">
        <f>IFERROR(__xludf.DUMMYFUNCTION("""COMPUTED_VALUE"""),44595.3926734722)</f>
        <v>44595.39267</v>
      </c>
      <c r="D976" s="15">
        <f>IFERROR(__xludf.DUMMYFUNCTION("""COMPUTED_VALUE"""),1.0)</f>
        <v>1</v>
      </c>
      <c r="E976" s="16">
        <f>IFERROR(__xludf.DUMMYFUNCTION("""COMPUTED_VALUE"""),63.0)</f>
        <v>63</v>
      </c>
      <c r="F976" s="19" t="str">
        <f>IFERROR(__xludf.DUMMYFUNCTION("""COMPUTED_VALUE"""),"BLUE")</f>
        <v>BLUE</v>
      </c>
      <c r="G976" s="20" t="str">
        <f>IFERROR(__xludf.DUMMYFUNCTION("""COMPUTED_VALUE"""),"Uncle Sams Cider (11/12/2021) (Blue)")</f>
        <v>Uncle Sams Cider (11/12/2021) (Blue)</v>
      </c>
      <c r="H976" s="19"/>
    </row>
    <row r="977">
      <c r="A977" s="9"/>
      <c r="B977" s="15"/>
      <c r="C977" s="9">
        <f>IFERROR(__xludf.DUMMYFUNCTION("""COMPUTED_VALUE"""),44595.3822522222)</f>
        <v>44595.38225</v>
      </c>
      <c r="D977" s="15">
        <f>IFERROR(__xludf.DUMMYFUNCTION("""COMPUTED_VALUE"""),1.0)</f>
        <v>1</v>
      </c>
      <c r="E977" s="16">
        <f>IFERROR(__xludf.DUMMYFUNCTION("""COMPUTED_VALUE"""),63.0)</f>
        <v>63</v>
      </c>
      <c r="F977" s="19" t="str">
        <f>IFERROR(__xludf.DUMMYFUNCTION("""COMPUTED_VALUE"""),"BLUE")</f>
        <v>BLUE</v>
      </c>
      <c r="G977" s="20" t="str">
        <f>IFERROR(__xludf.DUMMYFUNCTION("""COMPUTED_VALUE"""),"Uncle Sams Cider (11/12/2021) (Blue)")</f>
        <v>Uncle Sams Cider (11/12/2021) (Blue)</v>
      </c>
      <c r="H977" s="19"/>
    </row>
    <row r="978">
      <c r="A978" s="9"/>
      <c r="B978" s="15"/>
      <c r="C978" s="9">
        <f>IFERROR(__xludf.DUMMYFUNCTION("""COMPUTED_VALUE"""),44595.3718202314)</f>
        <v>44595.37182</v>
      </c>
      <c r="D978" s="15">
        <f>IFERROR(__xludf.DUMMYFUNCTION("""COMPUTED_VALUE"""),1.0)</f>
        <v>1</v>
      </c>
      <c r="E978" s="16">
        <f>IFERROR(__xludf.DUMMYFUNCTION("""COMPUTED_VALUE"""),63.0)</f>
        <v>63</v>
      </c>
      <c r="F978" s="19" t="str">
        <f>IFERROR(__xludf.DUMMYFUNCTION("""COMPUTED_VALUE"""),"BLUE")</f>
        <v>BLUE</v>
      </c>
      <c r="G978" s="20" t="str">
        <f>IFERROR(__xludf.DUMMYFUNCTION("""COMPUTED_VALUE"""),"Uncle Sams Cider (11/12/2021) (Blue)")</f>
        <v>Uncle Sams Cider (11/12/2021) (Blue)</v>
      </c>
      <c r="H978" s="19"/>
    </row>
    <row r="979">
      <c r="A979" s="9"/>
      <c r="B979" s="15"/>
      <c r="C979" s="9">
        <f>IFERROR(__xludf.DUMMYFUNCTION("""COMPUTED_VALUE"""),44595.3613880208)</f>
        <v>44595.36139</v>
      </c>
      <c r="D979" s="15">
        <f>IFERROR(__xludf.DUMMYFUNCTION("""COMPUTED_VALUE"""),1.0)</f>
        <v>1</v>
      </c>
      <c r="E979" s="16">
        <f>IFERROR(__xludf.DUMMYFUNCTION("""COMPUTED_VALUE"""),63.0)</f>
        <v>63</v>
      </c>
      <c r="F979" s="19" t="str">
        <f>IFERROR(__xludf.DUMMYFUNCTION("""COMPUTED_VALUE"""),"BLUE")</f>
        <v>BLUE</v>
      </c>
      <c r="G979" s="20" t="str">
        <f>IFERROR(__xludf.DUMMYFUNCTION("""COMPUTED_VALUE"""),"Uncle Sams Cider (11/12/2021) (Blue)")</f>
        <v>Uncle Sams Cider (11/12/2021) (Blue)</v>
      </c>
      <c r="H979" s="19"/>
    </row>
    <row r="980">
      <c r="A980" s="9"/>
      <c r="B980" s="15"/>
      <c r="C980" s="9">
        <f>IFERROR(__xludf.DUMMYFUNCTION("""COMPUTED_VALUE"""),44595.3509548495)</f>
        <v>44595.35095</v>
      </c>
      <c r="D980" s="15">
        <f>IFERROR(__xludf.DUMMYFUNCTION("""COMPUTED_VALUE"""),1.0)</f>
        <v>1</v>
      </c>
      <c r="E980" s="16">
        <f>IFERROR(__xludf.DUMMYFUNCTION("""COMPUTED_VALUE"""),63.0)</f>
        <v>63</v>
      </c>
      <c r="F980" s="19" t="str">
        <f>IFERROR(__xludf.DUMMYFUNCTION("""COMPUTED_VALUE"""),"BLUE")</f>
        <v>BLUE</v>
      </c>
      <c r="G980" s="20" t="str">
        <f>IFERROR(__xludf.DUMMYFUNCTION("""COMPUTED_VALUE"""),"Uncle Sams Cider (11/12/2021) (Blue)")</f>
        <v>Uncle Sams Cider (11/12/2021) (Blue)</v>
      </c>
      <c r="H980" s="19"/>
    </row>
    <row r="981">
      <c r="A981" s="9"/>
      <c r="B981" s="15"/>
      <c r="C981" s="9">
        <f>IFERROR(__xludf.DUMMYFUNCTION("""COMPUTED_VALUE"""),44595.3405332523)</f>
        <v>44595.34053</v>
      </c>
      <c r="D981" s="15">
        <f>IFERROR(__xludf.DUMMYFUNCTION("""COMPUTED_VALUE"""),0.999)</f>
        <v>0.999</v>
      </c>
      <c r="E981" s="16">
        <f>IFERROR(__xludf.DUMMYFUNCTION("""COMPUTED_VALUE"""),63.0)</f>
        <v>63</v>
      </c>
      <c r="F981" s="19" t="str">
        <f>IFERROR(__xludf.DUMMYFUNCTION("""COMPUTED_VALUE"""),"BLUE")</f>
        <v>BLUE</v>
      </c>
      <c r="G981" s="20" t="str">
        <f>IFERROR(__xludf.DUMMYFUNCTION("""COMPUTED_VALUE"""),"Uncle Sams Cider (11/12/2021) (Blue)")</f>
        <v>Uncle Sams Cider (11/12/2021) (Blue)</v>
      </c>
      <c r="H981" s="19"/>
    </row>
    <row r="982">
      <c r="A982" s="9"/>
      <c r="B982" s="15"/>
      <c r="C982" s="9">
        <f>IFERROR(__xludf.DUMMYFUNCTION("""COMPUTED_VALUE"""),44595.3301124884)</f>
        <v>44595.33011</v>
      </c>
      <c r="D982" s="15">
        <f>IFERROR(__xludf.DUMMYFUNCTION("""COMPUTED_VALUE"""),1.0)</f>
        <v>1</v>
      </c>
      <c r="E982" s="16">
        <f>IFERROR(__xludf.DUMMYFUNCTION("""COMPUTED_VALUE"""),63.0)</f>
        <v>63</v>
      </c>
      <c r="F982" s="19" t="str">
        <f>IFERROR(__xludf.DUMMYFUNCTION("""COMPUTED_VALUE"""),"BLUE")</f>
        <v>BLUE</v>
      </c>
      <c r="G982" s="20" t="str">
        <f>IFERROR(__xludf.DUMMYFUNCTION("""COMPUTED_VALUE"""),"Uncle Sams Cider (11/12/2021) (Blue)")</f>
        <v>Uncle Sams Cider (11/12/2021) (Blue)</v>
      </c>
      <c r="H982" s="19"/>
    </row>
    <row r="983">
      <c r="A983" s="9"/>
      <c r="B983" s="15"/>
      <c r="C983" s="9">
        <f>IFERROR(__xludf.DUMMYFUNCTION("""COMPUTED_VALUE"""),44595.3196892476)</f>
        <v>44595.31969</v>
      </c>
      <c r="D983" s="15">
        <f>IFERROR(__xludf.DUMMYFUNCTION("""COMPUTED_VALUE"""),1.0)</f>
        <v>1</v>
      </c>
      <c r="E983" s="16">
        <f>IFERROR(__xludf.DUMMYFUNCTION("""COMPUTED_VALUE"""),63.0)</f>
        <v>63</v>
      </c>
      <c r="F983" s="19" t="str">
        <f>IFERROR(__xludf.DUMMYFUNCTION("""COMPUTED_VALUE"""),"BLUE")</f>
        <v>BLUE</v>
      </c>
      <c r="G983" s="20" t="str">
        <f>IFERROR(__xludf.DUMMYFUNCTION("""COMPUTED_VALUE"""),"Uncle Sams Cider (11/12/2021) (Blue)")</f>
        <v>Uncle Sams Cider (11/12/2021) (Blue)</v>
      </c>
      <c r="H983" s="19"/>
    </row>
    <row r="984">
      <c r="A984" s="9"/>
      <c r="B984" s="15"/>
      <c r="C984" s="9">
        <f>IFERROR(__xludf.DUMMYFUNCTION("""COMPUTED_VALUE"""),44595.309269074)</f>
        <v>44595.30927</v>
      </c>
      <c r="D984" s="15">
        <f>IFERROR(__xludf.DUMMYFUNCTION("""COMPUTED_VALUE"""),1.0)</f>
        <v>1</v>
      </c>
      <c r="E984" s="16">
        <f>IFERROR(__xludf.DUMMYFUNCTION("""COMPUTED_VALUE"""),64.0)</f>
        <v>64</v>
      </c>
      <c r="F984" s="19" t="str">
        <f>IFERROR(__xludf.DUMMYFUNCTION("""COMPUTED_VALUE"""),"BLUE")</f>
        <v>BLUE</v>
      </c>
      <c r="G984" s="20" t="str">
        <f>IFERROR(__xludf.DUMMYFUNCTION("""COMPUTED_VALUE"""),"Uncle Sams Cider (11/12/2021) (Blue)")</f>
        <v>Uncle Sams Cider (11/12/2021) (Blue)</v>
      </c>
      <c r="H984" s="19"/>
    </row>
    <row r="985">
      <c r="A985" s="9"/>
      <c r="B985" s="15"/>
      <c r="C985" s="9">
        <f>IFERROR(__xludf.DUMMYFUNCTION("""COMPUTED_VALUE"""),44595.2988487615)</f>
        <v>44595.29885</v>
      </c>
      <c r="D985" s="15">
        <f>IFERROR(__xludf.DUMMYFUNCTION("""COMPUTED_VALUE"""),1.0)</f>
        <v>1</v>
      </c>
      <c r="E985" s="16">
        <f>IFERROR(__xludf.DUMMYFUNCTION("""COMPUTED_VALUE"""),64.0)</f>
        <v>64</v>
      </c>
      <c r="F985" s="19" t="str">
        <f>IFERROR(__xludf.DUMMYFUNCTION("""COMPUTED_VALUE"""),"BLUE")</f>
        <v>BLUE</v>
      </c>
      <c r="G985" s="20" t="str">
        <f>IFERROR(__xludf.DUMMYFUNCTION("""COMPUTED_VALUE"""),"Uncle Sams Cider (11/12/2021) (Blue)")</f>
        <v>Uncle Sams Cider (11/12/2021) (Blue)</v>
      </c>
      <c r="H985" s="19"/>
    </row>
    <row r="986">
      <c r="A986" s="9"/>
      <c r="B986" s="15"/>
      <c r="C986" s="9">
        <f>IFERROR(__xludf.DUMMYFUNCTION("""COMPUTED_VALUE"""),44595.2884264004)</f>
        <v>44595.28843</v>
      </c>
      <c r="D986" s="15">
        <f>IFERROR(__xludf.DUMMYFUNCTION("""COMPUTED_VALUE"""),1.0)</f>
        <v>1</v>
      </c>
      <c r="E986" s="16">
        <f>IFERROR(__xludf.DUMMYFUNCTION("""COMPUTED_VALUE"""),64.0)</f>
        <v>64</v>
      </c>
      <c r="F986" s="19" t="str">
        <f>IFERROR(__xludf.DUMMYFUNCTION("""COMPUTED_VALUE"""),"BLUE")</f>
        <v>BLUE</v>
      </c>
      <c r="G986" s="20" t="str">
        <f>IFERROR(__xludf.DUMMYFUNCTION("""COMPUTED_VALUE"""),"Uncle Sams Cider (11/12/2021) (Blue)")</f>
        <v>Uncle Sams Cider (11/12/2021) (Blue)</v>
      </c>
      <c r="H986" s="19"/>
    </row>
    <row r="987">
      <c r="A987" s="9"/>
      <c r="B987" s="15"/>
      <c r="C987" s="9">
        <f>IFERROR(__xludf.DUMMYFUNCTION("""COMPUTED_VALUE"""),44595.2780064583)</f>
        <v>44595.27801</v>
      </c>
      <c r="D987" s="15">
        <f>IFERROR(__xludf.DUMMYFUNCTION("""COMPUTED_VALUE"""),1.0)</f>
        <v>1</v>
      </c>
      <c r="E987" s="16">
        <f>IFERROR(__xludf.DUMMYFUNCTION("""COMPUTED_VALUE"""),64.0)</f>
        <v>64</v>
      </c>
      <c r="F987" s="19" t="str">
        <f>IFERROR(__xludf.DUMMYFUNCTION("""COMPUTED_VALUE"""),"BLUE")</f>
        <v>BLUE</v>
      </c>
      <c r="G987" s="20" t="str">
        <f>IFERROR(__xludf.DUMMYFUNCTION("""COMPUTED_VALUE"""),"Uncle Sams Cider (11/12/2021) (Blue)")</f>
        <v>Uncle Sams Cider (11/12/2021) (Blue)</v>
      </c>
      <c r="H987" s="19"/>
    </row>
    <row r="988">
      <c r="A988" s="9"/>
      <c r="B988" s="15"/>
      <c r="C988" s="9">
        <f>IFERROR(__xludf.DUMMYFUNCTION("""COMPUTED_VALUE"""),44595.2675734143)</f>
        <v>44595.26757</v>
      </c>
      <c r="D988" s="15">
        <f>IFERROR(__xludf.DUMMYFUNCTION("""COMPUTED_VALUE"""),1.0)</f>
        <v>1</v>
      </c>
      <c r="E988" s="16">
        <f>IFERROR(__xludf.DUMMYFUNCTION("""COMPUTED_VALUE"""),64.0)</f>
        <v>64</v>
      </c>
      <c r="F988" s="19" t="str">
        <f>IFERROR(__xludf.DUMMYFUNCTION("""COMPUTED_VALUE"""),"BLUE")</f>
        <v>BLUE</v>
      </c>
      <c r="G988" s="20" t="str">
        <f>IFERROR(__xludf.DUMMYFUNCTION("""COMPUTED_VALUE"""),"Uncle Sams Cider (11/12/2021) (Blue)")</f>
        <v>Uncle Sams Cider (11/12/2021) (Blue)</v>
      </c>
      <c r="H988" s="19"/>
    </row>
    <row r="989">
      <c r="A989" s="9"/>
      <c r="B989" s="15"/>
      <c r="C989" s="9">
        <f>IFERROR(__xludf.DUMMYFUNCTION("""COMPUTED_VALUE"""),44595.2571519328)</f>
        <v>44595.25715</v>
      </c>
      <c r="D989" s="15">
        <f>IFERROR(__xludf.DUMMYFUNCTION("""COMPUTED_VALUE"""),1.0)</f>
        <v>1</v>
      </c>
      <c r="E989" s="16">
        <f>IFERROR(__xludf.DUMMYFUNCTION("""COMPUTED_VALUE"""),64.0)</f>
        <v>64</v>
      </c>
      <c r="F989" s="19" t="str">
        <f>IFERROR(__xludf.DUMMYFUNCTION("""COMPUTED_VALUE"""),"BLUE")</f>
        <v>BLUE</v>
      </c>
      <c r="G989" s="20" t="str">
        <f>IFERROR(__xludf.DUMMYFUNCTION("""COMPUTED_VALUE"""),"Uncle Sams Cider (11/12/2021) (Blue)")</f>
        <v>Uncle Sams Cider (11/12/2021) (Blue)</v>
      </c>
      <c r="H989" s="19"/>
    </row>
    <row r="990">
      <c r="A990" s="9"/>
      <c r="B990" s="15"/>
      <c r="C990" s="9">
        <f>IFERROR(__xludf.DUMMYFUNCTION("""COMPUTED_VALUE"""),44595.246732905)</f>
        <v>44595.24673</v>
      </c>
      <c r="D990" s="15">
        <f>IFERROR(__xludf.DUMMYFUNCTION("""COMPUTED_VALUE"""),1.0)</f>
        <v>1</v>
      </c>
      <c r="E990" s="16">
        <f>IFERROR(__xludf.DUMMYFUNCTION("""COMPUTED_VALUE"""),64.0)</f>
        <v>64</v>
      </c>
      <c r="F990" s="19" t="str">
        <f>IFERROR(__xludf.DUMMYFUNCTION("""COMPUTED_VALUE"""),"BLUE")</f>
        <v>BLUE</v>
      </c>
      <c r="G990" s="20" t="str">
        <f>IFERROR(__xludf.DUMMYFUNCTION("""COMPUTED_VALUE"""),"Uncle Sams Cider (11/12/2021) (Blue)")</f>
        <v>Uncle Sams Cider (11/12/2021) (Blue)</v>
      </c>
      <c r="H990" s="19"/>
    </row>
    <row r="991">
      <c r="A991" s="9"/>
      <c r="B991" s="15"/>
      <c r="C991" s="9">
        <f>IFERROR(__xludf.DUMMYFUNCTION("""COMPUTED_VALUE"""),44595.2363139699)</f>
        <v>44595.23631</v>
      </c>
      <c r="D991" s="15">
        <f>IFERROR(__xludf.DUMMYFUNCTION("""COMPUTED_VALUE"""),1.0)</f>
        <v>1</v>
      </c>
      <c r="E991" s="16">
        <f>IFERROR(__xludf.DUMMYFUNCTION("""COMPUTED_VALUE"""),64.0)</f>
        <v>64</v>
      </c>
      <c r="F991" s="19" t="str">
        <f>IFERROR(__xludf.DUMMYFUNCTION("""COMPUTED_VALUE"""),"BLUE")</f>
        <v>BLUE</v>
      </c>
      <c r="G991" s="20" t="str">
        <f>IFERROR(__xludf.DUMMYFUNCTION("""COMPUTED_VALUE"""),"Uncle Sams Cider (11/12/2021) (Blue)")</f>
        <v>Uncle Sams Cider (11/12/2021) (Blue)</v>
      </c>
      <c r="H991" s="19"/>
    </row>
    <row r="992">
      <c r="A992" s="9"/>
      <c r="B992" s="15"/>
      <c r="C992" s="9">
        <f>IFERROR(__xludf.DUMMYFUNCTION("""COMPUTED_VALUE"""),44595.2258937847)</f>
        <v>44595.22589</v>
      </c>
      <c r="D992" s="15">
        <f>IFERROR(__xludf.DUMMYFUNCTION("""COMPUTED_VALUE"""),1.0)</f>
        <v>1</v>
      </c>
      <c r="E992" s="16">
        <f>IFERROR(__xludf.DUMMYFUNCTION("""COMPUTED_VALUE"""),64.0)</f>
        <v>64</v>
      </c>
      <c r="F992" s="19" t="str">
        <f>IFERROR(__xludf.DUMMYFUNCTION("""COMPUTED_VALUE"""),"BLUE")</f>
        <v>BLUE</v>
      </c>
      <c r="G992" s="20" t="str">
        <f>IFERROR(__xludf.DUMMYFUNCTION("""COMPUTED_VALUE"""),"Uncle Sams Cider (11/12/2021) (Blue)")</f>
        <v>Uncle Sams Cider (11/12/2021) (Blue)</v>
      </c>
      <c r="H992" s="19"/>
    </row>
    <row r="993">
      <c r="A993" s="9"/>
      <c r="B993" s="15"/>
      <c r="C993" s="9">
        <f>IFERROR(__xludf.DUMMYFUNCTION("""COMPUTED_VALUE"""),44595.2154730439)</f>
        <v>44595.21547</v>
      </c>
      <c r="D993" s="15">
        <f>IFERROR(__xludf.DUMMYFUNCTION("""COMPUTED_VALUE"""),1.0)</f>
        <v>1</v>
      </c>
      <c r="E993" s="16">
        <f>IFERROR(__xludf.DUMMYFUNCTION("""COMPUTED_VALUE"""),64.0)</f>
        <v>64</v>
      </c>
      <c r="F993" s="19" t="str">
        <f>IFERROR(__xludf.DUMMYFUNCTION("""COMPUTED_VALUE"""),"BLUE")</f>
        <v>BLUE</v>
      </c>
      <c r="G993" s="20" t="str">
        <f>IFERROR(__xludf.DUMMYFUNCTION("""COMPUTED_VALUE"""),"Uncle Sams Cider (11/12/2021) (Blue)")</f>
        <v>Uncle Sams Cider (11/12/2021) (Blue)</v>
      </c>
      <c r="H993" s="19"/>
    </row>
    <row r="994">
      <c r="A994" s="9"/>
      <c r="B994" s="15"/>
      <c r="C994" s="9">
        <f>IFERROR(__xludf.DUMMYFUNCTION("""COMPUTED_VALUE"""),44595.2050528125)</f>
        <v>44595.20505</v>
      </c>
      <c r="D994" s="15">
        <f>IFERROR(__xludf.DUMMYFUNCTION("""COMPUTED_VALUE"""),0.999)</f>
        <v>0.999</v>
      </c>
      <c r="E994" s="16">
        <f>IFERROR(__xludf.DUMMYFUNCTION("""COMPUTED_VALUE"""),64.0)</f>
        <v>64</v>
      </c>
      <c r="F994" s="19" t="str">
        <f>IFERROR(__xludf.DUMMYFUNCTION("""COMPUTED_VALUE"""),"BLUE")</f>
        <v>BLUE</v>
      </c>
      <c r="G994" s="20" t="str">
        <f>IFERROR(__xludf.DUMMYFUNCTION("""COMPUTED_VALUE"""),"Uncle Sams Cider (11/12/2021) (Blue)")</f>
        <v>Uncle Sams Cider (11/12/2021) (Blue)</v>
      </c>
      <c r="H994" s="19"/>
    </row>
    <row r="995">
      <c r="A995" s="9"/>
      <c r="B995" s="15"/>
      <c r="C995" s="9">
        <f>IFERROR(__xludf.DUMMYFUNCTION("""COMPUTED_VALUE"""),44595.194631412)</f>
        <v>44595.19463</v>
      </c>
      <c r="D995" s="15">
        <f>IFERROR(__xludf.DUMMYFUNCTION("""COMPUTED_VALUE"""),1.0)</f>
        <v>1</v>
      </c>
      <c r="E995" s="16">
        <f>IFERROR(__xludf.DUMMYFUNCTION("""COMPUTED_VALUE"""),64.0)</f>
        <v>64</v>
      </c>
      <c r="F995" s="19" t="str">
        <f>IFERROR(__xludf.DUMMYFUNCTION("""COMPUTED_VALUE"""),"BLUE")</f>
        <v>BLUE</v>
      </c>
      <c r="G995" s="20" t="str">
        <f>IFERROR(__xludf.DUMMYFUNCTION("""COMPUTED_VALUE"""),"Uncle Sams Cider (11/12/2021) (Blue)")</f>
        <v>Uncle Sams Cider (11/12/2021) (Blue)</v>
      </c>
      <c r="H995" s="19"/>
    </row>
    <row r="996">
      <c r="A996" s="9"/>
      <c r="B996" s="15"/>
      <c r="C996" s="9">
        <f>IFERROR(__xludf.DUMMYFUNCTION("""COMPUTED_VALUE"""),44595.1842093865)</f>
        <v>44595.18421</v>
      </c>
      <c r="D996" s="15">
        <f>IFERROR(__xludf.DUMMYFUNCTION("""COMPUTED_VALUE"""),1.0)</f>
        <v>1</v>
      </c>
      <c r="E996" s="16">
        <f>IFERROR(__xludf.DUMMYFUNCTION("""COMPUTED_VALUE"""),64.0)</f>
        <v>64</v>
      </c>
      <c r="F996" s="19" t="str">
        <f>IFERROR(__xludf.DUMMYFUNCTION("""COMPUTED_VALUE"""),"BLUE")</f>
        <v>BLUE</v>
      </c>
      <c r="G996" s="20" t="str">
        <f>IFERROR(__xludf.DUMMYFUNCTION("""COMPUTED_VALUE"""),"Uncle Sams Cider (11/12/2021) (Blue)")</f>
        <v>Uncle Sams Cider (11/12/2021) (Blue)</v>
      </c>
      <c r="H996" s="19"/>
    </row>
    <row r="997">
      <c r="A997" s="9"/>
      <c r="B997" s="15"/>
      <c r="C997" s="9">
        <f>IFERROR(__xludf.DUMMYFUNCTION("""COMPUTED_VALUE"""),44595.1737892245)</f>
        <v>44595.17379</v>
      </c>
      <c r="D997" s="15">
        <f>IFERROR(__xludf.DUMMYFUNCTION("""COMPUTED_VALUE"""),1.0)</f>
        <v>1</v>
      </c>
      <c r="E997" s="16">
        <f>IFERROR(__xludf.DUMMYFUNCTION("""COMPUTED_VALUE"""),64.0)</f>
        <v>64</v>
      </c>
      <c r="F997" s="19" t="str">
        <f>IFERROR(__xludf.DUMMYFUNCTION("""COMPUTED_VALUE"""),"BLUE")</f>
        <v>BLUE</v>
      </c>
      <c r="G997" s="20" t="str">
        <f>IFERROR(__xludf.DUMMYFUNCTION("""COMPUTED_VALUE"""),"Uncle Sams Cider (11/12/2021) (Blue)")</f>
        <v>Uncle Sams Cider (11/12/2021) (Blue)</v>
      </c>
      <c r="H997" s="19"/>
    </row>
    <row r="998">
      <c r="A998" s="9"/>
      <c r="B998" s="15"/>
      <c r="C998" s="9">
        <f>IFERROR(__xludf.DUMMYFUNCTION("""COMPUTED_VALUE"""),44595.163368449)</f>
        <v>44595.16337</v>
      </c>
      <c r="D998" s="15">
        <f>IFERROR(__xludf.DUMMYFUNCTION("""COMPUTED_VALUE"""),1.0)</f>
        <v>1</v>
      </c>
      <c r="E998" s="16">
        <f>IFERROR(__xludf.DUMMYFUNCTION("""COMPUTED_VALUE"""),64.0)</f>
        <v>64</v>
      </c>
      <c r="F998" s="19" t="str">
        <f>IFERROR(__xludf.DUMMYFUNCTION("""COMPUTED_VALUE"""),"BLUE")</f>
        <v>BLUE</v>
      </c>
      <c r="G998" s="20" t="str">
        <f>IFERROR(__xludf.DUMMYFUNCTION("""COMPUTED_VALUE"""),"Uncle Sams Cider (11/12/2021) (Blue)")</f>
        <v>Uncle Sams Cider (11/12/2021) (Blue)</v>
      </c>
      <c r="H998" s="19"/>
    </row>
    <row r="999">
      <c r="A999" s="9"/>
      <c r="B999" s="15"/>
      <c r="C999" s="9">
        <f>IFERROR(__xludf.DUMMYFUNCTION("""COMPUTED_VALUE"""),44595.1529475462)</f>
        <v>44595.15295</v>
      </c>
      <c r="D999" s="15">
        <f>IFERROR(__xludf.DUMMYFUNCTION("""COMPUTED_VALUE"""),1.0)</f>
        <v>1</v>
      </c>
      <c r="E999" s="16">
        <f>IFERROR(__xludf.DUMMYFUNCTION("""COMPUTED_VALUE"""),64.0)</f>
        <v>64</v>
      </c>
      <c r="F999" s="19" t="str">
        <f>IFERROR(__xludf.DUMMYFUNCTION("""COMPUTED_VALUE"""),"BLUE")</f>
        <v>BLUE</v>
      </c>
      <c r="G999" s="20" t="str">
        <f>IFERROR(__xludf.DUMMYFUNCTION("""COMPUTED_VALUE"""),"Uncle Sams Cider (11/12/2021) (Blue)")</f>
        <v>Uncle Sams Cider (11/12/2021) (Blue)</v>
      </c>
      <c r="H999" s="19"/>
    </row>
    <row r="1000">
      <c r="A1000" s="9"/>
      <c r="B1000" s="15"/>
      <c r="C1000" s="9">
        <f>IFERROR(__xludf.DUMMYFUNCTION("""COMPUTED_VALUE"""),44595.142525162)</f>
        <v>44595.14253</v>
      </c>
      <c r="D1000" s="15">
        <f>IFERROR(__xludf.DUMMYFUNCTION("""COMPUTED_VALUE"""),1.0)</f>
        <v>1</v>
      </c>
      <c r="E1000" s="16">
        <f>IFERROR(__xludf.DUMMYFUNCTION("""COMPUTED_VALUE"""),64.0)</f>
        <v>64</v>
      </c>
      <c r="F1000" s="19" t="str">
        <f>IFERROR(__xludf.DUMMYFUNCTION("""COMPUTED_VALUE"""),"BLUE")</f>
        <v>BLUE</v>
      </c>
      <c r="G1000" s="20" t="str">
        <f>IFERROR(__xludf.DUMMYFUNCTION("""COMPUTED_VALUE"""),"Uncle Sams Cider (11/12/2021) (Blue)")</f>
        <v>Uncle Sams Cider (11/12/2021) (Blue)</v>
      </c>
      <c r="H1000" s="19"/>
    </row>
    <row r="1001">
      <c r="A1001" s="9"/>
      <c r="B1001" s="15"/>
      <c r="C1001" s="9">
        <f>IFERROR(__xludf.DUMMYFUNCTION("""COMPUTED_VALUE"""),44595.1320921874)</f>
        <v>44595.13209</v>
      </c>
      <c r="D1001" s="15">
        <f>IFERROR(__xludf.DUMMYFUNCTION("""COMPUTED_VALUE"""),1.0)</f>
        <v>1</v>
      </c>
      <c r="E1001" s="16">
        <f>IFERROR(__xludf.DUMMYFUNCTION("""COMPUTED_VALUE"""),64.0)</f>
        <v>64</v>
      </c>
      <c r="F1001" s="19" t="str">
        <f>IFERROR(__xludf.DUMMYFUNCTION("""COMPUTED_VALUE"""),"BLUE")</f>
        <v>BLUE</v>
      </c>
      <c r="G1001" s="20" t="str">
        <f>IFERROR(__xludf.DUMMYFUNCTION("""COMPUTED_VALUE"""),"Uncle Sams Cider (11/12/2021) (Blue)")</f>
        <v>Uncle Sams Cider (11/12/2021) (Blue)</v>
      </c>
      <c r="H1001" s="19"/>
    </row>
    <row r="1002">
      <c r="A1002" s="9"/>
      <c r="B1002" s="15"/>
      <c r="C1002" s="9">
        <f>IFERROR(__xludf.DUMMYFUNCTION("""COMPUTED_VALUE"""),44595.1216716087)</f>
        <v>44595.12167</v>
      </c>
      <c r="D1002" s="15">
        <f>IFERROR(__xludf.DUMMYFUNCTION("""COMPUTED_VALUE"""),1.0)</f>
        <v>1</v>
      </c>
      <c r="E1002" s="16">
        <f>IFERROR(__xludf.DUMMYFUNCTION("""COMPUTED_VALUE"""),64.0)</f>
        <v>64</v>
      </c>
      <c r="F1002" s="19" t="str">
        <f>IFERROR(__xludf.DUMMYFUNCTION("""COMPUTED_VALUE"""),"BLUE")</f>
        <v>BLUE</v>
      </c>
      <c r="G1002" s="20" t="str">
        <f>IFERROR(__xludf.DUMMYFUNCTION("""COMPUTED_VALUE"""),"Uncle Sams Cider (11/12/2021) (Blue)")</f>
        <v>Uncle Sams Cider (11/12/2021) (Blue)</v>
      </c>
      <c r="H1002" s="19"/>
    </row>
    <row r="1003">
      <c r="A1003" s="9"/>
      <c r="B1003" s="15"/>
      <c r="C1003" s="9">
        <f>IFERROR(__xludf.DUMMYFUNCTION("""COMPUTED_VALUE"""),44595.1112508449)</f>
        <v>44595.11125</v>
      </c>
      <c r="D1003" s="15">
        <f>IFERROR(__xludf.DUMMYFUNCTION("""COMPUTED_VALUE"""),1.0)</f>
        <v>1</v>
      </c>
      <c r="E1003" s="16">
        <f>IFERROR(__xludf.DUMMYFUNCTION("""COMPUTED_VALUE"""),64.0)</f>
        <v>64</v>
      </c>
      <c r="F1003" s="19" t="str">
        <f>IFERROR(__xludf.DUMMYFUNCTION("""COMPUTED_VALUE"""),"BLUE")</f>
        <v>BLUE</v>
      </c>
      <c r="G1003" s="20" t="str">
        <f>IFERROR(__xludf.DUMMYFUNCTION("""COMPUTED_VALUE"""),"Uncle Sams Cider (11/12/2021) (Blue)")</f>
        <v>Uncle Sams Cider (11/12/2021) (Blue)</v>
      </c>
      <c r="H1003" s="19"/>
    </row>
    <row r="1004">
      <c r="A1004" s="9"/>
      <c r="B1004" s="15"/>
      <c r="C1004" s="9">
        <f>IFERROR(__xludf.DUMMYFUNCTION("""COMPUTED_VALUE"""),44595.1008289699)</f>
        <v>44595.10083</v>
      </c>
      <c r="D1004" s="15">
        <f>IFERROR(__xludf.DUMMYFUNCTION("""COMPUTED_VALUE"""),1.0)</f>
        <v>1</v>
      </c>
      <c r="E1004" s="16">
        <f>IFERROR(__xludf.DUMMYFUNCTION("""COMPUTED_VALUE"""),64.0)</f>
        <v>64</v>
      </c>
      <c r="F1004" s="19" t="str">
        <f>IFERROR(__xludf.DUMMYFUNCTION("""COMPUTED_VALUE"""),"BLUE")</f>
        <v>BLUE</v>
      </c>
      <c r="G1004" s="20" t="str">
        <f>IFERROR(__xludf.DUMMYFUNCTION("""COMPUTED_VALUE"""),"Uncle Sams Cider (11/12/2021) (Blue)")</f>
        <v>Uncle Sams Cider (11/12/2021) (Blue)</v>
      </c>
      <c r="H1004" s="19"/>
    </row>
    <row r="1005">
      <c r="A1005" s="9"/>
      <c r="B1005" s="15"/>
      <c r="C1005" s="9">
        <f>IFERROR(__xludf.DUMMYFUNCTION("""COMPUTED_VALUE"""),44595.0903954513)</f>
        <v>44595.0904</v>
      </c>
      <c r="D1005" s="15">
        <f>IFERROR(__xludf.DUMMYFUNCTION("""COMPUTED_VALUE"""),1.0)</f>
        <v>1</v>
      </c>
      <c r="E1005" s="16">
        <f>IFERROR(__xludf.DUMMYFUNCTION("""COMPUTED_VALUE"""),64.0)</f>
        <v>64</v>
      </c>
      <c r="F1005" s="19" t="str">
        <f>IFERROR(__xludf.DUMMYFUNCTION("""COMPUTED_VALUE"""),"BLUE")</f>
        <v>BLUE</v>
      </c>
      <c r="G1005" s="20" t="str">
        <f>IFERROR(__xludf.DUMMYFUNCTION("""COMPUTED_VALUE"""),"Uncle Sams Cider (11/12/2021) (Blue)")</f>
        <v>Uncle Sams Cider (11/12/2021) (Blue)</v>
      </c>
      <c r="H1005" s="19"/>
    </row>
    <row r="1006">
      <c r="A1006" s="9"/>
      <c r="B1006" s="15"/>
      <c r="C1006" s="9">
        <f>IFERROR(__xludf.DUMMYFUNCTION("""COMPUTED_VALUE"""),44595.0799748726)</f>
        <v>44595.07997</v>
      </c>
      <c r="D1006" s="15">
        <f>IFERROR(__xludf.DUMMYFUNCTION("""COMPUTED_VALUE"""),1.0)</f>
        <v>1</v>
      </c>
      <c r="E1006" s="16">
        <f>IFERROR(__xludf.DUMMYFUNCTION("""COMPUTED_VALUE"""),64.0)</f>
        <v>64</v>
      </c>
      <c r="F1006" s="19" t="str">
        <f>IFERROR(__xludf.DUMMYFUNCTION("""COMPUTED_VALUE"""),"BLUE")</f>
        <v>BLUE</v>
      </c>
      <c r="G1006" s="20" t="str">
        <f>IFERROR(__xludf.DUMMYFUNCTION("""COMPUTED_VALUE"""),"Uncle Sams Cider (11/12/2021) (Blue)")</f>
        <v>Uncle Sams Cider (11/12/2021) (Blue)</v>
      </c>
      <c r="H1006" s="19"/>
    </row>
    <row r="1007">
      <c r="A1007" s="9"/>
      <c r="B1007" s="15"/>
      <c r="C1007" s="9">
        <f>IFERROR(__xludf.DUMMYFUNCTION("""COMPUTED_VALUE"""),44595.0695542361)</f>
        <v>44595.06955</v>
      </c>
      <c r="D1007" s="15">
        <f>IFERROR(__xludf.DUMMYFUNCTION("""COMPUTED_VALUE"""),1.0)</f>
        <v>1</v>
      </c>
      <c r="E1007" s="16">
        <f>IFERROR(__xludf.DUMMYFUNCTION("""COMPUTED_VALUE"""),64.0)</f>
        <v>64</v>
      </c>
      <c r="F1007" s="19" t="str">
        <f>IFERROR(__xludf.DUMMYFUNCTION("""COMPUTED_VALUE"""),"BLUE")</f>
        <v>BLUE</v>
      </c>
      <c r="G1007" s="20" t="str">
        <f>IFERROR(__xludf.DUMMYFUNCTION("""COMPUTED_VALUE"""),"Uncle Sams Cider (11/12/2021) (Blue)")</f>
        <v>Uncle Sams Cider (11/12/2021) (Blue)</v>
      </c>
      <c r="H1007" s="19"/>
    </row>
    <row r="1008">
      <c r="A1008" s="9"/>
      <c r="B1008" s="15"/>
      <c r="C1008" s="9">
        <f>IFERROR(__xludf.DUMMYFUNCTION("""COMPUTED_VALUE"""),44595.0591321296)</f>
        <v>44595.05913</v>
      </c>
      <c r="D1008" s="15">
        <f>IFERROR(__xludf.DUMMYFUNCTION("""COMPUTED_VALUE"""),1.0)</f>
        <v>1</v>
      </c>
      <c r="E1008" s="16">
        <f>IFERROR(__xludf.DUMMYFUNCTION("""COMPUTED_VALUE"""),64.0)</f>
        <v>64</v>
      </c>
      <c r="F1008" s="19" t="str">
        <f>IFERROR(__xludf.DUMMYFUNCTION("""COMPUTED_VALUE"""),"BLUE")</f>
        <v>BLUE</v>
      </c>
      <c r="G1008" s="20" t="str">
        <f>IFERROR(__xludf.DUMMYFUNCTION("""COMPUTED_VALUE"""),"Uncle Sams Cider (11/12/2021) (Blue)")</f>
        <v>Uncle Sams Cider (11/12/2021) (Blue)</v>
      </c>
      <c r="H1008" s="19"/>
    </row>
    <row r="1009">
      <c r="A1009" s="9"/>
      <c r="B1009" s="15"/>
      <c r="C1009" s="9">
        <f>IFERROR(__xludf.DUMMYFUNCTION("""COMPUTED_VALUE"""),44595.048676574)</f>
        <v>44595.04868</v>
      </c>
      <c r="D1009" s="15">
        <f>IFERROR(__xludf.DUMMYFUNCTION("""COMPUTED_VALUE"""),1.0)</f>
        <v>1</v>
      </c>
      <c r="E1009" s="16">
        <f>IFERROR(__xludf.DUMMYFUNCTION("""COMPUTED_VALUE"""),64.0)</f>
        <v>64</v>
      </c>
      <c r="F1009" s="19" t="str">
        <f>IFERROR(__xludf.DUMMYFUNCTION("""COMPUTED_VALUE"""),"BLUE")</f>
        <v>BLUE</v>
      </c>
      <c r="G1009" s="20" t="str">
        <f>IFERROR(__xludf.DUMMYFUNCTION("""COMPUTED_VALUE"""),"Uncle Sams Cider (11/12/2021) (Blue)")</f>
        <v>Uncle Sams Cider (11/12/2021) (Blue)</v>
      </c>
      <c r="H1009" s="19"/>
    </row>
    <row r="1010">
      <c r="A1010" s="9"/>
      <c r="B1010" s="15"/>
      <c r="C1010" s="9">
        <f>IFERROR(__xludf.DUMMYFUNCTION("""COMPUTED_VALUE"""),44595.0382446759)</f>
        <v>44595.03824</v>
      </c>
      <c r="D1010" s="15">
        <f>IFERROR(__xludf.DUMMYFUNCTION("""COMPUTED_VALUE"""),0.999)</f>
        <v>0.999</v>
      </c>
      <c r="E1010" s="16">
        <f>IFERROR(__xludf.DUMMYFUNCTION("""COMPUTED_VALUE"""),64.0)</f>
        <v>64</v>
      </c>
      <c r="F1010" s="19" t="str">
        <f>IFERROR(__xludf.DUMMYFUNCTION("""COMPUTED_VALUE"""),"BLUE")</f>
        <v>BLUE</v>
      </c>
      <c r="G1010" s="20" t="str">
        <f>IFERROR(__xludf.DUMMYFUNCTION("""COMPUTED_VALUE"""),"Uncle Sams Cider (11/12/2021) (Blue)")</f>
        <v>Uncle Sams Cider (11/12/2021) (Blue)</v>
      </c>
      <c r="H1010" s="19"/>
    </row>
    <row r="1011">
      <c r="A1011" s="9"/>
      <c r="B1011" s="15"/>
      <c r="C1011" s="9">
        <f>IFERROR(__xludf.DUMMYFUNCTION("""COMPUTED_VALUE"""),44595.0278224884)</f>
        <v>44595.02782</v>
      </c>
      <c r="D1011" s="15">
        <f>IFERROR(__xludf.DUMMYFUNCTION("""COMPUTED_VALUE"""),1.0)</f>
        <v>1</v>
      </c>
      <c r="E1011" s="16">
        <f>IFERROR(__xludf.DUMMYFUNCTION("""COMPUTED_VALUE"""),64.0)</f>
        <v>64</v>
      </c>
      <c r="F1011" s="19" t="str">
        <f>IFERROR(__xludf.DUMMYFUNCTION("""COMPUTED_VALUE"""),"BLUE")</f>
        <v>BLUE</v>
      </c>
      <c r="G1011" s="20" t="str">
        <f>IFERROR(__xludf.DUMMYFUNCTION("""COMPUTED_VALUE"""),"Uncle Sams Cider (11/12/2021) (Blue)")</f>
        <v>Uncle Sams Cider (11/12/2021) (Blue)</v>
      </c>
      <c r="H1011" s="19"/>
    </row>
    <row r="1012">
      <c r="A1012" s="9"/>
      <c r="B1012" s="15"/>
      <c r="C1012" s="9">
        <f>IFERROR(__xludf.DUMMYFUNCTION("""COMPUTED_VALUE"""),44595.0174005902)</f>
        <v>44595.0174</v>
      </c>
      <c r="D1012" s="15">
        <f>IFERROR(__xludf.DUMMYFUNCTION("""COMPUTED_VALUE"""),1.0)</f>
        <v>1</v>
      </c>
      <c r="E1012" s="16">
        <f>IFERROR(__xludf.DUMMYFUNCTION("""COMPUTED_VALUE"""),64.0)</f>
        <v>64</v>
      </c>
      <c r="F1012" s="19" t="str">
        <f>IFERROR(__xludf.DUMMYFUNCTION("""COMPUTED_VALUE"""),"BLUE")</f>
        <v>BLUE</v>
      </c>
      <c r="G1012" s="20" t="str">
        <f>IFERROR(__xludf.DUMMYFUNCTION("""COMPUTED_VALUE"""),"Uncle Sams Cider (11/12/2021) (Blue)")</f>
        <v>Uncle Sams Cider (11/12/2021) (Blue)</v>
      </c>
      <c r="H1012" s="19"/>
    </row>
    <row r="1013">
      <c r="A1013" s="9"/>
      <c r="B1013" s="15"/>
      <c r="C1013" s="9">
        <f>IFERROR(__xludf.DUMMYFUNCTION("""COMPUTED_VALUE"""),44595.0069795486)</f>
        <v>44595.00698</v>
      </c>
      <c r="D1013" s="15">
        <f>IFERROR(__xludf.DUMMYFUNCTION("""COMPUTED_VALUE"""),1.0)</f>
        <v>1</v>
      </c>
      <c r="E1013" s="16">
        <f>IFERROR(__xludf.DUMMYFUNCTION("""COMPUTED_VALUE"""),64.0)</f>
        <v>64</v>
      </c>
      <c r="F1013" s="19" t="str">
        <f>IFERROR(__xludf.DUMMYFUNCTION("""COMPUTED_VALUE"""),"BLUE")</f>
        <v>BLUE</v>
      </c>
      <c r="G1013" s="20" t="str">
        <f>IFERROR(__xludf.DUMMYFUNCTION("""COMPUTED_VALUE"""),"Uncle Sams Cider (11/12/2021) (Blue)")</f>
        <v>Uncle Sams Cider (11/12/2021) (Blue)</v>
      </c>
      <c r="H1013" s="19"/>
    </row>
    <row r="1014">
      <c r="A1014" s="9"/>
      <c r="B1014" s="15"/>
      <c r="C1014" s="9">
        <f>IFERROR(__xludf.DUMMYFUNCTION("""COMPUTED_VALUE"""),44594.9965569791)</f>
        <v>44594.99656</v>
      </c>
      <c r="D1014" s="15">
        <f>IFERROR(__xludf.DUMMYFUNCTION("""COMPUTED_VALUE"""),1.0)</f>
        <v>1</v>
      </c>
      <c r="E1014" s="16">
        <f>IFERROR(__xludf.DUMMYFUNCTION("""COMPUTED_VALUE"""),64.0)</f>
        <v>64</v>
      </c>
      <c r="F1014" s="19" t="str">
        <f>IFERROR(__xludf.DUMMYFUNCTION("""COMPUTED_VALUE"""),"BLUE")</f>
        <v>BLUE</v>
      </c>
      <c r="G1014" s="20" t="str">
        <f>IFERROR(__xludf.DUMMYFUNCTION("""COMPUTED_VALUE"""),"Uncle Sams Cider (11/12/2021) (Blue)")</f>
        <v>Uncle Sams Cider (11/12/2021) (Blue)</v>
      </c>
      <c r="H1014" s="19"/>
    </row>
    <row r="1015">
      <c r="A1015" s="9"/>
      <c r="B1015" s="15"/>
      <c r="C1015" s="9">
        <f>IFERROR(__xludf.DUMMYFUNCTION("""COMPUTED_VALUE"""),44594.9861348032)</f>
        <v>44594.98613</v>
      </c>
      <c r="D1015" s="15">
        <f>IFERROR(__xludf.DUMMYFUNCTION("""COMPUTED_VALUE"""),1.0)</f>
        <v>1</v>
      </c>
      <c r="E1015" s="16">
        <f>IFERROR(__xludf.DUMMYFUNCTION("""COMPUTED_VALUE"""),64.0)</f>
        <v>64</v>
      </c>
      <c r="F1015" s="19" t="str">
        <f>IFERROR(__xludf.DUMMYFUNCTION("""COMPUTED_VALUE"""),"BLUE")</f>
        <v>BLUE</v>
      </c>
      <c r="G1015" s="20" t="str">
        <f>IFERROR(__xludf.DUMMYFUNCTION("""COMPUTED_VALUE"""),"Uncle Sams Cider (11/12/2021) (Blue)")</f>
        <v>Uncle Sams Cider (11/12/2021) (Blue)</v>
      </c>
      <c r="H1015" s="19"/>
    </row>
    <row r="1016">
      <c r="A1016" s="9"/>
      <c r="B1016" s="15"/>
      <c r="C1016" s="9">
        <f>IFERROR(__xludf.DUMMYFUNCTION("""COMPUTED_VALUE"""),44594.9757018055)</f>
        <v>44594.9757</v>
      </c>
      <c r="D1016" s="15">
        <f>IFERROR(__xludf.DUMMYFUNCTION("""COMPUTED_VALUE"""),1.0)</f>
        <v>1</v>
      </c>
      <c r="E1016" s="16">
        <f>IFERROR(__xludf.DUMMYFUNCTION("""COMPUTED_VALUE"""),65.0)</f>
        <v>65</v>
      </c>
      <c r="F1016" s="19" t="str">
        <f>IFERROR(__xludf.DUMMYFUNCTION("""COMPUTED_VALUE"""),"BLUE")</f>
        <v>BLUE</v>
      </c>
      <c r="G1016" s="20" t="str">
        <f>IFERROR(__xludf.DUMMYFUNCTION("""COMPUTED_VALUE"""),"Uncle Sams Cider (11/12/2021) (Blue)")</f>
        <v>Uncle Sams Cider (11/12/2021) (Blue)</v>
      </c>
      <c r="H1016" s="19"/>
    </row>
    <row r="1017">
      <c r="A1017" s="9"/>
      <c r="B1017" s="15"/>
      <c r="C1017" s="9">
        <f>IFERROR(__xludf.DUMMYFUNCTION("""COMPUTED_VALUE"""),44594.9652810648)</f>
        <v>44594.96528</v>
      </c>
      <c r="D1017" s="15">
        <f>IFERROR(__xludf.DUMMYFUNCTION("""COMPUTED_VALUE"""),1.0)</f>
        <v>1</v>
      </c>
      <c r="E1017" s="16">
        <f>IFERROR(__xludf.DUMMYFUNCTION("""COMPUTED_VALUE"""),65.0)</f>
        <v>65</v>
      </c>
      <c r="F1017" s="19" t="str">
        <f>IFERROR(__xludf.DUMMYFUNCTION("""COMPUTED_VALUE"""),"BLUE")</f>
        <v>BLUE</v>
      </c>
      <c r="G1017" s="20" t="str">
        <f>IFERROR(__xludf.DUMMYFUNCTION("""COMPUTED_VALUE"""),"Uncle Sams Cider (11/12/2021) (Blue)")</f>
        <v>Uncle Sams Cider (11/12/2021) (Blue)</v>
      </c>
      <c r="H1017" s="19"/>
    </row>
    <row r="1018">
      <c r="A1018" s="9"/>
      <c r="B1018" s="15"/>
      <c r="C1018" s="9">
        <f>IFERROR(__xludf.DUMMYFUNCTION("""COMPUTED_VALUE"""),44594.9548610648)</f>
        <v>44594.95486</v>
      </c>
      <c r="D1018" s="15">
        <f>IFERROR(__xludf.DUMMYFUNCTION("""COMPUTED_VALUE"""),1.0)</f>
        <v>1</v>
      </c>
      <c r="E1018" s="16">
        <f>IFERROR(__xludf.DUMMYFUNCTION("""COMPUTED_VALUE"""),65.0)</f>
        <v>65</v>
      </c>
      <c r="F1018" s="19" t="str">
        <f>IFERROR(__xludf.DUMMYFUNCTION("""COMPUTED_VALUE"""),"BLUE")</f>
        <v>BLUE</v>
      </c>
      <c r="G1018" s="20" t="str">
        <f>IFERROR(__xludf.DUMMYFUNCTION("""COMPUTED_VALUE"""),"Uncle Sams Cider (11/12/2021) (Blue)")</f>
        <v>Uncle Sams Cider (11/12/2021) (Blue)</v>
      </c>
      <c r="H1018" s="19"/>
    </row>
    <row r="1019">
      <c r="A1019" s="9"/>
      <c r="B1019" s="15"/>
      <c r="C1019" s="9">
        <f>IFERROR(__xludf.DUMMYFUNCTION("""COMPUTED_VALUE"""),44594.9444407754)</f>
        <v>44594.94444</v>
      </c>
      <c r="D1019" s="15">
        <f>IFERROR(__xludf.DUMMYFUNCTION("""COMPUTED_VALUE"""),1.0)</f>
        <v>1</v>
      </c>
      <c r="E1019" s="16">
        <f>IFERROR(__xludf.DUMMYFUNCTION("""COMPUTED_VALUE"""),65.0)</f>
        <v>65</v>
      </c>
      <c r="F1019" s="19" t="str">
        <f>IFERROR(__xludf.DUMMYFUNCTION("""COMPUTED_VALUE"""),"BLUE")</f>
        <v>BLUE</v>
      </c>
      <c r="G1019" s="20" t="str">
        <f>IFERROR(__xludf.DUMMYFUNCTION("""COMPUTED_VALUE"""),"Uncle Sams Cider (11/12/2021) (Blue)")</f>
        <v>Uncle Sams Cider (11/12/2021) (Blue)</v>
      </c>
      <c r="H1019" s="19"/>
    </row>
    <row r="1020">
      <c r="A1020" s="9"/>
      <c r="B1020" s="15"/>
      <c r="C1020" s="9">
        <f>IFERROR(__xludf.DUMMYFUNCTION("""COMPUTED_VALUE"""),44594.9340186805)</f>
        <v>44594.93402</v>
      </c>
      <c r="D1020" s="15">
        <f>IFERROR(__xludf.DUMMYFUNCTION("""COMPUTED_VALUE"""),1.0)</f>
        <v>1</v>
      </c>
      <c r="E1020" s="16">
        <f>IFERROR(__xludf.DUMMYFUNCTION("""COMPUTED_VALUE"""),65.0)</f>
        <v>65</v>
      </c>
      <c r="F1020" s="19" t="str">
        <f>IFERROR(__xludf.DUMMYFUNCTION("""COMPUTED_VALUE"""),"BLUE")</f>
        <v>BLUE</v>
      </c>
      <c r="G1020" s="20" t="str">
        <f>IFERROR(__xludf.DUMMYFUNCTION("""COMPUTED_VALUE"""),"Uncle Sams Cider (11/12/2021) (Blue)")</f>
        <v>Uncle Sams Cider (11/12/2021) (Blue)</v>
      </c>
      <c r="H1020" s="19"/>
    </row>
    <row r="1021">
      <c r="A1021" s="9"/>
      <c r="B1021" s="15"/>
      <c r="C1021" s="9">
        <f>IFERROR(__xludf.DUMMYFUNCTION("""COMPUTED_VALUE"""),44594.9235964814)</f>
        <v>44594.9236</v>
      </c>
      <c r="D1021" s="15">
        <f>IFERROR(__xludf.DUMMYFUNCTION("""COMPUTED_VALUE"""),1.0)</f>
        <v>1</v>
      </c>
      <c r="E1021" s="16">
        <f>IFERROR(__xludf.DUMMYFUNCTION("""COMPUTED_VALUE"""),65.0)</f>
        <v>65</v>
      </c>
      <c r="F1021" s="19" t="str">
        <f>IFERROR(__xludf.DUMMYFUNCTION("""COMPUTED_VALUE"""),"BLUE")</f>
        <v>BLUE</v>
      </c>
      <c r="G1021" s="20" t="str">
        <f>IFERROR(__xludf.DUMMYFUNCTION("""COMPUTED_VALUE"""),"Uncle Sams Cider (11/12/2021) (Blue)")</f>
        <v>Uncle Sams Cider (11/12/2021) (Blue)</v>
      </c>
      <c r="H1021" s="19"/>
    </row>
    <row r="1022">
      <c r="A1022" s="9"/>
      <c r="B1022" s="15"/>
      <c r="C1022" s="9">
        <f>IFERROR(__xludf.DUMMYFUNCTION("""COMPUTED_VALUE"""),44594.9131759259)</f>
        <v>44594.91318</v>
      </c>
      <c r="D1022" s="15">
        <f>IFERROR(__xludf.DUMMYFUNCTION("""COMPUTED_VALUE"""),1.0)</f>
        <v>1</v>
      </c>
      <c r="E1022" s="16">
        <f>IFERROR(__xludf.DUMMYFUNCTION("""COMPUTED_VALUE"""),65.0)</f>
        <v>65</v>
      </c>
      <c r="F1022" s="19" t="str">
        <f>IFERROR(__xludf.DUMMYFUNCTION("""COMPUTED_VALUE"""),"BLUE")</f>
        <v>BLUE</v>
      </c>
      <c r="G1022" s="20" t="str">
        <f>IFERROR(__xludf.DUMMYFUNCTION("""COMPUTED_VALUE"""),"Uncle Sams Cider (11/12/2021) (Blue)")</f>
        <v>Uncle Sams Cider (11/12/2021) (Blue)</v>
      </c>
      <c r="H1022" s="19"/>
    </row>
    <row r="1023">
      <c r="A1023" s="9"/>
      <c r="B1023" s="15"/>
      <c r="C1023" s="9">
        <f>IFERROR(__xludf.DUMMYFUNCTION("""COMPUTED_VALUE"""),44594.9027543518)</f>
        <v>44594.90275</v>
      </c>
      <c r="D1023" s="15">
        <f>IFERROR(__xludf.DUMMYFUNCTION("""COMPUTED_VALUE"""),1.0)</f>
        <v>1</v>
      </c>
      <c r="E1023" s="16">
        <f>IFERROR(__xludf.DUMMYFUNCTION("""COMPUTED_VALUE"""),65.0)</f>
        <v>65</v>
      </c>
      <c r="F1023" s="19" t="str">
        <f>IFERROR(__xludf.DUMMYFUNCTION("""COMPUTED_VALUE"""),"BLUE")</f>
        <v>BLUE</v>
      </c>
      <c r="G1023" s="20" t="str">
        <f>IFERROR(__xludf.DUMMYFUNCTION("""COMPUTED_VALUE"""),"Uncle Sams Cider (11/12/2021) (Blue)")</f>
        <v>Uncle Sams Cider (11/12/2021) (Blue)</v>
      </c>
      <c r="H1023" s="19"/>
    </row>
    <row r="1024">
      <c r="A1024" s="9"/>
      <c r="B1024" s="15"/>
      <c r="C1024" s="9">
        <f>IFERROR(__xludf.DUMMYFUNCTION("""COMPUTED_VALUE"""),44594.8923221874)</f>
        <v>44594.89232</v>
      </c>
      <c r="D1024" s="15">
        <f>IFERROR(__xludf.DUMMYFUNCTION("""COMPUTED_VALUE"""),1.0)</f>
        <v>1</v>
      </c>
      <c r="E1024" s="16">
        <f>IFERROR(__xludf.DUMMYFUNCTION("""COMPUTED_VALUE"""),65.0)</f>
        <v>65</v>
      </c>
      <c r="F1024" s="19" t="str">
        <f>IFERROR(__xludf.DUMMYFUNCTION("""COMPUTED_VALUE"""),"BLUE")</f>
        <v>BLUE</v>
      </c>
      <c r="G1024" s="20" t="str">
        <f>IFERROR(__xludf.DUMMYFUNCTION("""COMPUTED_VALUE"""),"Uncle Sams Cider (11/12/2021) (Blue)")</f>
        <v>Uncle Sams Cider (11/12/2021) (Blue)</v>
      </c>
      <c r="H1024" s="19"/>
    </row>
    <row r="1025">
      <c r="A1025" s="9"/>
      <c r="B1025" s="15"/>
      <c r="C1025" s="9">
        <f>IFERROR(__xludf.DUMMYFUNCTION("""COMPUTED_VALUE"""),44594.8819011574)</f>
        <v>44594.8819</v>
      </c>
      <c r="D1025" s="15">
        <f>IFERROR(__xludf.DUMMYFUNCTION("""COMPUTED_VALUE"""),1.0)</f>
        <v>1</v>
      </c>
      <c r="E1025" s="16">
        <f>IFERROR(__xludf.DUMMYFUNCTION("""COMPUTED_VALUE"""),65.0)</f>
        <v>65</v>
      </c>
      <c r="F1025" s="19" t="str">
        <f>IFERROR(__xludf.DUMMYFUNCTION("""COMPUTED_VALUE"""),"BLUE")</f>
        <v>BLUE</v>
      </c>
      <c r="G1025" s="20" t="str">
        <f>IFERROR(__xludf.DUMMYFUNCTION("""COMPUTED_VALUE"""),"Uncle Sams Cider (11/12/2021) (Blue)")</f>
        <v>Uncle Sams Cider (11/12/2021) (Blue)</v>
      </c>
      <c r="H1025" s="19"/>
    </row>
    <row r="1026">
      <c r="A1026" s="9"/>
      <c r="B1026" s="15"/>
      <c r="C1026" s="9">
        <f>IFERROR(__xludf.DUMMYFUNCTION("""COMPUTED_VALUE"""),44594.8714796296)</f>
        <v>44594.87148</v>
      </c>
      <c r="D1026" s="15">
        <f>IFERROR(__xludf.DUMMYFUNCTION("""COMPUTED_VALUE"""),1.0)</f>
        <v>1</v>
      </c>
      <c r="E1026" s="16">
        <f>IFERROR(__xludf.DUMMYFUNCTION("""COMPUTED_VALUE"""),65.0)</f>
        <v>65</v>
      </c>
      <c r="F1026" s="19" t="str">
        <f>IFERROR(__xludf.DUMMYFUNCTION("""COMPUTED_VALUE"""),"BLUE")</f>
        <v>BLUE</v>
      </c>
      <c r="G1026" s="20" t="str">
        <f>IFERROR(__xludf.DUMMYFUNCTION("""COMPUTED_VALUE"""),"Uncle Sams Cider (11/12/2021) (Blue)")</f>
        <v>Uncle Sams Cider (11/12/2021) (Blue)</v>
      </c>
      <c r="H1026" s="19"/>
    </row>
    <row r="1027">
      <c r="A1027" s="9"/>
      <c r="B1027" s="15"/>
      <c r="C1027" s="9">
        <f>IFERROR(__xludf.DUMMYFUNCTION("""COMPUTED_VALUE"""),44594.8610586921)</f>
        <v>44594.86106</v>
      </c>
      <c r="D1027" s="15">
        <f>IFERROR(__xludf.DUMMYFUNCTION("""COMPUTED_VALUE"""),1.0)</f>
        <v>1</v>
      </c>
      <c r="E1027" s="16">
        <f>IFERROR(__xludf.DUMMYFUNCTION("""COMPUTED_VALUE"""),65.0)</f>
        <v>65</v>
      </c>
      <c r="F1027" s="19" t="str">
        <f>IFERROR(__xludf.DUMMYFUNCTION("""COMPUTED_VALUE"""),"BLUE")</f>
        <v>BLUE</v>
      </c>
      <c r="G1027" s="20" t="str">
        <f>IFERROR(__xludf.DUMMYFUNCTION("""COMPUTED_VALUE"""),"Uncle Sams Cider (11/12/2021) (Blue)")</f>
        <v>Uncle Sams Cider (11/12/2021) (Blue)</v>
      </c>
      <c r="H1027" s="19"/>
    </row>
    <row r="1028">
      <c r="A1028" s="9"/>
      <c r="B1028" s="15"/>
      <c r="C1028" s="9">
        <f>IFERROR(__xludf.DUMMYFUNCTION("""COMPUTED_VALUE"""),44594.8506268981)</f>
        <v>44594.85063</v>
      </c>
      <c r="D1028" s="15">
        <f>IFERROR(__xludf.DUMMYFUNCTION("""COMPUTED_VALUE"""),1.0)</f>
        <v>1</v>
      </c>
      <c r="E1028" s="16">
        <f>IFERROR(__xludf.DUMMYFUNCTION("""COMPUTED_VALUE"""),65.0)</f>
        <v>65</v>
      </c>
      <c r="F1028" s="19" t="str">
        <f>IFERROR(__xludf.DUMMYFUNCTION("""COMPUTED_VALUE"""),"BLUE")</f>
        <v>BLUE</v>
      </c>
      <c r="G1028" s="20" t="str">
        <f>IFERROR(__xludf.DUMMYFUNCTION("""COMPUTED_VALUE"""),"Uncle Sams Cider (11/12/2021) (Blue)")</f>
        <v>Uncle Sams Cider (11/12/2021) (Blue)</v>
      </c>
      <c r="H1028" s="19"/>
    </row>
    <row r="1029">
      <c r="A1029" s="9"/>
      <c r="B1029" s="15"/>
      <c r="C1029" s="9">
        <f>IFERROR(__xludf.DUMMYFUNCTION("""COMPUTED_VALUE"""),44594.8401704745)</f>
        <v>44594.84017</v>
      </c>
      <c r="D1029" s="15">
        <f>IFERROR(__xludf.DUMMYFUNCTION("""COMPUTED_VALUE"""),0.999)</f>
        <v>0.999</v>
      </c>
      <c r="E1029" s="16">
        <f>IFERROR(__xludf.DUMMYFUNCTION("""COMPUTED_VALUE"""),65.0)</f>
        <v>65</v>
      </c>
      <c r="F1029" s="19" t="str">
        <f>IFERROR(__xludf.DUMMYFUNCTION("""COMPUTED_VALUE"""),"BLUE")</f>
        <v>BLUE</v>
      </c>
      <c r="G1029" s="20" t="str">
        <f>IFERROR(__xludf.DUMMYFUNCTION("""COMPUTED_VALUE"""),"Uncle Sams Cider (11/12/2021) (Blue)")</f>
        <v>Uncle Sams Cider (11/12/2021) (Blue)</v>
      </c>
      <c r="H1029" s="19"/>
    </row>
    <row r="1030">
      <c r="A1030" s="9"/>
      <c r="B1030" s="15"/>
      <c r="C1030" s="9">
        <f>IFERROR(__xludf.DUMMYFUNCTION("""COMPUTED_VALUE"""),44594.8297504629)</f>
        <v>44594.82975</v>
      </c>
      <c r="D1030" s="15">
        <f>IFERROR(__xludf.DUMMYFUNCTION("""COMPUTED_VALUE"""),1.0)</f>
        <v>1</v>
      </c>
      <c r="E1030" s="16">
        <f>IFERROR(__xludf.DUMMYFUNCTION("""COMPUTED_VALUE"""),65.0)</f>
        <v>65</v>
      </c>
      <c r="F1030" s="19" t="str">
        <f>IFERROR(__xludf.DUMMYFUNCTION("""COMPUTED_VALUE"""),"BLUE")</f>
        <v>BLUE</v>
      </c>
      <c r="G1030" s="20" t="str">
        <f>IFERROR(__xludf.DUMMYFUNCTION("""COMPUTED_VALUE"""),"Uncle Sams Cider (11/12/2021) (Blue)")</f>
        <v>Uncle Sams Cider (11/12/2021) (Blue)</v>
      </c>
      <c r="H1030" s="19"/>
    </row>
    <row r="1031">
      <c r="A1031" s="9"/>
      <c r="B1031" s="15"/>
      <c r="C1031" s="9">
        <f>IFERROR(__xludf.DUMMYFUNCTION("""COMPUTED_VALUE"""),44594.8193308217)</f>
        <v>44594.81933</v>
      </c>
      <c r="D1031" s="15">
        <f>IFERROR(__xludf.DUMMYFUNCTION("""COMPUTED_VALUE"""),1.0)</f>
        <v>1</v>
      </c>
      <c r="E1031" s="16">
        <f>IFERROR(__xludf.DUMMYFUNCTION("""COMPUTED_VALUE"""),65.0)</f>
        <v>65</v>
      </c>
      <c r="F1031" s="19" t="str">
        <f>IFERROR(__xludf.DUMMYFUNCTION("""COMPUTED_VALUE"""),"BLUE")</f>
        <v>BLUE</v>
      </c>
      <c r="G1031" s="20" t="str">
        <f>IFERROR(__xludf.DUMMYFUNCTION("""COMPUTED_VALUE"""),"Uncle Sams Cider (11/12/2021) (Blue)")</f>
        <v>Uncle Sams Cider (11/12/2021) (Blue)</v>
      </c>
      <c r="H1031" s="19"/>
    </row>
    <row r="1032">
      <c r="A1032" s="9"/>
      <c r="B1032" s="15"/>
      <c r="C1032" s="9">
        <f>IFERROR(__xludf.DUMMYFUNCTION("""COMPUTED_VALUE"""),44594.8089105092)</f>
        <v>44594.80891</v>
      </c>
      <c r="D1032" s="15">
        <f>IFERROR(__xludf.DUMMYFUNCTION("""COMPUTED_VALUE"""),0.999)</f>
        <v>0.999</v>
      </c>
      <c r="E1032" s="16">
        <f>IFERROR(__xludf.DUMMYFUNCTION("""COMPUTED_VALUE"""),65.0)</f>
        <v>65</v>
      </c>
      <c r="F1032" s="19" t="str">
        <f>IFERROR(__xludf.DUMMYFUNCTION("""COMPUTED_VALUE"""),"BLUE")</f>
        <v>BLUE</v>
      </c>
      <c r="G1032" s="20" t="str">
        <f>IFERROR(__xludf.DUMMYFUNCTION("""COMPUTED_VALUE"""),"Uncle Sams Cider (11/12/2021) (Blue)")</f>
        <v>Uncle Sams Cider (11/12/2021) (Blue)</v>
      </c>
      <c r="H1032" s="19"/>
    </row>
    <row r="1033">
      <c r="A1033" s="9"/>
      <c r="B1033" s="15"/>
      <c r="C1033" s="9">
        <f>IFERROR(__xludf.DUMMYFUNCTION("""COMPUTED_VALUE"""),44594.7984772453)</f>
        <v>44594.79848</v>
      </c>
      <c r="D1033" s="15">
        <f>IFERROR(__xludf.DUMMYFUNCTION("""COMPUTED_VALUE"""),1.0)</f>
        <v>1</v>
      </c>
      <c r="E1033" s="16">
        <f>IFERROR(__xludf.DUMMYFUNCTION("""COMPUTED_VALUE"""),65.0)</f>
        <v>65</v>
      </c>
      <c r="F1033" s="19" t="str">
        <f>IFERROR(__xludf.DUMMYFUNCTION("""COMPUTED_VALUE"""),"BLUE")</f>
        <v>BLUE</v>
      </c>
      <c r="G1033" s="20" t="str">
        <f>IFERROR(__xludf.DUMMYFUNCTION("""COMPUTED_VALUE"""),"Uncle Sams Cider (11/12/2021) (Blue)")</f>
        <v>Uncle Sams Cider (11/12/2021) (Blue)</v>
      </c>
      <c r="H1033" s="19"/>
    </row>
    <row r="1034">
      <c r="A1034" s="9"/>
      <c r="B1034" s="15"/>
      <c r="C1034" s="9">
        <f>IFERROR(__xludf.DUMMYFUNCTION("""COMPUTED_VALUE"""),44594.7880556134)</f>
        <v>44594.78806</v>
      </c>
      <c r="D1034" s="15">
        <f>IFERROR(__xludf.DUMMYFUNCTION("""COMPUTED_VALUE"""),1.0)</f>
        <v>1</v>
      </c>
      <c r="E1034" s="16">
        <f>IFERROR(__xludf.DUMMYFUNCTION("""COMPUTED_VALUE"""),65.0)</f>
        <v>65</v>
      </c>
      <c r="F1034" s="19" t="str">
        <f>IFERROR(__xludf.DUMMYFUNCTION("""COMPUTED_VALUE"""),"BLUE")</f>
        <v>BLUE</v>
      </c>
      <c r="G1034" s="20" t="str">
        <f>IFERROR(__xludf.DUMMYFUNCTION("""COMPUTED_VALUE"""),"Uncle Sams Cider (11/12/2021) (Blue)")</f>
        <v>Uncle Sams Cider (11/12/2021) (Blue)</v>
      </c>
      <c r="H1034" s="19"/>
    </row>
    <row r="1035">
      <c r="A1035" s="9"/>
      <c r="B1035" s="15"/>
      <c r="C1035" s="9">
        <f>IFERROR(__xludf.DUMMYFUNCTION("""COMPUTED_VALUE"""),44594.7776339814)</f>
        <v>44594.77763</v>
      </c>
      <c r="D1035" s="15">
        <f>IFERROR(__xludf.DUMMYFUNCTION("""COMPUTED_VALUE"""),1.0)</f>
        <v>1</v>
      </c>
      <c r="E1035" s="16">
        <f>IFERROR(__xludf.DUMMYFUNCTION("""COMPUTED_VALUE"""),65.0)</f>
        <v>65</v>
      </c>
      <c r="F1035" s="19" t="str">
        <f>IFERROR(__xludf.DUMMYFUNCTION("""COMPUTED_VALUE"""),"BLUE")</f>
        <v>BLUE</v>
      </c>
      <c r="G1035" s="20" t="str">
        <f>IFERROR(__xludf.DUMMYFUNCTION("""COMPUTED_VALUE"""),"Uncle Sams Cider (11/12/2021) (Blue)")</f>
        <v>Uncle Sams Cider (11/12/2021) (Blue)</v>
      </c>
      <c r="H1035" s="19"/>
    </row>
    <row r="1036">
      <c r="A1036" s="9"/>
      <c r="B1036" s="15"/>
      <c r="C1036" s="9">
        <f>IFERROR(__xludf.DUMMYFUNCTION("""COMPUTED_VALUE"""),44594.7672145486)</f>
        <v>44594.76721</v>
      </c>
      <c r="D1036" s="15">
        <f>IFERROR(__xludf.DUMMYFUNCTION("""COMPUTED_VALUE"""),1.0)</f>
        <v>1</v>
      </c>
      <c r="E1036" s="16">
        <f>IFERROR(__xludf.DUMMYFUNCTION("""COMPUTED_VALUE"""),65.0)</f>
        <v>65</v>
      </c>
      <c r="F1036" s="19" t="str">
        <f>IFERROR(__xludf.DUMMYFUNCTION("""COMPUTED_VALUE"""),"BLUE")</f>
        <v>BLUE</v>
      </c>
      <c r="G1036" s="20" t="str">
        <f>IFERROR(__xludf.DUMMYFUNCTION("""COMPUTED_VALUE"""),"Uncle Sams Cider (11/12/2021) (Blue)")</f>
        <v>Uncle Sams Cider (11/12/2021) (Blue)</v>
      </c>
      <c r="H1036" s="19"/>
    </row>
    <row r="1037">
      <c r="A1037" s="9"/>
      <c r="B1037" s="15"/>
      <c r="C1037" s="9">
        <f>IFERROR(__xludf.DUMMYFUNCTION("""COMPUTED_VALUE"""),44594.756793125)</f>
        <v>44594.75679</v>
      </c>
      <c r="D1037" s="15">
        <f>IFERROR(__xludf.DUMMYFUNCTION("""COMPUTED_VALUE"""),1.0)</f>
        <v>1</v>
      </c>
      <c r="E1037" s="16">
        <f>IFERROR(__xludf.DUMMYFUNCTION("""COMPUTED_VALUE"""),65.0)</f>
        <v>65</v>
      </c>
      <c r="F1037" s="19" t="str">
        <f>IFERROR(__xludf.DUMMYFUNCTION("""COMPUTED_VALUE"""),"BLUE")</f>
        <v>BLUE</v>
      </c>
      <c r="G1037" s="20" t="str">
        <f>IFERROR(__xludf.DUMMYFUNCTION("""COMPUTED_VALUE"""),"Uncle Sams Cider (11/12/2021) (Blue)")</f>
        <v>Uncle Sams Cider (11/12/2021) (Blue)</v>
      </c>
      <c r="H1037" s="19"/>
    </row>
    <row r="1038">
      <c r="A1038" s="9"/>
      <c r="B1038" s="15"/>
      <c r="C1038" s="9">
        <f>IFERROR(__xludf.DUMMYFUNCTION("""COMPUTED_VALUE"""),44594.7463721643)</f>
        <v>44594.74637</v>
      </c>
      <c r="D1038" s="15">
        <f>IFERROR(__xludf.DUMMYFUNCTION("""COMPUTED_VALUE"""),1.0)</f>
        <v>1</v>
      </c>
      <c r="E1038" s="16">
        <f>IFERROR(__xludf.DUMMYFUNCTION("""COMPUTED_VALUE"""),65.0)</f>
        <v>65</v>
      </c>
      <c r="F1038" s="19" t="str">
        <f>IFERROR(__xludf.DUMMYFUNCTION("""COMPUTED_VALUE"""),"BLUE")</f>
        <v>BLUE</v>
      </c>
      <c r="G1038" s="20" t="str">
        <f>IFERROR(__xludf.DUMMYFUNCTION("""COMPUTED_VALUE"""),"Uncle Sams Cider (11/12/2021) (Blue)")</f>
        <v>Uncle Sams Cider (11/12/2021) (Blue)</v>
      </c>
      <c r="H1038" s="19"/>
    </row>
    <row r="1039">
      <c r="A1039" s="9"/>
      <c r="B1039" s="15"/>
      <c r="C1039" s="9">
        <f>IFERROR(__xludf.DUMMYFUNCTION("""COMPUTED_VALUE"""),44594.7359416319)</f>
        <v>44594.73594</v>
      </c>
      <c r="D1039" s="15">
        <f>IFERROR(__xludf.DUMMYFUNCTION("""COMPUTED_VALUE"""),1.0)</f>
        <v>1</v>
      </c>
      <c r="E1039" s="16">
        <f>IFERROR(__xludf.DUMMYFUNCTION("""COMPUTED_VALUE"""),65.0)</f>
        <v>65</v>
      </c>
      <c r="F1039" s="19" t="str">
        <f>IFERROR(__xludf.DUMMYFUNCTION("""COMPUTED_VALUE"""),"BLUE")</f>
        <v>BLUE</v>
      </c>
      <c r="G1039" s="20" t="str">
        <f>IFERROR(__xludf.DUMMYFUNCTION("""COMPUTED_VALUE"""),"Uncle Sams Cider (11/12/2021) (Blue)")</f>
        <v>Uncle Sams Cider (11/12/2021) (Blue)</v>
      </c>
      <c r="H1039" s="19"/>
    </row>
    <row r="1040">
      <c r="A1040" s="9"/>
      <c r="B1040" s="15"/>
      <c r="C1040" s="9">
        <f>IFERROR(__xludf.DUMMYFUNCTION("""COMPUTED_VALUE"""),44594.7255188194)</f>
        <v>44594.72552</v>
      </c>
      <c r="D1040" s="15">
        <f>IFERROR(__xludf.DUMMYFUNCTION("""COMPUTED_VALUE"""),1.0)</f>
        <v>1</v>
      </c>
      <c r="E1040" s="16">
        <f>IFERROR(__xludf.DUMMYFUNCTION("""COMPUTED_VALUE"""),65.0)</f>
        <v>65</v>
      </c>
      <c r="F1040" s="19" t="str">
        <f>IFERROR(__xludf.DUMMYFUNCTION("""COMPUTED_VALUE"""),"BLUE")</f>
        <v>BLUE</v>
      </c>
      <c r="G1040" s="20" t="str">
        <f>IFERROR(__xludf.DUMMYFUNCTION("""COMPUTED_VALUE"""),"Uncle Sams Cider (11/12/2021) (Blue)")</f>
        <v>Uncle Sams Cider (11/12/2021) (Blue)</v>
      </c>
      <c r="H1040" s="19"/>
    </row>
    <row r="1041">
      <c r="A1041" s="9"/>
      <c r="B1041" s="15"/>
      <c r="C1041" s="9">
        <f>IFERROR(__xludf.DUMMYFUNCTION("""COMPUTED_VALUE"""),44594.7150985879)</f>
        <v>44594.7151</v>
      </c>
      <c r="D1041" s="15">
        <f>IFERROR(__xludf.DUMMYFUNCTION("""COMPUTED_VALUE"""),1.0)</f>
        <v>1</v>
      </c>
      <c r="E1041" s="16">
        <f>IFERROR(__xludf.DUMMYFUNCTION("""COMPUTED_VALUE"""),65.0)</f>
        <v>65</v>
      </c>
      <c r="F1041" s="19" t="str">
        <f>IFERROR(__xludf.DUMMYFUNCTION("""COMPUTED_VALUE"""),"BLUE")</f>
        <v>BLUE</v>
      </c>
      <c r="G1041" s="20" t="str">
        <f>IFERROR(__xludf.DUMMYFUNCTION("""COMPUTED_VALUE"""),"Uncle Sams Cider (11/12/2021) (Blue)")</f>
        <v>Uncle Sams Cider (11/12/2021) (Blue)</v>
      </c>
      <c r="H1041" s="19"/>
    </row>
    <row r="1042">
      <c r="A1042" s="9"/>
      <c r="B1042" s="15"/>
      <c r="C1042" s="9">
        <f>IFERROR(__xludf.DUMMYFUNCTION("""COMPUTED_VALUE"""),44594.7046770254)</f>
        <v>44594.70468</v>
      </c>
      <c r="D1042" s="15">
        <f>IFERROR(__xludf.DUMMYFUNCTION("""COMPUTED_VALUE"""),1.0)</f>
        <v>1</v>
      </c>
      <c r="E1042" s="16">
        <f>IFERROR(__xludf.DUMMYFUNCTION("""COMPUTED_VALUE"""),65.0)</f>
        <v>65</v>
      </c>
      <c r="F1042" s="19" t="str">
        <f>IFERROR(__xludf.DUMMYFUNCTION("""COMPUTED_VALUE"""),"BLUE")</f>
        <v>BLUE</v>
      </c>
      <c r="G1042" s="20" t="str">
        <f>IFERROR(__xludf.DUMMYFUNCTION("""COMPUTED_VALUE"""),"Uncle Sams Cider (11/12/2021) (Blue)")</f>
        <v>Uncle Sams Cider (11/12/2021) (Blue)</v>
      </c>
      <c r="H1042" s="19"/>
    </row>
    <row r="1043">
      <c r="A1043" s="9"/>
      <c r="B1043" s="15"/>
      <c r="C1043" s="9">
        <f>IFERROR(__xludf.DUMMYFUNCTION("""COMPUTED_VALUE"""),44594.6942466088)</f>
        <v>44594.69425</v>
      </c>
      <c r="D1043" s="15">
        <f>IFERROR(__xludf.DUMMYFUNCTION("""COMPUTED_VALUE"""),1.0)</f>
        <v>1</v>
      </c>
      <c r="E1043" s="16">
        <f>IFERROR(__xludf.DUMMYFUNCTION("""COMPUTED_VALUE"""),65.0)</f>
        <v>65</v>
      </c>
      <c r="F1043" s="19" t="str">
        <f>IFERROR(__xludf.DUMMYFUNCTION("""COMPUTED_VALUE"""),"BLUE")</f>
        <v>BLUE</v>
      </c>
      <c r="G1043" s="20" t="str">
        <f>IFERROR(__xludf.DUMMYFUNCTION("""COMPUTED_VALUE"""),"Uncle Sams Cider (11/12/2021) (Blue)")</f>
        <v>Uncle Sams Cider (11/12/2021) (Blue)</v>
      </c>
      <c r="H1043" s="19"/>
    </row>
    <row r="1044">
      <c r="A1044" s="9"/>
      <c r="B1044" s="15"/>
      <c r="C1044" s="9">
        <f>IFERROR(__xludf.DUMMYFUNCTION("""COMPUTED_VALUE"""),44594.6838237384)</f>
        <v>44594.68382</v>
      </c>
      <c r="D1044" s="15">
        <f>IFERROR(__xludf.DUMMYFUNCTION("""COMPUTED_VALUE"""),1.0)</f>
        <v>1</v>
      </c>
      <c r="E1044" s="16">
        <f>IFERROR(__xludf.DUMMYFUNCTION("""COMPUTED_VALUE"""),65.0)</f>
        <v>65</v>
      </c>
      <c r="F1044" s="19" t="str">
        <f>IFERROR(__xludf.DUMMYFUNCTION("""COMPUTED_VALUE"""),"BLUE")</f>
        <v>BLUE</v>
      </c>
      <c r="G1044" s="20" t="str">
        <f>IFERROR(__xludf.DUMMYFUNCTION("""COMPUTED_VALUE"""),"Uncle Sams Cider (11/12/2021) (Blue)")</f>
        <v>Uncle Sams Cider (11/12/2021) (Blue)</v>
      </c>
      <c r="H1044" s="19"/>
    </row>
    <row r="1045">
      <c r="A1045" s="9"/>
      <c r="B1045" s="15"/>
      <c r="C1045" s="9">
        <f>IFERROR(__xludf.DUMMYFUNCTION("""COMPUTED_VALUE"""),44594.6733916319)</f>
        <v>44594.67339</v>
      </c>
      <c r="D1045" s="15">
        <f>IFERROR(__xludf.DUMMYFUNCTION("""COMPUTED_VALUE"""),0.999)</f>
        <v>0.999</v>
      </c>
      <c r="E1045" s="16">
        <f>IFERROR(__xludf.DUMMYFUNCTION("""COMPUTED_VALUE"""),66.0)</f>
        <v>66</v>
      </c>
      <c r="F1045" s="19" t="str">
        <f>IFERROR(__xludf.DUMMYFUNCTION("""COMPUTED_VALUE"""),"BLUE")</f>
        <v>BLUE</v>
      </c>
      <c r="G1045" s="20" t="str">
        <f>IFERROR(__xludf.DUMMYFUNCTION("""COMPUTED_VALUE"""),"Uncle Sams Cider (11/12/2021) (Blue)")</f>
        <v>Uncle Sams Cider (11/12/2021) (Blue)</v>
      </c>
      <c r="H1045" s="19"/>
    </row>
    <row r="1046">
      <c r="A1046" s="9"/>
      <c r="B1046" s="15"/>
      <c r="C1046" s="9">
        <f>IFERROR(__xludf.DUMMYFUNCTION("""COMPUTED_VALUE"""),44594.6629595138)</f>
        <v>44594.66296</v>
      </c>
      <c r="D1046" s="15">
        <f>IFERROR(__xludf.DUMMYFUNCTION("""COMPUTED_VALUE"""),1.0)</f>
        <v>1</v>
      </c>
      <c r="E1046" s="16">
        <f>IFERROR(__xludf.DUMMYFUNCTION("""COMPUTED_VALUE"""),66.0)</f>
        <v>66</v>
      </c>
      <c r="F1046" s="19" t="str">
        <f>IFERROR(__xludf.DUMMYFUNCTION("""COMPUTED_VALUE"""),"BLUE")</f>
        <v>BLUE</v>
      </c>
      <c r="G1046" s="20" t="str">
        <f>IFERROR(__xludf.DUMMYFUNCTION("""COMPUTED_VALUE"""),"Uncle Sams Cider (11/12/2021) (Blue)")</f>
        <v>Uncle Sams Cider (11/12/2021) (Blue)</v>
      </c>
      <c r="H1046" s="19"/>
    </row>
    <row r="1047">
      <c r="A1047" s="9"/>
      <c r="B1047" s="15"/>
      <c r="C1047" s="9">
        <f>IFERROR(__xludf.DUMMYFUNCTION("""COMPUTED_VALUE"""),44594.652539155)</f>
        <v>44594.65254</v>
      </c>
      <c r="D1047" s="15">
        <f>IFERROR(__xludf.DUMMYFUNCTION("""COMPUTED_VALUE"""),1.0)</f>
        <v>1</v>
      </c>
      <c r="E1047" s="16">
        <f>IFERROR(__xludf.DUMMYFUNCTION("""COMPUTED_VALUE"""),66.0)</f>
        <v>66</v>
      </c>
      <c r="F1047" s="19" t="str">
        <f>IFERROR(__xludf.DUMMYFUNCTION("""COMPUTED_VALUE"""),"BLUE")</f>
        <v>BLUE</v>
      </c>
      <c r="G1047" s="20" t="str">
        <f>IFERROR(__xludf.DUMMYFUNCTION("""COMPUTED_VALUE"""),"Uncle Sams Cider (11/12/2021) (Blue)")</f>
        <v>Uncle Sams Cider (11/12/2021) (Blue)</v>
      </c>
      <c r="H1047" s="19"/>
    </row>
    <row r="1048">
      <c r="A1048" s="9"/>
      <c r="B1048" s="15"/>
      <c r="C1048" s="9">
        <f>IFERROR(__xludf.DUMMYFUNCTION("""COMPUTED_VALUE"""),44594.6420945949)</f>
        <v>44594.64209</v>
      </c>
      <c r="D1048" s="15">
        <f>IFERROR(__xludf.DUMMYFUNCTION("""COMPUTED_VALUE"""),1.0)</f>
        <v>1</v>
      </c>
      <c r="E1048" s="16">
        <f>IFERROR(__xludf.DUMMYFUNCTION("""COMPUTED_VALUE"""),66.0)</f>
        <v>66</v>
      </c>
      <c r="F1048" s="19" t="str">
        <f>IFERROR(__xludf.DUMMYFUNCTION("""COMPUTED_VALUE"""),"BLUE")</f>
        <v>BLUE</v>
      </c>
      <c r="G1048" s="20" t="str">
        <f>IFERROR(__xludf.DUMMYFUNCTION("""COMPUTED_VALUE"""),"Uncle Sams Cider (11/12/2021) (Blue)")</f>
        <v>Uncle Sams Cider (11/12/2021) (Blue)</v>
      </c>
      <c r="H1048" s="19"/>
    </row>
    <row r="1049">
      <c r="A1049" s="9"/>
      <c r="B1049" s="15"/>
      <c r="C1049" s="9">
        <f>IFERROR(__xludf.DUMMYFUNCTION("""COMPUTED_VALUE"""),44594.6316618634)</f>
        <v>44594.63166</v>
      </c>
      <c r="D1049" s="15">
        <f>IFERROR(__xludf.DUMMYFUNCTION("""COMPUTED_VALUE"""),1.0)</f>
        <v>1</v>
      </c>
      <c r="E1049" s="16">
        <f>IFERROR(__xludf.DUMMYFUNCTION("""COMPUTED_VALUE"""),66.0)</f>
        <v>66</v>
      </c>
      <c r="F1049" s="19" t="str">
        <f>IFERROR(__xludf.DUMMYFUNCTION("""COMPUTED_VALUE"""),"BLUE")</f>
        <v>BLUE</v>
      </c>
      <c r="G1049" s="20" t="str">
        <f>IFERROR(__xludf.DUMMYFUNCTION("""COMPUTED_VALUE"""),"Uncle Sams Cider (11/12/2021) (Blue)")</f>
        <v>Uncle Sams Cider (11/12/2021) (Blue)</v>
      </c>
      <c r="H1049" s="19"/>
    </row>
    <row r="1050">
      <c r="A1050" s="9"/>
      <c r="B1050" s="15"/>
      <c r="C1050" s="9">
        <f>IFERROR(__xludf.DUMMYFUNCTION("""COMPUTED_VALUE"""),44594.6212412962)</f>
        <v>44594.62124</v>
      </c>
      <c r="D1050" s="15">
        <f>IFERROR(__xludf.DUMMYFUNCTION("""COMPUTED_VALUE"""),0.999)</f>
        <v>0.999</v>
      </c>
      <c r="E1050" s="16">
        <f>IFERROR(__xludf.DUMMYFUNCTION("""COMPUTED_VALUE"""),66.0)</f>
        <v>66</v>
      </c>
      <c r="F1050" s="19" t="str">
        <f>IFERROR(__xludf.DUMMYFUNCTION("""COMPUTED_VALUE"""),"BLUE")</f>
        <v>BLUE</v>
      </c>
      <c r="G1050" s="20" t="str">
        <f>IFERROR(__xludf.DUMMYFUNCTION("""COMPUTED_VALUE"""),"Uncle Sams Cider (11/12/2021) (Blue)")</f>
        <v>Uncle Sams Cider (11/12/2021) (Blue)</v>
      </c>
      <c r="H1050" s="19"/>
    </row>
    <row r="1051">
      <c r="A1051" s="9"/>
      <c r="B1051" s="15"/>
      <c r="C1051" s="9">
        <f>IFERROR(__xludf.DUMMYFUNCTION("""COMPUTED_VALUE"""),44594.6108208912)</f>
        <v>44594.61082</v>
      </c>
      <c r="D1051" s="15">
        <f>IFERROR(__xludf.DUMMYFUNCTION("""COMPUTED_VALUE"""),1.0)</f>
        <v>1</v>
      </c>
      <c r="E1051" s="16">
        <f>IFERROR(__xludf.DUMMYFUNCTION("""COMPUTED_VALUE"""),66.0)</f>
        <v>66</v>
      </c>
      <c r="F1051" s="19" t="str">
        <f>IFERROR(__xludf.DUMMYFUNCTION("""COMPUTED_VALUE"""),"BLUE")</f>
        <v>BLUE</v>
      </c>
      <c r="G1051" s="20" t="str">
        <f>IFERROR(__xludf.DUMMYFUNCTION("""COMPUTED_VALUE"""),"Uncle Sams Cider (11/12/2021) (Blue)")</f>
        <v>Uncle Sams Cider (11/12/2021) (Blue)</v>
      </c>
      <c r="H1051" s="19"/>
    </row>
    <row r="1052">
      <c r="A1052" s="9"/>
      <c r="B1052" s="15"/>
      <c r="C1052" s="9">
        <f>IFERROR(__xludf.DUMMYFUNCTION("""COMPUTED_VALUE"""),44594.6004010069)</f>
        <v>44594.6004</v>
      </c>
      <c r="D1052" s="15">
        <f>IFERROR(__xludf.DUMMYFUNCTION("""COMPUTED_VALUE"""),1.0)</f>
        <v>1</v>
      </c>
      <c r="E1052" s="16">
        <f>IFERROR(__xludf.DUMMYFUNCTION("""COMPUTED_VALUE"""),66.0)</f>
        <v>66</v>
      </c>
      <c r="F1052" s="19" t="str">
        <f>IFERROR(__xludf.DUMMYFUNCTION("""COMPUTED_VALUE"""),"BLUE")</f>
        <v>BLUE</v>
      </c>
      <c r="G1052" s="20" t="str">
        <f>IFERROR(__xludf.DUMMYFUNCTION("""COMPUTED_VALUE"""),"Uncle Sams Cider (11/12/2021) (Blue)")</f>
        <v>Uncle Sams Cider (11/12/2021) (Blue)</v>
      </c>
      <c r="H1052" s="19"/>
    </row>
    <row r="1053">
      <c r="A1053" s="9"/>
      <c r="B1053" s="15"/>
      <c r="C1053" s="9">
        <f>IFERROR(__xludf.DUMMYFUNCTION("""COMPUTED_VALUE"""),44594.5899788194)</f>
        <v>44594.58998</v>
      </c>
      <c r="D1053" s="15">
        <f>IFERROR(__xludf.DUMMYFUNCTION("""COMPUTED_VALUE"""),1.0)</f>
        <v>1</v>
      </c>
      <c r="E1053" s="16">
        <f>IFERROR(__xludf.DUMMYFUNCTION("""COMPUTED_VALUE"""),66.0)</f>
        <v>66</v>
      </c>
      <c r="F1053" s="19" t="str">
        <f>IFERROR(__xludf.DUMMYFUNCTION("""COMPUTED_VALUE"""),"BLUE")</f>
        <v>BLUE</v>
      </c>
      <c r="G1053" s="20" t="str">
        <f>IFERROR(__xludf.DUMMYFUNCTION("""COMPUTED_VALUE"""),"Uncle Sams Cider (11/12/2021) (Blue)")</f>
        <v>Uncle Sams Cider (11/12/2021) (Blue)</v>
      </c>
      <c r="H1053" s="19"/>
    </row>
    <row r="1054">
      <c r="A1054" s="9"/>
      <c r="B1054" s="15"/>
      <c r="C1054" s="9">
        <f>IFERROR(__xludf.DUMMYFUNCTION("""COMPUTED_VALUE"""),44594.5795582291)</f>
        <v>44594.57956</v>
      </c>
      <c r="D1054" s="15">
        <f>IFERROR(__xludf.DUMMYFUNCTION("""COMPUTED_VALUE"""),1.0)</f>
        <v>1</v>
      </c>
      <c r="E1054" s="16">
        <f>IFERROR(__xludf.DUMMYFUNCTION("""COMPUTED_VALUE"""),66.0)</f>
        <v>66</v>
      </c>
      <c r="F1054" s="19" t="str">
        <f>IFERROR(__xludf.DUMMYFUNCTION("""COMPUTED_VALUE"""),"BLUE")</f>
        <v>BLUE</v>
      </c>
      <c r="G1054" s="20" t="str">
        <f>IFERROR(__xludf.DUMMYFUNCTION("""COMPUTED_VALUE"""),"Uncle Sams Cider (11/12/2021) (Blue)")</f>
        <v>Uncle Sams Cider (11/12/2021) (Blue)</v>
      </c>
      <c r="H1054" s="19"/>
    </row>
    <row r="1055">
      <c r="A1055" s="9"/>
      <c r="B1055" s="15"/>
      <c r="C1055" s="9">
        <f>IFERROR(__xludf.DUMMYFUNCTION("""COMPUTED_VALUE"""),44594.569136412)</f>
        <v>44594.56914</v>
      </c>
      <c r="D1055" s="15">
        <f>IFERROR(__xludf.DUMMYFUNCTION("""COMPUTED_VALUE"""),1.0)</f>
        <v>1</v>
      </c>
      <c r="E1055" s="16">
        <f>IFERROR(__xludf.DUMMYFUNCTION("""COMPUTED_VALUE"""),66.0)</f>
        <v>66</v>
      </c>
      <c r="F1055" s="19" t="str">
        <f>IFERROR(__xludf.DUMMYFUNCTION("""COMPUTED_VALUE"""),"BLUE")</f>
        <v>BLUE</v>
      </c>
      <c r="G1055" s="20" t="str">
        <f>IFERROR(__xludf.DUMMYFUNCTION("""COMPUTED_VALUE"""),"Uncle Sams Cider (11/12/2021) (Blue)")</f>
        <v>Uncle Sams Cider (11/12/2021) (Blue)</v>
      </c>
      <c r="H1055" s="19"/>
    </row>
    <row r="1056">
      <c r="A1056" s="9"/>
      <c r="B1056" s="15"/>
      <c r="C1056" s="9">
        <f>IFERROR(__xludf.DUMMYFUNCTION("""COMPUTED_VALUE"""),44594.5587041782)</f>
        <v>44594.5587</v>
      </c>
      <c r="D1056" s="15">
        <f>IFERROR(__xludf.DUMMYFUNCTION("""COMPUTED_VALUE"""),1.0)</f>
        <v>1</v>
      </c>
      <c r="E1056" s="16">
        <f>IFERROR(__xludf.DUMMYFUNCTION("""COMPUTED_VALUE"""),66.0)</f>
        <v>66</v>
      </c>
      <c r="F1056" s="19" t="str">
        <f>IFERROR(__xludf.DUMMYFUNCTION("""COMPUTED_VALUE"""),"BLUE")</f>
        <v>BLUE</v>
      </c>
      <c r="G1056" s="20" t="str">
        <f>IFERROR(__xludf.DUMMYFUNCTION("""COMPUTED_VALUE"""),"Uncle Sams Cider (11/12/2021) (Blue)")</f>
        <v>Uncle Sams Cider (11/12/2021) (Blue)</v>
      </c>
      <c r="H1056" s="19"/>
    </row>
    <row r="1057">
      <c r="A1057" s="9"/>
      <c r="B1057" s="15"/>
      <c r="C1057" s="9">
        <f>IFERROR(__xludf.DUMMYFUNCTION("""COMPUTED_VALUE"""),44594.5482823379)</f>
        <v>44594.54828</v>
      </c>
      <c r="D1057" s="15">
        <f>IFERROR(__xludf.DUMMYFUNCTION("""COMPUTED_VALUE"""),1.0)</f>
        <v>1</v>
      </c>
      <c r="E1057" s="16">
        <f>IFERROR(__xludf.DUMMYFUNCTION("""COMPUTED_VALUE"""),66.0)</f>
        <v>66</v>
      </c>
      <c r="F1057" s="19" t="str">
        <f>IFERROR(__xludf.DUMMYFUNCTION("""COMPUTED_VALUE"""),"BLUE")</f>
        <v>BLUE</v>
      </c>
      <c r="G1057" s="20" t="str">
        <f>IFERROR(__xludf.DUMMYFUNCTION("""COMPUTED_VALUE"""),"Uncle Sams Cider (11/12/2021) (Blue)")</f>
        <v>Uncle Sams Cider (11/12/2021) (Blue)</v>
      </c>
      <c r="H1057" s="19"/>
    </row>
    <row r="1058">
      <c r="A1058" s="9"/>
      <c r="B1058" s="15"/>
      <c r="C1058" s="9">
        <f>IFERROR(__xludf.DUMMYFUNCTION("""COMPUTED_VALUE"""),44594.5378484953)</f>
        <v>44594.53785</v>
      </c>
      <c r="D1058" s="15">
        <f>IFERROR(__xludf.DUMMYFUNCTION("""COMPUTED_VALUE"""),1.0)</f>
        <v>1</v>
      </c>
      <c r="E1058" s="16">
        <f>IFERROR(__xludf.DUMMYFUNCTION("""COMPUTED_VALUE"""),66.0)</f>
        <v>66</v>
      </c>
      <c r="F1058" s="19" t="str">
        <f>IFERROR(__xludf.DUMMYFUNCTION("""COMPUTED_VALUE"""),"BLUE")</f>
        <v>BLUE</v>
      </c>
      <c r="G1058" s="20" t="str">
        <f>IFERROR(__xludf.DUMMYFUNCTION("""COMPUTED_VALUE"""),"Uncle Sams Cider (11/12/2021) (Blue)")</f>
        <v>Uncle Sams Cider (11/12/2021) (Blue)</v>
      </c>
      <c r="H1058" s="19"/>
    </row>
    <row r="1059">
      <c r="A1059" s="9"/>
      <c r="B1059" s="15"/>
      <c r="C1059" s="9">
        <f>IFERROR(__xludf.DUMMYFUNCTION("""COMPUTED_VALUE"""),44594.5274268055)</f>
        <v>44594.52743</v>
      </c>
      <c r="D1059" s="15">
        <f>IFERROR(__xludf.DUMMYFUNCTION("""COMPUTED_VALUE"""),1.0)</f>
        <v>1</v>
      </c>
      <c r="E1059" s="16">
        <f>IFERROR(__xludf.DUMMYFUNCTION("""COMPUTED_VALUE"""),66.0)</f>
        <v>66</v>
      </c>
      <c r="F1059" s="19" t="str">
        <f>IFERROR(__xludf.DUMMYFUNCTION("""COMPUTED_VALUE"""),"BLUE")</f>
        <v>BLUE</v>
      </c>
      <c r="G1059" s="20" t="str">
        <f>IFERROR(__xludf.DUMMYFUNCTION("""COMPUTED_VALUE"""),"Uncle Sams Cider (11/12/2021) (Blue)")</f>
        <v>Uncle Sams Cider (11/12/2021) (Blue)</v>
      </c>
      <c r="H1059" s="19"/>
    </row>
    <row r="1060">
      <c r="A1060" s="9"/>
      <c r="B1060" s="15"/>
      <c r="C1060" s="9">
        <f>IFERROR(__xludf.DUMMYFUNCTION("""COMPUTED_VALUE"""),44594.5170053819)</f>
        <v>44594.51701</v>
      </c>
      <c r="D1060" s="15">
        <f>IFERROR(__xludf.DUMMYFUNCTION("""COMPUTED_VALUE"""),1.0)</f>
        <v>1</v>
      </c>
      <c r="E1060" s="16">
        <f>IFERROR(__xludf.DUMMYFUNCTION("""COMPUTED_VALUE"""),66.0)</f>
        <v>66</v>
      </c>
      <c r="F1060" s="19" t="str">
        <f>IFERROR(__xludf.DUMMYFUNCTION("""COMPUTED_VALUE"""),"BLUE")</f>
        <v>BLUE</v>
      </c>
      <c r="G1060" s="20" t="str">
        <f>IFERROR(__xludf.DUMMYFUNCTION("""COMPUTED_VALUE"""),"Uncle Sams Cider (11/12/2021) (Blue)")</f>
        <v>Uncle Sams Cider (11/12/2021) (Blue)</v>
      </c>
      <c r="H1060" s="19"/>
    </row>
    <row r="1061">
      <c r="A1061" s="9"/>
      <c r="B1061" s="15"/>
      <c r="C1061" s="9">
        <f>IFERROR(__xludf.DUMMYFUNCTION("""COMPUTED_VALUE"""),44594.5065830208)</f>
        <v>44594.50658</v>
      </c>
      <c r="D1061" s="15">
        <f>IFERROR(__xludf.DUMMYFUNCTION("""COMPUTED_VALUE"""),0.999)</f>
        <v>0.999</v>
      </c>
      <c r="E1061" s="16">
        <f>IFERROR(__xludf.DUMMYFUNCTION("""COMPUTED_VALUE"""),66.0)</f>
        <v>66</v>
      </c>
      <c r="F1061" s="19" t="str">
        <f>IFERROR(__xludf.DUMMYFUNCTION("""COMPUTED_VALUE"""),"BLUE")</f>
        <v>BLUE</v>
      </c>
      <c r="G1061" s="20" t="str">
        <f>IFERROR(__xludf.DUMMYFUNCTION("""COMPUTED_VALUE"""),"Uncle Sams Cider (11/12/2021) (Blue)")</f>
        <v>Uncle Sams Cider (11/12/2021) (Blue)</v>
      </c>
      <c r="H1061" s="19"/>
    </row>
    <row r="1062">
      <c r="A1062" s="9"/>
      <c r="B1062" s="15"/>
      <c r="C1062" s="9">
        <f>IFERROR(__xludf.DUMMYFUNCTION("""COMPUTED_VALUE"""),44594.4961617708)</f>
        <v>44594.49616</v>
      </c>
      <c r="D1062" s="15">
        <f>IFERROR(__xludf.DUMMYFUNCTION("""COMPUTED_VALUE"""),1.0)</f>
        <v>1</v>
      </c>
      <c r="E1062" s="16">
        <f>IFERROR(__xludf.DUMMYFUNCTION("""COMPUTED_VALUE"""),66.0)</f>
        <v>66</v>
      </c>
      <c r="F1062" s="19" t="str">
        <f>IFERROR(__xludf.DUMMYFUNCTION("""COMPUTED_VALUE"""),"BLUE")</f>
        <v>BLUE</v>
      </c>
      <c r="G1062" s="20" t="str">
        <f>IFERROR(__xludf.DUMMYFUNCTION("""COMPUTED_VALUE"""),"Uncle Sams Cider (11/12/2021) (Blue)")</f>
        <v>Uncle Sams Cider (11/12/2021) (Blue)</v>
      </c>
      <c r="H1062" s="19"/>
    </row>
    <row r="1063">
      <c r="A1063" s="9"/>
      <c r="B1063" s="15"/>
      <c r="C1063" s="9">
        <f>IFERROR(__xludf.DUMMYFUNCTION("""COMPUTED_VALUE"""),44594.4857399768)</f>
        <v>44594.48574</v>
      </c>
      <c r="D1063" s="15">
        <f>IFERROR(__xludf.DUMMYFUNCTION("""COMPUTED_VALUE"""),1.0)</f>
        <v>1</v>
      </c>
      <c r="E1063" s="16">
        <f>IFERROR(__xludf.DUMMYFUNCTION("""COMPUTED_VALUE"""),66.0)</f>
        <v>66</v>
      </c>
      <c r="F1063" s="19" t="str">
        <f>IFERROR(__xludf.DUMMYFUNCTION("""COMPUTED_VALUE"""),"BLUE")</f>
        <v>BLUE</v>
      </c>
      <c r="G1063" s="20" t="str">
        <f>IFERROR(__xludf.DUMMYFUNCTION("""COMPUTED_VALUE"""),"Uncle Sams Cider (11/12/2021) (Blue)")</f>
        <v>Uncle Sams Cider (11/12/2021) (Blue)</v>
      </c>
      <c r="H1063" s="19"/>
    </row>
    <row r="1064">
      <c r="A1064" s="9"/>
      <c r="B1064" s="15"/>
      <c r="C1064" s="9">
        <f>IFERROR(__xludf.DUMMYFUNCTION("""COMPUTED_VALUE"""),44594.47531853)</f>
        <v>44594.47532</v>
      </c>
      <c r="D1064" s="15">
        <f>IFERROR(__xludf.DUMMYFUNCTION("""COMPUTED_VALUE"""),1.0)</f>
        <v>1</v>
      </c>
      <c r="E1064" s="16">
        <f>IFERROR(__xludf.DUMMYFUNCTION("""COMPUTED_VALUE"""),66.0)</f>
        <v>66</v>
      </c>
      <c r="F1064" s="19" t="str">
        <f>IFERROR(__xludf.DUMMYFUNCTION("""COMPUTED_VALUE"""),"BLUE")</f>
        <v>BLUE</v>
      </c>
      <c r="G1064" s="20" t="str">
        <f>IFERROR(__xludf.DUMMYFUNCTION("""COMPUTED_VALUE"""),"Uncle Sams Cider (11/12/2021) (Blue)")</f>
        <v>Uncle Sams Cider (11/12/2021) (Blue)</v>
      </c>
      <c r="H1064" s="19"/>
    </row>
    <row r="1065">
      <c r="A1065" s="9"/>
      <c r="B1065" s="15"/>
      <c r="C1065" s="9">
        <f>IFERROR(__xludf.DUMMYFUNCTION("""COMPUTED_VALUE"""),44594.4648954861)</f>
        <v>44594.4649</v>
      </c>
      <c r="D1065" s="15">
        <f>IFERROR(__xludf.DUMMYFUNCTION("""COMPUTED_VALUE"""),0.999)</f>
        <v>0.999</v>
      </c>
      <c r="E1065" s="16">
        <f>IFERROR(__xludf.DUMMYFUNCTION("""COMPUTED_VALUE"""),66.0)</f>
        <v>66</v>
      </c>
      <c r="F1065" s="19" t="str">
        <f>IFERROR(__xludf.DUMMYFUNCTION("""COMPUTED_VALUE"""),"BLUE")</f>
        <v>BLUE</v>
      </c>
      <c r="G1065" s="20" t="str">
        <f>IFERROR(__xludf.DUMMYFUNCTION("""COMPUTED_VALUE"""),"Uncle Sams Cider (11/12/2021) (Blue)")</f>
        <v>Uncle Sams Cider (11/12/2021) (Blue)</v>
      </c>
      <c r="H1065" s="19"/>
    </row>
    <row r="1066">
      <c r="A1066" s="9"/>
      <c r="B1066" s="15"/>
      <c r="C1066" s="9">
        <f>IFERROR(__xludf.DUMMYFUNCTION("""COMPUTED_VALUE"""),44594.4544748726)</f>
        <v>44594.45447</v>
      </c>
      <c r="D1066" s="15">
        <f>IFERROR(__xludf.DUMMYFUNCTION("""COMPUTED_VALUE"""),1.0)</f>
        <v>1</v>
      </c>
      <c r="E1066" s="16">
        <f>IFERROR(__xludf.DUMMYFUNCTION("""COMPUTED_VALUE"""),66.0)</f>
        <v>66</v>
      </c>
      <c r="F1066" s="19" t="str">
        <f>IFERROR(__xludf.DUMMYFUNCTION("""COMPUTED_VALUE"""),"BLUE")</f>
        <v>BLUE</v>
      </c>
      <c r="G1066" s="20" t="str">
        <f>IFERROR(__xludf.DUMMYFUNCTION("""COMPUTED_VALUE"""),"Uncle Sams Cider (11/12/2021) (Blue)")</f>
        <v>Uncle Sams Cider (11/12/2021) (Blue)</v>
      </c>
      <c r="H1066" s="19"/>
    </row>
    <row r="1067">
      <c r="A1067" s="9"/>
      <c r="B1067" s="15"/>
      <c r="C1067" s="9">
        <f>IFERROR(__xludf.DUMMYFUNCTION("""COMPUTED_VALUE"""),44594.444042824)</f>
        <v>44594.44404</v>
      </c>
      <c r="D1067" s="15">
        <f>IFERROR(__xludf.DUMMYFUNCTION("""COMPUTED_VALUE"""),1.0)</f>
        <v>1</v>
      </c>
      <c r="E1067" s="16">
        <f>IFERROR(__xludf.DUMMYFUNCTION("""COMPUTED_VALUE"""),66.0)</f>
        <v>66</v>
      </c>
      <c r="F1067" s="19" t="str">
        <f>IFERROR(__xludf.DUMMYFUNCTION("""COMPUTED_VALUE"""),"BLUE")</f>
        <v>BLUE</v>
      </c>
      <c r="G1067" s="20" t="str">
        <f>IFERROR(__xludf.DUMMYFUNCTION("""COMPUTED_VALUE"""),"Uncle Sams Cider (11/12/2021) (Blue)")</f>
        <v>Uncle Sams Cider (11/12/2021) (Blue)</v>
      </c>
      <c r="H1067" s="19"/>
    </row>
    <row r="1068">
      <c r="A1068" s="9"/>
      <c r="B1068" s="15"/>
      <c r="C1068" s="9">
        <f>IFERROR(__xludf.DUMMYFUNCTION("""COMPUTED_VALUE"""),44594.4336225925)</f>
        <v>44594.43362</v>
      </c>
      <c r="D1068" s="15">
        <f>IFERROR(__xludf.DUMMYFUNCTION("""COMPUTED_VALUE"""),1.0)</f>
        <v>1</v>
      </c>
      <c r="E1068" s="16">
        <f>IFERROR(__xludf.DUMMYFUNCTION("""COMPUTED_VALUE"""),67.0)</f>
        <v>67</v>
      </c>
      <c r="F1068" s="19" t="str">
        <f>IFERROR(__xludf.DUMMYFUNCTION("""COMPUTED_VALUE"""),"BLUE")</f>
        <v>BLUE</v>
      </c>
      <c r="G1068" s="20" t="str">
        <f>IFERROR(__xludf.DUMMYFUNCTION("""COMPUTED_VALUE"""),"Uncle Sams Cider (11/12/2021) (Blue)")</f>
        <v>Uncle Sams Cider (11/12/2021) (Blue)</v>
      </c>
      <c r="H1068" s="19"/>
    </row>
    <row r="1069">
      <c r="A1069" s="9"/>
      <c r="B1069" s="15"/>
      <c r="C1069" s="9">
        <f>IFERROR(__xludf.DUMMYFUNCTION("""COMPUTED_VALUE"""),44594.4232002083)</f>
        <v>44594.4232</v>
      </c>
      <c r="D1069" s="15">
        <f>IFERROR(__xludf.DUMMYFUNCTION("""COMPUTED_VALUE"""),1.0)</f>
        <v>1</v>
      </c>
      <c r="E1069" s="16">
        <f>IFERROR(__xludf.DUMMYFUNCTION("""COMPUTED_VALUE"""),67.0)</f>
        <v>67</v>
      </c>
      <c r="F1069" s="19" t="str">
        <f>IFERROR(__xludf.DUMMYFUNCTION("""COMPUTED_VALUE"""),"BLUE")</f>
        <v>BLUE</v>
      </c>
      <c r="G1069" s="20" t="str">
        <f>IFERROR(__xludf.DUMMYFUNCTION("""COMPUTED_VALUE"""),"Uncle Sams Cider (11/12/2021) (Blue)")</f>
        <v>Uncle Sams Cider (11/12/2021) (Blue)</v>
      </c>
      <c r="H1069" s="19"/>
    </row>
    <row r="1070">
      <c r="A1070" s="9"/>
      <c r="B1070" s="15"/>
      <c r="C1070" s="9">
        <f>IFERROR(__xludf.DUMMYFUNCTION("""COMPUTED_VALUE"""),44594.4127811921)</f>
        <v>44594.41278</v>
      </c>
      <c r="D1070" s="15">
        <f>IFERROR(__xludf.DUMMYFUNCTION("""COMPUTED_VALUE"""),0.999)</f>
        <v>0.999</v>
      </c>
      <c r="E1070" s="16">
        <f>IFERROR(__xludf.DUMMYFUNCTION("""COMPUTED_VALUE"""),67.0)</f>
        <v>67</v>
      </c>
      <c r="F1070" s="19" t="str">
        <f>IFERROR(__xludf.DUMMYFUNCTION("""COMPUTED_VALUE"""),"BLUE")</f>
        <v>BLUE</v>
      </c>
      <c r="G1070" s="20" t="str">
        <f>IFERROR(__xludf.DUMMYFUNCTION("""COMPUTED_VALUE"""),"Uncle Sams Cider (11/12/2021) (Blue)")</f>
        <v>Uncle Sams Cider (11/12/2021) (Blue)</v>
      </c>
      <c r="H1070" s="19"/>
    </row>
    <row r="1071">
      <c r="A1071" s="9"/>
      <c r="B1071" s="15"/>
      <c r="C1071" s="9">
        <f>IFERROR(__xludf.DUMMYFUNCTION("""COMPUTED_VALUE"""),44594.4023484375)</f>
        <v>44594.40235</v>
      </c>
      <c r="D1071" s="15">
        <f>IFERROR(__xludf.DUMMYFUNCTION("""COMPUTED_VALUE"""),1.0)</f>
        <v>1</v>
      </c>
      <c r="E1071" s="16">
        <f>IFERROR(__xludf.DUMMYFUNCTION("""COMPUTED_VALUE"""),67.0)</f>
        <v>67</v>
      </c>
      <c r="F1071" s="19" t="str">
        <f>IFERROR(__xludf.DUMMYFUNCTION("""COMPUTED_VALUE"""),"BLUE")</f>
        <v>BLUE</v>
      </c>
      <c r="G1071" s="20" t="str">
        <f>IFERROR(__xludf.DUMMYFUNCTION("""COMPUTED_VALUE"""),"Uncle Sams Cider (11/12/2021) (Blue)")</f>
        <v>Uncle Sams Cider (11/12/2021) (Blue)</v>
      </c>
      <c r="H1071" s="19"/>
    </row>
    <row r="1072">
      <c r="A1072" s="9"/>
      <c r="B1072" s="15"/>
      <c r="C1072" s="9">
        <f>IFERROR(__xludf.DUMMYFUNCTION("""COMPUTED_VALUE"""),44594.3919168055)</f>
        <v>44594.39192</v>
      </c>
      <c r="D1072" s="15">
        <f>IFERROR(__xludf.DUMMYFUNCTION("""COMPUTED_VALUE"""),0.999)</f>
        <v>0.999</v>
      </c>
      <c r="E1072" s="16">
        <f>IFERROR(__xludf.DUMMYFUNCTION("""COMPUTED_VALUE"""),67.0)</f>
        <v>67</v>
      </c>
      <c r="F1072" s="19" t="str">
        <f>IFERROR(__xludf.DUMMYFUNCTION("""COMPUTED_VALUE"""),"BLUE")</f>
        <v>BLUE</v>
      </c>
      <c r="G1072" s="20" t="str">
        <f>IFERROR(__xludf.DUMMYFUNCTION("""COMPUTED_VALUE"""),"Uncle Sams Cider (11/12/2021) (Blue)")</f>
        <v>Uncle Sams Cider (11/12/2021) (Blue)</v>
      </c>
      <c r="H1072" s="19"/>
    </row>
    <row r="1073">
      <c r="A1073" s="9"/>
      <c r="B1073" s="15"/>
      <c r="C1073" s="9">
        <f>IFERROR(__xludf.DUMMYFUNCTION("""COMPUTED_VALUE"""),44594.3814945601)</f>
        <v>44594.38149</v>
      </c>
      <c r="D1073" s="15">
        <f>IFERROR(__xludf.DUMMYFUNCTION("""COMPUTED_VALUE"""),1.0)</f>
        <v>1</v>
      </c>
      <c r="E1073" s="16">
        <f>IFERROR(__xludf.DUMMYFUNCTION("""COMPUTED_VALUE"""),67.0)</f>
        <v>67</v>
      </c>
      <c r="F1073" s="19" t="str">
        <f>IFERROR(__xludf.DUMMYFUNCTION("""COMPUTED_VALUE"""),"BLUE")</f>
        <v>BLUE</v>
      </c>
      <c r="G1073" s="20" t="str">
        <f>IFERROR(__xludf.DUMMYFUNCTION("""COMPUTED_VALUE"""),"Uncle Sams Cider (11/12/2021) (Blue)")</f>
        <v>Uncle Sams Cider (11/12/2021) (Blue)</v>
      </c>
      <c r="H1073" s="19"/>
    </row>
    <row r="1074">
      <c r="A1074" s="9"/>
      <c r="B1074" s="15"/>
      <c r="C1074" s="9">
        <f>IFERROR(__xludf.DUMMYFUNCTION("""COMPUTED_VALUE"""),44594.3710734259)</f>
        <v>44594.37107</v>
      </c>
      <c r="D1074" s="15">
        <f>IFERROR(__xludf.DUMMYFUNCTION("""COMPUTED_VALUE"""),0.999)</f>
        <v>0.999</v>
      </c>
      <c r="E1074" s="16">
        <f>IFERROR(__xludf.DUMMYFUNCTION("""COMPUTED_VALUE"""),67.0)</f>
        <v>67</v>
      </c>
      <c r="F1074" s="19" t="str">
        <f>IFERROR(__xludf.DUMMYFUNCTION("""COMPUTED_VALUE"""),"BLUE")</f>
        <v>BLUE</v>
      </c>
      <c r="G1074" s="20" t="str">
        <f>IFERROR(__xludf.DUMMYFUNCTION("""COMPUTED_VALUE"""),"Uncle Sams Cider (11/12/2021) (Blue)")</f>
        <v>Uncle Sams Cider (11/12/2021) (Blue)</v>
      </c>
      <c r="H1074" s="19"/>
    </row>
    <row r="1075">
      <c r="A1075" s="9"/>
      <c r="B1075" s="15"/>
      <c r="C1075" s="9">
        <f>IFERROR(__xludf.DUMMYFUNCTION("""COMPUTED_VALUE"""),44594.3606519907)</f>
        <v>44594.36065</v>
      </c>
      <c r="D1075" s="15">
        <f>IFERROR(__xludf.DUMMYFUNCTION("""COMPUTED_VALUE"""),1.0)</f>
        <v>1</v>
      </c>
      <c r="E1075" s="16">
        <f>IFERROR(__xludf.DUMMYFUNCTION("""COMPUTED_VALUE"""),67.0)</f>
        <v>67</v>
      </c>
      <c r="F1075" s="19" t="str">
        <f>IFERROR(__xludf.DUMMYFUNCTION("""COMPUTED_VALUE"""),"BLUE")</f>
        <v>BLUE</v>
      </c>
      <c r="G1075" s="20" t="str">
        <f>IFERROR(__xludf.DUMMYFUNCTION("""COMPUTED_VALUE"""),"Uncle Sams Cider (11/12/2021) (Blue)")</f>
        <v>Uncle Sams Cider (11/12/2021) (Blue)</v>
      </c>
      <c r="H1075" s="19"/>
    </row>
    <row r="1076">
      <c r="A1076" s="9"/>
      <c r="B1076" s="15"/>
      <c r="C1076" s="9">
        <f>IFERROR(__xludf.DUMMYFUNCTION("""COMPUTED_VALUE"""),44594.3502317361)</f>
        <v>44594.35023</v>
      </c>
      <c r="D1076" s="15">
        <f>IFERROR(__xludf.DUMMYFUNCTION("""COMPUTED_VALUE"""),0.999)</f>
        <v>0.999</v>
      </c>
      <c r="E1076" s="16">
        <f>IFERROR(__xludf.DUMMYFUNCTION("""COMPUTED_VALUE"""),67.0)</f>
        <v>67</v>
      </c>
      <c r="F1076" s="19" t="str">
        <f>IFERROR(__xludf.DUMMYFUNCTION("""COMPUTED_VALUE"""),"BLUE")</f>
        <v>BLUE</v>
      </c>
      <c r="G1076" s="20" t="str">
        <f>IFERROR(__xludf.DUMMYFUNCTION("""COMPUTED_VALUE"""),"Uncle Sams Cider (11/12/2021) (Blue)")</f>
        <v>Uncle Sams Cider (11/12/2021) (Blue)</v>
      </c>
      <c r="H1076" s="19"/>
    </row>
    <row r="1077">
      <c r="A1077" s="9"/>
      <c r="B1077" s="15"/>
      <c r="C1077" s="9">
        <f>IFERROR(__xludf.DUMMYFUNCTION("""COMPUTED_VALUE"""),44594.3397770833)</f>
        <v>44594.33978</v>
      </c>
      <c r="D1077" s="15">
        <f>IFERROR(__xludf.DUMMYFUNCTION("""COMPUTED_VALUE"""),0.999)</f>
        <v>0.999</v>
      </c>
      <c r="E1077" s="16">
        <f>IFERROR(__xludf.DUMMYFUNCTION("""COMPUTED_VALUE"""),67.0)</f>
        <v>67</v>
      </c>
      <c r="F1077" s="19" t="str">
        <f>IFERROR(__xludf.DUMMYFUNCTION("""COMPUTED_VALUE"""),"BLUE")</f>
        <v>BLUE</v>
      </c>
      <c r="G1077" s="20" t="str">
        <f>IFERROR(__xludf.DUMMYFUNCTION("""COMPUTED_VALUE"""),"Uncle Sams Cider (11/12/2021) (Blue)")</f>
        <v>Uncle Sams Cider (11/12/2021) (Blue)</v>
      </c>
      <c r="H1077" s="19"/>
    </row>
    <row r="1078">
      <c r="A1078" s="9"/>
      <c r="B1078" s="15"/>
      <c r="C1078" s="9">
        <f>IFERROR(__xludf.DUMMYFUNCTION("""COMPUTED_VALUE"""),44594.3293432754)</f>
        <v>44594.32934</v>
      </c>
      <c r="D1078" s="15">
        <f>IFERROR(__xludf.DUMMYFUNCTION("""COMPUTED_VALUE"""),1.0)</f>
        <v>1</v>
      </c>
      <c r="E1078" s="16">
        <f>IFERROR(__xludf.DUMMYFUNCTION("""COMPUTED_VALUE"""),67.0)</f>
        <v>67</v>
      </c>
      <c r="F1078" s="19" t="str">
        <f>IFERROR(__xludf.DUMMYFUNCTION("""COMPUTED_VALUE"""),"BLUE")</f>
        <v>BLUE</v>
      </c>
      <c r="G1078" s="20" t="str">
        <f>IFERROR(__xludf.DUMMYFUNCTION("""COMPUTED_VALUE"""),"Uncle Sams Cider (11/12/2021) (Blue)")</f>
        <v>Uncle Sams Cider (11/12/2021) (Blue)</v>
      </c>
      <c r="H1078" s="19"/>
    </row>
    <row r="1079">
      <c r="A1079" s="9"/>
      <c r="B1079" s="15"/>
      <c r="C1079" s="9">
        <f>IFERROR(__xludf.DUMMYFUNCTION("""COMPUTED_VALUE"""),44594.3189223263)</f>
        <v>44594.31892</v>
      </c>
      <c r="D1079" s="15">
        <f>IFERROR(__xludf.DUMMYFUNCTION("""COMPUTED_VALUE"""),0.999)</f>
        <v>0.999</v>
      </c>
      <c r="E1079" s="16">
        <f>IFERROR(__xludf.DUMMYFUNCTION("""COMPUTED_VALUE"""),67.0)</f>
        <v>67</v>
      </c>
      <c r="F1079" s="19" t="str">
        <f>IFERROR(__xludf.DUMMYFUNCTION("""COMPUTED_VALUE"""),"BLUE")</f>
        <v>BLUE</v>
      </c>
      <c r="G1079" s="20" t="str">
        <f>IFERROR(__xludf.DUMMYFUNCTION("""COMPUTED_VALUE"""),"Uncle Sams Cider (11/12/2021) (Blue)")</f>
        <v>Uncle Sams Cider (11/12/2021) (Blue)</v>
      </c>
      <c r="H1079" s="19"/>
    </row>
    <row r="1080">
      <c r="A1080" s="9"/>
      <c r="B1080" s="15"/>
      <c r="C1080" s="9">
        <f>IFERROR(__xludf.DUMMYFUNCTION("""COMPUTED_VALUE"""),44594.3085011689)</f>
        <v>44594.3085</v>
      </c>
      <c r="D1080" s="15">
        <f>IFERROR(__xludf.DUMMYFUNCTION("""COMPUTED_VALUE"""),0.999)</f>
        <v>0.999</v>
      </c>
      <c r="E1080" s="16">
        <f>IFERROR(__xludf.DUMMYFUNCTION("""COMPUTED_VALUE"""),67.0)</f>
        <v>67</v>
      </c>
      <c r="F1080" s="19" t="str">
        <f>IFERROR(__xludf.DUMMYFUNCTION("""COMPUTED_VALUE"""),"BLUE")</f>
        <v>BLUE</v>
      </c>
      <c r="G1080" s="20" t="str">
        <f>IFERROR(__xludf.DUMMYFUNCTION("""COMPUTED_VALUE"""),"Uncle Sams Cider (11/12/2021) (Blue)")</f>
        <v>Uncle Sams Cider (11/12/2021) (Blue)</v>
      </c>
      <c r="H1080" s="19"/>
    </row>
    <row r="1081">
      <c r="A1081" s="9"/>
      <c r="B1081" s="15"/>
      <c r="C1081" s="9">
        <f>IFERROR(__xludf.DUMMYFUNCTION("""COMPUTED_VALUE"""),44594.2980673148)</f>
        <v>44594.29807</v>
      </c>
      <c r="D1081" s="15">
        <f>IFERROR(__xludf.DUMMYFUNCTION("""COMPUTED_VALUE"""),0.999)</f>
        <v>0.999</v>
      </c>
      <c r="E1081" s="16">
        <f>IFERROR(__xludf.DUMMYFUNCTION("""COMPUTED_VALUE"""),67.0)</f>
        <v>67</v>
      </c>
      <c r="F1081" s="19" t="str">
        <f>IFERROR(__xludf.DUMMYFUNCTION("""COMPUTED_VALUE"""),"BLUE")</f>
        <v>BLUE</v>
      </c>
      <c r="G1081" s="20" t="str">
        <f>IFERROR(__xludf.DUMMYFUNCTION("""COMPUTED_VALUE"""),"Uncle Sams Cider (11/12/2021) (Blue)")</f>
        <v>Uncle Sams Cider (11/12/2021) (Blue)</v>
      </c>
      <c r="H1081" s="19"/>
    </row>
    <row r="1082">
      <c r="A1082" s="9"/>
      <c r="B1082" s="15"/>
      <c r="C1082" s="9">
        <f>IFERROR(__xludf.DUMMYFUNCTION("""COMPUTED_VALUE"""),44594.2876246643)</f>
        <v>44594.28762</v>
      </c>
      <c r="D1082" s="15">
        <f>IFERROR(__xludf.DUMMYFUNCTION("""COMPUTED_VALUE"""),1.0)</f>
        <v>1</v>
      </c>
      <c r="E1082" s="16">
        <f>IFERROR(__xludf.DUMMYFUNCTION("""COMPUTED_VALUE"""),67.0)</f>
        <v>67</v>
      </c>
      <c r="F1082" s="19" t="str">
        <f>IFERROR(__xludf.DUMMYFUNCTION("""COMPUTED_VALUE"""),"BLUE")</f>
        <v>BLUE</v>
      </c>
      <c r="G1082" s="20" t="str">
        <f>IFERROR(__xludf.DUMMYFUNCTION("""COMPUTED_VALUE"""),"Uncle Sams Cider (11/12/2021) (Blue)")</f>
        <v>Uncle Sams Cider (11/12/2021) (Blue)</v>
      </c>
      <c r="H1082" s="19"/>
    </row>
    <row r="1083">
      <c r="A1083" s="9"/>
      <c r="B1083" s="15"/>
      <c r="C1083" s="9">
        <f>IFERROR(__xludf.DUMMYFUNCTION("""COMPUTED_VALUE"""),44594.277191655)</f>
        <v>44594.27719</v>
      </c>
      <c r="D1083" s="15">
        <f>IFERROR(__xludf.DUMMYFUNCTION("""COMPUTED_VALUE"""),1.0)</f>
        <v>1</v>
      </c>
      <c r="E1083" s="16">
        <f>IFERROR(__xludf.DUMMYFUNCTION("""COMPUTED_VALUE"""),67.0)</f>
        <v>67</v>
      </c>
      <c r="F1083" s="19" t="str">
        <f>IFERROR(__xludf.DUMMYFUNCTION("""COMPUTED_VALUE"""),"BLUE")</f>
        <v>BLUE</v>
      </c>
      <c r="G1083" s="20" t="str">
        <f>IFERROR(__xludf.DUMMYFUNCTION("""COMPUTED_VALUE"""),"Uncle Sams Cider (11/12/2021) (Blue)")</f>
        <v>Uncle Sams Cider (11/12/2021) (Blue)</v>
      </c>
      <c r="H1083" s="19"/>
    </row>
    <row r="1084">
      <c r="A1084" s="9"/>
      <c r="B1084" s="15"/>
      <c r="C1084" s="9">
        <f>IFERROR(__xludf.DUMMYFUNCTION("""COMPUTED_VALUE"""),44594.2667711574)</f>
        <v>44594.26677</v>
      </c>
      <c r="D1084" s="15">
        <f>IFERROR(__xludf.DUMMYFUNCTION("""COMPUTED_VALUE"""),1.0)</f>
        <v>1</v>
      </c>
      <c r="E1084" s="16">
        <f>IFERROR(__xludf.DUMMYFUNCTION("""COMPUTED_VALUE"""),67.0)</f>
        <v>67</v>
      </c>
      <c r="F1084" s="19" t="str">
        <f>IFERROR(__xludf.DUMMYFUNCTION("""COMPUTED_VALUE"""),"BLUE")</f>
        <v>BLUE</v>
      </c>
      <c r="G1084" s="20" t="str">
        <f>IFERROR(__xludf.DUMMYFUNCTION("""COMPUTED_VALUE"""),"Uncle Sams Cider (11/12/2021) (Blue)")</f>
        <v>Uncle Sams Cider (11/12/2021) (Blue)</v>
      </c>
      <c r="H1084" s="19"/>
    </row>
    <row r="1085">
      <c r="A1085" s="9"/>
      <c r="B1085" s="15"/>
      <c r="C1085" s="9">
        <f>IFERROR(__xludf.DUMMYFUNCTION("""COMPUTED_VALUE"""),44594.2563513078)</f>
        <v>44594.25635</v>
      </c>
      <c r="D1085" s="15">
        <f>IFERROR(__xludf.DUMMYFUNCTION("""COMPUTED_VALUE"""),1.0)</f>
        <v>1</v>
      </c>
      <c r="E1085" s="16">
        <f>IFERROR(__xludf.DUMMYFUNCTION("""COMPUTED_VALUE"""),67.0)</f>
        <v>67</v>
      </c>
      <c r="F1085" s="19" t="str">
        <f>IFERROR(__xludf.DUMMYFUNCTION("""COMPUTED_VALUE"""),"BLUE")</f>
        <v>BLUE</v>
      </c>
      <c r="G1085" s="20" t="str">
        <f>IFERROR(__xludf.DUMMYFUNCTION("""COMPUTED_VALUE"""),"Uncle Sams Cider (11/12/2021) (Blue)")</f>
        <v>Uncle Sams Cider (11/12/2021) (Blue)</v>
      </c>
      <c r="H1085" s="19"/>
    </row>
    <row r="1086">
      <c r="A1086" s="9"/>
      <c r="B1086" s="15"/>
      <c r="C1086" s="9">
        <f>IFERROR(__xludf.DUMMYFUNCTION("""COMPUTED_VALUE"""),44594.2459311805)</f>
        <v>44594.24593</v>
      </c>
      <c r="D1086" s="15">
        <f>IFERROR(__xludf.DUMMYFUNCTION("""COMPUTED_VALUE"""),0.999)</f>
        <v>0.999</v>
      </c>
      <c r="E1086" s="16">
        <f>IFERROR(__xludf.DUMMYFUNCTION("""COMPUTED_VALUE"""),67.0)</f>
        <v>67</v>
      </c>
      <c r="F1086" s="19" t="str">
        <f>IFERROR(__xludf.DUMMYFUNCTION("""COMPUTED_VALUE"""),"BLUE")</f>
        <v>BLUE</v>
      </c>
      <c r="G1086" s="20" t="str">
        <f>IFERROR(__xludf.DUMMYFUNCTION("""COMPUTED_VALUE"""),"Uncle Sams Cider (11/12/2021) (Blue)")</f>
        <v>Uncle Sams Cider (11/12/2021) (Blue)</v>
      </c>
      <c r="H1086" s="19"/>
    </row>
    <row r="1087">
      <c r="A1087" s="9"/>
      <c r="B1087" s="15"/>
      <c r="C1087" s="9">
        <f>IFERROR(__xludf.DUMMYFUNCTION("""COMPUTED_VALUE"""),44594.2355084953)</f>
        <v>44594.23551</v>
      </c>
      <c r="D1087" s="15">
        <f>IFERROR(__xludf.DUMMYFUNCTION("""COMPUTED_VALUE"""),0.999)</f>
        <v>0.999</v>
      </c>
      <c r="E1087" s="16">
        <f>IFERROR(__xludf.DUMMYFUNCTION("""COMPUTED_VALUE"""),67.0)</f>
        <v>67</v>
      </c>
      <c r="F1087" s="19" t="str">
        <f>IFERROR(__xludf.DUMMYFUNCTION("""COMPUTED_VALUE"""),"BLUE")</f>
        <v>BLUE</v>
      </c>
      <c r="G1087" s="20" t="str">
        <f>IFERROR(__xludf.DUMMYFUNCTION("""COMPUTED_VALUE"""),"Uncle Sams Cider (11/12/2021) (Blue)")</f>
        <v>Uncle Sams Cider (11/12/2021) (Blue)</v>
      </c>
      <c r="H1087" s="19"/>
    </row>
    <row r="1088">
      <c r="A1088" s="9"/>
      <c r="B1088" s="15"/>
      <c r="C1088" s="9">
        <f>IFERROR(__xludf.DUMMYFUNCTION("""COMPUTED_VALUE"""),44594.2250530092)</f>
        <v>44594.22505</v>
      </c>
      <c r="D1088" s="15">
        <f>IFERROR(__xludf.DUMMYFUNCTION("""COMPUTED_VALUE"""),0.999)</f>
        <v>0.999</v>
      </c>
      <c r="E1088" s="16">
        <f>IFERROR(__xludf.DUMMYFUNCTION("""COMPUTED_VALUE"""),67.0)</f>
        <v>67</v>
      </c>
      <c r="F1088" s="19" t="str">
        <f>IFERROR(__xludf.DUMMYFUNCTION("""COMPUTED_VALUE"""),"BLUE")</f>
        <v>BLUE</v>
      </c>
      <c r="G1088" s="20" t="str">
        <f>IFERROR(__xludf.DUMMYFUNCTION("""COMPUTED_VALUE"""),"Uncle Sams Cider (11/12/2021) (Blue)")</f>
        <v>Uncle Sams Cider (11/12/2021) (Blue)</v>
      </c>
      <c r="H1088" s="19"/>
    </row>
    <row r="1089">
      <c r="A1089" s="9"/>
      <c r="B1089" s="15"/>
      <c r="C1089" s="9">
        <f>IFERROR(__xludf.DUMMYFUNCTION("""COMPUTED_VALUE"""),44594.214586331)</f>
        <v>44594.21459</v>
      </c>
      <c r="D1089" s="15">
        <f>IFERROR(__xludf.DUMMYFUNCTION("""COMPUTED_VALUE"""),0.999)</f>
        <v>0.999</v>
      </c>
      <c r="E1089" s="16">
        <f>IFERROR(__xludf.DUMMYFUNCTION("""COMPUTED_VALUE"""),67.0)</f>
        <v>67</v>
      </c>
      <c r="F1089" s="19" t="str">
        <f>IFERROR(__xludf.DUMMYFUNCTION("""COMPUTED_VALUE"""),"BLUE")</f>
        <v>BLUE</v>
      </c>
      <c r="G1089" s="20" t="str">
        <f>IFERROR(__xludf.DUMMYFUNCTION("""COMPUTED_VALUE"""),"Uncle Sams Cider (11/12/2021) (Blue)")</f>
        <v>Uncle Sams Cider (11/12/2021) (Blue)</v>
      </c>
      <c r="H1089" s="19"/>
    </row>
    <row r="1090">
      <c r="A1090" s="9"/>
      <c r="B1090" s="15"/>
      <c r="C1090" s="9">
        <f>IFERROR(__xludf.DUMMYFUNCTION("""COMPUTED_VALUE"""),44594.2041657175)</f>
        <v>44594.20417</v>
      </c>
      <c r="D1090" s="15">
        <f>IFERROR(__xludf.DUMMYFUNCTION("""COMPUTED_VALUE"""),1.0)</f>
        <v>1</v>
      </c>
      <c r="E1090" s="16">
        <f>IFERROR(__xludf.DUMMYFUNCTION("""COMPUTED_VALUE"""),67.0)</f>
        <v>67</v>
      </c>
      <c r="F1090" s="19" t="str">
        <f>IFERROR(__xludf.DUMMYFUNCTION("""COMPUTED_VALUE"""),"BLUE")</f>
        <v>BLUE</v>
      </c>
      <c r="G1090" s="20" t="str">
        <f>IFERROR(__xludf.DUMMYFUNCTION("""COMPUTED_VALUE"""),"Uncle Sams Cider (11/12/2021) (Blue)")</f>
        <v>Uncle Sams Cider (11/12/2021) (Blue)</v>
      </c>
      <c r="H1090" s="19"/>
    </row>
    <row r="1091">
      <c r="A1091" s="9"/>
      <c r="B1091" s="15"/>
      <c r="C1091" s="9">
        <f>IFERROR(__xludf.DUMMYFUNCTION("""COMPUTED_VALUE"""),44594.1937431828)</f>
        <v>44594.19374</v>
      </c>
      <c r="D1091" s="15">
        <f>IFERROR(__xludf.DUMMYFUNCTION("""COMPUTED_VALUE"""),0.999)</f>
        <v>0.999</v>
      </c>
      <c r="E1091" s="16">
        <f>IFERROR(__xludf.DUMMYFUNCTION("""COMPUTED_VALUE"""),67.0)</f>
        <v>67</v>
      </c>
      <c r="F1091" s="19" t="str">
        <f>IFERROR(__xludf.DUMMYFUNCTION("""COMPUTED_VALUE"""),"BLUE")</f>
        <v>BLUE</v>
      </c>
      <c r="G1091" s="20" t="str">
        <f>IFERROR(__xludf.DUMMYFUNCTION("""COMPUTED_VALUE"""),"Uncle Sams Cider (11/12/2021) (Blue)")</f>
        <v>Uncle Sams Cider (11/12/2021) (Blue)</v>
      </c>
      <c r="H1091" s="19"/>
    </row>
    <row r="1092">
      <c r="A1092" s="9"/>
      <c r="B1092" s="15"/>
      <c r="C1092" s="9">
        <f>IFERROR(__xludf.DUMMYFUNCTION("""COMPUTED_VALUE"""),44594.1833217824)</f>
        <v>44594.18332</v>
      </c>
      <c r="D1092" s="15">
        <f>IFERROR(__xludf.DUMMYFUNCTION("""COMPUTED_VALUE"""),0.999)</f>
        <v>0.999</v>
      </c>
      <c r="E1092" s="16">
        <f>IFERROR(__xludf.DUMMYFUNCTION("""COMPUTED_VALUE"""),68.0)</f>
        <v>68</v>
      </c>
      <c r="F1092" s="19" t="str">
        <f>IFERROR(__xludf.DUMMYFUNCTION("""COMPUTED_VALUE"""),"BLUE")</f>
        <v>BLUE</v>
      </c>
      <c r="G1092" s="20" t="str">
        <f>IFERROR(__xludf.DUMMYFUNCTION("""COMPUTED_VALUE"""),"Uncle Sams Cider (11/12/2021) (Blue)")</f>
        <v>Uncle Sams Cider (11/12/2021) (Blue)</v>
      </c>
      <c r="H1092" s="19"/>
    </row>
    <row r="1093">
      <c r="A1093" s="9"/>
      <c r="B1093" s="15"/>
      <c r="C1093" s="9">
        <f>IFERROR(__xludf.DUMMYFUNCTION("""COMPUTED_VALUE"""),44594.1728899421)</f>
        <v>44594.17289</v>
      </c>
      <c r="D1093" s="15">
        <f>IFERROR(__xludf.DUMMYFUNCTION("""COMPUTED_VALUE"""),1.0)</f>
        <v>1</v>
      </c>
      <c r="E1093" s="16">
        <f>IFERROR(__xludf.DUMMYFUNCTION("""COMPUTED_VALUE"""),68.0)</f>
        <v>68</v>
      </c>
      <c r="F1093" s="19" t="str">
        <f>IFERROR(__xludf.DUMMYFUNCTION("""COMPUTED_VALUE"""),"BLUE")</f>
        <v>BLUE</v>
      </c>
      <c r="G1093" s="20" t="str">
        <f>IFERROR(__xludf.DUMMYFUNCTION("""COMPUTED_VALUE"""),"Uncle Sams Cider (11/12/2021) (Blue)")</f>
        <v>Uncle Sams Cider (11/12/2021) (Blue)</v>
      </c>
      <c r="H1093" s="19"/>
    </row>
    <row r="1094">
      <c r="A1094" s="9"/>
      <c r="B1094" s="15"/>
      <c r="C1094" s="9">
        <f>IFERROR(__xludf.DUMMYFUNCTION("""COMPUTED_VALUE"""),44594.1624669097)</f>
        <v>44594.16247</v>
      </c>
      <c r="D1094" s="15">
        <f>IFERROR(__xludf.DUMMYFUNCTION("""COMPUTED_VALUE"""),1.0)</f>
        <v>1</v>
      </c>
      <c r="E1094" s="16">
        <f>IFERROR(__xludf.DUMMYFUNCTION("""COMPUTED_VALUE"""),68.0)</f>
        <v>68</v>
      </c>
      <c r="F1094" s="19" t="str">
        <f>IFERROR(__xludf.DUMMYFUNCTION("""COMPUTED_VALUE"""),"BLUE")</f>
        <v>BLUE</v>
      </c>
      <c r="G1094" s="20" t="str">
        <f>IFERROR(__xludf.DUMMYFUNCTION("""COMPUTED_VALUE"""),"Uncle Sams Cider (11/12/2021) (Blue)")</f>
        <v>Uncle Sams Cider (11/12/2021) (Blue)</v>
      </c>
      <c r="H1094" s="19"/>
    </row>
    <row r="1095">
      <c r="A1095" s="9"/>
      <c r="B1095" s="15"/>
      <c r="C1095" s="9">
        <f>IFERROR(__xludf.DUMMYFUNCTION("""COMPUTED_VALUE"""),44594.1520459953)</f>
        <v>44594.15205</v>
      </c>
      <c r="D1095" s="15">
        <f>IFERROR(__xludf.DUMMYFUNCTION("""COMPUTED_VALUE"""),0.999)</f>
        <v>0.999</v>
      </c>
      <c r="E1095" s="16">
        <f>IFERROR(__xludf.DUMMYFUNCTION("""COMPUTED_VALUE"""),68.0)</f>
        <v>68</v>
      </c>
      <c r="F1095" s="19" t="str">
        <f>IFERROR(__xludf.DUMMYFUNCTION("""COMPUTED_VALUE"""),"BLUE")</f>
        <v>BLUE</v>
      </c>
      <c r="G1095" s="20" t="str">
        <f>IFERROR(__xludf.DUMMYFUNCTION("""COMPUTED_VALUE"""),"Uncle Sams Cider (11/12/2021) (Blue)")</f>
        <v>Uncle Sams Cider (11/12/2021) (Blue)</v>
      </c>
      <c r="H1095" s="19"/>
    </row>
    <row r="1096">
      <c r="A1096" s="9"/>
      <c r="B1096" s="15"/>
      <c r="C1096" s="9">
        <f>IFERROR(__xludf.DUMMYFUNCTION("""COMPUTED_VALUE"""),44594.141624074)</f>
        <v>44594.14162</v>
      </c>
      <c r="D1096" s="15">
        <f>IFERROR(__xludf.DUMMYFUNCTION("""COMPUTED_VALUE"""),1.0)</f>
        <v>1</v>
      </c>
      <c r="E1096" s="16">
        <f>IFERROR(__xludf.DUMMYFUNCTION("""COMPUTED_VALUE"""),67.0)</f>
        <v>67</v>
      </c>
      <c r="F1096" s="19" t="str">
        <f>IFERROR(__xludf.DUMMYFUNCTION("""COMPUTED_VALUE"""),"BLUE")</f>
        <v>BLUE</v>
      </c>
      <c r="G1096" s="20" t="str">
        <f>IFERROR(__xludf.DUMMYFUNCTION("""COMPUTED_VALUE"""),"Uncle Sams Cider (11/12/2021) (Blue)")</f>
        <v>Uncle Sams Cider (11/12/2021) (Blue)</v>
      </c>
      <c r="H1096" s="19"/>
    </row>
    <row r="1097">
      <c r="A1097" s="9"/>
      <c r="B1097" s="15"/>
      <c r="C1097" s="9">
        <f>IFERROR(__xludf.DUMMYFUNCTION("""COMPUTED_VALUE"""),44594.1312010532)</f>
        <v>44594.1312</v>
      </c>
      <c r="D1097" s="15">
        <f>IFERROR(__xludf.DUMMYFUNCTION("""COMPUTED_VALUE"""),1.0)</f>
        <v>1</v>
      </c>
      <c r="E1097" s="16">
        <f>IFERROR(__xludf.DUMMYFUNCTION("""COMPUTED_VALUE"""),67.0)</f>
        <v>67</v>
      </c>
      <c r="F1097" s="19" t="str">
        <f>IFERROR(__xludf.DUMMYFUNCTION("""COMPUTED_VALUE"""),"BLUE")</f>
        <v>BLUE</v>
      </c>
      <c r="G1097" s="20" t="str">
        <f>IFERROR(__xludf.DUMMYFUNCTION("""COMPUTED_VALUE"""),"Uncle Sams Cider (11/12/2021) (Blue)")</f>
        <v>Uncle Sams Cider (11/12/2021) (Blue)</v>
      </c>
      <c r="H1097" s="19"/>
    </row>
    <row r="1098">
      <c r="A1098" s="9"/>
      <c r="B1098" s="15"/>
      <c r="C1098" s="9">
        <f>IFERROR(__xludf.DUMMYFUNCTION("""COMPUTED_VALUE"""),44594.1207687037)</f>
        <v>44594.12077</v>
      </c>
      <c r="D1098" s="15">
        <f>IFERROR(__xludf.DUMMYFUNCTION("""COMPUTED_VALUE"""),1.0)</f>
        <v>1</v>
      </c>
      <c r="E1098" s="16">
        <f>IFERROR(__xludf.DUMMYFUNCTION("""COMPUTED_VALUE"""),66.0)</f>
        <v>66</v>
      </c>
      <c r="F1098" s="19" t="str">
        <f>IFERROR(__xludf.DUMMYFUNCTION("""COMPUTED_VALUE"""),"BLUE")</f>
        <v>BLUE</v>
      </c>
      <c r="G1098" s="20" t="str">
        <f>IFERROR(__xludf.DUMMYFUNCTION("""COMPUTED_VALUE"""),"Uncle Sams Cider (11/12/2021) (Blue)")</f>
        <v>Uncle Sams Cider (11/12/2021) (Blue)</v>
      </c>
      <c r="H1098" s="19"/>
    </row>
    <row r="1099">
      <c r="A1099" s="9"/>
      <c r="B1099" s="15"/>
      <c r="C1099" s="9">
        <f>IFERROR(__xludf.DUMMYFUNCTION("""COMPUTED_VALUE"""),44594.1103499074)</f>
        <v>44594.11035</v>
      </c>
      <c r="D1099" s="15">
        <f>IFERROR(__xludf.DUMMYFUNCTION("""COMPUTED_VALUE"""),1.0)</f>
        <v>1</v>
      </c>
      <c r="E1099" s="16">
        <f>IFERROR(__xludf.DUMMYFUNCTION("""COMPUTED_VALUE"""),66.0)</f>
        <v>66</v>
      </c>
      <c r="F1099" s="19" t="str">
        <f>IFERROR(__xludf.DUMMYFUNCTION("""COMPUTED_VALUE"""),"BLUE")</f>
        <v>BLUE</v>
      </c>
      <c r="G1099" s="20" t="str">
        <f>IFERROR(__xludf.DUMMYFUNCTION("""COMPUTED_VALUE"""),"Uncle Sams Cider (11/12/2021) (Blue)")</f>
        <v>Uncle Sams Cider (11/12/2021) (Blue)</v>
      </c>
      <c r="H1099" s="19"/>
    </row>
    <row r="1100">
      <c r="A1100" s="9"/>
      <c r="B1100" s="15"/>
      <c r="C1100" s="9">
        <f>IFERROR(__xludf.DUMMYFUNCTION("""COMPUTED_VALUE"""),44594.0999055902)</f>
        <v>44594.09991</v>
      </c>
      <c r="D1100" s="15">
        <f>IFERROR(__xludf.DUMMYFUNCTION("""COMPUTED_VALUE"""),1.0)</f>
        <v>1</v>
      </c>
      <c r="E1100" s="16">
        <f>IFERROR(__xludf.DUMMYFUNCTION("""COMPUTED_VALUE"""),66.0)</f>
        <v>66</v>
      </c>
      <c r="F1100" s="19" t="str">
        <f>IFERROR(__xludf.DUMMYFUNCTION("""COMPUTED_VALUE"""),"BLUE")</f>
        <v>BLUE</v>
      </c>
      <c r="G1100" s="20" t="str">
        <f>IFERROR(__xludf.DUMMYFUNCTION("""COMPUTED_VALUE"""),"Uncle Sams Cider (11/12/2021) (Blue)")</f>
        <v>Uncle Sams Cider (11/12/2021) (Blue)</v>
      </c>
      <c r="H1100" s="19"/>
    </row>
    <row r="1101">
      <c r="A1101" s="9"/>
      <c r="B1101" s="15"/>
      <c r="C1101" s="9">
        <f>IFERROR(__xludf.DUMMYFUNCTION("""COMPUTED_VALUE"""),44594.0894860648)</f>
        <v>44594.08949</v>
      </c>
      <c r="D1101" s="15">
        <f>IFERROR(__xludf.DUMMYFUNCTION("""COMPUTED_VALUE"""),1.0)</f>
        <v>1</v>
      </c>
      <c r="E1101" s="16">
        <f>IFERROR(__xludf.DUMMYFUNCTION("""COMPUTED_VALUE"""),65.0)</f>
        <v>65</v>
      </c>
      <c r="F1101" s="19" t="str">
        <f>IFERROR(__xludf.DUMMYFUNCTION("""COMPUTED_VALUE"""),"BLUE")</f>
        <v>BLUE</v>
      </c>
      <c r="G1101" s="20" t="str">
        <f>IFERROR(__xludf.DUMMYFUNCTION("""COMPUTED_VALUE"""),"Uncle Sams Cider (11/12/2021) (Blue)")</f>
        <v>Uncle Sams Cider (11/12/2021) (Blue)</v>
      </c>
      <c r="H1101" s="19"/>
    </row>
    <row r="1102">
      <c r="A1102" s="9"/>
      <c r="B1102" s="15"/>
      <c r="C1102" s="9">
        <f>IFERROR(__xludf.DUMMYFUNCTION("""COMPUTED_VALUE"""),44594.0790655902)</f>
        <v>44594.07907</v>
      </c>
      <c r="D1102" s="15">
        <f>IFERROR(__xludf.DUMMYFUNCTION("""COMPUTED_VALUE"""),1.0)</f>
        <v>1</v>
      </c>
      <c r="E1102" s="16">
        <f>IFERROR(__xludf.DUMMYFUNCTION("""COMPUTED_VALUE"""),65.0)</f>
        <v>65</v>
      </c>
      <c r="F1102" s="19" t="str">
        <f>IFERROR(__xludf.DUMMYFUNCTION("""COMPUTED_VALUE"""),"BLUE")</f>
        <v>BLUE</v>
      </c>
      <c r="G1102" s="20" t="str">
        <f>IFERROR(__xludf.DUMMYFUNCTION("""COMPUTED_VALUE"""),"Uncle Sams Cider (11/12/2021) (Blue)")</f>
        <v>Uncle Sams Cider (11/12/2021) (Blue)</v>
      </c>
      <c r="H1102" s="19"/>
    </row>
    <row r="1103">
      <c r="A1103" s="9"/>
      <c r="B1103" s="15"/>
      <c r="C1103" s="9">
        <f>IFERROR(__xludf.DUMMYFUNCTION("""COMPUTED_VALUE"""),44594.0686320138)</f>
        <v>44594.06863</v>
      </c>
      <c r="D1103" s="15">
        <f>IFERROR(__xludf.DUMMYFUNCTION("""COMPUTED_VALUE"""),1.0)</f>
        <v>1</v>
      </c>
      <c r="E1103" s="16">
        <f>IFERROR(__xludf.DUMMYFUNCTION("""COMPUTED_VALUE"""),64.0)</f>
        <v>64</v>
      </c>
      <c r="F1103" s="19" t="str">
        <f>IFERROR(__xludf.DUMMYFUNCTION("""COMPUTED_VALUE"""),"BLUE")</f>
        <v>BLUE</v>
      </c>
      <c r="G1103" s="20" t="str">
        <f>IFERROR(__xludf.DUMMYFUNCTION("""COMPUTED_VALUE"""),"Uncle Sams Cider (11/12/2021) (Blue)")</f>
        <v>Uncle Sams Cider (11/12/2021) (Blue)</v>
      </c>
      <c r="H1103" s="19"/>
    </row>
    <row r="1104">
      <c r="A1104" s="9"/>
      <c r="B1104" s="15"/>
      <c r="C1104" s="9">
        <f>IFERROR(__xludf.DUMMYFUNCTION("""COMPUTED_VALUE"""),44594.0582106365)</f>
        <v>44594.05821</v>
      </c>
      <c r="D1104" s="15">
        <f>IFERROR(__xludf.DUMMYFUNCTION("""COMPUTED_VALUE"""),1.0)</f>
        <v>1</v>
      </c>
      <c r="E1104" s="16">
        <f>IFERROR(__xludf.DUMMYFUNCTION("""COMPUTED_VALUE"""),64.0)</f>
        <v>64</v>
      </c>
      <c r="F1104" s="19" t="str">
        <f>IFERROR(__xludf.DUMMYFUNCTION("""COMPUTED_VALUE"""),"BLUE")</f>
        <v>BLUE</v>
      </c>
      <c r="G1104" s="20" t="str">
        <f>IFERROR(__xludf.DUMMYFUNCTION("""COMPUTED_VALUE"""),"Uncle Sams Cider (11/12/2021) (Blue)")</f>
        <v>Uncle Sams Cider (11/12/2021) (Blue)</v>
      </c>
      <c r="H1104" s="19"/>
    </row>
    <row r="1105">
      <c r="A1105" s="9"/>
      <c r="B1105" s="15"/>
      <c r="C1105" s="9">
        <f>IFERROR(__xludf.DUMMYFUNCTION("""COMPUTED_VALUE"""),44594.0477894097)</f>
        <v>44594.04779</v>
      </c>
      <c r="D1105" s="15">
        <f>IFERROR(__xludf.DUMMYFUNCTION("""COMPUTED_VALUE"""),1.0)</f>
        <v>1</v>
      </c>
      <c r="E1105" s="16">
        <f>IFERROR(__xludf.DUMMYFUNCTION("""COMPUTED_VALUE"""),64.0)</f>
        <v>64</v>
      </c>
      <c r="F1105" s="19" t="str">
        <f>IFERROR(__xludf.DUMMYFUNCTION("""COMPUTED_VALUE"""),"BLUE")</f>
        <v>BLUE</v>
      </c>
      <c r="G1105" s="20" t="str">
        <f>IFERROR(__xludf.DUMMYFUNCTION("""COMPUTED_VALUE"""),"Uncle Sams Cider (11/12/2021) (Blue)")</f>
        <v>Uncle Sams Cider (11/12/2021) (Blue)</v>
      </c>
      <c r="H1105" s="19"/>
    </row>
    <row r="1106">
      <c r="A1106" s="9"/>
      <c r="B1106" s="15"/>
      <c r="C1106" s="9">
        <f>IFERROR(__xludf.DUMMYFUNCTION("""COMPUTED_VALUE"""),44594.0373691435)</f>
        <v>44594.03737</v>
      </c>
      <c r="D1106" s="15">
        <f>IFERROR(__xludf.DUMMYFUNCTION("""COMPUTED_VALUE"""),1.0)</f>
        <v>1</v>
      </c>
      <c r="E1106" s="16">
        <f>IFERROR(__xludf.DUMMYFUNCTION("""COMPUTED_VALUE"""),63.0)</f>
        <v>63</v>
      </c>
      <c r="F1106" s="19" t="str">
        <f>IFERROR(__xludf.DUMMYFUNCTION("""COMPUTED_VALUE"""),"BLUE")</f>
        <v>BLUE</v>
      </c>
      <c r="G1106" s="20" t="str">
        <f>IFERROR(__xludf.DUMMYFUNCTION("""COMPUTED_VALUE"""),"Uncle Sams Cider (11/12/2021) (Blue)")</f>
        <v>Uncle Sams Cider (11/12/2021) (Blue)</v>
      </c>
      <c r="H1106" s="19"/>
    </row>
    <row r="1107">
      <c r="A1107" s="9"/>
      <c r="B1107" s="15"/>
      <c r="C1107" s="9">
        <f>IFERROR(__xludf.DUMMYFUNCTION("""COMPUTED_VALUE"""),44594.0269364467)</f>
        <v>44594.02694</v>
      </c>
      <c r="D1107" s="15">
        <f>IFERROR(__xludf.DUMMYFUNCTION("""COMPUTED_VALUE"""),1.0)</f>
        <v>1</v>
      </c>
      <c r="E1107" s="16">
        <f>IFERROR(__xludf.DUMMYFUNCTION("""COMPUTED_VALUE"""),63.0)</f>
        <v>63</v>
      </c>
      <c r="F1107" s="19" t="str">
        <f>IFERROR(__xludf.DUMMYFUNCTION("""COMPUTED_VALUE"""),"BLUE")</f>
        <v>BLUE</v>
      </c>
      <c r="G1107" s="20" t="str">
        <f>IFERROR(__xludf.DUMMYFUNCTION("""COMPUTED_VALUE"""),"Uncle Sams Cider (11/12/2021) (Blue)")</f>
        <v>Uncle Sams Cider (11/12/2021) (Blue)</v>
      </c>
      <c r="H1107" s="19"/>
    </row>
    <row r="1108">
      <c r="A1108" s="9"/>
      <c r="B1108" s="15"/>
      <c r="C1108" s="9">
        <f>IFERROR(__xludf.DUMMYFUNCTION("""COMPUTED_VALUE"""),44594.0165036921)</f>
        <v>44594.0165</v>
      </c>
      <c r="D1108" s="15">
        <f>IFERROR(__xludf.DUMMYFUNCTION("""COMPUTED_VALUE"""),1.0)</f>
        <v>1</v>
      </c>
      <c r="E1108" s="16">
        <f>IFERROR(__xludf.DUMMYFUNCTION("""COMPUTED_VALUE"""),62.0)</f>
        <v>62</v>
      </c>
      <c r="F1108" s="19" t="str">
        <f>IFERROR(__xludf.DUMMYFUNCTION("""COMPUTED_VALUE"""),"BLUE")</f>
        <v>BLUE</v>
      </c>
      <c r="G1108" s="20" t="str">
        <f>IFERROR(__xludf.DUMMYFUNCTION("""COMPUTED_VALUE"""),"Uncle Sams Cider (11/12/2021) (Blue)")</f>
        <v>Uncle Sams Cider (11/12/2021) (Blue)</v>
      </c>
      <c r="H1108" s="19"/>
    </row>
    <row r="1109">
      <c r="A1109" s="9"/>
      <c r="B1109" s="15"/>
      <c r="C1109" s="9">
        <f>IFERROR(__xludf.DUMMYFUNCTION("""COMPUTED_VALUE"""),44594.0060817361)</f>
        <v>44594.00608</v>
      </c>
      <c r="D1109" s="15">
        <f>IFERROR(__xludf.DUMMYFUNCTION("""COMPUTED_VALUE"""),1.0)</f>
        <v>1</v>
      </c>
      <c r="E1109" s="16">
        <f>IFERROR(__xludf.DUMMYFUNCTION("""COMPUTED_VALUE"""),62.0)</f>
        <v>62</v>
      </c>
      <c r="F1109" s="19" t="str">
        <f>IFERROR(__xludf.DUMMYFUNCTION("""COMPUTED_VALUE"""),"BLUE")</f>
        <v>BLUE</v>
      </c>
      <c r="G1109" s="20" t="str">
        <f>IFERROR(__xludf.DUMMYFUNCTION("""COMPUTED_VALUE"""),"Uncle Sams Cider (11/12/2021) (Blue)")</f>
        <v>Uncle Sams Cider (11/12/2021) (Blue)</v>
      </c>
      <c r="H1109" s="19"/>
    </row>
    <row r="1110">
      <c r="A1110" s="9"/>
      <c r="B1110" s="15"/>
      <c r="C1110" s="9">
        <f>IFERROR(__xludf.DUMMYFUNCTION("""COMPUTED_VALUE"""),44593.9956608333)</f>
        <v>44593.99566</v>
      </c>
      <c r="D1110" s="15">
        <f>IFERROR(__xludf.DUMMYFUNCTION("""COMPUTED_VALUE"""),1.0)</f>
        <v>1</v>
      </c>
      <c r="E1110" s="16">
        <f>IFERROR(__xludf.DUMMYFUNCTION("""COMPUTED_VALUE"""),61.0)</f>
        <v>61</v>
      </c>
      <c r="F1110" s="19" t="str">
        <f>IFERROR(__xludf.DUMMYFUNCTION("""COMPUTED_VALUE"""),"BLUE")</f>
        <v>BLUE</v>
      </c>
      <c r="G1110" s="20" t="str">
        <f>IFERROR(__xludf.DUMMYFUNCTION("""COMPUTED_VALUE"""),"Uncle Sams Cider (11/12/2021) (Blue)")</f>
        <v>Uncle Sams Cider (11/12/2021) (Blue)</v>
      </c>
      <c r="H1110" s="19"/>
    </row>
    <row r="1111">
      <c r="A1111" s="9"/>
      <c r="B1111" s="15"/>
      <c r="C1111" s="9">
        <f>IFERROR(__xludf.DUMMYFUNCTION("""COMPUTED_VALUE"""),44593.9852271643)</f>
        <v>44593.98523</v>
      </c>
      <c r="D1111" s="15">
        <f>IFERROR(__xludf.DUMMYFUNCTION("""COMPUTED_VALUE"""),1.0)</f>
        <v>1</v>
      </c>
      <c r="E1111" s="16">
        <f>IFERROR(__xludf.DUMMYFUNCTION("""COMPUTED_VALUE"""),62.0)</f>
        <v>62</v>
      </c>
      <c r="F1111" s="19" t="str">
        <f>IFERROR(__xludf.DUMMYFUNCTION("""COMPUTED_VALUE"""),"BLUE")</f>
        <v>BLUE</v>
      </c>
      <c r="G1111" s="20" t="str">
        <f>IFERROR(__xludf.DUMMYFUNCTION("""COMPUTED_VALUE"""),"Uncle Sams Cider (11/12/2021) (Blue)")</f>
        <v>Uncle Sams Cider (11/12/2021) (Blue)</v>
      </c>
      <c r="H1111" s="19"/>
    </row>
    <row r="1112">
      <c r="A1112" s="9"/>
      <c r="B1112" s="15"/>
      <c r="C1112" s="9">
        <f>IFERROR(__xludf.DUMMYFUNCTION("""COMPUTED_VALUE"""),44593.9748064814)</f>
        <v>44593.97481</v>
      </c>
      <c r="D1112" s="15">
        <f>IFERROR(__xludf.DUMMYFUNCTION("""COMPUTED_VALUE"""),1.0)</f>
        <v>1</v>
      </c>
      <c r="E1112" s="16">
        <f>IFERROR(__xludf.DUMMYFUNCTION("""COMPUTED_VALUE"""),62.0)</f>
        <v>62</v>
      </c>
      <c r="F1112" s="19" t="str">
        <f>IFERROR(__xludf.DUMMYFUNCTION("""COMPUTED_VALUE"""),"BLUE")</f>
        <v>BLUE</v>
      </c>
      <c r="G1112" s="20" t="str">
        <f>IFERROR(__xludf.DUMMYFUNCTION("""COMPUTED_VALUE"""),"Uncle Sams Cider (11/12/2021) (Blue)")</f>
        <v>Uncle Sams Cider (11/12/2021) (Blue)</v>
      </c>
      <c r="H1112" s="19"/>
    </row>
    <row r="1113">
      <c r="A1113" s="9"/>
      <c r="B1113" s="15"/>
      <c r="C1113" s="9">
        <f>IFERROR(__xludf.DUMMYFUNCTION("""COMPUTED_VALUE"""),44593.9643868171)</f>
        <v>44593.96439</v>
      </c>
      <c r="D1113" s="15">
        <f>IFERROR(__xludf.DUMMYFUNCTION("""COMPUTED_VALUE"""),1.0)</f>
        <v>1</v>
      </c>
      <c r="E1113" s="16">
        <f>IFERROR(__xludf.DUMMYFUNCTION("""COMPUTED_VALUE"""),61.0)</f>
        <v>61</v>
      </c>
      <c r="F1113" s="19" t="str">
        <f>IFERROR(__xludf.DUMMYFUNCTION("""COMPUTED_VALUE"""),"BLUE")</f>
        <v>BLUE</v>
      </c>
      <c r="G1113" s="20" t="str">
        <f>IFERROR(__xludf.DUMMYFUNCTION("""COMPUTED_VALUE"""),"Uncle Sams Cider (11/12/2021) (Blue)")</f>
        <v>Uncle Sams Cider (11/12/2021) (Blue)</v>
      </c>
      <c r="H1113" s="19"/>
    </row>
    <row r="1114">
      <c r="A1114" s="9"/>
      <c r="B1114" s="15"/>
      <c r="C1114" s="9">
        <f>IFERROR(__xludf.DUMMYFUNCTION("""COMPUTED_VALUE"""),44593.9539653356)</f>
        <v>44593.95397</v>
      </c>
      <c r="D1114" s="15">
        <f>IFERROR(__xludf.DUMMYFUNCTION("""COMPUTED_VALUE"""),1.0)</f>
        <v>1</v>
      </c>
      <c r="E1114" s="16">
        <f>IFERROR(__xludf.DUMMYFUNCTION("""COMPUTED_VALUE"""),61.0)</f>
        <v>61</v>
      </c>
      <c r="F1114" s="19" t="str">
        <f>IFERROR(__xludf.DUMMYFUNCTION("""COMPUTED_VALUE"""),"BLUE")</f>
        <v>BLUE</v>
      </c>
      <c r="G1114" s="20" t="str">
        <f>IFERROR(__xludf.DUMMYFUNCTION("""COMPUTED_VALUE"""),"Uncle Sams Cider (11/12/2021) (Blue)")</f>
        <v>Uncle Sams Cider (11/12/2021) (Blue)</v>
      </c>
      <c r="H1114" s="19"/>
    </row>
    <row r="1115">
      <c r="A1115" s="9"/>
      <c r="B1115" s="15"/>
      <c r="C1115" s="9">
        <f>IFERROR(__xludf.DUMMYFUNCTION("""COMPUTED_VALUE"""),44593.9435449768)</f>
        <v>44593.94354</v>
      </c>
      <c r="D1115" s="15">
        <f>IFERROR(__xludf.DUMMYFUNCTION("""COMPUTED_VALUE"""),1.0)</f>
        <v>1</v>
      </c>
      <c r="E1115" s="16">
        <f>IFERROR(__xludf.DUMMYFUNCTION("""COMPUTED_VALUE"""),62.0)</f>
        <v>62</v>
      </c>
      <c r="F1115" s="19" t="str">
        <f>IFERROR(__xludf.DUMMYFUNCTION("""COMPUTED_VALUE"""),"BLUE")</f>
        <v>BLUE</v>
      </c>
      <c r="G1115" s="20" t="str">
        <f>IFERROR(__xludf.DUMMYFUNCTION("""COMPUTED_VALUE"""),"Uncle Sams Cider (11/12/2021) (Blue)")</f>
        <v>Uncle Sams Cider (11/12/2021) (Blue)</v>
      </c>
      <c r="H1115" s="19"/>
    </row>
    <row r="1116">
      <c r="A1116" s="9"/>
      <c r="B1116" s="15"/>
      <c r="C1116" s="9">
        <f>IFERROR(__xludf.DUMMYFUNCTION("""COMPUTED_VALUE"""),44593.9331243402)</f>
        <v>44593.93312</v>
      </c>
      <c r="D1116" s="15">
        <f>IFERROR(__xludf.DUMMYFUNCTION("""COMPUTED_VALUE"""),1.0)</f>
        <v>1</v>
      </c>
      <c r="E1116" s="16">
        <f>IFERROR(__xludf.DUMMYFUNCTION("""COMPUTED_VALUE"""),62.0)</f>
        <v>62</v>
      </c>
      <c r="F1116" s="19" t="str">
        <f>IFERROR(__xludf.DUMMYFUNCTION("""COMPUTED_VALUE"""),"BLUE")</f>
        <v>BLUE</v>
      </c>
      <c r="G1116" s="20" t="str">
        <f>IFERROR(__xludf.DUMMYFUNCTION("""COMPUTED_VALUE"""),"Uncle Sams Cider (11/12/2021) (Blue)")</f>
        <v>Uncle Sams Cider (11/12/2021) (Blue)</v>
      </c>
      <c r="H1116" s="19"/>
    </row>
    <row r="1117">
      <c r="A1117" s="9"/>
      <c r="B1117" s="15"/>
      <c r="C1117" s="9">
        <f>IFERROR(__xludf.DUMMYFUNCTION("""COMPUTED_VALUE"""),44593.9227043865)</f>
        <v>44593.9227</v>
      </c>
      <c r="D1117" s="15">
        <f>IFERROR(__xludf.DUMMYFUNCTION("""COMPUTED_VALUE"""),1.0)</f>
        <v>1</v>
      </c>
      <c r="E1117" s="16">
        <f>IFERROR(__xludf.DUMMYFUNCTION("""COMPUTED_VALUE"""),62.0)</f>
        <v>62</v>
      </c>
      <c r="F1117" s="19" t="str">
        <f>IFERROR(__xludf.DUMMYFUNCTION("""COMPUTED_VALUE"""),"BLUE")</f>
        <v>BLUE</v>
      </c>
      <c r="G1117" s="20" t="str">
        <f>IFERROR(__xludf.DUMMYFUNCTION("""COMPUTED_VALUE"""),"Uncle Sams Cider (11/12/2021) (Blue)")</f>
        <v>Uncle Sams Cider (11/12/2021) (Blue)</v>
      </c>
      <c r="H1117" s="19"/>
    </row>
    <row r="1118">
      <c r="A1118" s="9"/>
      <c r="B1118" s="15"/>
      <c r="C1118" s="9">
        <f>IFERROR(__xludf.DUMMYFUNCTION("""COMPUTED_VALUE"""),44593.9122822453)</f>
        <v>44593.91228</v>
      </c>
      <c r="D1118" s="15">
        <f>IFERROR(__xludf.DUMMYFUNCTION("""COMPUTED_VALUE"""),1.0)</f>
        <v>1</v>
      </c>
      <c r="E1118" s="16">
        <f>IFERROR(__xludf.DUMMYFUNCTION("""COMPUTED_VALUE"""),62.0)</f>
        <v>62</v>
      </c>
      <c r="F1118" s="19" t="str">
        <f>IFERROR(__xludf.DUMMYFUNCTION("""COMPUTED_VALUE"""),"BLUE")</f>
        <v>BLUE</v>
      </c>
      <c r="G1118" s="20" t="str">
        <f>IFERROR(__xludf.DUMMYFUNCTION("""COMPUTED_VALUE"""),"Uncle Sams Cider (11/12/2021) (Blue)")</f>
        <v>Uncle Sams Cider (11/12/2021) (Blue)</v>
      </c>
      <c r="H1118" s="19"/>
    </row>
    <row r="1119">
      <c r="A1119" s="9"/>
      <c r="B1119" s="15"/>
      <c r="C1119" s="9">
        <f>IFERROR(__xludf.DUMMYFUNCTION("""COMPUTED_VALUE"""),44593.9018613657)</f>
        <v>44593.90186</v>
      </c>
      <c r="D1119" s="15">
        <f>IFERROR(__xludf.DUMMYFUNCTION("""COMPUTED_VALUE"""),1.0)</f>
        <v>1</v>
      </c>
      <c r="E1119" s="16">
        <f>IFERROR(__xludf.DUMMYFUNCTION("""COMPUTED_VALUE"""),62.0)</f>
        <v>62</v>
      </c>
      <c r="F1119" s="19" t="str">
        <f>IFERROR(__xludf.DUMMYFUNCTION("""COMPUTED_VALUE"""),"BLUE")</f>
        <v>BLUE</v>
      </c>
      <c r="G1119" s="20" t="str">
        <f>IFERROR(__xludf.DUMMYFUNCTION("""COMPUTED_VALUE"""),"Uncle Sams Cider (11/12/2021) (Blue)")</f>
        <v>Uncle Sams Cider (11/12/2021) (Blue)</v>
      </c>
      <c r="H1119" s="19"/>
    </row>
    <row r="1120">
      <c r="A1120" s="9"/>
      <c r="B1120" s="15"/>
      <c r="C1120" s="9">
        <f>IFERROR(__xludf.DUMMYFUNCTION("""COMPUTED_VALUE"""),44593.8914410879)</f>
        <v>44593.89144</v>
      </c>
      <c r="D1120" s="15">
        <f>IFERROR(__xludf.DUMMYFUNCTION("""COMPUTED_VALUE"""),1.0)</f>
        <v>1</v>
      </c>
      <c r="E1120" s="16">
        <f>IFERROR(__xludf.DUMMYFUNCTION("""COMPUTED_VALUE"""),62.0)</f>
        <v>62</v>
      </c>
      <c r="F1120" s="19" t="str">
        <f>IFERROR(__xludf.DUMMYFUNCTION("""COMPUTED_VALUE"""),"BLUE")</f>
        <v>BLUE</v>
      </c>
      <c r="G1120" s="20" t="str">
        <f>IFERROR(__xludf.DUMMYFUNCTION("""COMPUTED_VALUE"""),"Uncle Sams Cider (11/12/2021) (Blue)")</f>
        <v>Uncle Sams Cider (11/12/2021) (Blue)</v>
      </c>
      <c r="H1120" s="19"/>
    </row>
    <row r="1121">
      <c r="A1121" s="9"/>
      <c r="B1121" s="15"/>
      <c r="C1121" s="9">
        <f>IFERROR(__xludf.DUMMYFUNCTION("""COMPUTED_VALUE"""),44593.8810193055)</f>
        <v>44593.88102</v>
      </c>
      <c r="D1121" s="15">
        <f>IFERROR(__xludf.DUMMYFUNCTION("""COMPUTED_VALUE"""),1.0)</f>
        <v>1</v>
      </c>
      <c r="E1121" s="16">
        <f>IFERROR(__xludf.DUMMYFUNCTION("""COMPUTED_VALUE"""),62.0)</f>
        <v>62</v>
      </c>
      <c r="F1121" s="19" t="str">
        <f>IFERROR(__xludf.DUMMYFUNCTION("""COMPUTED_VALUE"""),"BLUE")</f>
        <v>BLUE</v>
      </c>
      <c r="G1121" s="20" t="str">
        <f>IFERROR(__xludf.DUMMYFUNCTION("""COMPUTED_VALUE"""),"Uncle Sams Cider (11/12/2021) (Blue)")</f>
        <v>Uncle Sams Cider (11/12/2021) (Blue)</v>
      </c>
      <c r="H1121" s="19"/>
    </row>
    <row r="1122">
      <c r="A1122" s="9"/>
      <c r="B1122" s="15"/>
      <c r="C1122" s="9">
        <f>IFERROR(__xludf.DUMMYFUNCTION("""COMPUTED_VALUE"""),44593.8705988541)</f>
        <v>44593.8706</v>
      </c>
      <c r="D1122" s="15">
        <f>IFERROR(__xludf.DUMMYFUNCTION("""COMPUTED_VALUE"""),1.0)</f>
        <v>1</v>
      </c>
      <c r="E1122" s="16">
        <f>IFERROR(__xludf.DUMMYFUNCTION("""COMPUTED_VALUE"""),62.0)</f>
        <v>62</v>
      </c>
      <c r="F1122" s="19" t="str">
        <f>IFERROR(__xludf.DUMMYFUNCTION("""COMPUTED_VALUE"""),"BLUE")</f>
        <v>BLUE</v>
      </c>
      <c r="G1122" s="20" t="str">
        <f>IFERROR(__xludf.DUMMYFUNCTION("""COMPUTED_VALUE"""),"Uncle Sams Cider (11/12/2021) (Blue)")</f>
        <v>Uncle Sams Cider (11/12/2021) (Blue)</v>
      </c>
      <c r="H1122" s="19"/>
    </row>
    <row r="1123">
      <c r="A1123" s="9"/>
      <c r="B1123" s="15"/>
      <c r="C1123" s="9">
        <f>IFERROR(__xludf.DUMMYFUNCTION("""COMPUTED_VALUE"""),44593.8601779513)</f>
        <v>44593.86018</v>
      </c>
      <c r="D1123" s="15">
        <f>IFERROR(__xludf.DUMMYFUNCTION("""COMPUTED_VALUE"""),1.0)</f>
        <v>1</v>
      </c>
      <c r="E1123" s="16">
        <f>IFERROR(__xludf.DUMMYFUNCTION("""COMPUTED_VALUE"""),62.0)</f>
        <v>62</v>
      </c>
      <c r="F1123" s="19" t="str">
        <f>IFERROR(__xludf.DUMMYFUNCTION("""COMPUTED_VALUE"""),"BLUE")</f>
        <v>BLUE</v>
      </c>
      <c r="G1123" s="20" t="str">
        <f>IFERROR(__xludf.DUMMYFUNCTION("""COMPUTED_VALUE"""),"Uncle Sams Cider (11/12/2021) (Blue)")</f>
        <v>Uncle Sams Cider (11/12/2021) (Blue)</v>
      </c>
      <c r="H1123" s="19"/>
    </row>
    <row r="1124">
      <c r="A1124" s="9"/>
      <c r="B1124" s="15"/>
      <c r="C1124" s="9">
        <f>IFERROR(__xludf.DUMMYFUNCTION("""COMPUTED_VALUE"""),44593.8497580208)</f>
        <v>44593.84976</v>
      </c>
      <c r="D1124" s="15">
        <f>IFERROR(__xludf.DUMMYFUNCTION("""COMPUTED_VALUE"""),1.0)</f>
        <v>1</v>
      </c>
      <c r="E1124" s="16">
        <f>IFERROR(__xludf.DUMMYFUNCTION("""COMPUTED_VALUE"""),62.0)</f>
        <v>62</v>
      </c>
      <c r="F1124" s="19" t="str">
        <f>IFERROR(__xludf.DUMMYFUNCTION("""COMPUTED_VALUE"""),"BLUE")</f>
        <v>BLUE</v>
      </c>
      <c r="G1124" s="20" t="str">
        <f>IFERROR(__xludf.DUMMYFUNCTION("""COMPUTED_VALUE"""),"Uncle Sams Cider (11/12/2021) (Blue)")</f>
        <v>Uncle Sams Cider (11/12/2021) (Blue)</v>
      </c>
      <c r="H1124" s="19"/>
    </row>
    <row r="1125">
      <c r="A1125" s="9"/>
      <c r="B1125" s="15"/>
      <c r="C1125" s="9">
        <f>IFERROR(__xludf.DUMMYFUNCTION("""COMPUTED_VALUE"""),44593.8393255439)</f>
        <v>44593.83933</v>
      </c>
      <c r="D1125" s="15">
        <f>IFERROR(__xludf.DUMMYFUNCTION("""COMPUTED_VALUE"""),1.0)</f>
        <v>1</v>
      </c>
      <c r="E1125" s="16">
        <f>IFERROR(__xludf.DUMMYFUNCTION("""COMPUTED_VALUE"""),62.0)</f>
        <v>62</v>
      </c>
      <c r="F1125" s="19" t="str">
        <f>IFERROR(__xludf.DUMMYFUNCTION("""COMPUTED_VALUE"""),"BLUE")</f>
        <v>BLUE</v>
      </c>
      <c r="G1125" s="20" t="str">
        <f>IFERROR(__xludf.DUMMYFUNCTION("""COMPUTED_VALUE"""),"Uncle Sams Cider (11/12/2021) (Blue)")</f>
        <v>Uncle Sams Cider (11/12/2021) (Blue)</v>
      </c>
      <c r="H1125" s="19"/>
    </row>
    <row r="1126">
      <c r="A1126" s="9"/>
      <c r="B1126" s="15"/>
      <c r="C1126" s="9">
        <f>IFERROR(__xludf.DUMMYFUNCTION("""COMPUTED_VALUE"""),44593.8289048379)</f>
        <v>44593.8289</v>
      </c>
      <c r="D1126" s="15">
        <f>IFERROR(__xludf.DUMMYFUNCTION("""COMPUTED_VALUE"""),1.0)</f>
        <v>1</v>
      </c>
      <c r="E1126" s="16">
        <f>IFERROR(__xludf.DUMMYFUNCTION("""COMPUTED_VALUE"""),62.0)</f>
        <v>62</v>
      </c>
      <c r="F1126" s="19" t="str">
        <f>IFERROR(__xludf.DUMMYFUNCTION("""COMPUTED_VALUE"""),"BLUE")</f>
        <v>BLUE</v>
      </c>
      <c r="G1126" s="20" t="str">
        <f>IFERROR(__xludf.DUMMYFUNCTION("""COMPUTED_VALUE"""),"Uncle Sams Cider (11/12/2021) (Blue)")</f>
        <v>Uncle Sams Cider (11/12/2021) (Blue)</v>
      </c>
      <c r="H1126" s="19"/>
    </row>
    <row r="1127">
      <c r="A1127" s="9"/>
      <c r="B1127" s="15"/>
      <c r="C1127" s="9">
        <f>IFERROR(__xludf.DUMMYFUNCTION("""COMPUTED_VALUE"""),44593.818484074)</f>
        <v>44593.81848</v>
      </c>
      <c r="D1127" s="15">
        <f>IFERROR(__xludf.DUMMYFUNCTION("""COMPUTED_VALUE"""),1.0)</f>
        <v>1</v>
      </c>
      <c r="E1127" s="16">
        <f>IFERROR(__xludf.DUMMYFUNCTION("""COMPUTED_VALUE"""),62.0)</f>
        <v>62</v>
      </c>
      <c r="F1127" s="19" t="str">
        <f>IFERROR(__xludf.DUMMYFUNCTION("""COMPUTED_VALUE"""),"BLUE")</f>
        <v>BLUE</v>
      </c>
      <c r="G1127" s="20" t="str">
        <f>IFERROR(__xludf.DUMMYFUNCTION("""COMPUTED_VALUE"""),"Uncle Sams Cider (11/12/2021) (Blue)")</f>
        <v>Uncle Sams Cider (11/12/2021) (Blue)</v>
      </c>
      <c r="H1127" s="19"/>
    </row>
    <row r="1128">
      <c r="A1128" s="9"/>
      <c r="B1128" s="15"/>
      <c r="C1128" s="9">
        <f>IFERROR(__xludf.DUMMYFUNCTION("""COMPUTED_VALUE"""),44593.8080518518)</f>
        <v>44593.80805</v>
      </c>
      <c r="D1128" s="15">
        <f>IFERROR(__xludf.DUMMYFUNCTION("""COMPUTED_VALUE"""),1.0)</f>
        <v>1</v>
      </c>
      <c r="E1128" s="16">
        <f>IFERROR(__xludf.DUMMYFUNCTION("""COMPUTED_VALUE"""),62.0)</f>
        <v>62</v>
      </c>
      <c r="F1128" s="19" t="str">
        <f>IFERROR(__xludf.DUMMYFUNCTION("""COMPUTED_VALUE"""),"BLUE")</f>
        <v>BLUE</v>
      </c>
      <c r="G1128" s="20" t="str">
        <f>IFERROR(__xludf.DUMMYFUNCTION("""COMPUTED_VALUE"""),"Uncle Sams Cider (11/12/2021) (Blue)")</f>
        <v>Uncle Sams Cider (11/12/2021) (Blue)</v>
      </c>
      <c r="H1128" s="19"/>
    </row>
    <row r="1129">
      <c r="A1129" s="9"/>
      <c r="B1129" s="15"/>
      <c r="C1129" s="9">
        <f>IFERROR(__xludf.DUMMYFUNCTION("""COMPUTED_VALUE"""),44593.7976324421)</f>
        <v>44593.79763</v>
      </c>
      <c r="D1129" s="15">
        <f>IFERROR(__xludf.DUMMYFUNCTION("""COMPUTED_VALUE"""),1.0)</f>
        <v>1</v>
      </c>
      <c r="E1129" s="16">
        <f>IFERROR(__xludf.DUMMYFUNCTION("""COMPUTED_VALUE"""),62.0)</f>
        <v>62</v>
      </c>
      <c r="F1129" s="19" t="str">
        <f>IFERROR(__xludf.DUMMYFUNCTION("""COMPUTED_VALUE"""),"BLUE")</f>
        <v>BLUE</v>
      </c>
      <c r="G1129" s="20" t="str">
        <f>IFERROR(__xludf.DUMMYFUNCTION("""COMPUTED_VALUE"""),"Uncle Sams Cider (11/12/2021) (Blue)")</f>
        <v>Uncle Sams Cider (11/12/2021) (Blue)</v>
      </c>
      <c r="H1129" s="19"/>
    </row>
    <row r="1130">
      <c r="A1130" s="9"/>
      <c r="B1130" s="15"/>
      <c r="C1130" s="9">
        <f>IFERROR(__xludf.DUMMYFUNCTION("""COMPUTED_VALUE"""),44593.7872117824)</f>
        <v>44593.78721</v>
      </c>
      <c r="D1130" s="15">
        <f>IFERROR(__xludf.DUMMYFUNCTION("""COMPUTED_VALUE"""),1.0)</f>
        <v>1</v>
      </c>
      <c r="E1130" s="16">
        <f>IFERROR(__xludf.DUMMYFUNCTION("""COMPUTED_VALUE"""),62.0)</f>
        <v>62</v>
      </c>
      <c r="F1130" s="19" t="str">
        <f>IFERROR(__xludf.DUMMYFUNCTION("""COMPUTED_VALUE"""),"BLUE")</f>
        <v>BLUE</v>
      </c>
      <c r="G1130" s="20" t="str">
        <f>IFERROR(__xludf.DUMMYFUNCTION("""COMPUTED_VALUE"""),"Uncle Sams Cider (11/12/2021) (Blue)")</f>
        <v>Uncle Sams Cider (11/12/2021) (Blue)</v>
      </c>
      <c r="H1130" s="19"/>
    </row>
    <row r="1131">
      <c r="A1131" s="9"/>
      <c r="B1131" s="15"/>
      <c r="C1131" s="9">
        <f>IFERROR(__xludf.DUMMYFUNCTION("""COMPUTED_VALUE"""),44593.7767910069)</f>
        <v>44593.77679</v>
      </c>
      <c r="D1131" s="15">
        <f>IFERROR(__xludf.DUMMYFUNCTION("""COMPUTED_VALUE"""),1.0)</f>
        <v>1</v>
      </c>
      <c r="E1131" s="16">
        <f>IFERROR(__xludf.DUMMYFUNCTION("""COMPUTED_VALUE"""),62.0)</f>
        <v>62</v>
      </c>
      <c r="F1131" s="19" t="str">
        <f>IFERROR(__xludf.DUMMYFUNCTION("""COMPUTED_VALUE"""),"BLUE")</f>
        <v>BLUE</v>
      </c>
      <c r="G1131" s="20" t="str">
        <f>IFERROR(__xludf.DUMMYFUNCTION("""COMPUTED_VALUE"""),"Uncle Sams Cider (11/12/2021) (Blue)")</f>
        <v>Uncle Sams Cider (11/12/2021) (Blue)</v>
      </c>
      <c r="H1131" s="19"/>
    </row>
    <row r="1132">
      <c r="A1132" s="9"/>
      <c r="B1132" s="15"/>
      <c r="C1132" s="9">
        <f>IFERROR(__xludf.DUMMYFUNCTION("""COMPUTED_VALUE"""),44593.7663691666)</f>
        <v>44593.76637</v>
      </c>
      <c r="D1132" s="15">
        <f>IFERROR(__xludf.DUMMYFUNCTION("""COMPUTED_VALUE"""),1.0)</f>
        <v>1</v>
      </c>
      <c r="E1132" s="16">
        <f>IFERROR(__xludf.DUMMYFUNCTION("""COMPUTED_VALUE"""),62.0)</f>
        <v>62</v>
      </c>
      <c r="F1132" s="19" t="str">
        <f>IFERROR(__xludf.DUMMYFUNCTION("""COMPUTED_VALUE"""),"BLUE")</f>
        <v>BLUE</v>
      </c>
      <c r="G1132" s="20" t="str">
        <f>IFERROR(__xludf.DUMMYFUNCTION("""COMPUTED_VALUE"""),"Uncle Sams Cider (11/12/2021) (Blue)")</f>
        <v>Uncle Sams Cider (11/12/2021) (Blue)</v>
      </c>
      <c r="H1132" s="19"/>
    </row>
    <row r="1133">
      <c r="A1133" s="9"/>
      <c r="B1133" s="15"/>
      <c r="C1133" s="9">
        <f>IFERROR(__xludf.DUMMYFUNCTION("""COMPUTED_VALUE"""),44593.7559487962)</f>
        <v>44593.75595</v>
      </c>
      <c r="D1133" s="15">
        <f>IFERROR(__xludf.DUMMYFUNCTION("""COMPUTED_VALUE"""),1.0)</f>
        <v>1</v>
      </c>
      <c r="E1133" s="16">
        <f>IFERROR(__xludf.DUMMYFUNCTION("""COMPUTED_VALUE"""),62.0)</f>
        <v>62</v>
      </c>
      <c r="F1133" s="19" t="str">
        <f>IFERROR(__xludf.DUMMYFUNCTION("""COMPUTED_VALUE"""),"BLUE")</f>
        <v>BLUE</v>
      </c>
      <c r="G1133" s="20" t="str">
        <f>IFERROR(__xludf.DUMMYFUNCTION("""COMPUTED_VALUE"""),"Uncle Sams Cider (11/12/2021) (Blue)")</f>
        <v>Uncle Sams Cider (11/12/2021) (Blue)</v>
      </c>
      <c r="H1133" s="19"/>
    </row>
    <row r="1134">
      <c r="A1134" s="9"/>
      <c r="B1134" s="15"/>
      <c r="C1134" s="9">
        <f>IFERROR(__xludf.DUMMYFUNCTION("""COMPUTED_VALUE"""),44593.745527199)</f>
        <v>44593.74553</v>
      </c>
      <c r="D1134" s="15">
        <f>IFERROR(__xludf.DUMMYFUNCTION("""COMPUTED_VALUE"""),1.0)</f>
        <v>1</v>
      </c>
      <c r="E1134" s="16">
        <f>IFERROR(__xludf.DUMMYFUNCTION("""COMPUTED_VALUE"""),62.0)</f>
        <v>62</v>
      </c>
      <c r="F1134" s="19" t="str">
        <f>IFERROR(__xludf.DUMMYFUNCTION("""COMPUTED_VALUE"""),"BLUE")</f>
        <v>BLUE</v>
      </c>
      <c r="G1134" s="20" t="str">
        <f>IFERROR(__xludf.DUMMYFUNCTION("""COMPUTED_VALUE"""),"Uncle Sams Cider (11/12/2021) (Blue)")</f>
        <v>Uncle Sams Cider (11/12/2021) (Blue)</v>
      </c>
      <c r="H1134" s="19"/>
    </row>
    <row r="1135">
      <c r="A1135" s="9"/>
      <c r="B1135" s="15"/>
      <c r="C1135" s="9">
        <f>IFERROR(__xludf.DUMMYFUNCTION("""COMPUTED_VALUE"""),44593.7351059606)</f>
        <v>44593.73511</v>
      </c>
      <c r="D1135" s="15">
        <f>IFERROR(__xludf.DUMMYFUNCTION("""COMPUTED_VALUE"""),1.0)</f>
        <v>1</v>
      </c>
      <c r="E1135" s="16">
        <f>IFERROR(__xludf.DUMMYFUNCTION("""COMPUTED_VALUE"""),62.0)</f>
        <v>62</v>
      </c>
      <c r="F1135" s="19" t="str">
        <f>IFERROR(__xludf.DUMMYFUNCTION("""COMPUTED_VALUE"""),"BLUE")</f>
        <v>BLUE</v>
      </c>
      <c r="G1135" s="20" t="str">
        <f>IFERROR(__xludf.DUMMYFUNCTION("""COMPUTED_VALUE"""),"Uncle Sams Cider (11/12/2021) (Blue)")</f>
        <v>Uncle Sams Cider (11/12/2021) (Blue)</v>
      </c>
      <c r="H1135" s="19"/>
    </row>
    <row r="1136">
      <c r="A1136" s="9"/>
      <c r="B1136" s="15"/>
      <c r="C1136" s="9">
        <f>IFERROR(__xludf.DUMMYFUNCTION("""COMPUTED_VALUE"""),44593.7246836342)</f>
        <v>44593.72468</v>
      </c>
      <c r="D1136" s="15">
        <f>IFERROR(__xludf.DUMMYFUNCTION("""COMPUTED_VALUE"""),1.0)</f>
        <v>1</v>
      </c>
      <c r="E1136" s="16">
        <f>IFERROR(__xludf.DUMMYFUNCTION("""COMPUTED_VALUE"""),62.0)</f>
        <v>62</v>
      </c>
      <c r="F1136" s="19" t="str">
        <f>IFERROR(__xludf.DUMMYFUNCTION("""COMPUTED_VALUE"""),"BLUE")</f>
        <v>BLUE</v>
      </c>
      <c r="G1136" s="20" t="str">
        <f>IFERROR(__xludf.DUMMYFUNCTION("""COMPUTED_VALUE"""),"Uncle Sams Cider (11/12/2021) (Blue)")</f>
        <v>Uncle Sams Cider (11/12/2021) (Blue)</v>
      </c>
      <c r="H1136" s="19"/>
    </row>
    <row r="1137">
      <c r="A1137" s="9"/>
      <c r="B1137" s="15"/>
      <c r="C1137" s="9">
        <f>IFERROR(__xludf.DUMMYFUNCTION("""COMPUTED_VALUE"""),44593.7142621874)</f>
        <v>44593.71426</v>
      </c>
      <c r="D1137" s="15">
        <f>IFERROR(__xludf.DUMMYFUNCTION("""COMPUTED_VALUE"""),1.0)</f>
        <v>1</v>
      </c>
      <c r="E1137" s="16">
        <f>IFERROR(__xludf.DUMMYFUNCTION("""COMPUTED_VALUE"""),62.0)</f>
        <v>62</v>
      </c>
      <c r="F1137" s="19" t="str">
        <f>IFERROR(__xludf.DUMMYFUNCTION("""COMPUTED_VALUE"""),"BLUE")</f>
        <v>BLUE</v>
      </c>
      <c r="G1137" s="20" t="str">
        <f>IFERROR(__xludf.DUMMYFUNCTION("""COMPUTED_VALUE"""),"Uncle Sams Cider (11/12/2021) (Blue)")</f>
        <v>Uncle Sams Cider (11/12/2021) (Blue)</v>
      </c>
      <c r="H1137" s="19"/>
    </row>
    <row r="1138">
      <c r="A1138" s="9"/>
      <c r="B1138" s="15"/>
      <c r="C1138" s="9">
        <f>IFERROR(__xludf.DUMMYFUNCTION("""COMPUTED_VALUE"""),44593.7038431597)</f>
        <v>44593.70384</v>
      </c>
      <c r="D1138" s="15">
        <f>IFERROR(__xludf.DUMMYFUNCTION("""COMPUTED_VALUE"""),1.0)</f>
        <v>1</v>
      </c>
      <c r="E1138" s="16">
        <f>IFERROR(__xludf.DUMMYFUNCTION("""COMPUTED_VALUE"""),62.0)</f>
        <v>62</v>
      </c>
      <c r="F1138" s="19" t="str">
        <f>IFERROR(__xludf.DUMMYFUNCTION("""COMPUTED_VALUE"""),"BLUE")</f>
        <v>BLUE</v>
      </c>
      <c r="G1138" s="20" t="str">
        <f>IFERROR(__xludf.DUMMYFUNCTION("""COMPUTED_VALUE"""),"Uncle Sams Cider (11/12/2021) (Blue)")</f>
        <v>Uncle Sams Cider (11/12/2021) (Blue)</v>
      </c>
      <c r="H1138" s="19"/>
    </row>
    <row r="1139">
      <c r="A1139" s="9"/>
      <c r="B1139" s="15"/>
      <c r="C1139" s="9">
        <f>IFERROR(__xludf.DUMMYFUNCTION("""COMPUTED_VALUE"""),44593.6934215162)</f>
        <v>44593.69342</v>
      </c>
      <c r="D1139" s="15">
        <f>IFERROR(__xludf.DUMMYFUNCTION("""COMPUTED_VALUE"""),1.0)</f>
        <v>1</v>
      </c>
      <c r="E1139" s="16">
        <f>IFERROR(__xludf.DUMMYFUNCTION("""COMPUTED_VALUE"""),62.0)</f>
        <v>62</v>
      </c>
      <c r="F1139" s="19" t="str">
        <f>IFERROR(__xludf.DUMMYFUNCTION("""COMPUTED_VALUE"""),"BLUE")</f>
        <v>BLUE</v>
      </c>
      <c r="G1139" s="20" t="str">
        <f>IFERROR(__xludf.DUMMYFUNCTION("""COMPUTED_VALUE"""),"Uncle Sams Cider (11/12/2021) (Blue)")</f>
        <v>Uncle Sams Cider (11/12/2021) (Blue)</v>
      </c>
      <c r="H1139" s="19"/>
    </row>
    <row r="1140">
      <c r="A1140" s="9"/>
      <c r="B1140" s="15"/>
      <c r="C1140" s="9">
        <f>IFERROR(__xludf.DUMMYFUNCTION("""COMPUTED_VALUE"""),44593.6829998495)</f>
        <v>44593.683</v>
      </c>
      <c r="D1140" s="15">
        <f>IFERROR(__xludf.DUMMYFUNCTION("""COMPUTED_VALUE"""),1.0)</f>
        <v>1</v>
      </c>
      <c r="E1140" s="16">
        <f>IFERROR(__xludf.DUMMYFUNCTION("""COMPUTED_VALUE"""),62.0)</f>
        <v>62</v>
      </c>
      <c r="F1140" s="19" t="str">
        <f>IFERROR(__xludf.DUMMYFUNCTION("""COMPUTED_VALUE"""),"BLUE")</f>
        <v>BLUE</v>
      </c>
      <c r="G1140" s="20" t="str">
        <f>IFERROR(__xludf.DUMMYFUNCTION("""COMPUTED_VALUE"""),"Uncle Sams Cider (11/12/2021) (Blue)")</f>
        <v>Uncle Sams Cider (11/12/2021) (Blue)</v>
      </c>
      <c r="H1140" s="19"/>
    </row>
    <row r="1141">
      <c r="A1141" s="9"/>
      <c r="B1141" s="15"/>
      <c r="C1141" s="9">
        <f>IFERROR(__xludf.DUMMYFUNCTION("""COMPUTED_VALUE"""),44593.6725684027)</f>
        <v>44593.67257</v>
      </c>
      <c r="D1141" s="15">
        <f>IFERROR(__xludf.DUMMYFUNCTION("""COMPUTED_VALUE"""),1.0)</f>
        <v>1</v>
      </c>
      <c r="E1141" s="16">
        <f>IFERROR(__xludf.DUMMYFUNCTION("""COMPUTED_VALUE"""),62.0)</f>
        <v>62</v>
      </c>
      <c r="F1141" s="19" t="str">
        <f>IFERROR(__xludf.DUMMYFUNCTION("""COMPUTED_VALUE"""),"BLUE")</f>
        <v>BLUE</v>
      </c>
      <c r="G1141" s="20" t="str">
        <f>IFERROR(__xludf.DUMMYFUNCTION("""COMPUTED_VALUE"""),"Uncle Sams Cider (11/12/2021) (Blue)")</f>
        <v>Uncle Sams Cider (11/12/2021) (Blue)</v>
      </c>
      <c r="H1141" s="19"/>
    </row>
    <row r="1142">
      <c r="A1142" s="9"/>
      <c r="B1142" s="15"/>
      <c r="C1142" s="9">
        <f>IFERROR(__xludf.DUMMYFUNCTION("""COMPUTED_VALUE"""),44593.6621482523)</f>
        <v>44593.66215</v>
      </c>
      <c r="D1142" s="15">
        <f>IFERROR(__xludf.DUMMYFUNCTION("""COMPUTED_VALUE"""),1.0)</f>
        <v>1</v>
      </c>
      <c r="E1142" s="16">
        <f>IFERROR(__xludf.DUMMYFUNCTION("""COMPUTED_VALUE"""),62.0)</f>
        <v>62</v>
      </c>
      <c r="F1142" s="19" t="str">
        <f>IFERROR(__xludf.DUMMYFUNCTION("""COMPUTED_VALUE"""),"BLUE")</f>
        <v>BLUE</v>
      </c>
      <c r="G1142" s="20" t="str">
        <f>IFERROR(__xludf.DUMMYFUNCTION("""COMPUTED_VALUE"""),"Uncle Sams Cider (11/12/2021) (Blue)")</f>
        <v>Uncle Sams Cider (11/12/2021) (Blue)</v>
      </c>
      <c r="H1142" s="19"/>
    </row>
    <row r="1143">
      <c r="A1143" s="9"/>
      <c r="B1143" s="15"/>
      <c r="C1143" s="9">
        <f>IFERROR(__xludf.DUMMYFUNCTION("""COMPUTED_VALUE"""),44593.6517259143)</f>
        <v>44593.65173</v>
      </c>
      <c r="D1143" s="15">
        <f>IFERROR(__xludf.DUMMYFUNCTION("""COMPUTED_VALUE"""),1.0)</f>
        <v>1</v>
      </c>
      <c r="E1143" s="16">
        <f>IFERROR(__xludf.DUMMYFUNCTION("""COMPUTED_VALUE"""),62.0)</f>
        <v>62</v>
      </c>
      <c r="F1143" s="19" t="str">
        <f>IFERROR(__xludf.DUMMYFUNCTION("""COMPUTED_VALUE"""),"BLUE")</f>
        <v>BLUE</v>
      </c>
      <c r="G1143" s="20" t="str">
        <f>IFERROR(__xludf.DUMMYFUNCTION("""COMPUTED_VALUE"""),"Uncle Sams Cider (11/12/2021) (Blue)")</f>
        <v>Uncle Sams Cider (11/12/2021) (Blue)</v>
      </c>
      <c r="H1143" s="19"/>
    </row>
    <row r="1144">
      <c r="A1144" s="9"/>
      <c r="B1144" s="15"/>
      <c r="C1144" s="9">
        <f>IFERROR(__xludf.DUMMYFUNCTION("""COMPUTED_VALUE"""),44593.64130353)</f>
        <v>44593.6413</v>
      </c>
      <c r="D1144" s="15">
        <f>IFERROR(__xludf.DUMMYFUNCTION("""COMPUTED_VALUE"""),1.0)</f>
        <v>1</v>
      </c>
      <c r="E1144" s="16">
        <f>IFERROR(__xludf.DUMMYFUNCTION("""COMPUTED_VALUE"""),62.0)</f>
        <v>62</v>
      </c>
      <c r="F1144" s="19" t="str">
        <f>IFERROR(__xludf.DUMMYFUNCTION("""COMPUTED_VALUE"""),"BLUE")</f>
        <v>BLUE</v>
      </c>
      <c r="G1144" s="20" t="str">
        <f>IFERROR(__xludf.DUMMYFUNCTION("""COMPUTED_VALUE"""),"Uncle Sams Cider (11/12/2021) (Blue)")</f>
        <v>Uncle Sams Cider (11/12/2021) (Blue)</v>
      </c>
      <c r="H1144" s="19"/>
    </row>
    <row r="1145">
      <c r="A1145" s="9"/>
      <c r="B1145" s="15"/>
      <c r="C1145" s="9">
        <f>IFERROR(__xludf.DUMMYFUNCTION("""COMPUTED_VALUE"""),44593.6308838541)</f>
        <v>44593.63088</v>
      </c>
      <c r="D1145" s="15">
        <f>IFERROR(__xludf.DUMMYFUNCTION("""COMPUTED_VALUE"""),1.0)</f>
        <v>1</v>
      </c>
      <c r="E1145" s="16">
        <f>IFERROR(__xludf.DUMMYFUNCTION("""COMPUTED_VALUE"""),62.0)</f>
        <v>62</v>
      </c>
      <c r="F1145" s="19" t="str">
        <f>IFERROR(__xludf.DUMMYFUNCTION("""COMPUTED_VALUE"""),"BLUE")</f>
        <v>BLUE</v>
      </c>
      <c r="G1145" s="20" t="str">
        <f>IFERROR(__xludf.DUMMYFUNCTION("""COMPUTED_VALUE"""),"Uncle Sams Cider (11/12/2021) (Blue)")</f>
        <v>Uncle Sams Cider (11/12/2021) (Blue)</v>
      </c>
      <c r="H1145" s="19"/>
    </row>
    <row r="1146">
      <c r="A1146" s="9"/>
      <c r="B1146" s="15"/>
      <c r="C1146" s="9">
        <f>IFERROR(__xludf.DUMMYFUNCTION("""COMPUTED_VALUE"""),44593.6204514699)</f>
        <v>44593.62045</v>
      </c>
      <c r="D1146" s="15">
        <f>IFERROR(__xludf.DUMMYFUNCTION("""COMPUTED_VALUE"""),1.0)</f>
        <v>1</v>
      </c>
      <c r="E1146" s="16">
        <f>IFERROR(__xludf.DUMMYFUNCTION("""COMPUTED_VALUE"""),62.0)</f>
        <v>62</v>
      </c>
      <c r="F1146" s="19" t="str">
        <f>IFERROR(__xludf.DUMMYFUNCTION("""COMPUTED_VALUE"""),"BLUE")</f>
        <v>BLUE</v>
      </c>
      <c r="G1146" s="20" t="str">
        <f>IFERROR(__xludf.DUMMYFUNCTION("""COMPUTED_VALUE"""),"Uncle Sams Cider (11/12/2021) (Blue)")</f>
        <v>Uncle Sams Cider (11/12/2021) (Blue)</v>
      </c>
      <c r="H1146" s="19"/>
    </row>
    <row r="1147">
      <c r="A1147" s="9"/>
      <c r="B1147" s="15"/>
      <c r="C1147" s="9">
        <f>IFERROR(__xludf.DUMMYFUNCTION("""COMPUTED_VALUE"""),44593.6100286574)</f>
        <v>44593.61003</v>
      </c>
      <c r="D1147" s="15">
        <f>IFERROR(__xludf.DUMMYFUNCTION("""COMPUTED_VALUE"""),1.0)</f>
        <v>1</v>
      </c>
      <c r="E1147" s="16">
        <f>IFERROR(__xludf.DUMMYFUNCTION("""COMPUTED_VALUE"""),62.0)</f>
        <v>62</v>
      </c>
      <c r="F1147" s="19" t="str">
        <f>IFERROR(__xludf.DUMMYFUNCTION("""COMPUTED_VALUE"""),"BLUE")</f>
        <v>BLUE</v>
      </c>
      <c r="G1147" s="20" t="str">
        <f>IFERROR(__xludf.DUMMYFUNCTION("""COMPUTED_VALUE"""),"Uncle Sams Cider (11/12/2021) (Blue)")</f>
        <v>Uncle Sams Cider (11/12/2021) (Blue)</v>
      </c>
      <c r="H1147" s="19"/>
    </row>
    <row r="1148">
      <c r="A1148" s="9"/>
      <c r="B1148" s="15"/>
      <c r="C1148" s="9">
        <f>IFERROR(__xludf.DUMMYFUNCTION("""COMPUTED_VALUE"""),44593.5995848495)</f>
        <v>44593.59958</v>
      </c>
      <c r="D1148" s="15">
        <f>IFERROR(__xludf.DUMMYFUNCTION("""COMPUTED_VALUE"""),1.0)</f>
        <v>1</v>
      </c>
      <c r="E1148" s="16">
        <f>IFERROR(__xludf.DUMMYFUNCTION("""COMPUTED_VALUE"""),62.0)</f>
        <v>62</v>
      </c>
      <c r="F1148" s="19" t="str">
        <f>IFERROR(__xludf.DUMMYFUNCTION("""COMPUTED_VALUE"""),"BLUE")</f>
        <v>BLUE</v>
      </c>
      <c r="G1148" s="20" t="str">
        <f>IFERROR(__xludf.DUMMYFUNCTION("""COMPUTED_VALUE"""),"Uncle Sams Cider (11/12/2021) (Blue)")</f>
        <v>Uncle Sams Cider (11/12/2021) (Blue)</v>
      </c>
      <c r="H1148" s="19"/>
    </row>
    <row r="1149">
      <c r="A1149" s="9"/>
      <c r="B1149" s="15"/>
      <c r="C1149" s="9">
        <f>IFERROR(__xludf.DUMMYFUNCTION("""COMPUTED_VALUE"""),44593.5891628935)</f>
        <v>44593.58916</v>
      </c>
      <c r="D1149" s="15">
        <f>IFERROR(__xludf.DUMMYFUNCTION("""COMPUTED_VALUE"""),1.0)</f>
        <v>1</v>
      </c>
      <c r="E1149" s="16">
        <f>IFERROR(__xludf.DUMMYFUNCTION("""COMPUTED_VALUE"""),62.0)</f>
        <v>62</v>
      </c>
      <c r="F1149" s="19" t="str">
        <f>IFERROR(__xludf.DUMMYFUNCTION("""COMPUTED_VALUE"""),"BLUE")</f>
        <v>BLUE</v>
      </c>
      <c r="G1149" s="20" t="str">
        <f>IFERROR(__xludf.DUMMYFUNCTION("""COMPUTED_VALUE"""),"Uncle Sams Cider (11/12/2021) (Blue)")</f>
        <v>Uncle Sams Cider (11/12/2021) (Blue)</v>
      </c>
      <c r="H1149" s="19"/>
    </row>
    <row r="1150">
      <c r="A1150" s="9"/>
      <c r="B1150" s="15"/>
      <c r="C1150" s="9">
        <f>IFERROR(__xludf.DUMMYFUNCTION("""COMPUTED_VALUE"""),44593.5787429398)</f>
        <v>44593.57874</v>
      </c>
      <c r="D1150" s="15">
        <f>IFERROR(__xludf.DUMMYFUNCTION("""COMPUTED_VALUE"""),1.0)</f>
        <v>1</v>
      </c>
      <c r="E1150" s="16">
        <f>IFERROR(__xludf.DUMMYFUNCTION("""COMPUTED_VALUE"""),62.0)</f>
        <v>62</v>
      </c>
      <c r="F1150" s="19" t="str">
        <f>IFERROR(__xludf.DUMMYFUNCTION("""COMPUTED_VALUE"""),"BLUE")</f>
        <v>BLUE</v>
      </c>
      <c r="G1150" s="20" t="str">
        <f>IFERROR(__xludf.DUMMYFUNCTION("""COMPUTED_VALUE"""),"Uncle Sams Cider (11/12/2021) (Blue)")</f>
        <v>Uncle Sams Cider (11/12/2021) (Blue)</v>
      </c>
      <c r="H1150" s="19"/>
    </row>
    <row r="1151">
      <c r="A1151" s="9"/>
      <c r="B1151" s="15"/>
      <c r="C1151" s="9">
        <f>IFERROR(__xludf.DUMMYFUNCTION("""COMPUTED_VALUE"""),44593.5683101388)</f>
        <v>44593.56831</v>
      </c>
      <c r="D1151" s="15">
        <f>IFERROR(__xludf.DUMMYFUNCTION("""COMPUTED_VALUE"""),1.0)</f>
        <v>1</v>
      </c>
      <c r="E1151" s="16">
        <f>IFERROR(__xludf.DUMMYFUNCTION("""COMPUTED_VALUE"""),62.0)</f>
        <v>62</v>
      </c>
      <c r="F1151" s="19" t="str">
        <f>IFERROR(__xludf.DUMMYFUNCTION("""COMPUTED_VALUE"""),"BLUE")</f>
        <v>BLUE</v>
      </c>
      <c r="G1151" s="20" t="str">
        <f>IFERROR(__xludf.DUMMYFUNCTION("""COMPUTED_VALUE"""),"Uncle Sams Cider (11/12/2021) (Blue)")</f>
        <v>Uncle Sams Cider (11/12/2021) (Blue)</v>
      </c>
      <c r="H1151" s="19"/>
    </row>
    <row r="1152">
      <c r="A1152" s="9"/>
      <c r="B1152" s="15"/>
      <c r="C1152" s="9">
        <f>IFERROR(__xludf.DUMMYFUNCTION("""COMPUTED_VALUE"""),44593.5578888888)</f>
        <v>44593.55789</v>
      </c>
      <c r="D1152" s="15">
        <f>IFERROR(__xludf.DUMMYFUNCTION("""COMPUTED_VALUE"""),1.0)</f>
        <v>1</v>
      </c>
      <c r="E1152" s="16">
        <f>IFERROR(__xludf.DUMMYFUNCTION("""COMPUTED_VALUE"""),62.0)</f>
        <v>62</v>
      </c>
      <c r="F1152" s="19" t="str">
        <f>IFERROR(__xludf.DUMMYFUNCTION("""COMPUTED_VALUE"""),"BLUE")</f>
        <v>BLUE</v>
      </c>
      <c r="G1152" s="20" t="str">
        <f>IFERROR(__xludf.DUMMYFUNCTION("""COMPUTED_VALUE"""),"Uncle Sams Cider (11/12/2021) (Blue)")</f>
        <v>Uncle Sams Cider (11/12/2021) (Blue)</v>
      </c>
      <c r="H1152" s="19"/>
    </row>
    <row r="1153">
      <c r="A1153" s="9"/>
      <c r="B1153" s="15"/>
      <c r="C1153" s="9">
        <f>IFERROR(__xludf.DUMMYFUNCTION("""COMPUTED_VALUE"""),44593.5474685879)</f>
        <v>44593.54747</v>
      </c>
      <c r="D1153" s="15">
        <f>IFERROR(__xludf.DUMMYFUNCTION("""COMPUTED_VALUE"""),1.0)</f>
        <v>1</v>
      </c>
      <c r="E1153" s="16">
        <f>IFERROR(__xludf.DUMMYFUNCTION("""COMPUTED_VALUE"""),62.0)</f>
        <v>62</v>
      </c>
      <c r="F1153" s="19" t="str">
        <f>IFERROR(__xludf.DUMMYFUNCTION("""COMPUTED_VALUE"""),"BLUE")</f>
        <v>BLUE</v>
      </c>
      <c r="G1153" s="20" t="str">
        <f>IFERROR(__xludf.DUMMYFUNCTION("""COMPUTED_VALUE"""),"Uncle Sams Cider (11/12/2021) (Blue)")</f>
        <v>Uncle Sams Cider (11/12/2021) (Blue)</v>
      </c>
      <c r="H1153" s="19"/>
    </row>
    <row r="1154">
      <c r="A1154" s="9"/>
      <c r="B1154" s="15"/>
      <c r="C1154" s="9">
        <f>IFERROR(__xludf.DUMMYFUNCTION("""COMPUTED_VALUE"""),44593.537045868)</f>
        <v>44593.53705</v>
      </c>
      <c r="D1154" s="15">
        <f>IFERROR(__xludf.DUMMYFUNCTION("""COMPUTED_VALUE"""),1.0)</f>
        <v>1</v>
      </c>
      <c r="E1154" s="16">
        <f>IFERROR(__xludf.DUMMYFUNCTION("""COMPUTED_VALUE"""),62.0)</f>
        <v>62</v>
      </c>
      <c r="F1154" s="19" t="str">
        <f>IFERROR(__xludf.DUMMYFUNCTION("""COMPUTED_VALUE"""),"BLUE")</f>
        <v>BLUE</v>
      </c>
      <c r="G1154" s="20" t="str">
        <f>IFERROR(__xludf.DUMMYFUNCTION("""COMPUTED_VALUE"""),"Uncle Sams Cider (11/12/2021) (Blue)")</f>
        <v>Uncle Sams Cider (11/12/2021) (Blue)</v>
      </c>
      <c r="H1154" s="19"/>
    </row>
    <row r="1155">
      <c r="A1155" s="9"/>
      <c r="B1155" s="15"/>
      <c r="C1155" s="9">
        <f>IFERROR(__xludf.DUMMYFUNCTION("""COMPUTED_VALUE"""),44593.5266016087)</f>
        <v>44593.5266</v>
      </c>
      <c r="D1155" s="15">
        <f>IFERROR(__xludf.DUMMYFUNCTION("""COMPUTED_VALUE"""),1.0)</f>
        <v>1</v>
      </c>
      <c r="E1155" s="16">
        <f>IFERROR(__xludf.DUMMYFUNCTION("""COMPUTED_VALUE"""),62.0)</f>
        <v>62</v>
      </c>
      <c r="F1155" s="19" t="str">
        <f>IFERROR(__xludf.DUMMYFUNCTION("""COMPUTED_VALUE"""),"BLUE")</f>
        <v>BLUE</v>
      </c>
      <c r="G1155" s="20" t="str">
        <f>IFERROR(__xludf.DUMMYFUNCTION("""COMPUTED_VALUE"""),"Uncle Sams Cider (11/12/2021) (Blue)")</f>
        <v>Uncle Sams Cider (11/12/2021) (Blue)</v>
      </c>
      <c r="H1155" s="19"/>
    </row>
    <row r="1156">
      <c r="A1156" s="9"/>
      <c r="B1156" s="15"/>
      <c r="C1156" s="9">
        <f>IFERROR(__xludf.DUMMYFUNCTION("""COMPUTED_VALUE"""),44593.5161825231)</f>
        <v>44593.51618</v>
      </c>
      <c r="D1156" s="15">
        <f>IFERROR(__xludf.DUMMYFUNCTION("""COMPUTED_VALUE"""),1.0)</f>
        <v>1</v>
      </c>
      <c r="E1156" s="16">
        <f>IFERROR(__xludf.DUMMYFUNCTION("""COMPUTED_VALUE"""),62.0)</f>
        <v>62</v>
      </c>
      <c r="F1156" s="19" t="str">
        <f>IFERROR(__xludf.DUMMYFUNCTION("""COMPUTED_VALUE"""),"BLUE")</f>
        <v>BLUE</v>
      </c>
      <c r="G1156" s="20" t="str">
        <f>IFERROR(__xludf.DUMMYFUNCTION("""COMPUTED_VALUE"""),"Uncle Sams Cider (11/12/2021) (Blue)")</f>
        <v>Uncle Sams Cider (11/12/2021) (Blue)</v>
      </c>
      <c r="H1156" s="19"/>
    </row>
    <row r="1157">
      <c r="A1157" s="9"/>
      <c r="B1157" s="15"/>
      <c r="C1157" s="9">
        <f>IFERROR(__xludf.DUMMYFUNCTION("""COMPUTED_VALUE"""),44593.5057526504)</f>
        <v>44593.50575</v>
      </c>
      <c r="D1157" s="15">
        <f>IFERROR(__xludf.DUMMYFUNCTION("""COMPUTED_VALUE"""),1.0)</f>
        <v>1</v>
      </c>
      <c r="E1157" s="16">
        <f>IFERROR(__xludf.DUMMYFUNCTION("""COMPUTED_VALUE"""),62.0)</f>
        <v>62</v>
      </c>
      <c r="F1157" s="19" t="str">
        <f>IFERROR(__xludf.DUMMYFUNCTION("""COMPUTED_VALUE"""),"BLUE")</f>
        <v>BLUE</v>
      </c>
      <c r="G1157" s="20" t="str">
        <f>IFERROR(__xludf.DUMMYFUNCTION("""COMPUTED_VALUE"""),"Uncle Sams Cider (11/12/2021) (Blue)")</f>
        <v>Uncle Sams Cider (11/12/2021) (Blue)</v>
      </c>
      <c r="H1157" s="19"/>
    </row>
    <row r="1158">
      <c r="A1158" s="9"/>
      <c r="B1158" s="15"/>
      <c r="C1158" s="9">
        <f>IFERROR(__xludf.DUMMYFUNCTION("""COMPUTED_VALUE"""),44593.4953321412)</f>
        <v>44593.49533</v>
      </c>
      <c r="D1158" s="15">
        <f>IFERROR(__xludf.DUMMYFUNCTION("""COMPUTED_VALUE"""),1.0)</f>
        <v>1</v>
      </c>
      <c r="E1158" s="16">
        <f>IFERROR(__xludf.DUMMYFUNCTION("""COMPUTED_VALUE"""),62.0)</f>
        <v>62</v>
      </c>
      <c r="F1158" s="19" t="str">
        <f>IFERROR(__xludf.DUMMYFUNCTION("""COMPUTED_VALUE"""),"BLUE")</f>
        <v>BLUE</v>
      </c>
      <c r="G1158" s="20" t="str">
        <f>IFERROR(__xludf.DUMMYFUNCTION("""COMPUTED_VALUE"""),"Uncle Sams Cider (11/12/2021) (Blue)")</f>
        <v>Uncle Sams Cider (11/12/2021) (Blue)</v>
      </c>
      <c r="H1158" s="19"/>
    </row>
    <row r="1159">
      <c r="A1159" s="9"/>
      <c r="B1159" s="15"/>
      <c r="C1159" s="9">
        <f>IFERROR(__xludf.DUMMYFUNCTION("""COMPUTED_VALUE"""),44593.4848990624)</f>
        <v>44593.4849</v>
      </c>
      <c r="D1159" s="15">
        <f>IFERROR(__xludf.DUMMYFUNCTION("""COMPUTED_VALUE"""),1.0)</f>
        <v>1</v>
      </c>
      <c r="E1159" s="16">
        <f>IFERROR(__xludf.DUMMYFUNCTION("""COMPUTED_VALUE"""),62.0)</f>
        <v>62</v>
      </c>
      <c r="F1159" s="19" t="str">
        <f>IFERROR(__xludf.DUMMYFUNCTION("""COMPUTED_VALUE"""),"BLUE")</f>
        <v>BLUE</v>
      </c>
      <c r="G1159" s="20" t="str">
        <f>IFERROR(__xludf.DUMMYFUNCTION("""COMPUTED_VALUE"""),"Uncle Sams Cider (11/12/2021) (Blue)")</f>
        <v>Uncle Sams Cider (11/12/2021) (Blue)</v>
      </c>
      <c r="H1159" s="19"/>
    </row>
    <row r="1160">
      <c r="A1160" s="9"/>
      <c r="B1160" s="15"/>
      <c r="C1160" s="9">
        <f>IFERROR(__xludf.DUMMYFUNCTION("""COMPUTED_VALUE"""),44593.4744768634)</f>
        <v>44593.47448</v>
      </c>
      <c r="D1160" s="15">
        <f>IFERROR(__xludf.DUMMYFUNCTION("""COMPUTED_VALUE"""),1.0)</f>
        <v>1</v>
      </c>
      <c r="E1160" s="16">
        <f>IFERROR(__xludf.DUMMYFUNCTION("""COMPUTED_VALUE"""),62.0)</f>
        <v>62</v>
      </c>
      <c r="F1160" s="19" t="str">
        <f>IFERROR(__xludf.DUMMYFUNCTION("""COMPUTED_VALUE"""),"BLUE")</f>
        <v>BLUE</v>
      </c>
      <c r="G1160" s="20" t="str">
        <f>IFERROR(__xludf.DUMMYFUNCTION("""COMPUTED_VALUE"""),"Uncle Sams Cider (11/12/2021) (Blue)")</f>
        <v>Uncle Sams Cider (11/12/2021) (Blue)</v>
      </c>
      <c r="H1160" s="19"/>
    </row>
    <row r="1161">
      <c r="A1161" s="9"/>
      <c r="B1161" s="15"/>
      <c r="C1161" s="9">
        <f>IFERROR(__xludf.DUMMYFUNCTION("""COMPUTED_VALUE"""),44593.464053831)</f>
        <v>44593.46405</v>
      </c>
      <c r="D1161" s="15">
        <f>IFERROR(__xludf.DUMMYFUNCTION("""COMPUTED_VALUE"""),1.0)</f>
        <v>1</v>
      </c>
      <c r="E1161" s="16">
        <f>IFERROR(__xludf.DUMMYFUNCTION("""COMPUTED_VALUE"""),63.0)</f>
        <v>63</v>
      </c>
      <c r="F1161" s="19" t="str">
        <f>IFERROR(__xludf.DUMMYFUNCTION("""COMPUTED_VALUE"""),"BLUE")</f>
        <v>BLUE</v>
      </c>
      <c r="G1161" s="20" t="str">
        <f>IFERROR(__xludf.DUMMYFUNCTION("""COMPUTED_VALUE"""),"Uncle Sams Cider (11/12/2021) (Blue)")</f>
        <v>Uncle Sams Cider (11/12/2021) (Blue)</v>
      </c>
      <c r="H1161" s="19"/>
    </row>
    <row r="1162">
      <c r="A1162" s="9"/>
      <c r="B1162" s="15"/>
      <c r="C1162" s="9">
        <f>IFERROR(__xludf.DUMMYFUNCTION("""COMPUTED_VALUE"""),44593.4536326041)</f>
        <v>44593.45363</v>
      </c>
      <c r="D1162" s="15">
        <f>IFERROR(__xludf.DUMMYFUNCTION("""COMPUTED_VALUE"""),1.0)</f>
        <v>1</v>
      </c>
      <c r="E1162" s="16">
        <f>IFERROR(__xludf.DUMMYFUNCTION("""COMPUTED_VALUE"""),63.0)</f>
        <v>63</v>
      </c>
      <c r="F1162" s="19" t="str">
        <f>IFERROR(__xludf.DUMMYFUNCTION("""COMPUTED_VALUE"""),"BLUE")</f>
        <v>BLUE</v>
      </c>
      <c r="G1162" s="20" t="str">
        <f>IFERROR(__xludf.DUMMYFUNCTION("""COMPUTED_VALUE"""),"Uncle Sams Cider (11/12/2021) (Blue)")</f>
        <v>Uncle Sams Cider (11/12/2021) (Blue)</v>
      </c>
      <c r="H1162" s="19"/>
    </row>
    <row r="1163">
      <c r="A1163" s="9"/>
      <c r="B1163" s="15"/>
      <c r="C1163" s="9">
        <f>IFERROR(__xludf.DUMMYFUNCTION("""COMPUTED_VALUE"""),44593.443212743)</f>
        <v>44593.44321</v>
      </c>
      <c r="D1163" s="15">
        <f>IFERROR(__xludf.DUMMYFUNCTION("""COMPUTED_VALUE"""),1.0)</f>
        <v>1</v>
      </c>
      <c r="E1163" s="16">
        <f>IFERROR(__xludf.DUMMYFUNCTION("""COMPUTED_VALUE"""),63.0)</f>
        <v>63</v>
      </c>
      <c r="F1163" s="19" t="str">
        <f>IFERROR(__xludf.DUMMYFUNCTION("""COMPUTED_VALUE"""),"BLUE")</f>
        <v>BLUE</v>
      </c>
      <c r="G1163" s="20" t="str">
        <f>IFERROR(__xludf.DUMMYFUNCTION("""COMPUTED_VALUE"""),"Uncle Sams Cider (11/12/2021) (Blue)")</f>
        <v>Uncle Sams Cider (11/12/2021) (Blue)</v>
      </c>
      <c r="H1163" s="19"/>
    </row>
    <row r="1164">
      <c r="A1164" s="9"/>
      <c r="B1164" s="15"/>
      <c r="C1164" s="9">
        <f>IFERROR(__xludf.DUMMYFUNCTION("""COMPUTED_VALUE"""),44593.4327909143)</f>
        <v>44593.43279</v>
      </c>
      <c r="D1164" s="15">
        <f>IFERROR(__xludf.DUMMYFUNCTION("""COMPUTED_VALUE"""),1.0)</f>
        <v>1</v>
      </c>
      <c r="E1164" s="16">
        <f>IFERROR(__xludf.DUMMYFUNCTION("""COMPUTED_VALUE"""),63.0)</f>
        <v>63</v>
      </c>
      <c r="F1164" s="19" t="str">
        <f>IFERROR(__xludf.DUMMYFUNCTION("""COMPUTED_VALUE"""),"BLUE")</f>
        <v>BLUE</v>
      </c>
      <c r="G1164" s="20" t="str">
        <f>IFERROR(__xludf.DUMMYFUNCTION("""COMPUTED_VALUE"""),"Uncle Sams Cider (11/12/2021) (Blue)")</f>
        <v>Uncle Sams Cider (11/12/2021) (Blue)</v>
      </c>
      <c r="H1164" s="19"/>
    </row>
    <row r="1165">
      <c r="A1165" s="9"/>
      <c r="B1165" s="15"/>
      <c r="C1165" s="9">
        <f>IFERROR(__xludf.DUMMYFUNCTION("""COMPUTED_VALUE"""),44593.422357037)</f>
        <v>44593.42236</v>
      </c>
      <c r="D1165" s="15">
        <f>IFERROR(__xludf.DUMMYFUNCTION("""COMPUTED_VALUE"""),1.0)</f>
        <v>1</v>
      </c>
      <c r="E1165" s="16">
        <f>IFERROR(__xludf.DUMMYFUNCTION("""COMPUTED_VALUE"""),63.0)</f>
        <v>63</v>
      </c>
      <c r="F1165" s="19" t="str">
        <f>IFERROR(__xludf.DUMMYFUNCTION("""COMPUTED_VALUE"""),"BLUE")</f>
        <v>BLUE</v>
      </c>
      <c r="G1165" s="20" t="str">
        <f>IFERROR(__xludf.DUMMYFUNCTION("""COMPUTED_VALUE"""),"Uncle Sams Cider (11/12/2021) (Blue)")</f>
        <v>Uncle Sams Cider (11/12/2021) (Blue)</v>
      </c>
      <c r="H1165" s="19"/>
    </row>
    <row r="1166">
      <c r="A1166" s="9"/>
      <c r="B1166" s="15"/>
      <c r="C1166" s="9">
        <f>IFERROR(__xludf.DUMMYFUNCTION("""COMPUTED_VALUE"""),44593.4119359374)</f>
        <v>44593.41194</v>
      </c>
      <c r="D1166" s="15">
        <f>IFERROR(__xludf.DUMMYFUNCTION("""COMPUTED_VALUE"""),1.0)</f>
        <v>1</v>
      </c>
      <c r="E1166" s="16">
        <f>IFERROR(__xludf.DUMMYFUNCTION("""COMPUTED_VALUE"""),63.0)</f>
        <v>63</v>
      </c>
      <c r="F1166" s="19" t="str">
        <f>IFERROR(__xludf.DUMMYFUNCTION("""COMPUTED_VALUE"""),"BLUE")</f>
        <v>BLUE</v>
      </c>
      <c r="G1166" s="20" t="str">
        <f>IFERROR(__xludf.DUMMYFUNCTION("""COMPUTED_VALUE"""),"Uncle Sams Cider (11/12/2021) (Blue)")</f>
        <v>Uncle Sams Cider (11/12/2021) (Blue)</v>
      </c>
      <c r="H1166" s="19"/>
    </row>
    <row r="1167">
      <c r="A1167" s="9"/>
      <c r="B1167" s="15"/>
      <c r="C1167" s="9">
        <f>IFERROR(__xludf.DUMMYFUNCTION("""COMPUTED_VALUE"""),44593.401515243)</f>
        <v>44593.40152</v>
      </c>
      <c r="D1167" s="15">
        <f>IFERROR(__xludf.DUMMYFUNCTION("""COMPUTED_VALUE"""),1.0)</f>
        <v>1</v>
      </c>
      <c r="E1167" s="16">
        <f>IFERROR(__xludf.DUMMYFUNCTION("""COMPUTED_VALUE"""),63.0)</f>
        <v>63</v>
      </c>
      <c r="F1167" s="19" t="str">
        <f>IFERROR(__xludf.DUMMYFUNCTION("""COMPUTED_VALUE"""),"BLUE")</f>
        <v>BLUE</v>
      </c>
      <c r="G1167" s="20" t="str">
        <f>IFERROR(__xludf.DUMMYFUNCTION("""COMPUTED_VALUE"""),"Uncle Sams Cider (11/12/2021) (Blue)")</f>
        <v>Uncle Sams Cider (11/12/2021) (Blue)</v>
      </c>
      <c r="H1167" s="19"/>
    </row>
    <row r="1168">
      <c r="A1168" s="9"/>
      <c r="B1168" s="15"/>
      <c r="C1168" s="9">
        <f>IFERROR(__xludf.DUMMYFUNCTION("""COMPUTED_VALUE"""),44593.391095868)</f>
        <v>44593.3911</v>
      </c>
      <c r="D1168" s="15">
        <f>IFERROR(__xludf.DUMMYFUNCTION("""COMPUTED_VALUE"""),1.0)</f>
        <v>1</v>
      </c>
      <c r="E1168" s="16">
        <f>IFERROR(__xludf.DUMMYFUNCTION("""COMPUTED_VALUE"""),63.0)</f>
        <v>63</v>
      </c>
      <c r="F1168" s="19" t="str">
        <f>IFERROR(__xludf.DUMMYFUNCTION("""COMPUTED_VALUE"""),"BLUE")</f>
        <v>BLUE</v>
      </c>
      <c r="G1168" s="20" t="str">
        <f>IFERROR(__xludf.DUMMYFUNCTION("""COMPUTED_VALUE"""),"Uncle Sams Cider (11/12/2021) (Blue)")</f>
        <v>Uncle Sams Cider (11/12/2021) (Blue)</v>
      </c>
      <c r="H1168" s="19"/>
    </row>
    <row r="1169">
      <c r="A1169" s="9"/>
      <c r="B1169" s="15"/>
      <c r="C1169" s="9">
        <f>IFERROR(__xludf.DUMMYFUNCTION("""COMPUTED_VALUE"""),44593.3806733912)</f>
        <v>44593.38067</v>
      </c>
      <c r="D1169" s="15">
        <f>IFERROR(__xludf.DUMMYFUNCTION("""COMPUTED_VALUE"""),1.0)</f>
        <v>1</v>
      </c>
      <c r="E1169" s="16">
        <f>IFERROR(__xludf.DUMMYFUNCTION("""COMPUTED_VALUE"""),63.0)</f>
        <v>63</v>
      </c>
      <c r="F1169" s="19" t="str">
        <f>IFERROR(__xludf.DUMMYFUNCTION("""COMPUTED_VALUE"""),"BLUE")</f>
        <v>BLUE</v>
      </c>
      <c r="G1169" s="20" t="str">
        <f>IFERROR(__xludf.DUMMYFUNCTION("""COMPUTED_VALUE"""),"Uncle Sams Cider (11/12/2021) (Blue)")</f>
        <v>Uncle Sams Cider (11/12/2021) (Blue)</v>
      </c>
      <c r="H1169" s="19"/>
    </row>
    <row r="1170">
      <c r="A1170" s="9"/>
      <c r="B1170" s="15"/>
      <c r="C1170" s="9">
        <f>IFERROR(__xludf.DUMMYFUNCTION("""COMPUTED_VALUE"""),44593.3702522685)</f>
        <v>44593.37025</v>
      </c>
      <c r="D1170" s="15">
        <f>IFERROR(__xludf.DUMMYFUNCTION("""COMPUTED_VALUE"""),1.0)</f>
        <v>1</v>
      </c>
      <c r="E1170" s="16">
        <f>IFERROR(__xludf.DUMMYFUNCTION("""COMPUTED_VALUE"""),63.0)</f>
        <v>63</v>
      </c>
      <c r="F1170" s="19" t="str">
        <f>IFERROR(__xludf.DUMMYFUNCTION("""COMPUTED_VALUE"""),"BLUE")</f>
        <v>BLUE</v>
      </c>
      <c r="G1170" s="20" t="str">
        <f>IFERROR(__xludf.DUMMYFUNCTION("""COMPUTED_VALUE"""),"Uncle Sams Cider (11/12/2021) (Blue)")</f>
        <v>Uncle Sams Cider (11/12/2021) (Blue)</v>
      </c>
      <c r="H1170" s="19"/>
    </row>
    <row r="1171">
      <c r="A1171" s="9"/>
      <c r="B1171" s="15"/>
      <c r="C1171" s="9">
        <f>IFERROR(__xludf.DUMMYFUNCTION("""COMPUTED_VALUE"""),44593.359817824)</f>
        <v>44593.35982</v>
      </c>
      <c r="D1171" s="15">
        <f>IFERROR(__xludf.DUMMYFUNCTION("""COMPUTED_VALUE"""),1.0)</f>
        <v>1</v>
      </c>
      <c r="E1171" s="16">
        <f>IFERROR(__xludf.DUMMYFUNCTION("""COMPUTED_VALUE"""),63.0)</f>
        <v>63</v>
      </c>
      <c r="F1171" s="19" t="str">
        <f>IFERROR(__xludf.DUMMYFUNCTION("""COMPUTED_VALUE"""),"BLUE")</f>
        <v>BLUE</v>
      </c>
      <c r="G1171" s="20" t="str">
        <f>IFERROR(__xludf.DUMMYFUNCTION("""COMPUTED_VALUE"""),"Uncle Sams Cider (11/12/2021) (Blue)")</f>
        <v>Uncle Sams Cider (11/12/2021) (Blue)</v>
      </c>
      <c r="H1171" s="19"/>
    </row>
    <row r="1172">
      <c r="A1172" s="9"/>
      <c r="B1172" s="15"/>
      <c r="C1172" s="9">
        <f>IFERROR(__xludf.DUMMYFUNCTION("""COMPUTED_VALUE"""),44593.3493976273)</f>
        <v>44593.3494</v>
      </c>
      <c r="D1172" s="15">
        <f>IFERROR(__xludf.DUMMYFUNCTION("""COMPUTED_VALUE"""),1.0)</f>
        <v>1</v>
      </c>
      <c r="E1172" s="16">
        <f>IFERROR(__xludf.DUMMYFUNCTION("""COMPUTED_VALUE"""),63.0)</f>
        <v>63</v>
      </c>
      <c r="F1172" s="19" t="str">
        <f>IFERROR(__xludf.DUMMYFUNCTION("""COMPUTED_VALUE"""),"BLUE")</f>
        <v>BLUE</v>
      </c>
      <c r="G1172" s="20" t="str">
        <f>IFERROR(__xludf.DUMMYFUNCTION("""COMPUTED_VALUE"""),"Uncle Sams Cider (11/12/2021) (Blue)")</f>
        <v>Uncle Sams Cider (11/12/2021) (Blue)</v>
      </c>
      <c r="H1172" s="19"/>
    </row>
    <row r="1173">
      <c r="A1173" s="9"/>
      <c r="B1173" s="15"/>
      <c r="C1173" s="9">
        <f>IFERROR(__xludf.DUMMYFUNCTION("""COMPUTED_VALUE"""),44593.3389756365)</f>
        <v>44593.33898</v>
      </c>
      <c r="D1173" s="15">
        <f>IFERROR(__xludf.DUMMYFUNCTION("""COMPUTED_VALUE"""),1.0)</f>
        <v>1</v>
      </c>
      <c r="E1173" s="16">
        <f>IFERROR(__xludf.DUMMYFUNCTION("""COMPUTED_VALUE"""),63.0)</f>
        <v>63</v>
      </c>
      <c r="F1173" s="19" t="str">
        <f>IFERROR(__xludf.DUMMYFUNCTION("""COMPUTED_VALUE"""),"BLUE")</f>
        <v>BLUE</v>
      </c>
      <c r="G1173" s="20" t="str">
        <f>IFERROR(__xludf.DUMMYFUNCTION("""COMPUTED_VALUE"""),"Uncle Sams Cider (11/12/2021) (Blue)")</f>
        <v>Uncle Sams Cider (11/12/2021) (Blue)</v>
      </c>
      <c r="H1173" s="19"/>
    </row>
    <row r="1174">
      <c r="A1174" s="9"/>
      <c r="B1174" s="15"/>
      <c r="C1174" s="9">
        <f>IFERROR(__xludf.DUMMYFUNCTION("""COMPUTED_VALUE"""),44593.3285535879)</f>
        <v>44593.32855</v>
      </c>
      <c r="D1174" s="15">
        <f>IFERROR(__xludf.DUMMYFUNCTION("""COMPUTED_VALUE"""),1.0)</f>
        <v>1</v>
      </c>
      <c r="E1174" s="16">
        <f>IFERROR(__xludf.DUMMYFUNCTION("""COMPUTED_VALUE"""),63.0)</f>
        <v>63</v>
      </c>
      <c r="F1174" s="19" t="str">
        <f>IFERROR(__xludf.DUMMYFUNCTION("""COMPUTED_VALUE"""),"BLUE")</f>
        <v>BLUE</v>
      </c>
      <c r="G1174" s="20" t="str">
        <f>IFERROR(__xludf.DUMMYFUNCTION("""COMPUTED_VALUE"""),"Uncle Sams Cider (11/12/2021) (Blue)")</f>
        <v>Uncle Sams Cider (11/12/2021) (Blue)</v>
      </c>
      <c r="H1174" s="19"/>
    </row>
    <row r="1175">
      <c r="A1175" s="9"/>
      <c r="B1175" s="15"/>
      <c r="C1175" s="9">
        <f>IFERROR(__xludf.DUMMYFUNCTION("""COMPUTED_VALUE"""),44593.3181325694)</f>
        <v>44593.31813</v>
      </c>
      <c r="D1175" s="15">
        <f>IFERROR(__xludf.DUMMYFUNCTION("""COMPUTED_VALUE"""),1.0)</f>
        <v>1</v>
      </c>
      <c r="E1175" s="16">
        <f>IFERROR(__xludf.DUMMYFUNCTION("""COMPUTED_VALUE"""),63.0)</f>
        <v>63</v>
      </c>
      <c r="F1175" s="19" t="str">
        <f>IFERROR(__xludf.DUMMYFUNCTION("""COMPUTED_VALUE"""),"BLUE")</f>
        <v>BLUE</v>
      </c>
      <c r="G1175" s="20" t="str">
        <f>IFERROR(__xludf.DUMMYFUNCTION("""COMPUTED_VALUE"""),"Uncle Sams Cider (11/12/2021) (Blue)")</f>
        <v>Uncle Sams Cider (11/12/2021) (Blue)</v>
      </c>
      <c r="H1175" s="19"/>
    </row>
    <row r="1176">
      <c r="A1176" s="9"/>
      <c r="B1176" s="15"/>
      <c r="C1176" s="9">
        <f>IFERROR(__xludf.DUMMYFUNCTION("""COMPUTED_VALUE"""),44593.3077127546)</f>
        <v>44593.30771</v>
      </c>
      <c r="D1176" s="15">
        <f>IFERROR(__xludf.DUMMYFUNCTION("""COMPUTED_VALUE"""),1.0)</f>
        <v>1</v>
      </c>
      <c r="E1176" s="16">
        <f>IFERROR(__xludf.DUMMYFUNCTION("""COMPUTED_VALUE"""),63.0)</f>
        <v>63</v>
      </c>
      <c r="F1176" s="19" t="str">
        <f>IFERROR(__xludf.DUMMYFUNCTION("""COMPUTED_VALUE"""),"BLUE")</f>
        <v>BLUE</v>
      </c>
      <c r="G1176" s="20" t="str">
        <f>IFERROR(__xludf.DUMMYFUNCTION("""COMPUTED_VALUE"""),"Uncle Sams Cider (11/12/2021) (Blue)")</f>
        <v>Uncle Sams Cider (11/12/2021) (Blue)</v>
      </c>
      <c r="H1176" s="19"/>
    </row>
    <row r="1177">
      <c r="A1177" s="9"/>
      <c r="B1177" s="15"/>
      <c r="C1177" s="9">
        <f>IFERROR(__xludf.DUMMYFUNCTION("""COMPUTED_VALUE"""),44593.2972918518)</f>
        <v>44593.29729</v>
      </c>
      <c r="D1177" s="15">
        <f>IFERROR(__xludf.DUMMYFUNCTION("""COMPUTED_VALUE"""),1.0)</f>
        <v>1</v>
      </c>
      <c r="E1177" s="16">
        <f>IFERROR(__xludf.DUMMYFUNCTION("""COMPUTED_VALUE"""),63.0)</f>
        <v>63</v>
      </c>
      <c r="F1177" s="19" t="str">
        <f>IFERROR(__xludf.DUMMYFUNCTION("""COMPUTED_VALUE"""),"BLUE")</f>
        <v>BLUE</v>
      </c>
      <c r="G1177" s="20" t="str">
        <f>IFERROR(__xludf.DUMMYFUNCTION("""COMPUTED_VALUE"""),"Uncle Sams Cider (11/12/2021) (Blue)")</f>
        <v>Uncle Sams Cider (11/12/2021) (Blue)</v>
      </c>
      <c r="H1177" s="19"/>
    </row>
    <row r="1178">
      <c r="A1178" s="9"/>
      <c r="B1178" s="15"/>
      <c r="C1178" s="9">
        <f>IFERROR(__xludf.DUMMYFUNCTION("""COMPUTED_VALUE"""),44593.2868723495)</f>
        <v>44593.28687</v>
      </c>
      <c r="D1178" s="15">
        <f>IFERROR(__xludf.DUMMYFUNCTION("""COMPUTED_VALUE"""),1.0)</f>
        <v>1</v>
      </c>
      <c r="E1178" s="16">
        <f>IFERROR(__xludf.DUMMYFUNCTION("""COMPUTED_VALUE"""),63.0)</f>
        <v>63</v>
      </c>
      <c r="F1178" s="19" t="str">
        <f>IFERROR(__xludf.DUMMYFUNCTION("""COMPUTED_VALUE"""),"BLUE")</f>
        <v>BLUE</v>
      </c>
      <c r="G1178" s="20" t="str">
        <f>IFERROR(__xludf.DUMMYFUNCTION("""COMPUTED_VALUE"""),"Uncle Sams Cider (11/12/2021) (Blue)")</f>
        <v>Uncle Sams Cider (11/12/2021) (Blue)</v>
      </c>
      <c r="H1178" s="19"/>
    </row>
    <row r="1179">
      <c r="A1179" s="9"/>
      <c r="B1179" s="15"/>
      <c r="C1179" s="9">
        <f>IFERROR(__xludf.DUMMYFUNCTION("""COMPUTED_VALUE"""),44593.2764509143)</f>
        <v>44593.27645</v>
      </c>
      <c r="D1179" s="15">
        <f>IFERROR(__xludf.DUMMYFUNCTION("""COMPUTED_VALUE"""),1.0)</f>
        <v>1</v>
      </c>
      <c r="E1179" s="16">
        <f>IFERROR(__xludf.DUMMYFUNCTION("""COMPUTED_VALUE"""),63.0)</f>
        <v>63</v>
      </c>
      <c r="F1179" s="19" t="str">
        <f>IFERROR(__xludf.DUMMYFUNCTION("""COMPUTED_VALUE"""),"BLUE")</f>
        <v>BLUE</v>
      </c>
      <c r="G1179" s="20" t="str">
        <f>IFERROR(__xludf.DUMMYFUNCTION("""COMPUTED_VALUE"""),"Uncle Sams Cider (11/12/2021) (Blue)")</f>
        <v>Uncle Sams Cider (11/12/2021) (Blue)</v>
      </c>
      <c r="H1179" s="19"/>
    </row>
    <row r="1180">
      <c r="A1180" s="9"/>
      <c r="B1180" s="15"/>
      <c r="C1180" s="9">
        <f>IFERROR(__xludf.DUMMYFUNCTION("""COMPUTED_VALUE"""),44593.266029618)</f>
        <v>44593.26603</v>
      </c>
      <c r="D1180" s="15">
        <f>IFERROR(__xludf.DUMMYFUNCTION("""COMPUTED_VALUE"""),1.0)</f>
        <v>1</v>
      </c>
      <c r="E1180" s="16">
        <f>IFERROR(__xludf.DUMMYFUNCTION("""COMPUTED_VALUE"""),63.0)</f>
        <v>63</v>
      </c>
      <c r="F1180" s="19" t="str">
        <f>IFERROR(__xludf.DUMMYFUNCTION("""COMPUTED_VALUE"""),"BLUE")</f>
        <v>BLUE</v>
      </c>
      <c r="G1180" s="20" t="str">
        <f>IFERROR(__xludf.DUMMYFUNCTION("""COMPUTED_VALUE"""),"Uncle Sams Cider (11/12/2021) (Blue)")</f>
        <v>Uncle Sams Cider (11/12/2021) (Blue)</v>
      </c>
      <c r="H1180" s="19"/>
    </row>
    <row r="1181">
      <c r="A1181" s="9"/>
      <c r="B1181" s="15"/>
      <c r="C1181" s="9">
        <f>IFERROR(__xludf.DUMMYFUNCTION("""COMPUTED_VALUE"""),44593.2555973495)</f>
        <v>44593.2556</v>
      </c>
      <c r="D1181" s="15">
        <f>IFERROR(__xludf.DUMMYFUNCTION("""COMPUTED_VALUE"""),1.0)</f>
        <v>1</v>
      </c>
      <c r="E1181" s="16">
        <f>IFERROR(__xludf.DUMMYFUNCTION("""COMPUTED_VALUE"""),63.0)</f>
        <v>63</v>
      </c>
      <c r="F1181" s="19" t="str">
        <f>IFERROR(__xludf.DUMMYFUNCTION("""COMPUTED_VALUE"""),"BLUE")</f>
        <v>BLUE</v>
      </c>
      <c r="G1181" s="20" t="str">
        <f>IFERROR(__xludf.DUMMYFUNCTION("""COMPUTED_VALUE"""),"Uncle Sams Cider (11/12/2021) (Blue)")</f>
        <v>Uncle Sams Cider (11/12/2021) (Blue)</v>
      </c>
      <c r="H1181" s="19"/>
    </row>
    <row r="1182">
      <c r="A1182" s="9"/>
      <c r="B1182" s="15"/>
      <c r="C1182" s="9">
        <f>IFERROR(__xludf.DUMMYFUNCTION("""COMPUTED_VALUE"""),44593.2451775462)</f>
        <v>44593.24518</v>
      </c>
      <c r="D1182" s="15">
        <f>IFERROR(__xludf.DUMMYFUNCTION("""COMPUTED_VALUE"""),1.0)</f>
        <v>1</v>
      </c>
      <c r="E1182" s="16">
        <f>IFERROR(__xludf.DUMMYFUNCTION("""COMPUTED_VALUE"""),63.0)</f>
        <v>63</v>
      </c>
      <c r="F1182" s="19" t="str">
        <f>IFERROR(__xludf.DUMMYFUNCTION("""COMPUTED_VALUE"""),"BLUE")</f>
        <v>BLUE</v>
      </c>
      <c r="G1182" s="20" t="str">
        <f>IFERROR(__xludf.DUMMYFUNCTION("""COMPUTED_VALUE"""),"Uncle Sams Cider (11/12/2021) (Blue)")</f>
        <v>Uncle Sams Cider (11/12/2021) (Blue)</v>
      </c>
      <c r="H1182" s="19"/>
    </row>
    <row r="1183">
      <c r="A1183" s="9"/>
      <c r="B1183" s="15"/>
      <c r="C1183" s="9">
        <f>IFERROR(__xludf.DUMMYFUNCTION("""COMPUTED_VALUE"""),44593.2347567013)</f>
        <v>44593.23476</v>
      </c>
      <c r="D1183" s="15">
        <f>IFERROR(__xludf.DUMMYFUNCTION("""COMPUTED_VALUE"""),1.0)</f>
        <v>1</v>
      </c>
      <c r="E1183" s="16">
        <f>IFERROR(__xludf.DUMMYFUNCTION("""COMPUTED_VALUE"""),63.0)</f>
        <v>63</v>
      </c>
      <c r="F1183" s="19" t="str">
        <f>IFERROR(__xludf.DUMMYFUNCTION("""COMPUTED_VALUE"""),"BLUE")</f>
        <v>BLUE</v>
      </c>
      <c r="G1183" s="20" t="str">
        <f>IFERROR(__xludf.DUMMYFUNCTION("""COMPUTED_VALUE"""),"Uncle Sams Cider (11/12/2021) (Blue)")</f>
        <v>Uncle Sams Cider (11/12/2021) (Blue)</v>
      </c>
      <c r="H1183" s="19"/>
    </row>
    <row r="1184">
      <c r="A1184" s="9"/>
      <c r="B1184" s="15"/>
      <c r="C1184" s="9">
        <f>IFERROR(__xludf.DUMMYFUNCTION("""COMPUTED_VALUE"""),44593.2243350231)</f>
        <v>44593.22434</v>
      </c>
      <c r="D1184" s="15">
        <f>IFERROR(__xludf.DUMMYFUNCTION("""COMPUTED_VALUE"""),1.0)</f>
        <v>1</v>
      </c>
      <c r="E1184" s="16">
        <f>IFERROR(__xludf.DUMMYFUNCTION("""COMPUTED_VALUE"""),63.0)</f>
        <v>63</v>
      </c>
      <c r="F1184" s="19" t="str">
        <f>IFERROR(__xludf.DUMMYFUNCTION("""COMPUTED_VALUE"""),"BLUE")</f>
        <v>BLUE</v>
      </c>
      <c r="G1184" s="20" t="str">
        <f>IFERROR(__xludf.DUMMYFUNCTION("""COMPUTED_VALUE"""),"Uncle Sams Cider (11/12/2021) (Blue)")</f>
        <v>Uncle Sams Cider (11/12/2021) (Blue)</v>
      </c>
      <c r="H1184" s="19"/>
    </row>
    <row r="1185">
      <c r="A1185" s="9"/>
      <c r="B1185" s="15"/>
      <c r="C1185" s="9">
        <f>IFERROR(__xludf.DUMMYFUNCTION("""COMPUTED_VALUE"""),44593.2139135416)</f>
        <v>44593.21391</v>
      </c>
      <c r="D1185" s="15">
        <f>IFERROR(__xludf.DUMMYFUNCTION("""COMPUTED_VALUE"""),1.0)</f>
        <v>1</v>
      </c>
      <c r="E1185" s="16">
        <f>IFERROR(__xludf.DUMMYFUNCTION("""COMPUTED_VALUE"""),63.0)</f>
        <v>63</v>
      </c>
      <c r="F1185" s="19" t="str">
        <f>IFERROR(__xludf.DUMMYFUNCTION("""COMPUTED_VALUE"""),"BLUE")</f>
        <v>BLUE</v>
      </c>
      <c r="G1185" s="20" t="str">
        <f>IFERROR(__xludf.DUMMYFUNCTION("""COMPUTED_VALUE"""),"Uncle Sams Cider (11/12/2021) (Blue)")</f>
        <v>Uncle Sams Cider (11/12/2021) (Blue)</v>
      </c>
      <c r="H1185" s="19"/>
    </row>
    <row r="1186">
      <c r="A1186" s="9"/>
      <c r="B1186" s="15"/>
      <c r="C1186" s="9">
        <f>IFERROR(__xludf.DUMMYFUNCTION("""COMPUTED_VALUE"""),44593.203493368)</f>
        <v>44593.20349</v>
      </c>
      <c r="D1186" s="15">
        <f>IFERROR(__xludf.DUMMYFUNCTION("""COMPUTED_VALUE"""),1.0)</f>
        <v>1</v>
      </c>
      <c r="E1186" s="16">
        <f>IFERROR(__xludf.DUMMYFUNCTION("""COMPUTED_VALUE"""),63.0)</f>
        <v>63</v>
      </c>
      <c r="F1186" s="19" t="str">
        <f>IFERROR(__xludf.DUMMYFUNCTION("""COMPUTED_VALUE"""),"BLUE")</f>
        <v>BLUE</v>
      </c>
      <c r="G1186" s="20" t="str">
        <f>IFERROR(__xludf.DUMMYFUNCTION("""COMPUTED_VALUE"""),"Uncle Sams Cider (11/12/2021) (Blue)")</f>
        <v>Uncle Sams Cider (11/12/2021) (Blue)</v>
      </c>
      <c r="H1186" s="19"/>
    </row>
    <row r="1187">
      <c r="A1187" s="9"/>
      <c r="B1187" s="15"/>
      <c r="C1187" s="9">
        <f>IFERROR(__xludf.DUMMYFUNCTION("""COMPUTED_VALUE"""),44593.193073206)</f>
        <v>44593.19307</v>
      </c>
      <c r="D1187" s="15">
        <f>IFERROR(__xludf.DUMMYFUNCTION("""COMPUTED_VALUE"""),1.0)</f>
        <v>1</v>
      </c>
      <c r="E1187" s="16">
        <f>IFERROR(__xludf.DUMMYFUNCTION("""COMPUTED_VALUE"""),63.0)</f>
        <v>63</v>
      </c>
      <c r="F1187" s="19" t="str">
        <f>IFERROR(__xludf.DUMMYFUNCTION("""COMPUTED_VALUE"""),"BLUE")</f>
        <v>BLUE</v>
      </c>
      <c r="G1187" s="20" t="str">
        <f>IFERROR(__xludf.DUMMYFUNCTION("""COMPUTED_VALUE"""),"Uncle Sams Cider (11/12/2021) (Blue)")</f>
        <v>Uncle Sams Cider (11/12/2021) (Blue)</v>
      </c>
      <c r="H1187" s="19"/>
    </row>
    <row r="1188">
      <c r="A1188" s="9"/>
      <c r="B1188" s="15"/>
      <c r="C1188" s="9">
        <f>IFERROR(__xludf.DUMMYFUNCTION("""COMPUTED_VALUE"""),44593.1826519097)</f>
        <v>44593.18265</v>
      </c>
      <c r="D1188" s="15">
        <f>IFERROR(__xludf.DUMMYFUNCTION("""COMPUTED_VALUE"""),1.0)</f>
        <v>1</v>
      </c>
      <c r="E1188" s="16">
        <f>IFERROR(__xludf.DUMMYFUNCTION("""COMPUTED_VALUE"""),63.0)</f>
        <v>63</v>
      </c>
      <c r="F1188" s="19" t="str">
        <f>IFERROR(__xludf.DUMMYFUNCTION("""COMPUTED_VALUE"""),"BLUE")</f>
        <v>BLUE</v>
      </c>
      <c r="G1188" s="20" t="str">
        <f>IFERROR(__xludf.DUMMYFUNCTION("""COMPUTED_VALUE"""),"Uncle Sams Cider (11/12/2021) (Blue)")</f>
        <v>Uncle Sams Cider (11/12/2021) (Blue)</v>
      </c>
      <c r="H1188" s="19"/>
    </row>
    <row r="1189">
      <c r="A1189" s="9"/>
      <c r="B1189" s="15"/>
      <c r="C1189" s="9">
        <f>IFERROR(__xludf.DUMMYFUNCTION("""COMPUTED_VALUE"""),44593.1722292708)</f>
        <v>44593.17223</v>
      </c>
      <c r="D1189" s="15">
        <f>IFERROR(__xludf.DUMMYFUNCTION("""COMPUTED_VALUE"""),1.0)</f>
        <v>1</v>
      </c>
      <c r="E1189" s="16">
        <f>IFERROR(__xludf.DUMMYFUNCTION("""COMPUTED_VALUE"""),63.0)</f>
        <v>63</v>
      </c>
      <c r="F1189" s="19" t="str">
        <f>IFERROR(__xludf.DUMMYFUNCTION("""COMPUTED_VALUE"""),"BLUE")</f>
        <v>BLUE</v>
      </c>
      <c r="G1189" s="20" t="str">
        <f>IFERROR(__xludf.DUMMYFUNCTION("""COMPUTED_VALUE"""),"Uncle Sams Cider (11/12/2021) (Blue)")</f>
        <v>Uncle Sams Cider (11/12/2021) (Blue)</v>
      </c>
      <c r="H1189" s="19"/>
    </row>
    <row r="1190">
      <c r="A1190" s="9"/>
      <c r="B1190" s="15"/>
      <c r="C1190" s="9">
        <f>IFERROR(__xludf.DUMMYFUNCTION("""COMPUTED_VALUE"""),44593.1618092592)</f>
        <v>44593.16181</v>
      </c>
      <c r="D1190" s="15">
        <f>IFERROR(__xludf.DUMMYFUNCTION("""COMPUTED_VALUE"""),1.0)</f>
        <v>1</v>
      </c>
      <c r="E1190" s="16">
        <f>IFERROR(__xludf.DUMMYFUNCTION("""COMPUTED_VALUE"""),64.0)</f>
        <v>64</v>
      </c>
      <c r="F1190" s="19" t="str">
        <f>IFERROR(__xludf.DUMMYFUNCTION("""COMPUTED_VALUE"""),"BLUE")</f>
        <v>BLUE</v>
      </c>
      <c r="G1190" s="20" t="str">
        <f>IFERROR(__xludf.DUMMYFUNCTION("""COMPUTED_VALUE"""),"Uncle Sams Cider (11/12/2021) (Blue)")</f>
        <v>Uncle Sams Cider (11/12/2021) (Blue)</v>
      </c>
      <c r="H1190" s="19"/>
    </row>
    <row r="1191">
      <c r="A1191" s="9"/>
      <c r="B1191" s="15"/>
      <c r="C1191" s="9">
        <f>IFERROR(__xludf.DUMMYFUNCTION("""COMPUTED_VALUE"""),44593.1513759722)</f>
        <v>44593.15138</v>
      </c>
      <c r="D1191" s="15">
        <f>IFERROR(__xludf.DUMMYFUNCTION("""COMPUTED_VALUE"""),1.0)</f>
        <v>1</v>
      </c>
      <c r="E1191" s="16">
        <f>IFERROR(__xludf.DUMMYFUNCTION("""COMPUTED_VALUE"""),64.0)</f>
        <v>64</v>
      </c>
      <c r="F1191" s="19" t="str">
        <f>IFERROR(__xludf.DUMMYFUNCTION("""COMPUTED_VALUE"""),"BLUE")</f>
        <v>BLUE</v>
      </c>
      <c r="G1191" s="20" t="str">
        <f>IFERROR(__xludf.DUMMYFUNCTION("""COMPUTED_VALUE"""),"Uncle Sams Cider (11/12/2021) (Blue)")</f>
        <v>Uncle Sams Cider (11/12/2021) (Blue)</v>
      </c>
      <c r="H1191" s="19"/>
    </row>
    <row r="1192">
      <c r="A1192" s="9"/>
      <c r="B1192" s="15"/>
      <c r="C1192" s="9">
        <f>IFERROR(__xludf.DUMMYFUNCTION("""COMPUTED_VALUE"""),44593.1409556134)</f>
        <v>44593.14096</v>
      </c>
      <c r="D1192" s="15">
        <f>IFERROR(__xludf.DUMMYFUNCTION("""COMPUTED_VALUE"""),1.0)</f>
        <v>1</v>
      </c>
      <c r="E1192" s="16">
        <f>IFERROR(__xludf.DUMMYFUNCTION("""COMPUTED_VALUE"""),64.0)</f>
        <v>64</v>
      </c>
      <c r="F1192" s="19" t="str">
        <f>IFERROR(__xludf.DUMMYFUNCTION("""COMPUTED_VALUE"""),"BLUE")</f>
        <v>BLUE</v>
      </c>
      <c r="G1192" s="20" t="str">
        <f>IFERROR(__xludf.DUMMYFUNCTION("""COMPUTED_VALUE"""),"Uncle Sams Cider (11/12/2021) (Blue)")</f>
        <v>Uncle Sams Cider (11/12/2021) (Blue)</v>
      </c>
      <c r="H1192" s="19"/>
    </row>
    <row r="1193">
      <c r="A1193" s="9"/>
      <c r="B1193" s="15"/>
      <c r="C1193" s="9">
        <f>IFERROR(__xludf.DUMMYFUNCTION("""COMPUTED_VALUE"""),44593.1305225)</f>
        <v>44593.13052</v>
      </c>
      <c r="D1193" s="15">
        <f>IFERROR(__xludf.DUMMYFUNCTION("""COMPUTED_VALUE"""),1.0)</f>
        <v>1</v>
      </c>
      <c r="E1193" s="16">
        <f>IFERROR(__xludf.DUMMYFUNCTION("""COMPUTED_VALUE"""),64.0)</f>
        <v>64</v>
      </c>
      <c r="F1193" s="19" t="str">
        <f>IFERROR(__xludf.DUMMYFUNCTION("""COMPUTED_VALUE"""),"BLUE")</f>
        <v>BLUE</v>
      </c>
      <c r="G1193" s="20" t="str">
        <f>IFERROR(__xludf.DUMMYFUNCTION("""COMPUTED_VALUE"""),"Uncle Sams Cider (11/12/2021) (Blue)")</f>
        <v>Uncle Sams Cider (11/12/2021) (Blue)</v>
      </c>
      <c r="H1193" s="19"/>
    </row>
    <row r="1194">
      <c r="A1194" s="9"/>
      <c r="B1194" s="15"/>
      <c r="C1194" s="9">
        <f>IFERROR(__xludf.DUMMYFUNCTION("""COMPUTED_VALUE"""),44593.1201029513)</f>
        <v>44593.1201</v>
      </c>
      <c r="D1194" s="15">
        <f>IFERROR(__xludf.DUMMYFUNCTION("""COMPUTED_VALUE"""),1.0)</f>
        <v>1</v>
      </c>
      <c r="E1194" s="16">
        <f>IFERROR(__xludf.DUMMYFUNCTION("""COMPUTED_VALUE"""),64.0)</f>
        <v>64</v>
      </c>
      <c r="F1194" s="19" t="str">
        <f>IFERROR(__xludf.DUMMYFUNCTION("""COMPUTED_VALUE"""),"BLUE")</f>
        <v>BLUE</v>
      </c>
      <c r="G1194" s="20" t="str">
        <f>IFERROR(__xludf.DUMMYFUNCTION("""COMPUTED_VALUE"""),"Uncle Sams Cider (11/12/2021) (Blue)")</f>
        <v>Uncle Sams Cider (11/12/2021) (Blue)</v>
      </c>
      <c r="H1194" s="19"/>
    </row>
    <row r="1195">
      <c r="A1195" s="9"/>
      <c r="B1195" s="15"/>
      <c r="C1195" s="9">
        <f>IFERROR(__xludf.DUMMYFUNCTION("""COMPUTED_VALUE"""),44593.1096813425)</f>
        <v>44593.10968</v>
      </c>
      <c r="D1195" s="15">
        <f>IFERROR(__xludf.DUMMYFUNCTION("""COMPUTED_VALUE"""),1.0)</f>
        <v>1</v>
      </c>
      <c r="E1195" s="16">
        <f>IFERROR(__xludf.DUMMYFUNCTION("""COMPUTED_VALUE"""),64.0)</f>
        <v>64</v>
      </c>
      <c r="F1195" s="19" t="str">
        <f>IFERROR(__xludf.DUMMYFUNCTION("""COMPUTED_VALUE"""),"BLUE")</f>
        <v>BLUE</v>
      </c>
      <c r="G1195" s="20" t="str">
        <f>IFERROR(__xludf.DUMMYFUNCTION("""COMPUTED_VALUE"""),"Uncle Sams Cider (11/12/2021) (Blue)")</f>
        <v>Uncle Sams Cider (11/12/2021) (Blue)</v>
      </c>
      <c r="H1195" s="19"/>
    </row>
    <row r="1196">
      <c r="A1196" s="9"/>
      <c r="B1196" s="15"/>
      <c r="C1196" s="9">
        <f>IFERROR(__xludf.DUMMYFUNCTION("""COMPUTED_VALUE"""),44593.0992615393)</f>
        <v>44593.09926</v>
      </c>
      <c r="D1196" s="15">
        <f>IFERROR(__xludf.DUMMYFUNCTION("""COMPUTED_VALUE"""),1.0)</f>
        <v>1</v>
      </c>
      <c r="E1196" s="16">
        <f>IFERROR(__xludf.DUMMYFUNCTION("""COMPUTED_VALUE"""),64.0)</f>
        <v>64</v>
      </c>
      <c r="F1196" s="19" t="str">
        <f>IFERROR(__xludf.DUMMYFUNCTION("""COMPUTED_VALUE"""),"BLUE")</f>
        <v>BLUE</v>
      </c>
      <c r="G1196" s="20" t="str">
        <f>IFERROR(__xludf.DUMMYFUNCTION("""COMPUTED_VALUE"""),"Uncle Sams Cider (11/12/2021) (Blue)")</f>
        <v>Uncle Sams Cider (11/12/2021) (Blue)</v>
      </c>
      <c r="H1196" s="19"/>
    </row>
    <row r="1197">
      <c r="A1197" s="9"/>
      <c r="B1197" s="15"/>
      <c r="C1197" s="9">
        <f>IFERROR(__xludf.DUMMYFUNCTION("""COMPUTED_VALUE"""),44593.0888309259)</f>
        <v>44593.08883</v>
      </c>
      <c r="D1197" s="15">
        <f>IFERROR(__xludf.DUMMYFUNCTION("""COMPUTED_VALUE"""),1.0)</f>
        <v>1</v>
      </c>
      <c r="E1197" s="16">
        <f>IFERROR(__xludf.DUMMYFUNCTION("""COMPUTED_VALUE"""),64.0)</f>
        <v>64</v>
      </c>
      <c r="F1197" s="19" t="str">
        <f>IFERROR(__xludf.DUMMYFUNCTION("""COMPUTED_VALUE"""),"BLUE")</f>
        <v>BLUE</v>
      </c>
      <c r="G1197" s="20" t="str">
        <f>IFERROR(__xludf.DUMMYFUNCTION("""COMPUTED_VALUE"""),"Uncle Sams Cider (11/12/2021) (Blue)")</f>
        <v>Uncle Sams Cider (11/12/2021) (Blue)</v>
      </c>
      <c r="H1197" s="19"/>
    </row>
    <row r="1198">
      <c r="A1198" s="9"/>
      <c r="B1198" s="15"/>
      <c r="C1198" s="9">
        <f>IFERROR(__xludf.DUMMYFUNCTION("""COMPUTED_VALUE"""),44593.078410324)</f>
        <v>44593.07841</v>
      </c>
      <c r="D1198" s="15">
        <f>IFERROR(__xludf.DUMMYFUNCTION("""COMPUTED_VALUE"""),1.0)</f>
        <v>1</v>
      </c>
      <c r="E1198" s="16">
        <f>IFERROR(__xludf.DUMMYFUNCTION("""COMPUTED_VALUE"""),64.0)</f>
        <v>64</v>
      </c>
      <c r="F1198" s="19" t="str">
        <f>IFERROR(__xludf.DUMMYFUNCTION("""COMPUTED_VALUE"""),"BLUE")</f>
        <v>BLUE</v>
      </c>
      <c r="G1198" s="20" t="str">
        <f>IFERROR(__xludf.DUMMYFUNCTION("""COMPUTED_VALUE"""),"Uncle Sams Cider (11/12/2021) (Blue)")</f>
        <v>Uncle Sams Cider (11/12/2021) (Blue)</v>
      </c>
      <c r="H1198" s="19"/>
    </row>
    <row r="1199">
      <c r="A1199" s="9"/>
      <c r="B1199" s="15"/>
      <c r="C1199" s="9">
        <f>IFERROR(__xludf.DUMMYFUNCTION("""COMPUTED_VALUE"""),44593.0679892129)</f>
        <v>44593.06799</v>
      </c>
      <c r="D1199" s="15">
        <f>IFERROR(__xludf.DUMMYFUNCTION("""COMPUTED_VALUE"""),1.0)</f>
        <v>1</v>
      </c>
      <c r="E1199" s="16">
        <f>IFERROR(__xludf.DUMMYFUNCTION("""COMPUTED_VALUE"""),64.0)</f>
        <v>64</v>
      </c>
      <c r="F1199" s="19" t="str">
        <f>IFERROR(__xludf.DUMMYFUNCTION("""COMPUTED_VALUE"""),"BLUE")</f>
        <v>BLUE</v>
      </c>
      <c r="G1199" s="20" t="str">
        <f>IFERROR(__xludf.DUMMYFUNCTION("""COMPUTED_VALUE"""),"Uncle Sams Cider (11/12/2021) (Blue)")</f>
        <v>Uncle Sams Cider (11/12/2021) (Blue)</v>
      </c>
      <c r="H1199" s="19"/>
    </row>
    <row r="1200">
      <c r="A1200" s="9"/>
      <c r="B1200" s="15"/>
      <c r="C1200" s="9">
        <f>IFERROR(__xludf.DUMMYFUNCTION("""COMPUTED_VALUE"""),44593.0575670717)</f>
        <v>44593.05757</v>
      </c>
      <c r="D1200" s="15">
        <f>IFERROR(__xludf.DUMMYFUNCTION("""COMPUTED_VALUE"""),1.0)</f>
        <v>1</v>
      </c>
      <c r="E1200" s="16">
        <f>IFERROR(__xludf.DUMMYFUNCTION("""COMPUTED_VALUE"""),64.0)</f>
        <v>64</v>
      </c>
      <c r="F1200" s="19" t="str">
        <f>IFERROR(__xludf.DUMMYFUNCTION("""COMPUTED_VALUE"""),"BLUE")</f>
        <v>BLUE</v>
      </c>
      <c r="G1200" s="20" t="str">
        <f>IFERROR(__xludf.DUMMYFUNCTION("""COMPUTED_VALUE"""),"Uncle Sams Cider (11/12/2021) (Blue)")</f>
        <v>Uncle Sams Cider (11/12/2021) (Blue)</v>
      </c>
      <c r="H1200" s="19"/>
    </row>
    <row r="1201">
      <c r="A1201" s="9"/>
      <c r="B1201" s="15"/>
      <c r="C1201" s="9">
        <f>IFERROR(__xludf.DUMMYFUNCTION("""COMPUTED_VALUE"""),44593.0471464583)</f>
        <v>44593.04715</v>
      </c>
      <c r="D1201" s="15">
        <f>IFERROR(__xludf.DUMMYFUNCTION("""COMPUTED_VALUE"""),1.0)</f>
        <v>1</v>
      </c>
      <c r="E1201" s="16">
        <f>IFERROR(__xludf.DUMMYFUNCTION("""COMPUTED_VALUE"""),64.0)</f>
        <v>64</v>
      </c>
      <c r="F1201" s="19" t="str">
        <f>IFERROR(__xludf.DUMMYFUNCTION("""COMPUTED_VALUE"""),"BLUE")</f>
        <v>BLUE</v>
      </c>
      <c r="G1201" s="20" t="str">
        <f>IFERROR(__xludf.DUMMYFUNCTION("""COMPUTED_VALUE"""),"Uncle Sams Cider (11/12/2021) (Blue)")</f>
        <v>Uncle Sams Cider (11/12/2021) (Blue)</v>
      </c>
      <c r="H1201" s="19"/>
    </row>
    <row r="1202">
      <c r="A1202" s="9"/>
      <c r="B1202" s="15"/>
      <c r="C1202" s="9">
        <f>IFERROR(__xludf.DUMMYFUNCTION("""COMPUTED_VALUE"""),44593.0367032638)</f>
        <v>44593.0367</v>
      </c>
      <c r="D1202" s="15">
        <f>IFERROR(__xludf.DUMMYFUNCTION("""COMPUTED_VALUE"""),1.0)</f>
        <v>1</v>
      </c>
      <c r="E1202" s="16">
        <f>IFERROR(__xludf.DUMMYFUNCTION("""COMPUTED_VALUE"""),64.0)</f>
        <v>64</v>
      </c>
      <c r="F1202" s="19" t="str">
        <f>IFERROR(__xludf.DUMMYFUNCTION("""COMPUTED_VALUE"""),"BLUE")</f>
        <v>BLUE</v>
      </c>
      <c r="G1202" s="20" t="str">
        <f>IFERROR(__xludf.DUMMYFUNCTION("""COMPUTED_VALUE"""),"Uncle Sams Cider (11/12/2021) (Blue)")</f>
        <v>Uncle Sams Cider (11/12/2021) (Blue)</v>
      </c>
      <c r="H1202" s="19"/>
    </row>
    <row r="1203">
      <c r="A1203" s="9"/>
      <c r="B1203" s="15"/>
      <c r="C1203" s="9">
        <f>IFERROR(__xludf.DUMMYFUNCTION("""COMPUTED_VALUE"""),44593.026281956)</f>
        <v>44593.02628</v>
      </c>
      <c r="D1203" s="15">
        <f>IFERROR(__xludf.DUMMYFUNCTION("""COMPUTED_VALUE"""),1.0)</f>
        <v>1</v>
      </c>
      <c r="E1203" s="16">
        <f>IFERROR(__xludf.DUMMYFUNCTION("""COMPUTED_VALUE"""),64.0)</f>
        <v>64</v>
      </c>
      <c r="F1203" s="19" t="str">
        <f>IFERROR(__xludf.DUMMYFUNCTION("""COMPUTED_VALUE"""),"BLUE")</f>
        <v>BLUE</v>
      </c>
      <c r="G1203" s="20" t="str">
        <f>IFERROR(__xludf.DUMMYFUNCTION("""COMPUTED_VALUE"""),"Uncle Sams Cider (11/12/2021) (Blue)")</f>
        <v>Uncle Sams Cider (11/12/2021) (Blue)</v>
      </c>
      <c r="H1203" s="19"/>
    </row>
    <row r="1204">
      <c r="A1204" s="9"/>
      <c r="B1204" s="15"/>
      <c r="C1204" s="9">
        <f>IFERROR(__xludf.DUMMYFUNCTION("""COMPUTED_VALUE"""),44593.0158503125)</f>
        <v>44593.01585</v>
      </c>
      <c r="D1204" s="15">
        <f>IFERROR(__xludf.DUMMYFUNCTION("""COMPUTED_VALUE"""),1.0)</f>
        <v>1</v>
      </c>
      <c r="E1204" s="16">
        <f>IFERROR(__xludf.DUMMYFUNCTION("""COMPUTED_VALUE"""),64.0)</f>
        <v>64</v>
      </c>
      <c r="F1204" s="19" t="str">
        <f>IFERROR(__xludf.DUMMYFUNCTION("""COMPUTED_VALUE"""),"BLUE")</f>
        <v>BLUE</v>
      </c>
      <c r="G1204" s="20" t="str">
        <f>IFERROR(__xludf.DUMMYFUNCTION("""COMPUTED_VALUE"""),"Uncle Sams Cider (11/12/2021) (Blue)")</f>
        <v>Uncle Sams Cider (11/12/2021) (Blue)</v>
      </c>
      <c r="H1204" s="19"/>
    </row>
    <row r="1205">
      <c r="A1205" s="9"/>
      <c r="B1205" s="15"/>
      <c r="C1205" s="9">
        <f>IFERROR(__xludf.DUMMYFUNCTION("""COMPUTED_VALUE"""),44593.0054306365)</f>
        <v>44593.00543</v>
      </c>
      <c r="D1205" s="15">
        <f>IFERROR(__xludf.DUMMYFUNCTION("""COMPUTED_VALUE"""),1.0)</f>
        <v>1</v>
      </c>
      <c r="E1205" s="16">
        <f>IFERROR(__xludf.DUMMYFUNCTION("""COMPUTED_VALUE"""),64.0)</f>
        <v>64</v>
      </c>
      <c r="F1205" s="19" t="str">
        <f>IFERROR(__xludf.DUMMYFUNCTION("""COMPUTED_VALUE"""),"BLUE")</f>
        <v>BLUE</v>
      </c>
      <c r="G1205" s="20" t="str">
        <f>IFERROR(__xludf.DUMMYFUNCTION("""COMPUTED_VALUE"""),"Uncle Sams Cider (11/12/2021) (Blue)")</f>
        <v>Uncle Sams Cider (11/12/2021) (Blue)</v>
      </c>
      <c r="H1205" s="19"/>
    </row>
    <row r="1206">
      <c r="A1206" s="9"/>
      <c r="B1206" s="15"/>
      <c r="C1206" s="9">
        <f>IFERROR(__xludf.DUMMYFUNCTION("""COMPUTED_VALUE"""),44592.9950106944)</f>
        <v>44592.99501</v>
      </c>
      <c r="D1206" s="15">
        <f>IFERROR(__xludf.DUMMYFUNCTION("""COMPUTED_VALUE"""),1.0)</f>
        <v>1</v>
      </c>
      <c r="E1206" s="16">
        <f>IFERROR(__xludf.DUMMYFUNCTION("""COMPUTED_VALUE"""),64.0)</f>
        <v>64</v>
      </c>
      <c r="F1206" s="19" t="str">
        <f>IFERROR(__xludf.DUMMYFUNCTION("""COMPUTED_VALUE"""),"BLUE")</f>
        <v>BLUE</v>
      </c>
      <c r="G1206" s="20" t="str">
        <f>IFERROR(__xludf.DUMMYFUNCTION("""COMPUTED_VALUE"""),"Uncle Sams Cider (11/12/2021) (Blue)")</f>
        <v>Uncle Sams Cider (11/12/2021) (Blue)</v>
      </c>
      <c r="H1206" s="19"/>
    </row>
    <row r="1207">
      <c r="A1207" s="9"/>
      <c r="B1207" s="15"/>
      <c r="C1207" s="9">
        <f>IFERROR(__xludf.DUMMYFUNCTION("""COMPUTED_VALUE"""),44592.9845773842)</f>
        <v>44592.98458</v>
      </c>
      <c r="D1207" s="15">
        <f>IFERROR(__xludf.DUMMYFUNCTION("""COMPUTED_VALUE"""),1.0)</f>
        <v>1</v>
      </c>
      <c r="E1207" s="16">
        <f>IFERROR(__xludf.DUMMYFUNCTION("""COMPUTED_VALUE"""),64.0)</f>
        <v>64</v>
      </c>
      <c r="F1207" s="19" t="str">
        <f>IFERROR(__xludf.DUMMYFUNCTION("""COMPUTED_VALUE"""),"BLUE")</f>
        <v>BLUE</v>
      </c>
      <c r="G1207" s="20" t="str">
        <f>IFERROR(__xludf.DUMMYFUNCTION("""COMPUTED_VALUE"""),"Uncle Sams Cider (11/12/2021) (Blue)")</f>
        <v>Uncle Sams Cider (11/12/2021) (Blue)</v>
      </c>
      <c r="H1207" s="19"/>
    </row>
    <row r="1208">
      <c r="A1208" s="9"/>
      <c r="B1208" s="15"/>
      <c r="C1208" s="9">
        <f>IFERROR(__xludf.DUMMYFUNCTION("""COMPUTED_VALUE"""),44592.9741550115)</f>
        <v>44592.97416</v>
      </c>
      <c r="D1208" s="15">
        <f>IFERROR(__xludf.DUMMYFUNCTION("""COMPUTED_VALUE"""),1.0)</f>
        <v>1</v>
      </c>
      <c r="E1208" s="16">
        <f>IFERROR(__xludf.DUMMYFUNCTION("""COMPUTED_VALUE"""),64.0)</f>
        <v>64</v>
      </c>
      <c r="F1208" s="19" t="str">
        <f>IFERROR(__xludf.DUMMYFUNCTION("""COMPUTED_VALUE"""),"BLUE")</f>
        <v>BLUE</v>
      </c>
      <c r="G1208" s="20" t="str">
        <f>IFERROR(__xludf.DUMMYFUNCTION("""COMPUTED_VALUE"""),"Uncle Sams Cider (11/12/2021) (Blue)")</f>
        <v>Uncle Sams Cider (11/12/2021) (Blue)</v>
      </c>
      <c r="H1208" s="19"/>
    </row>
    <row r="1209">
      <c r="A1209" s="9"/>
      <c r="B1209" s="15"/>
      <c r="C1209" s="9">
        <f>IFERROR(__xludf.DUMMYFUNCTION("""COMPUTED_VALUE"""),44592.9637333796)</f>
        <v>44592.96373</v>
      </c>
      <c r="D1209" s="15">
        <f>IFERROR(__xludf.DUMMYFUNCTION("""COMPUTED_VALUE"""),1.0)</f>
        <v>1</v>
      </c>
      <c r="E1209" s="16">
        <f>IFERROR(__xludf.DUMMYFUNCTION("""COMPUTED_VALUE"""),64.0)</f>
        <v>64</v>
      </c>
      <c r="F1209" s="19" t="str">
        <f>IFERROR(__xludf.DUMMYFUNCTION("""COMPUTED_VALUE"""),"BLUE")</f>
        <v>BLUE</v>
      </c>
      <c r="G1209" s="20" t="str">
        <f>IFERROR(__xludf.DUMMYFUNCTION("""COMPUTED_VALUE"""),"Uncle Sams Cider (11/12/2021) (Blue)")</f>
        <v>Uncle Sams Cider (11/12/2021) (Blue)</v>
      </c>
      <c r="H1209" s="19"/>
    </row>
    <row r="1210">
      <c r="A1210" s="9"/>
      <c r="B1210" s="15"/>
      <c r="C1210" s="9">
        <f>IFERROR(__xludf.DUMMYFUNCTION("""COMPUTED_VALUE"""),44592.9533099537)</f>
        <v>44592.95331</v>
      </c>
      <c r="D1210" s="15">
        <f>IFERROR(__xludf.DUMMYFUNCTION("""COMPUTED_VALUE"""),1.0)</f>
        <v>1</v>
      </c>
      <c r="E1210" s="16">
        <f>IFERROR(__xludf.DUMMYFUNCTION("""COMPUTED_VALUE"""),64.0)</f>
        <v>64</v>
      </c>
      <c r="F1210" s="19" t="str">
        <f>IFERROR(__xludf.DUMMYFUNCTION("""COMPUTED_VALUE"""),"BLUE")</f>
        <v>BLUE</v>
      </c>
      <c r="G1210" s="20" t="str">
        <f>IFERROR(__xludf.DUMMYFUNCTION("""COMPUTED_VALUE"""),"Uncle Sams Cider (11/12/2021) (Blue)")</f>
        <v>Uncle Sams Cider (11/12/2021) (Blue)</v>
      </c>
      <c r="H1210" s="19"/>
    </row>
    <row r="1211">
      <c r="A1211" s="9"/>
      <c r="B1211" s="15"/>
      <c r="C1211" s="9">
        <f>IFERROR(__xludf.DUMMYFUNCTION("""COMPUTED_VALUE"""),44592.9428870023)</f>
        <v>44592.94289</v>
      </c>
      <c r="D1211" s="15">
        <f>IFERROR(__xludf.DUMMYFUNCTION("""COMPUTED_VALUE"""),1.0)</f>
        <v>1</v>
      </c>
      <c r="E1211" s="16">
        <f>IFERROR(__xludf.DUMMYFUNCTION("""COMPUTED_VALUE"""),64.0)</f>
        <v>64</v>
      </c>
      <c r="F1211" s="19" t="str">
        <f>IFERROR(__xludf.DUMMYFUNCTION("""COMPUTED_VALUE"""),"BLUE")</f>
        <v>BLUE</v>
      </c>
      <c r="G1211" s="20" t="str">
        <f>IFERROR(__xludf.DUMMYFUNCTION("""COMPUTED_VALUE"""),"Uncle Sams Cider (11/12/2021) (Blue)")</f>
        <v>Uncle Sams Cider (11/12/2021) (Blue)</v>
      </c>
      <c r="H1211" s="19"/>
    </row>
    <row r="1212">
      <c r="A1212" s="9"/>
      <c r="B1212" s="15"/>
      <c r="C1212" s="9">
        <f>IFERROR(__xludf.DUMMYFUNCTION("""COMPUTED_VALUE"""),44592.9324432523)</f>
        <v>44592.93244</v>
      </c>
      <c r="D1212" s="15">
        <f>IFERROR(__xludf.DUMMYFUNCTION("""COMPUTED_VALUE"""),1.0)</f>
        <v>1</v>
      </c>
      <c r="E1212" s="16">
        <f>IFERROR(__xludf.DUMMYFUNCTION("""COMPUTED_VALUE"""),64.0)</f>
        <v>64</v>
      </c>
      <c r="F1212" s="19" t="str">
        <f>IFERROR(__xludf.DUMMYFUNCTION("""COMPUTED_VALUE"""),"BLUE")</f>
        <v>BLUE</v>
      </c>
      <c r="G1212" s="20" t="str">
        <f>IFERROR(__xludf.DUMMYFUNCTION("""COMPUTED_VALUE"""),"Uncle Sams Cider (11/12/2021) (Blue)")</f>
        <v>Uncle Sams Cider (11/12/2021) (Blue)</v>
      </c>
      <c r="H1212" s="19"/>
    </row>
    <row r="1213">
      <c r="A1213" s="9"/>
      <c r="B1213" s="15"/>
      <c r="C1213" s="9">
        <f>IFERROR(__xludf.DUMMYFUNCTION("""COMPUTED_VALUE"""),44592.9220215277)</f>
        <v>44592.92202</v>
      </c>
      <c r="D1213" s="15">
        <f>IFERROR(__xludf.DUMMYFUNCTION("""COMPUTED_VALUE"""),1.0)</f>
        <v>1</v>
      </c>
      <c r="E1213" s="16">
        <f>IFERROR(__xludf.DUMMYFUNCTION("""COMPUTED_VALUE"""),64.0)</f>
        <v>64</v>
      </c>
      <c r="F1213" s="19" t="str">
        <f>IFERROR(__xludf.DUMMYFUNCTION("""COMPUTED_VALUE"""),"BLUE")</f>
        <v>BLUE</v>
      </c>
      <c r="G1213" s="20" t="str">
        <f>IFERROR(__xludf.DUMMYFUNCTION("""COMPUTED_VALUE"""),"Uncle Sams Cider (11/12/2021) (Blue)")</f>
        <v>Uncle Sams Cider (11/12/2021) (Blue)</v>
      </c>
      <c r="H1213" s="19"/>
    </row>
    <row r="1214">
      <c r="A1214" s="9"/>
      <c r="B1214" s="15"/>
      <c r="C1214" s="9">
        <f>IFERROR(__xludf.DUMMYFUNCTION("""COMPUTED_VALUE"""),44592.9115996412)</f>
        <v>44592.9116</v>
      </c>
      <c r="D1214" s="15">
        <f>IFERROR(__xludf.DUMMYFUNCTION("""COMPUTED_VALUE"""),1.0)</f>
        <v>1</v>
      </c>
      <c r="E1214" s="16">
        <f>IFERROR(__xludf.DUMMYFUNCTION("""COMPUTED_VALUE"""),64.0)</f>
        <v>64</v>
      </c>
      <c r="F1214" s="19" t="str">
        <f>IFERROR(__xludf.DUMMYFUNCTION("""COMPUTED_VALUE"""),"BLUE")</f>
        <v>BLUE</v>
      </c>
      <c r="G1214" s="20" t="str">
        <f>IFERROR(__xludf.DUMMYFUNCTION("""COMPUTED_VALUE"""),"Uncle Sams Cider (11/12/2021) (Blue)")</f>
        <v>Uncle Sams Cider (11/12/2021) (Blue)</v>
      </c>
      <c r="H1214" s="19"/>
    </row>
    <row r="1215">
      <c r="A1215" s="9"/>
      <c r="B1215" s="15"/>
      <c r="C1215" s="9">
        <f>IFERROR(__xludf.DUMMYFUNCTION("""COMPUTED_VALUE"""),44592.9011686111)</f>
        <v>44592.90117</v>
      </c>
      <c r="D1215" s="15">
        <f>IFERROR(__xludf.DUMMYFUNCTION("""COMPUTED_VALUE"""),1.0)</f>
        <v>1</v>
      </c>
      <c r="E1215" s="16">
        <f>IFERROR(__xludf.DUMMYFUNCTION("""COMPUTED_VALUE"""),64.0)</f>
        <v>64</v>
      </c>
      <c r="F1215" s="19" t="str">
        <f>IFERROR(__xludf.DUMMYFUNCTION("""COMPUTED_VALUE"""),"BLUE")</f>
        <v>BLUE</v>
      </c>
      <c r="G1215" s="20" t="str">
        <f>IFERROR(__xludf.DUMMYFUNCTION("""COMPUTED_VALUE"""),"Uncle Sams Cider (11/12/2021) (Blue)")</f>
        <v>Uncle Sams Cider (11/12/2021) (Blue)</v>
      </c>
      <c r="H1215" s="19"/>
    </row>
    <row r="1216">
      <c r="A1216" s="9"/>
      <c r="B1216" s="15"/>
      <c r="C1216" s="9">
        <f>IFERROR(__xludf.DUMMYFUNCTION("""COMPUTED_VALUE"""),44592.8907466782)</f>
        <v>44592.89075</v>
      </c>
      <c r="D1216" s="15">
        <f>IFERROR(__xludf.DUMMYFUNCTION("""COMPUTED_VALUE"""),1.0)</f>
        <v>1</v>
      </c>
      <c r="E1216" s="16">
        <f>IFERROR(__xludf.DUMMYFUNCTION("""COMPUTED_VALUE"""),64.0)</f>
        <v>64</v>
      </c>
      <c r="F1216" s="19" t="str">
        <f>IFERROR(__xludf.DUMMYFUNCTION("""COMPUTED_VALUE"""),"BLUE")</f>
        <v>BLUE</v>
      </c>
      <c r="G1216" s="20" t="str">
        <f>IFERROR(__xludf.DUMMYFUNCTION("""COMPUTED_VALUE"""),"Uncle Sams Cider (11/12/2021) (Blue)")</f>
        <v>Uncle Sams Cider (11/12/2021) (Blue)</v>
      </c>
      <c r="H1216" s="19"/>
    </row>
    <row r="1217">
      <c r="A1217" s="9"/>
      <c r="B1217" s="15"/>
      <c r="C1217" s="9">
        <f>IFERROR(__xludf.DUMMYFUNCTION("""COMPUTED_VALUE"""),44592.8803253472)</f>
        <v>44592.88033</v>
      </c>
      <c r="D1217" s="15">
        <f>IFERROR(__xludf.DUMMYFUNCTION("""COMPUTED_VALUE"""),1.0)</f>
        <v>1</v>
      </c>
      <c r="E1217" s="16">
        <f>IFERROR(__xludf.DUMMYFUNCTION("""COMPUTED_VALUE"""),65.0)</f>
        <v>65</v>
      </c>
      <c r="F1217" s="19" t="str">
        <f>IFERROR(__xludf.DUMMYFUNCTION("""COMPUTED_VALUE"""),"BLUE")</f>
        <v>BLUE</v>
      </c>
      <c r="G1217" s="20" t="str">
        <f>IFERROR(__xludf.DUMMYFUNCTION("""COMPUTED_VALUE"""),"Uncle Sams Cider (11/12/2021) (Blue)")</f>
        <v>Uncle Sams Cider (11/12/2021) (Blue)</v>
      </c>
      <c r="H1217" s="19"/>
    </row>
    <row r="1218">
      <c r="A1218" s="9"/>
      <c r="B1218" s="15"/>
      <c r="C1218" s="9">
        <f>IFERROR(__xludf.DUMMYFUNCTION("""COMPUTED_VALUE"""),44592.8699041319)</f>
        <v>44592.8699</v>
      </c>
      <c r="D1218" s="15">
        <f>IFERROR(__xludf.DUMMYFUNCTION("""COMPUTED_VALUE"""),1.0)</f>
        <v>1</v>
      </c>
      <c r="E1218" s="16">
        <f>IFERROR(__xludf.DUMMYFUNCTION("""COMPUTED_VALUE"""),65.0)</f>
        <v>65</v>
      </c>
      <c r="F1218" s="19" t="str">
        <f>IFERROR(__xludf.DUMMYFUNCTION("""COMPUTED_VALUE"""),"BLUE")</f>
        <v>BLUE</v>
      </c>
      <c r="G1218" s="20" t="str">
        <f>IFERROR(__xludf.DUMMYFUNCTION("""COMPUTED_VALUE"""),"Uncle Sams Cider (11/12/2021) (Blue)")</f>
        <v>Uncle Sams Cider (11/12/2021) (Blue)</v>
      </c>
      <c r="H1218" s="19"/>
    </row>
    <row r="1219">
      <c r="A1219" s="9"/>
      <c r="B1219" s="15"/>
      <c r="C1219" s="9">
        <f>IFERROR(__xludf.DUMMYFUNCTION("""COMPUTED_VALUE"""),44592.8594842708)</f>
        <v>44592.85948</v>
      </c>
      <c r="D1219" s="15">
        <f>IFERROR(__xludf.DUMMYFUNCTION("""COMPUTED_VALUE"""),1.0)</f>
        <v>1</v>
      </c>
      <c r="E1219" s="16">
        <f>IFERROR(__xludf.DUMMYFUNCTION("""COMPUTED_VALUE"""),65.0)</f>
        <v>65</v>
      </c>
      <c r="F1219" s="19" t="str">
        <f>IFERROR(__xludf.DUMMYFUNCTION("""COMPUTED_VALUE"""),"BLUE")</f>
        <v>BLUE</v>
      </c>
      <c r="G1219" s="20" t="str">
        <f>IFERROR(__xludf.DUMMYFUNCTION("""COMPUTED_VALUE"""),"Uncle Sams Cider (11/12/2021) (Blue)")</f>
        <v>Uncle Sams Cider (11/12/2021) (Blue)</v>
      </c>
      <c r="H1219" s="19"/>
    </row>
    <row r="1220">
      <c r="A1220" s="9"/>
      <c r="B1220" s="15"/>
      <c r="C1220" s="9">
        <f>IFERROR(__xludf.DUMMYFUNCTION("""COMPUTED_VALUE"""),44592.8490645486)</f>
        <v>44592.84906</v>
      </c>
      <c r="D1220" s="15">
        <f>IFERROR(__xludf.DUMMYFUNCTION("""COMPUTED_VALUE"""),1.0)</f>
        <v>1</v>
      </c>
      <c r="E1220" s="16">
        <f>IFERROR(__xludf.DUMMYFUNCTION("""COMPUTED_VALUE"""),65.0)</f>
        <v>65</v>
      </c>
      <c r="F1220" s="19" t="str">
        <f>IFERROR(__xludf.DUMMYFUNCTION("""COMPUTED_VALUE"""),"BLUE")</f>
        <v>BLUE</v>
      </c>
      <c r="G1220" s="20" t="str">
        <f>IFERROR(__xludf.DUMMYFUNCTION("""COMPUTED_VALUE"""),"Uncle Sams Cider (11/12/2021) (Blue)")</f>
        <v>Uncle Sams Cider (11/12/2021) (Blue)</v>
      </c>
      <c r="H1220" s="19"/>
    </row>
    <row r="1221">
      <c r="A1221" s="9"/>
      <c r="B1221" s="15"/>
      <c r="C1221" s="9">
        <f>IFERROR(__xludf.DUMMYFUNCTION("""COMPUTED_VALUE"""),44592.8386434837)</f>
        <v>44592.83864</v>
      </c>
      <c r="D1221" s="15">
        <f>IFERROR(__xludf.DUMMYFUNCTION("""COMPUTED_VALUE"""),1.0)</f>
        <v>1</v>
      </c>
      <c r="E1221" s="16">
        <f>IFERROR(__xludf.DUMMYFUNCTION("""COMPUTED_VALUE"""),65.0)</f>
        <v>65</v>
      </c>
      <c r="F1221" s="19" t="str">
        <f>IFERROR(__xludf.DUMMYFUNCTION("""COMPUTED_VALUE"""),"BLUE")</f>
        <v>BLUE</v>
      </c>
      <c r="G1221" s="20" t="str">
        <f>IFERROR(__xludf.DUMMYFUNCTION("""COMPUTED_VALUE"""),"Uncle Sams Cider (11/12/2021) (Blue)")</f>
        <v>Uncle Sams Cider (11/12/2021) (Blue)</v>
      </c>
      <c r="H1221" s="19"/>
    </row>
    <row r="1222">
      <c r="A1222" s="9"/>
      <c r="B1222" s="15"/>
      <c r="C1222" s="9">
        <f>IFERROR(__xludf.DUMMYFUNCTION("""COMPUTED_VALUE"""),44592.8282232638)</f>
        <v>44592.82822</v>
      </c>
      <c r="D1222" s="15">
        <f>IFERROR(__xludf.DUMMYFUNCTION("""COMPUTED_VALUE"""),1.0)</f>
        <v>1</v>
      </c>
      <c r="E1222" s="16">
        <f>IFERROR(__xludf.DUMMYFUNCTION("""COMPUTED_VALUE"""),65.0)</f>
        <v>65</v>
      </c>
      <c r="F1222" s="19" t="str">
        <f>IFERROR(__xludf.DUMMYFUNCTION("""COMPUTED_VALUE"""),"BLUE")</f>
        <v>BLUE</v>
      </c>
      <c r="G1222" s="20" t="str">
        <f>IFERROR(__xludf.DUMMYFUNCTION("""COMPUTED_VALUE"""),"Uncle Sams Cider (11/12/2021) (Blue)")</f>
        <v>Uncle Sams Cider (11/12/2021) (Blue)</v>
      </c>
      <c r="H1222" s="19"/>
    </row>
    <row r="1223">
      <c r="A1223" s="9"/>
      <c r="B1223" s="15"/>
      <c r="C1223" s="9">
        <f>IFERROR(__xludf.DUMMYFUNCTION("""COMPUTED_VALUE"""),44592.8178036111)</f>
        <v>44592.8178</v>
      </c>
      <c r="D1223" s="15">
        <f>IFERROR(__xludf.DUMMYFUNCTION("""COMPUTED_VALUE"""),1.0)</f>
        <v>1</v>
      </c>
      <c r="E1223" s="16">
        <f>IFERROR(__xludf.DUMMYFUNCTION("""COMPUTED_VALUE"""),65.0)</f>
        <v>65</v>
      </c>
      <c r="F1223" s="19" t="str">
        <f>IFERROR(__xludf.DUMMYFUNCTION("""COMPUTED_VALUE"""),"BLUE")</f>
        <v>BLUE</v>
      </c>
      <c r="G1223" s="20" t="str">
        <f>IFERROR(__xludf.DUMMYFUNCTION("""COMPUTED_VALUE"""),"Uncle Sams Cider (11/12/2021) (Blue)")</f>
        <v>Uncle Sams Cider (11/12/2021) (Blue)</v>
      </c>
      <c r="H1223" s="19"/>
    </row>
    <row r="1224">
      <c r="A1224" s="9"/>
      <c r="B1224" s="15"/>
      <c r="C1224" s="9">
        <f>IFERROR(__xludf.DUMMYFUNCTION("""COMPUTED_VALUE"""),44592.8073825115)</f>
        <v>44592.80738</v>
      </c>
      <c r="D1224" s="15">
        <f>IFERROR(__xludf.DUMMYFUNCTION("""COMPUTED_VALUE"""),1.0)</f>
        <v>1</v>
      </c>
      <c r="E1224" s="16">
        <f>IFERROR(__xludf.DUMMYFUNCTION("""COMPUTED_VALUE"""),65.0)</f>
        <v>65</v>
      </c>
      <c r="F1224" s="19" t="str">
        <f>IFERROR(__xludf.DUMMYFUNCTION("""COMPUTED_VALUE"""),"BLUE")</f>
        <v>BLUE</v>
      </c>
      <c r="G1224" s="20" t="str">
        <f>IFERROR(__xludf.DUMMYFUNCTION("""COMPUTED_VALUE"""),"Uncle Sams Cider (11/12/2021) (Blue)")</f>
        <v>Uncle Sams Cider (11/12/2021) (Blue)</v>
      </c>
      <c r="H1224" s="19"/>
    </row>
    <row r="1225">
      <c r="A1225" s="9"/>
      <c r="B1225" s="15"/>
      <c r="C1225" s="9">
        <f>IFERROR(__xludf.DUMMYFUNCTION("""COMPUTED_VALUE"""),44592.7969615509)</f>
        <v>44592.79696</v>
      </c>
      <c r="D1225" s="15">
        <f>IFERROR(__xludf.DUMMYFUNCTION("""COMPUTED_VALUE"""),1.0)</f>
        <v>1</v>
      </c>
      <c r="E1225" s="16">
        <f>IFERROR(__xludf.DUMMYFUNCTION("""COMPUTED_VALUE"""),65.0)</f>
        <v>65</v>
      </c>
      <c r="F1225" s="19" t="str">
        <f>IFERROR(__xludf.DUMMYFUNCTION("""COMPUTED_VALUE"""),"BLUE")</f>
        <v>BLUE</v>
      </c>
      <c r="G1225" s="20" t="str">
        <f>IFERROR(__xludf.DUMMYFUNCTION("""COMPUTED_VALUE"""),"Uncle Sams Cider (11/12/2021) (Blue)")</f>
        <v>Uncle Sams Cider (11/12/2021) (Blue)</v>
      </c>
      <c r="H1225" s="19"/>
    </row>
    <row r="1226">
      <c r="A1226" s="9"/>
      <c r="B1226" s="15"/>
      <c r="C1226" s="9">
        <f>IFERROR(__xludf.DUMMYFUNCTION("""COMPUTED_VALUE"""),44592.786540243)</f>
        <v>44592.78654</v>
      </c>
      <c r="D1226" s="15">
        <f>IFERROR(__xludf.DUMMYFUNCTION("""COMPUTED_VALUE"""),1.0)</f>
        <v>1</v>
      </c>
      <c r="E1226" s="16">
        <f>IFERROR(__xludf.DUMMYFUNCTION("""COMPUTED_VALUE"""),65.0)</f>
        <v>65</v>
      </c>
      <c r="F1226" s="19" t="str">
        <f>IFERROR(__xludf.DUMMYFUNCTION("""COMPUTED_VALUE"""),"BLUE")</f>
        <v>BLUE</v>
      </c>
      <c r="G1226" s="20" t="str">
        <f>IFERROR(__xludf.DUMMYFUNCTION("""COMPUTED_VALUE"""),"Uncle Sams Cider (11/12/2021) (Blue)")</f>
        <v>Uncle Sams Cider (11/12/2021) (Blue)</v>
      </c>
      <c r="H1226" s="19"/>
    </row>
    <row r="1227">
      <c r="A1227" s="9"/>
      <c r="B1227" s="15"/>
      <c r="C1227" s="9">
        <f>IFERROR(__xludf.DUMMYFUNCTION("""COMPUTED_VALUE"""),44592.7761186458)</f>
        <v>44592.77612</v>
      </c>
      <c r="D1227" s="15">
        <f>IFERROR(__xludf.DUMMYFUNCTION("""COMPUTED_VALUE"""),1.0)</f>
        <v>1</v>
      </c>
      <c r="E1227" s="16">
        <f>IFERROR(__xludf.DUMMYFUNCTION("""COMPUTED_VALUE"""),65.0)</f>
        <v>65</v>
      </c>
      <c r="F1227" s="19" t="str">
        <f>IFERROR(__xludf.DUMMYFUNCTION("""COMPUTED_VALUE"""),"BLUE")</f>
        <v>BLUE</v>
      </c>
      <c r="G1227" s="20" t="str">
        <f>IFERROR(__xludf.DUMMYFUNCTION("""COMPUTED_VALUE"""),"Uncle Sams Cider (11/12/2021) (Blue)")</f>
        <v>Uncle Sams Cider (11/12/2021) (Blue)</v>
      </c>
      <c r="H1227" s="19"/>
    </row>
    <row r="1228">
      <c r="A1228" s="9"/>
      <c r="B1228" s="15"/>
      <c r="C1228" s="9">
        <f>IFERROR(__xludf.DUMMYFUNCTION("""COMPUTED_VALUE"""),44592.7656979166)</f>
        <v>44592.7657</v>
      </c>
      <c r="D1228" s="15">
        <f>IFERROR(__xludf.DUMMYFUNCTION("""COMPUTED_VALUE"""),1.0)</f>
        <v>1</v>
      </c>
      <c r="E1228" s="16">
        <f>IFERROR(__xludf.DUMMYFUNCTION("""COMPUTED_VALUE"""),65.0)</f>
        <v>65</v>
      </c>
      <c r="F1228" s="19" t="str">
        <f>IFERROR(__xludf.DUMMYFUNCTION("""COMPUTED_VALUE"""),"BLUE")</f>
        <v>BLUE</v>
      </c>
      <c r="G1228" s="20" t="str">
        <f>IFERROR(__xludf.DUMMYFUNCTION("""COMPUTED_VALUE"""),"Uncle Sams Cider (11/12/2021) (Blue)")</f>
        <v>Uncle Sams Cider (11/12/2021) (Blue)</v>
      </c>
      <c r="H1228" s="19"/>
    </row>
    <row r="1229">
      <c r="A1229" s="9"/>
      <c r="B1229" s="15"/>
      <c r="C1229" s="9">
        <f>IFERROR(__xludf.DUMMYFUNCTION("""COMPUTED_VALUE"""),44592.7552770601)</f>
        <v>44592.75528</v>
      </c>
      <c r="D1229" s="15">
        <f>IFERROR(__xludf.DUMMYFUNCTION("""COMPUTED_VALUE"""),1.0)</f>
        <v>1</v>
      </c>
      <c r="E1229" s="16">
        <f>IFERROR(__xludf.DUMMYFUNCTION("""COMPUTED_VALUE"""),65.0)</f>
        <v>65</v>
      </c>
      <c r="F1229" s="19" t="str">
        <f>IFERROR(__xludf.DUMMYFUNCTION("""COMPUTED_VALUE"""),"BLUE")</f>
        <v>BLUE</v>
      </c>
      <c r="G1229" s="20" t="str">
        <f>IFERROR(__xludf.DUMMYFUNCTION("""COMPUTED_VALUE"""),"Uncle Sams Cider (11/12/2021) (Blue)")</f>
        <v>Uncle Sams Cider (11/12/2021) (Blue)</v>
      </c>
      <c r="H1229" s="19"/>
    </row>
    <row r="1230">
      <c r="A1230" s="9"/>
      <c r="B1230" s="15"/>
      <c r="C1230" s="9">
        <f>IFERROR(__xludf.DUMMYFUNCTION("""COMPUTED_VALUE"""),44592.7448237731)</f>
        <v>44592.74482</v>
      </c>
      <c r="D1230" s="15">
        <f>IFERROR(__xludf.DUMMYFUNCTION("""COMPUTED_VALUE"""),1.0)</f>
        <v>1</v>
      </c>
      <c r="E1230" s="16">
        <f>IFERROR(__xludf.DUMMYFUNCTION("""COMPUTED_VALUE"""),65.0)</f>
        <v>65</v>
      </c>
      <c r="F1230" s="19" t="str">
        <f>IFERROR(__xludf.DUMMYFUNCTION("""COMPUTED_VALUE"""),"BLUE")</f>
        <v>BLUE</v>
      </c>
      <c r="G1230" s="20" t="str">
        <f>IFERROR(__xludf.DUMMYFUNCTION("""COMPUTED_VALUE"""),"Uncle Sams Cider (11/12/2021) (Blue)")</f>
        <v>Uncle Sams Cider (11/12/2021) (Blue)</v>
      </c>
      <c r="H1230" s="19"/>
    </row>
    <row r="1231">
      <c r="A1231" s="9"/>
      <c r="B1231" s="15"/>
      <c r="C1231" s="9">
        <f>IFERROR(__xludf.DUMMYFUNCTION("""COMPUTED_VALUE"""),44592.7344020601)</f>
        <v>44592.7344</v>
      </c>
      <c r="D1231" s="15">
        <f>IFERROR(__xludf.DUMMYFUNCTION("""COMPUTED_VALUE"""),1.0)</f>
        <v>1</v>
      </c>
      <c r="E1231" s="16">
        <f>IFERROR(__xludf.DUMMYFUNCTION("""COMPUTED_VALUE"""),65.0)</f>
        <v>65</v>
      </c>
      <c r="F1231" s="19" t="str">
        <f>IFERROR(__xludf.DUMMYFUNCTION("""COMPUTED_VALUE"""),"BLUE")</f>
        <v>BLUE</v>
      </c>
      <c r="G1231" s="20" t="str">
        <f>IFERROR(__xludf.DUMMYFUNCTION("""COMPUTED_VALUE"""),"Uncle Sams Cider (11/12/2021) (Blue)")</f>
        <v>Uncle Sams Cider (11/12/2021) (Blue)</v>
      </c>
      <c r="H1231" s="19"/>
    </row>
    <row r="1232">
      <c r="A1232" s="9"/>
      <c r="B1232" s="15"/>
      <c r="C1232" s="9">
        <f>IFERROR(__xludf.DUMMYFUNCTION("""COMPUTED_VALUE"""),44592.7239805902)</f>
        <v>44592.72398</v>
      </c>
      <c r="D1232" s="15">
        <f>IFERROR(__xludf.DUMMYFUNCTION("""COMPUTED_VALUE"""),1.0)</f>
        <v>1</v>
      </c>
      <c r="E1232" s="16">
        <f>IFERROR(__xludf.DUMMYFUNCTION("""COMPUTED_VALUE"""),65.0)</f>
        <v>65</v>
      </c>
      <c r="F1232" s="19" t="str">
        <f>IFERROR(__xludf.DUMMYFUNCTION("""COMPUTED_VALUE"""),"BLUE")</f>
        <v>BLUE</v>
      </c>
      <c r="G1232" s="20" t="str">
        <f>IFERROR(__xludf.DUMMYFUNCTION("""COMPUTED_VALUE"""),"Uncle Sams Cider (11/12/2021) (Blue)")</f>
        <v>Uncle Sams Cider (11/12/2021) (Blue)</v>
      </c>
      <c r="H1232" s="19"/>
    </row>
    <row r="1233">
      <c r="A1233" s="9"/>
      <c r="B1233" s="15"/>
      <c r="C1233" s="9">
        <f>IFERROR(__xludf.DUMMYFUNCTION("""COMPUTED_VALUE"""),44592.713561412)</f>
        <v>44592.71356</v>
      </c>
      <c r="D1233" s="15">
        <f>IFERROR(__xludf.DUMMYFUNCTION("""COMPUTED_VALUE"""),1.0)</f>
        <v>1</v>
      </c>
      <c r="E1233" s="16">
        <f>IFERROR(__xludf.DUMMYFUNCTION("""COMPUTED_VALUE"""),65.0)</f>
        <v>65</v>
      </c>
      <c r="F1233" s="19" t="str">
        <f>IFERROR(__xludf.DUMMYFUNCTION("""COMPUTED_VALUE"""),"BLUE")</f>
        <v>BLUE</v>
      </c>
      <c r="G1233" s="20" t="str">
        <f>IFERROR(__xludf.DUMMYFUNCTION("""COMPUTED_VALUE"""),"Uncle Sams Cider (11/12/2021) (Blue)")</f>
        <v>Uncle Sams Cider (11/12/2021) (Blue)</v>
      </c>
      <c r="H1233" s="19"/>
    </row>
    <row r="1234">
      <c r="A1234" s="9"/>
      <c r="B1234" s="15"/>
      <c r="C1234" s="9">
        <f>IFERROR(__xludf.DUMMYFUNCTION("""COMPUTED_VALUE"""),44592.7031388657)</f>
        <v>44592.70314</v>
      </c>
      <c r="D1234" s="15">
        <f>IFERROR(__xludf.DUMMYFUNCTION("""COMPUTED_VALUE"""),1.0)</f>
        <v>1</v>
      </c>
      <c r="E1234" s="16">
        <f>IFERROR(__xludf.DUMMYFUNCTION("""COMPUTED_VALUE"""),65.0)</f>
        <v>65</v>
      </c>
      <c r="F1234" s="19" t="str">
        <f>IFERROR(__xludf.DUMMYFUNCTION("""COMPUTED_VALUE"""),"BLUE")</f>
        <v>BLUE</v>
      </c>
      <c r="G1234" s="20" t="str">
        <f>IFERROR(__xludf.DUMMYFUNCTION("""COMPUTED_VALUE"""),"Uncle Sams Cider (11/12/2021) (Blue)")</f>
        <v>Uncle Sams Cider (11/12/2021) (Blue)</v>
      </c>
      <c r="H1234" s="19"/>
    </row>
    <row r="1235">
      <c r="A1235" s="9"/>
      <c r="B1235" s="15"/>
      <c r="C1235" s="9">
        <f>IFERROR(__xludf.DUMMYFUNCTION("""COMPUTED_VALUE"""),44592.6927174305)</f>
        <v>44592.69272</v>
      </c>
      <c r="D1235" s="15">
        <f>IFERROR(__xludf.DUMMYFUNCTION("""COMPUTED_VALUE"""),1.0)</f>
        <v>1</v>
      </c>
      <c r="E1235" s="16">
        <f>IFERROR(__xludf.DUMMYFUNCTION("""COMPUTED_VALUE"""),65.0)</f>
        <v>65</v>
      </c>
      <c r="F1235" s="19" t="str">
        <f>IFERROR(__xludf.DUMMYFUNCTION("""COMPUTED_VALUE"""),"BLUE")</f>
        <v>BLUE</v>
      </c>
      <c r="G1235" s="20" t="str">
        <f>IFERROR(__xludf.DUMMYFUNCTION("""COMPUTED_VALUE"""),"Uncle Sams Cider (11/12/2021) (Blue)")</f>
        <v>Uncle Sams Cider (11/12/2021) (Blue)</v>
      </c>
      <c r="H1235" s="19"/>
    </row>
    <row r="1236">
      <c r="A1236" s="9"/>
      <c r="B1236" s="15"/>
      <c r="C1236" s="9">
        <f>IFERROR(__xludf.DUMMYFUNCTION("""COMPUTED_VALUE"""),44592.6822956944)</f>
        <v>44592.6823</v>
      </c>
      <c r="D1236" s="15">
        <f>IFERROR(__xludf.DUMMYFUNCTION("""COMPUTED_VALUE"""),1.0)</f>
        <v>1</v>
      </c>
      <c r="E1236" s="16">
        <f>IFERROR(__xludf.DUMMYFUNCTION("""COMPUTED_VALUE"""),65.0)</f>
        <v>65</v>
      </c>
      <c r="F1236" s="19" t="str">
        <f>IFERROR(__xludf.DUMMYFUNCTION("""COMPUTED_VALUE"""),"BLUE")</f>
        <v>BLUE</v>
      </c>
      <c r="G1236" s="20" t="str">
        <f>IFERROR(__xludf.DUMMYFUNCTION("""COMPUTED_VALUE"""),"Uncle Sams Cider (11/12/2021) (Blue)")</f>
        <v>Uncle Sams Cider (11/12/2021) (Blue)</v>
      </c>
      <c r="H1236" s="19"/>
    </row>
    <row r="1237">
      <c r="A1237" s="9"/>
      <c r="B1237" s="15"/>
      <c r="C1237" s="9">
        <f>IFERROR(__xludf.DUMMYFUNCTION("""COMPUTED_VALUE"""),44592.67187478)</f>
        <v>44592.67187</v>
      </c>
      <c r="D1237" s="15">
        <f>IFERROR(__xludf.DUMMYFUNCTION("""COMPUTED_VALUE"""),1.0)</f>
        <v>1</v>
      </c>
      <c r="E1237" s="16">
        <f>IFERROR(__xludf.DUMMYFUNCTION("""COMPUTED_VALUE"""),65.0)</f>
        <v>65</v>
      </c>
      <c r="F1237" s="19" t="str">
        <f>IFERROR(__xludf.DUMMYFUNCTION("""COMPUTED_VALUE"""),"BLUE")</f>
        <v>BLUE</v>
      </c>
      <c r="G1237" s="20" t="str">
        <f>IFERROR(__xludf.DUMMYFUNCTION("""COMPUTED_VALUE"""),"Uncle Sams Cider (11/12/2021) (Blue)")</f>
        <v>Uncle Sams Cider (11/12/2021) (Blue)</v>
      </c>
      <c r="H1237" s="19"/>
    </row>
    <row r="1238">
      <c r="A1238" s="9"/>
      <c r="B1238" s="15"/>
      <c r="C1238" s="9">
        <f>IFERROR(__xludf.DUMMYFUNCTION("""COMPUTED_VALUE"""),44592.6614537731)</f>
        <v>44592.66145</v>
      </c>
      <c r="D1238" s="15">
        <f>IFERROR(__xludf.DUMMYFUNCTION("""COMPUTED_VALUE"""),1.0)</f>
        <v>1</v>
      </c>
      <c r="E1238" s="16">
        <f>IFERROR(__xludf.DUMMYFUNCTION("""COMPUTED_VALUE"""),65.0)</f>
        <v>65</v>
      </c>
      <c r="F1238" s="19" t="str">
        <f>IFERROR(__xludf.DUMMYFUNCTION("""COMPUTED_VALUE"""),"BLUE")</f>
        <v>BLUE</v>
      </c>
      <c r="G1238" s="20" t="str">
        <f>IFERROR(__xludf.DUMMYFUNCTION("""COMPUTED_VALUE"""),"Uncle Sams Cider (11/12/2021) (Blue)")</f>
        <v>Uncle Sams Cider (11/12/2021) (Blue)</v>
      </c>
      <c r="H1238" s="19"/>
    </row>
    <row r="1239">
      <c r="A1239" s="9"/>
      <c r="B1239" s="15"/>
      <c r="C1239" s="9">
        <f>IFERROR(__xludf.DUMMYFUNCTION("""COMPUTED_VALUE"""),44592.6510350115)</f>
        <v>44592.65104</v>
      </c>
      <c r="D1239" s="15">
        <f>IFERROR(__xludf.DUMMYFUNCTION("""COMPUTED_VALUE"""),1.0)</f>
        <v>1</v>
      </c>
      <c r="E1239" s="16">
        <f>IFERROR(__xludf.DUMMYFUNCTION("""COMPUTED_VALUE"""),65.0)</f>
        <v>65</v>
      </c>
      <c r="F1239" s="19" t="str">
        <f>IFERROR(__xludf.DUMMYFUNCTION("""COMPUTED_VALUE"""),"BLUE")</f>
        <v>BLUE</v>
      </c>
      <c r="G1239" s="20" t="str">
        <f>IFERROR(__xludf.DUMMYFUNCTION("""COMPUTED_VALUE"""),"Uncle Sams Cider (11/12/2021) (Blue)")</f>
        <v>Uncle Sams Cider (11/12/2021) (Blue)</v>
      </c>
      <c r="H1239" s="19"/>
    </row>
    <row r="1240">
      <c r="A1240" s="9"/>
      <c r="B1240" s="15"/>
      <c r="C1240" s="9">
        <f>IFERROR(__xludf.DUMMYFUNCTION("""COMPUTED_VALUE"""),44592.6406139004)</f>
        <v>44592.64061</v>
      </c>
      <c r="D1240" s="15">
        <f>IFERROR(__xludf.DUMMYFUNCTION("""COMPUTED_VALUE"""),1.0)</f>
        <v>1</v>
      </c>
      <c r="E1240" s="16">
        <f>IFERROR(__xludf.DUMMYFUNCTION("""COMPUTED_VALUE"""),65.0)</f>
        <v>65</v>
      </c>
      <c r="F1240" s="19" t="str">
        <f>IFERROR(__xludf.DUMMYFUNCTION("""COMPUTED_VALUE"""),"BLUE")</f>
        <v>BLUE</v>
      </c>
      <c r="G1240" s="20" t="str">
        <f>IFERROR(__xludf.DUMMYFUNCTION("""COMPUTED_VALUE"""),"Uncle Sams Cider (11/12/2021) (Blue)")</f>
        <v>Uncle Sams Cider (11/12/2021) (Blue)</v>
      </c>
      <c r="H1240" s="19"/>
    </row>
    <row r="1241">
      <c r="A1241" s="9"/>
      <c r="B1241" s="15"/>
      <c r="C1241" s="9">
        <f>IFERROR(__xludf.DUMMYFUNCTION("""COMPUTED_VALUE"""),44592.6301937384)</f>
        <v>44592.63019</v>
      </c>
      <c r="D1241" s="15">
        <f>IFERROR(__xludf.DUMMYFUNCTION("""COMPUTED_VALUE"""),1.0)</f>
        <v>1</v>
      </c>
      <c r="E1241" s="16">
        <f>IFERROR(__xludf.DUMMYFUNCTION("""COMPUTED_VALUE"""),65.0)</f>
        <v>65</v>
      </c>
      <c r="F1241" s="19" t="str">
        <f>IFERROR(__xludf.DUMMYFUNCTION("""COMPUTED_VALUE"""),"BLUE")</f>
        <v>BLUE</v>
      </c>
      <c r="G1241" s="20" t="str">
        <f>IFERROR(__xludf.DUMMYFUNCTION("""COMPUTED_VALUE"""),"Uncle Sams Cider (11/12/2021) (Blue)")</f>
        <v>Uncle Sams Cider (11/12/2021) (Blue)</v>
      </c>
      <c r="H1241" s="19"/>
    </row>
    <row r="1242">
      <c r="A1242" s="9"/>
      <c r="B1242" s="15"/>
      <c r="C1242" s="9">
        <f>IFERROR(__xludf.DUMMYFUNCTION("""COMPUTED_VALUE"""),44592.6197723263)</f>
        <v>44592.61977</v>
      </c>
      <c r="D1242" s="15">
        <f>IFERROR(__xludf.DUMMYFUNCTION("""COMPUTED_VALUE"""),1.0)</f>
        <v>1</v>
      </c>
      <c r="E1242" s="16">
        <f>IFERROR(__xludf.DUMMYFUNCTION("""COMPUTED_VALUE"""),66.0)</f>
        <v>66</v>
      </c>
      <c r="F1242" s="19" t="str">
        <f>IFERROR(__xludf.DUMMYFUNCTION("""COMPUTED_VALUE"""),"BLUE")</f>
        <v>BLUE</v>
      </c>
      <c r="G1242" s="20" t="str">
        <f>IFERROR(__xludf.DUMMYFUNCTION("""COMPUTED_VALUE"""),"Uncle Sams Cider (11/12/2021) (Blue)")</f>
        <v>Uncle Sams Cider (11/12/2021) (Blue)</v>
      </c>
      <c r="H1242" s="19"/>
    </row>
    <row r="1243">
      <c r="A1243" s="9"/>
      <c r="B1243" s="15"/>
      <c r="C1243" s="9">
        <f>IFERROR(__xludf.DUMMYFUNCTION("""COMPUTED_VALUE"""),44592.6093506481)</f>
        <v>44592.60935</v>
      </c>
      <c r="D1243" s="15">
        <f>IFERROR(__xludf.DUMMYFUNCTION("""COMPUTED_VALUE"""),1.0)</f>
        <v>1</v>
      </c>
      <c r="E1243" s="16">
        <f>IFERROR(__xludf.DUMMYFUNCTION("""COMPUTED_VALUE"""),66.0)</f>
        <v>66</v>
      </c>
      <c r="F1243" s="19" t="str">
        <f>IFERROR(__xludf.DUMMYFUNCTION("""COMPUTED_VALUE"""),"BLUE")</f>
        <v>BLUE</v>
      </c>
      <c r="G1243" s="20" t="str">
        <f>IFERROR(__xludf.DUMMYFUNCTION("""COMPUTED_VALUE"""),"Uncle Sams Cider (11/12/2021) (Blue)")</f>
        <v>Uncle Sams Cider (11/12/2021) (Blue)</v>
      </c>
      <c r="H1243" s="19"/>
    </row>
    <row r="1244">
      <c r="A1244" s="9"/>
      <c r="B1244" s="15"/>
      <c r="C1244" s="9">
        <f>IFERROR(__xludf.DUMMYFUNCTION("""COMPUTED_VALUE"""),44592.5989176851)</f>
        <v>44592.59892</v>
      </c>
      <c r="D1244" s="15">
        <f>IFERROR(__xludf.DUMMYFUNCTION("""COMPUTED_VALUE"""),1.0)</f>
        <v>1</v>
      </c>
      <c r="E1244" s="16">
        <f>IFERROR(__xludf.DUMMYFUNCTION("""COMPUTED_VALUE"""),66.0)</f>
        <v>66</v>
      </c>
      <c r="F1244" s="19" t="str">
        <f>IFERROR(__xludf.DUMMYFUNCTION("""COMPUTED_VALUE"""),"BLUE")</f>
        <v>BLUE</v>
      </c>
      <c r="G1244" s="20" t="str">
        <f>IFERROR(__xludf.DUMMYFUNCTION("""COMPUTED_VALUE"""),"Uncle Sams Cider (11/12/2021) (Blue)")</f>
        <v>Uncle Sams Cider (11/12/2021) (Blue)</v>
      </c>
      <c r="H1244" s="19"/>
    </row>
    <row r="1245">
      <c r="A1245" s="9"/>
      <c r="B1245" s="15"/>
      <c r="C1245" s="9">
        <f>IFERROR(__xludf.DUMMYFUNCTION("""COMPUTED_VALUE"""),44592.5884843634)</f>
        <v>44592.58848</v>
      </c>
      <c r="D1245" s="15">
        <f>IFERROR(__xludf.DUMMYFUNCTION("""COMPUTED_VALUE"""),1.0)</f>
        <v>1</v>
      </c>
      <c r="E1245" s="16">
        <f>IFERROR(__xludf.DUMMYFUNCTION("""COMPUTED_VALUE"""),66.0)</f>
        <v>66</v>
      </c>
      <c r="F1245" s="19" t="str">
        <f>IFERROR(__xludf.DUMMYFUNCTION("""COMPUTED_VALUE"""),"BLUE")</f>
        <v>BLUE</v>
      </c>
      <c r="G1245" s="20" t="str">
        <f>IFERROR(__xludf.DUMMYFUNCTION("""COMPUTED_VALUE"""),"Uncle Sams Cider (11/12/2021) (Blue)")</f>
        <v>Uncle Sams Cider (11/12/2021) (Blue)</v>
      </c>
      <c r="H1245" s="19"/>
    </row>
    <row r="1246">
      <c r="A1246" s="9"/>
      <c r="B1246" s="15"/>
      <c r="C1246" s="9">
        <f>IFERROR(__xludf.DUMMYFUNCTION("""COMPUTED_VALUE"""),44592.5780499884)</f>
        <v>44592.57805</v>
      </c>
      <c r="D1246" s="15">
        <f>IFERROR(__xludf.DUMMYFUNCTION("""COMPUTED_VALUE"""),1.0)</f>
        <v>1</v>
      </c>
      <c r="E1246" s="16">
        <f>IFERROR(__xludf.DUMMYFUNCTION("""COMPUTED_VALUE"""),66.0)</f>
        <v>66</v>
      </c>
      <c r="F1246" s="19" t="str">
        <f>IFERROR(__xludf.DUMMYFUNCTION("""COMPUTED_VALUE"""),"BLUE")</f>
        <v>BLUE</v>
      </c>
      <c r="G1246" s="20" t="str">
        <f>IFERROR(__xludf.DUMMYFUNCTION("""COMPUTED_VALUE"""),"Uncle Sams Cider (11/12/2021) (Blue)")</f>
        <v>Uncle Sams Cider (11/12/2021) (Blue)</v>
      </c>
      <c r="H1246" s="19"/>
    </row>
    <row r="1247">
      <c r="A1247" s="9"/>
      <c r="B1247" s="15"/>
      <c r="C1247" s="9">
        <f>IFERROR(__xludf.DUMMYFUNCTION("""COMPUTED_VALUE"""),44592.5676285763)</f>
        <v>44592.56763</v>
      </c>
      <c r="D1247" s="15">
        <f>IFERROR(__xludf.DUMMYFUNCTION("""COMPUTED_VALUE"""),1.0)</f>
        <v>1</v>
      </c>
      <c r="E1247" s="16">
        <f>IFERROR(__xludf.DUMMYFUNCTION("""COMPUTED_VALUE"""),66.0)</f>
        <v>66</v>
      </c>
      <c r="F1247" s="19" t="str">
        <f>IFERROR(__xludf.DUMMYFUNCTION("""COMPUTED_VALUE"""),"BLUE")</f>
        <v>BLUE</v>
      </c>
      <c r="G1247" s="20" t="str">
        <f>IFERROR(__xludf.DUMMYFUNCTION("""COMPUTED_VALUE"""),"Uncle Sams Cider (11/12/2021) (Blue)")</f>
        <v>Uncle Sams Cider (11/12/2021) (Blue)</v>
      </c>
      <c r="H1247" s="19"/>
    </row>
    <row r="1248">
      <c r="A1248" s="9"/>
      <c r="B1248" s="15"/>
      <c r="C1248" s="9">
        <f>IFERROR(__xludf.DUMMYFUNCTION("""COMPUTED_VALUE"""),44592.5572062268)</f>
        <v>44592.55721</v>
      </c>
      <c r="D1248" s="15">
        <f>IFERROR(__xludf.DUMMYFUNCTION("""COMPUTED_VALUE"""),1.0)</f>
        <v>1</v>
      </c>
      <c r="E1248" s="16">
        <f>IFERROR(__xludf.DUMMYFUNCTION("""COMPUTED_VALUE"""),66.0)</f>
        <v>66</v>
      </c>
      <c r="F1248" s="19" t="str">
        <f>IFERROR(__xludf.DUMMYFUNCTION("""COMPUTED_VALUE"""),"BLUE")</f>
        <v>BLUE</v>
      </c>
      <c r="G1248" s="20" t="str">
        <f>IFERROR(__xludf.DUMMYFUNCTION("""COMPUTED_VALUE"""),"Uncle Sams Cider (11/12/2021) (Blue)")</f>
        <v>Uncle Sams Cider (11/12/2021) (Blue)</v>
      </c>
      <c r="H1248" s="19"/>
    </row>
    <row r="1249">
      <c r="A1249" s="9"/>
      <c r="B1249" s="15"/>
      <c r="C1249" s="9">
        <f>IFERROR(__xludf.DUMMYFUNCTION("""COMPUTED_VALUE"""),44592.5467826967)</f>
        <v>44592.54678</v>
      </c>
      <c r="D1249" s="15">
        <f>IFERROR(__xludf.DUMMYFUNCTION("""COMPUTED_VALUE"""),1.0)</f>
        <v>1</v>
      </c>
      <c r="E1249" s="16">
        <f>IFERROR(__xludf.DUMMYFUNCTION("""COMPUTED_VALUE"""),66.0)</f>
        <v>66</v>
      </c>
      <c r="F1249" s="19" t="str">
        <f>IFERROR(__xludf.DUMMYFUNCTION("""COMPUTED_VALUE"""),"BLUE")</f>
        <v>BLUE</v>
      </c>
      <c r="G1249" s="20" t="str">
        <f>IFERROR(__xludf.DUMMYFUNCTION("""COMPUTED_VALUE"""),"Uncle Sams Cider (11/12/2021) (Blue)")</f>
        <v>Uncle Sams Cider (11/12/2021) (Blue)</v>
      </c>
      <c r="H1249" s="19"/>
    </row>
    <row r="1250">
      <c r="A1250" s="9"/>
      <c r="B1250" s="15"/>
      <c r="C1250" s="9">
        <f>IFERROR(__xludf.DUMMYFUNCTION("""COMPUTED_VALUE"""),44592.5363617013)</f>
        <v>44592.53636</v>
      </c>
      <c r="D1250" s="15">
        <f>IFERROR(__xludf.DUMMYFUNCTION("""COMPUTED_VALUE"""),1.0)</f>
        <v>1</v>
      </c>
      <c r="E1250" s="16">
        <f>IFERROR(__xludf.DUMMYFUNCTION("""COMPUTED_VALUE"""),66.0)</f>
        <v>66</v>
      </c>
      <c r="F1250" s="19" t="str">
        <f>IFERROR(__xludf.DUMMYFUNCTION("""COMPUTED_VALUE"""),"BLUE")</f>
        <v>BLUE</v>
      </c>
      <c r="G1250" s="20" t="str">
        <f>IFERROR(__xludf.DUMMYFUNCTION("""COMPUTED_VALUE"""),"Uncle Sams Cider (11/12/2021) (Blue)")</f>
        <v>Uncle Sams Cider (11/12/2021) (Blue)</v>
      </c>
      <c r="H1250" s="19"/>
    </row>
    <row r="1251">
      <c r="A1251" s="9"/>
      <c r="B1251" s="15"/>
      <c r="C1251" s="9">
        <f>IFERROR(__xludf.DUMMYFUNCTION("""COMPUTED_VALUE"""),44592.5259299074)</f>
        <v>44592.52593</v>
      </c>
      <c r="D1251" s="15">
        <f>IFERROR(__xludf.DUMMYFUNCTION("""COMPUTED_VALUE"""),1.0)</f>
        <v>1</v>
      </c>
      <c r="E1251" s="16">
        <f>IFERROR(__xludf.DUMMYFUNCTION("""COMPUTED_VALUE"""),66.0)</f>
        <v>66</v>
      </c>
      <c r="F1251" s="19" t="str">
        <f>IFERROR(__xludf.DUMMYFUNCTION("""COMPUTED_VALUE"""),"BLUE")</f>
        <v>BLUE</v>
      </c>
      <c r="G1251" s="20" t="str">
        <f>IFERROR(__xludf.DUMMYFUNCTION("""COMPUTED_VALUE"""),"Uncle Sams Cider (11/12/2021) (Blue)")</f>
        <v>Uncle Sams Cider (11/12/2021) (Blue)</v>
      </c>
      <c r="H1251" s="19"/>
    </row>
    <row r="1252">
      <c r="A1252" s="9"/>
      <c r="B1252" s="15"/>
      <c r="C1252" s="9">
        <f>IFERROR(__xludf.DUMMYFUNCTION("""COMPUTED_VALUE"""),44592.5155083101)</f>
        <v>44592.51551</v>
      </c>
      <c r="D1252" s="15">
        <f>IFERROR(__xludf.DUMMYFUNCTION("""COMPUTED_VALUE"""),1.0)</f>
        <v>1</v>
      </c>
      <c r="E1252" s="16">
        <f>IFERROR(__xludf.DUMMYFUNCTION("""COMPUTED_VALUE"""),66.0)</f>
        <v>66</v>
      </c>
      <c r="F1252" s="19" t="str">
        <f>IFERROR(__xludf.DUMMYFUNCTION("""COMPUTED_VALUE"""),"BLUE")</f>
        <v>BLUE</v>
      </c>
      <c r="G1252" s="20" t="str">
        <f>IFERROR(__xludf.DUMMYFUNCTION("""COMPUTED_VALUE"""),"Uncle Sams Cider (11/12/2021) (Blue)")</f>
        <v>Uncle Sams Cider (11/12/2021) (Blue)</v>
      </c>
      <c r="H1252" s="19"/>
    </row>
    <row r="1253">
      <c r="A1253" s="9"/>
      <c r="B1253" s="15"/>
      <c r="C1253" s="9">
        <f>IFERROR(__xludf.DUMMYFUNCTION("""COMPUTED_VALUE"""),44592.505088993)</f>
        <v>44592.50509</v>
      </c>
      <c r="D1253" s="15">
        <f>IFERROR(__xludf.DUMMYFUNCTION("""COMPUTED_VALUE"""),1.0)</f>
        <v>1</v>
      </c>
      <c r="E1253" s="16">
        <f>IFERROR(__xludf.DUMMYFUNCTION("""COMPUTED_VALUE"""),66.0)</f>
        <v>66</v>
      </c>
      <c r="F1253" s="19" t="str">
        <f>IFERROR(__xludf.DUMMYFUNCTION("""COMPUTED_VALUE"""),"BLUE")</f>
        <v>BLUE</v>
      </c>
      <c r="G1253" s="20" t="str">
        <f>IFERROR(__xludf.DUMMYFUNCTION("""COMPUTED_VALUE"""),"Uncle Sams Cider (11/12/2021) (Blue)")</f>
        <v>Uncle Sams Cider (11/12/2021) (Blue)</v>
      </c>
      <c r="H1253" s="19"/>
    </row>
    <row r="1254">
      <c r="A1254" s="9"/>
      <c r="B1254" s="15"/>
      <c r="C1254" s="9">
        <f>IFERROR(__xludf.DUMMYFUNCTION("""COMPUTED_VALUE"""),44592.494667662)</f>
        <v>44592.49467</v>
      </c>
      <c r="D1254" s="15">
        <f>IFERROR(__xludf.DUMMYFUNCTION("""COMPUTED_VALUE"""),1.0)</f>
        <v>1</v>
      </c>
      <c r="E1254" s="16">
        <f>IFERROR(__xludf.DUMMYFUNCTION("""COMPUTED_VALUE"""),66.0)</f>
        <v>66</v>
      </c>
      <c r="F1254" s="19" t="str">
        <f>IFERROR(__xludf.DUMMYFUNCTION("""COMPUTED_VALUE"""),"BLUE")</f>
        <v>BLUE</v>
      </c>
      <c r="G1254" s="20" t="str">
        <f>IFERROR(__xludf.DUMMYFUNCTION("""COMPUTED_VALUE"""),"Uncle Sams Cider (11/12/2021) (Blue)")</f>
        <v>Uncle Sams Cider (11/12/2021) (Blue)</v>
      </c>
      <c r="H1254" s="19"/>
    </row>
    <row r="1255">
      <c r="A1255" s="9"/>
      <c r="B1255" s="15"/>
      <c r="C1255" s="9">
        <f>IFERROR(__xludf.DUMMYFUNCTION("""COMPUTED_VALUE"""),44592.4842338541)</f>
        <v>44592.48423</v>
      </c>
      <c r="D1255" s="15">
        <f>IFERROR(__xludf.DUMMYFUNCTION("""COMPUTED_VALUE"""),1.0)</f>
        <v>1</v>
      </c>
      <c r="E1255" s="16">
        <f>IFERROR(__xludf.DUMMYFUNCTION("""COMPUTED_VALUE"""),66.0)</f>
        <v>66</v>
      </c>
      <c r="F1255" s="19" t="str">
        <f>IFERROR(__xludf.DUMMYFUNCTION("""COMPUTED_VALUE"""),"BLUE")</f>
        <v>BLUE</v>
      </c>
      <c r="G1255" s="20" t="str">
        <f>IFERROR(__xludf.DUMMYFUNCTION("""COMPUTED_VALUE"""),"Uncle Sams Cider (11/12/2021) (Blue)")</f>
        <v>Uncle Sams Cider (11/12/2021) (Blue)</v>
      </c>
      <c r="H1255" s="19"/>
    </row>
    <row r="1256">
      <c r="A1256" s="9"/>
      <c r="B1256" s="15"/>
      <c r="C1256" s="9">
        <f>IFERROR(__xludf.DUMMYFUNCTION("""COMPUTED_VALUE"""),44592.4738005902)</f>
        <v>44592.4738</v>
      </c>
      <c r="D1256" s="15">
        <f>IFERROR(__xludf.DUMMYFUNCTION("""COMPUTED_VALUE"""),1.0)</f>
        <v>1</v>
      </c>
      <c r="E1256" s="16">
        <f>IFERROR(__xludf.DUMMYFUNCTION("""COMPUTED_VALUE"""),66.0)</f>
        <v>66</v>
      </c>
      <c r="F1256" s="19" t="str">
        <f>IFERROR(__xludf.DUMMYFUNCTION("""COMPUTED_VALUE"""),"BLUE")</f>
        <v>BLUE</v>
      </c>
      <c r="G1256" s="20" t="str">
        <f>IFERROR(__xludf.DUMMYFUNCTION("""COMPUTED_VALUE"""),"Uncle Sams Cider (11/12/2021) (Blue)")</f>
        <v>Uncle Sams Cider (11/12/2021) (Blue)</v>
      </c>
      <c r="H1256" s="19"/>
    </row>
    <row r="1257">
      <c r="A1257" s="9"/>
      <c r="B1257" s="15"/>
      <c r="C1257" s="9">
        <f>IFERROR(__xludf.DUMMYFUNCTION("""COMPUTED_VALUE"""),44592.4633790509)</f>
        <v>44592.46338</v>
      </c>
      <c r="D1257" s="15">
        <f>IFERROR(__xludf.DUMMYFUNCTION("""COMPUTED_VALUE"""),1.0)</f>
        <v>1</v>
      </c>
      <c r="E1257" s="16">
        <f>IFERROR(__xludf.DUMMYFUNCTION("""COMPUTED_VALUE"""),66.0)</f>
        <v>66</v>
      </c>
      <c r="F1257" s="19" t="str">
        <f>IFERROR(__xludf.DUMMYFUNCTION("""COMPUTED_VALUE"""),"BLUE")</f>
        <v>BLUE</v>
      </c>
      <c r="G1257" s="20" t="str">
        <f>IFERROR(__xludf.DUMMYFUNCTION("""COMPUTED_VALUE"""),"Uncle Sams Cider (11/12/2021) (Blue)")</f>
        <v>Uncle Sams Cider (11/12/2021) (Blue)</v>
      </c>
      <c r="H1257" s="19"/>
    </row>
    <row r="1258">
      <c r="A1258" s="9"/>
      <c r="B1258" s="15"/>
      <c r="C1258" s="9">
        <f>IFERROR(__xludf.DUMMYFUNCTION("""COMPUTED_VALUE"""),44592.4529331828)</f>
        <v>44592.45293</v>
      </c>
      <c r="D1258" s="15">
        <f>IFERROR(__xludf.DUMMYFUNCTION("""COMPUTED_VALUE"""),1.0)</f>
        <v>1</v>
      </c>
      <c r="E1258" s="16">
        <f>IFERROR(__xludf.DUMMYFUNCTION("""COMPUTED_VALUE"""),66.0)</f>
        <v>66</v>
      </c>
      <c r="F1258" s="19" t="str">
        <f>IFERROR(__xludf.DUMMYFUNCTION("""COMPUTED_VALUE"""),"BLUE")</f>
        <v>BLUE</v>
      </c>
      <c r="G1258" s="20" t="str">
        <f>IFERROR(__xludf.DUMMYFUNCTION("""COMPUTED_VALUE"""),"Uncle Sams Cider (11/12/2021) (Blue)")</f>
        <v>Uncle Sams Cider (11/12/2021) (Blue)</v>
      </c>
      <c r="H1258" s="19"/>
    </row>
    <row r="1259">
      <c r="A1259" s="9"/>
      <c r="B1259" s="15"/>
      <c r="C1259" s="9">
        <f>IFERROR(__xludf.DUMMYFUNCTION("""COMPUTED_VALUE"""),44592.4425106018)</f>
        <v>44592.44251</v>
      </c>
      <c r="D1259" s="15">
        <f>IFERROR(__xludf.DUMMYFUNCTION("""COMPUTED_VALUE"""),1.0)</f>
        <v>1</v>
      </c>
      <c r="E1259" s="16">
        <f>IFERROR(__xludf.DUMMYFUNCTION("""COMPUTED_VALUE"""),66.0)</f>
        <v>66</v>
      </c>
      <c r="F1259" s="19" t="str">
        <f>IFERROR(__xludf.DUMMYFUNCTION("""COMPUTED_VALUE"""),"BLUE")</f>
        <v>BLUE</v>
      </c>
      <c r="G1259" s="20" t="str">
        <f>IFERROR(__xludf.DUMMYFUNCTION("""COMPUTED_VALUE"""),"Uncle Sams Cider (11/12/2021) (Blue)")</f>
        <v>Uncle Sams Cider (11/12/2021) (Blue)</v>
      </c>
      <c r="H1259" s="19"/>
    </row>
    <row r="1260">
      <c r="A1260" s="9"/>
      <c r="B1260" s="15"/>
      <c r="C1260" s="9">
        <f>IFERROR(__xludf.DUMMYFUNCTION("""COMPUTED_VALUE"""),44592.4320904745)</f>
        <v>44592.43209</v>
      </c>
      <c r="D1260" s="15">
        <f>IFERROR(__xludf.DUMMYFUNCTION("""COMPUTED_VALUE"""),1.0)</f>
        <v>1</v>
      </c>
      <c r="E1260" s="16">
        <f>IFERROR(__xludf.DUMMYFUNCTION("""COMPUTED_VALUE"""),66.0)</f>
        <v>66</v>
      </c>
      <c r="F1260" s="19" t="str">
        <f>IFERROR(__xludf.DUMMYFUNCTION("""COMPUTED_VALUE"""),"BLUE")</f>
        <v>BLUE</v>
      </c>
      <c r="G1260" s="20" t="str">
        <f>IFERROR(__xludf.DUMMYFUNCTION("""COMPUTED_VALUE"""),"Uncle Sams Cider (11/12/2021) (Blue)")</f>
        <v>Uncle Sams Cider (11/12/2021) (Blue)</v>
      </c>
      <c r="H1260" s="19"/>
    </row>
    <row r="1261">
      <c r="A1261" s="9"/>
      <c r="B1261" s="15"/>
      <c r="C1261" s="9">
        <f>IFERROR(__xludf.DUMMYFUNCTION("""COMPUTED_VALUE"""),44592.4216687152)</f>
        <v>44592.42167</v>
      </c>
      <c r="D1261" s="15">
        <f>IFERROR(__xludf.DUMMYFUNCTION("""COMPUTED_VALUE"""),1.0)</f>
        <v>1</v>
      </c>
      <c r="E1261" s="16">
        <f>IFERROR(__xludf.DUMMYFUNCTION("""COMPUTED_VALUE"""),66.0)</f>
        <v>66</v>
      </c>
      <c r="F1261" s="19" t="str">
        <f>IFERROR(__xludf.DUMMYFUNCTION("""COMPUTED_VALUE"""),"BLUE")</f>
        <v>BLUE</v>
      </c>
      <c r="G1261" s="20" t="str">
        <f>IFERROR(__xludf.DUMMYFUNCTION("""COMPUTED_VALUE"""),"Uncle Sams Cider (11/12/2021) (Blue)")</f>
        <v>Uncle Sams Cider (11/12/2021) (Blue)</v>
      </c>
      <c r="H1261" s="19"/>
    </row>
    <row r="1262">
      <c r="A1262" s="9"/>
      <c r="B1262" s="15"/>
      <c r="C1262" s="9">
        <f>IFERROR(__xludf.DUMMYFUNCTION("""COMPUTED_VALUE"""),44592.4112474189)</f>
        <v>44592.41125</v>
      </c>
      <c r="D1262" s="15">
        <f>IFERROR(__xludf.DUMMYFUNCTION("""COMPUTED_VALUE"""),1.0)</f>
        <v>1</v>
      </c>
      <c r="E1262" s="16">
        <f>IFERROR(__xludf.DUMMYFUNCTION("""COMPUTED_VALUE"""),66.0)</f>
        <v>66</v>
      </c>
      <c r="F1262" s="19" t="str">
        <f>IFERROR(__xludf.DUMMYFUNCTION("""COMPUTED_VALUE"""),"BLUE")</f>
        <v>BLUE</v>
      </c>
      <c r="G1262" s="20" t="str">
        <f>IFERROR(__xludf.DUMMYFUNCTION("""COMPUTED_VALUE"""),"Uncle Sams Cider (11/12/2021) (Blue)")</f>
        <v>Uncle Sams Cider (11/12/2021) (Blue)</v>
      </c>
      <c r="H1262" s="19"/>
    </row>
    <row r="1263">
      <c r="A1263" s="9"/>
      <c r="B1263" s="15"/>
      <c r="C1263" s="9">
        <f>IFERROR(__xludf.DUMMYFUNCTION("""COMPUTED_VALUE"""),44592.4008267129)</f>
        <v>44592.40083</v>
      </c>
      <c r="D1263" s="15">
        <f>IFERROR(__xludf.DUMMYFUNCTION("""COMPUTED_VALUE"""),1.0)</f>
        <v>1</v>
      </c>
      <c r="E1263" s="16">
        <f>IFERROR(__xludf.DUMMYFUNCTION("""COMPUTED_VALUE"""),66.0)</f>
        <v>66</v>
      </c>
      <c r="F1263" s="19" t="str">
        <f>IFERROR(__xludf.DUMMYFUNCTION("""COMPUTED_VALUE"""),"BLUE")</f>
        <v>BLUE</v>
      </c>
      <c r="G1263" s="20" t="str">
        <f>IFERROR(__xludf.DUMMYFUNCTION("""COMPUTED_VALUE"""),"Uncle Sams Cider (11/12/2021) (Blue)")</f>
        <v>Uncle Sams Cider (11/12/2021) (Blue)</v>
      </c>
      <c r="H1263" s="19"/>
    </row>
    <row r="1264">
      <c r="A1264" s="9"/>
      <c r="B1264" s="15"/>
      <c r="C1264" s="9">
        <f>IFERROR(__xludf.DUMMYFUNCTION("""COMPUTED_VALUE"""),44592.3904055324)</f>
        <v>44592.39041</v>
      </c>
      <c r="D1264" s="15">
        <f>IFERROR(__xludf.DUMMYFUNCTION("""COMPUTED_VALUE"""),1.0)</f>
        <v>1</v>
      </c>
      <c r="E1264" s="16">
        <f>IFERROR(__xludf.DUMMYFUNCTION("""COMPUTED_VALUE"""),66.0)</f>
        <v>66</v>
      </c>
      <c r="F1264" s="19" t="str">
        <f>IFERROR(__xludf.DUMMYFUNCTION("""COMPUTED_VALUE"""),"BLUE")</f>
        <v>BLUE</v>
      </c>
      <c r="G1264" s="20" t="str">
        <f>IFERROR(__xludf.DUMMYFUNCTION("""COMPUTED_VALUE"""),"Uncle Sams Cider (11/12/2021) (Blue)")</f>
        <v>Uncle Sams Cider (11/12/2021) (Blue)</v>
      </c>
      <c r="H1264" s="19"/>
    </row>
    <row r="1265">
      <c r="A1265" s="9"/>
      <c r="B1265" s="15"/>
      <c r="C1265" s="9">
        <f>IFERROR(__xludf.DUMMYFUNCTION("""COMPUTED_VALUE"""),44592.3799856134)</f>
        <v>44592.37999</v>
      </c>
      <c r="D1265" s="15">
        <f>IFERROR(__xludf.DUMMYFUNCTION("""COMPUTED_VALUE"""),1.0)</f>
        <v>1</v>
      </c>
      <c r="E1265" s="16">
        <f>IFERROR(__xludf.DUMMYFUNCTION("""COMPUTED_VALUE"""),67.0)</f>
        <v>67</v>
      </c>
      <c r="F1265" s="19" t="str">
        <f>IFERROR(__xludf.DUMMYFUNCTION("""COMPUTED_VALUE"""),"BLUE")</f>
        <v>BLUE</v>
      </c>
      <c r="G1265" s="20" t="str">
        <f>IFERROR(__xludf.DUMMYFUNCTION("""COMPUTED_VALUE"""),"Uncle Sams Cider (11/12/2021) (Blue)")</f>
        <v>Uncle Sams Cider (11/12/2021) (Blue)</v>
      </c>
      <c r="H1265" s="19"/>
    </row>
    <row r="1266">
      <c r="A1266" s="9"/>
      <c r="B1266" s="15"/>
      <c r="C1266" s="9">
        <f>IFERROR(__xludf.DUMMYFUNCTION("""COMPUTED_VALUE"""),44592.3695641898)</f>
        <v>44592.36956</v>
      </c>
      <c r="D1266" s="15">
        <f>IFERROR(__xludf.DUMMYFUNCTION("""COMPUTED_VALUE"""),1.0)</f>
        <v>1</v>
      </c>
      <c r="E1266" s="16">
        <f>IFERROR(__xludf.DUMMYFUNCTION("""COMPUTED_VALUE"""),67.0)</f>
        <v>67</v>
      </c>
      <c r="F1266" s="19" t="str">
        <f>IFERROR(__xludf.DUMMYFUNCTION("""COMPUTED_VALUE"""),"BLUE")</f>
        <v>BLUE</v>
      </c>
      <c r="G1266" s="20" t="str">
        <f>IFERROR(__xludf.DUMMYFUNCTION("""COMPUTED_VALUE"""),"Uncle Sams Cider (11/12/2021) (Blue)")</f>
        <v>Uncle Sams Cider (11/12/2021) (Blue)</v>
      </c>
      <c r="H1266" s="19"/>
    </row>
    <row r="1267">
      <c r="A1267" s="9"/>
      <c r="B1267" s="15"/>
      <c r="C1267" s="9">
        <f>IFERROR(__xludf.DUMMYFUNCTION("""COMPUTED_VALUE"""),44592.3591422916)</f>
        <v>44592.35914</v>
      </c>
      <c r="D1267" s="15">
        <f>IFERROR(__xludf.DUMMYFUNCTION("""COMPUTED_VALUE"""),1.0)</f>
        <v>1</v>
      </c>
      <c r="E1267" s="16">
        <f>IFERROR(__xludf.DUMMYFUNCTION("""COMPUTED_VALUE"""),67.0)</f>
        <v>67</v>
      </c>
      <c r="F1267" s="19" t="str">
        <f>IFERROR(__xludf.DUMMYFUNCTION("""COMPUTED_VALUE"""),"BLUE")</f>
        <v>BLUE</v>
      </c>
      <c r="G1267" s="20" t="str">
        <f>IFERROR(__xludf.DUMMYFUNCTION("""COMPUTED_VALUE"""),"Uncle Sams Cider (11/12/2021) (Blue)")</f>
        <v>Uncle Sams Cider (11/12/2021) (Blue)</v>
      </c>
      <c r="H1267" s="19"/>
    </row>
    <row r="1268">
      <c r="A1268" s="9"/>
      <c r="B1268" s="15"/>
      <c r="C1268" s="9">
        <f>IFERROR(__xludf.DUMMYFUNCTION("""COMPUTED_VALUE"""),44592.3487205671)</f>
        <v>44592.34872</v>
      </c>
      <c r="D1268" s="15">
        <f>IFERROR(__xludf.DUMMYFUNCTION("""COMPUTED_VALUE"""),1.0)</f>
        <v>1</v>
      </c>
      <c r="E1268" s="16">
        <f>IFERROR(__xludf.DUMMYFUNCTION("""COMPUTED_VALUE"""),67.0)</f>
        <v>67</v>
      </c>
      <c r="F1268" s="19" t="str">
        <f>IFERROR(__xludf.DUMMYFUNCTION("""COMPUTED_VALUE"""),"BLUE")</f>
        <v>BLUE</v>
      </c>
      <c r="G1268" s="20" t="str">
        <f>IFERROR(__xludf.DUMMYFUNCTION("""COMPUTED_VALUE"""),"Uncle Sams Cider (11/12/2021) (Blue)")</f>
        <v>Uncle Sams Cider (11/12/2021) (Blue)</v>
      </c>
      <c r="H1268" s="19"/>
    </row>
    <row r="1269">
      <c r="A1269" s="9"/>
      <c r="B1269" s="15"/>
      <c r="C1269" s="9">
        <f>IFERROR(__xludf.DUMMYFUNCTION("""COMPUTED_VALUE"""),44592.3383012615)</f>
        <v>44592.3383</v>
      </c>
      <c r="D1269" s="15">
        <f>IFERROR(__xludf.DUMMYFUNCTION("""COMPUTED_VALUE"""),1.0)</f>
        <v>1</v>
      </c>
      <c r="E1269" s="16">
        <f>IFERROR(__xludf.DUMMYFUNCTION("""COMPUTED_VALUE"""),67.0)</f>
        <v>67</v>
      </c>
      <c r="F1269" s="19" t="str">
        <f>IFERROR(__xludf.DUMMYFUNCTION("""COMPUTED_VALUE"""),"BLUE")</f>
        <v>BLUE</v>
      </c>
      <c r="G1269" s="20" t="str">
        <f>IFERROR(__xludf.DUMMYFUNCTION("""COMPUTED_VALUE"""),"Uncle Sams Cider (11/12/2021) (Blue)")</f>
        <v>Uncle Sams Cider (11/12/2021) (Blue)</v>
      </c>
      <c r="H1269" s="19"/>
    </row>
    <row r="1270">
      <c r="A1270" s="9"/>
      <c r="B1270" s="15"/>
      <c r="C1270" s="9">
        <f>IFERROR(__xludf.DUMMYFUNCTION("""COMPUTED_VALUE"""),44592.3278790162)</f>
        <v>44592.32788</v>
      </c>
      <c r="D1270" s="15">
        <f>IFERROR(__xludf.DUMMYFUNCTION("""COMPUTED_VALUE"""),1.0)</f>
        <v>1</v>
      </c>
      <c r="E1270" s="16">
        <f>IFERROR(__xludf.DUMMYFUNCTION("""COMPUTED_VALUE"""),67.0)</f>
        <v>67</v>
      </c>
      <c r="F1270" s="19" t="str">
        <f>IFERROR(__xludf.DUMMYFUNCTION("""COMPUTED_VALUE"""),"BLUE")</f>
        <v>BLUE</v>
      </c>
      <c r="G1270" s="20" t="str">
        <f>IFERROR(__xludf.DUMMYFUNCTION("""COMPUTED_VALUE"""),"Uncle Sams Cider (11/12/2021) (Blue)")</f>
        <v>Uncle Sams Cider (11/12/2021) (Blue)</v>
      </c>
      <c r="H1270" s="19"/>
    </row>
    <row r="1271">
      <c r="A1271" s="9"/>
      <c r="B1271" s="15"/>
      <c r="C1271" s="9">
        <f>IFERROR(__xludf.DUMMYFUNCTION("""COMPUTED_VALUE"""),44592.3174593171)</f>
        <v>44592.31746</v>
      </c>
      <c r="D1271" s="15">
        <f>IFERROR(__xludf.DUMMYFUNCTION("""COMPUTED_VALUE"""),1.0)</f>
        <v>1</v>
      </c>
      <c r="E1271" s="16">
        <f>IFERROR(__xludf.DUMMYFUNCTION("""COMPUTED_VALUE"""),67.0)</f>
        <v>67</v>
      </c>
      <c r="F1271" s="19" t="str">
        <f>IFERROR(__xludf.DUMMYFUNCTION("""COMPUTED_VALUE"""),"BLUE")</f>
        <v>BLUE</v>
      </c>
      <c r="G1271" s="20" t="str">
        <f>IFERROR(__xludf.DUMMYFUNCTION("""COMPUTED_VALUE"""),"Uncle Sams Cider (11/12/2021) (Blue)")</f>
        <v>Uncle Sams Cider (11/12/2021) (Blue)</v>
      </c>
      <c r="H1271" s="19"/>
    </row>
    <row r="1272">
      <c r="A1272" s="9"/>
      <c r="B1272" s="15"/>
      <c r="C1272" s="9">
        <f>IFERROR(__xludf.DUMMYFUNCTION("""COMPUTED_VALUE"""),44592.3070274189)</f>
        <v>44592.30703</v>
      </c>
      <c r="D1272" s="15">
        <f>IFERROR(__xludf.DUMMYFUNCTION("""COMPUTED_VALUE"""),1.0)</f>
        <v>1</v>
      </c>
      <c r="E1272" s="16">
        <f>IFERROR(__xludf.DUMMYFUNCTION("""COMPUTED_VALUE"""),67.0)</f>
        <v>67</v>
      </c>
      <c r="F1272" s="19" t="str">
        <f>IFERROR(__xludf.DUMMYFUNCTION("""COMPUTED_VALUE"""),"BLUE")</f>
        <v>BLUE</v>
      </c>
      <c r="G1272" s="20" t="str">
        <f>IFERROR(__xludf.DUMMYFUNCTION("""COMPUTED_VALUE"""),"Uncle Sams Cider (11/12/2021) (Blue)")</f>
        <v>Uncle Sams Cider (11/12/2021) (Blue)</v>
      </c>
      <c r="H1272" s="19"/>
    </row>
    <row r="1273">
      <c r="A1273" s="9"/>
      <c r="B1273" s="15"/>
      <c r="C1273" s="9">
        <f>IFERROR(__xludf.DUMMYFUNCTION("""COMPUTED_VALUE"""),44592.296606493)</f>
        <v>44592.29661</v>
      </c>
      <c r="D1273" s="15">
        <f>IFERROR(__xludf.DUMMYFUNCTION("""COMPUTED_VALUE"""),0.999)</f>
        <v>0.999</v>
      </c>
      <c r="E1273" s="16">
        <f>IFERROR(__xludf.DUMMYFUNCTION("""COMPUTED_VALUE"""),67.0)</f>
        <v>67</v>
      </c>
      <c r="F1273" s="19" t="str">
        <f>IFERROR(__xludf.DUMMYFUNCTION("""COMPUTED_VALUE"""),"BLUE")</f>
        <v>BLUE</v>
      </c>
      <c r="G1273" s="20" t="str">
        <f>IFERROR(__xludf.DUMMYFUNCTION("""COMPUTED_VALUE"""),"Uncle Sams Cider (11/12/2021) (Blue)")</f>
        <v>Uncle Sams Cider (11/12/2021) (Blue)</v>
      </c>
      <c r="H1273" s="19"/>
    </row>
    <row r="1274">
      <c r="A1274" s="9"/>
      <c r="B1274" s="15"/>
      <c r="C1274" s="9">
        <f>IFERROR(__xludf.DUMMYFUNCTION("""COMPUTED_VALUE"""),44592.2861850347)</f>
        <v>44592.28619</v>
      </c>
      <c r="D1274" s="15">
        <f>IFERROR(__xludf.DUMMYFUNCTION("""COMPUTED_VALUE"""),1.0)</f>
        <v>1</v>
      </c>
      <c r="E1274" s="16">
        <f>IFERROR(__xludf.DUMMYFUNCTION("""COMPUTED_VALUE"""),67.0)</f>
        <v>67</v>
      </c>
      <c r="F1274" s="19" t="str">
        <f>IFERROR(__xludf.DUMMYFUNCTION("""COMPUTED_VALUE"""),"BLUE")</f>
        <v>BLUE</v>
      </c>
      <c r="G1274" s="20" t="str">
        <f>IFERROR(__xludf.DUMMYFUNCTION("""COMPUTED_VALUE"""),"Uncle Sams Cider (11/12/2021) (Blue)")</f>
        <v>Uncle Sams Cider (11/12/2021) (Blue)</v>
      </c>
      <c r="H1274" s="19"/>
    </row>
    <row r="1275">
      <c r="A1275" s="9"/>
      <c r="B1275" s="15"/>
      <c r="C1275" s="9">
        <f>IFERROR(__xludf.DUMMYFUNCTION("""COMPUTED_VALUE"""),44592.2757632175)</f>
        <v>44592.27576</v>
      </c>
      <c r="D1275" s="15">
        <f>IFERROR(__xludf.DUMMYFUNCTION("""COMPUTED_VALUE"""),1.0)</f>
        <v>1</v>
      </c>
      <c r="E1275" s="16">
        <f>IFERROR(__xludf.DUMMYFUNCTION("""COMPUTED_VALUE"""),67.0)</f>
        <v>67</v>
      </c>
      <c r="F1275" s="19" t="str">
        <f>IFERROR(__xludf.DUMMYFUNCTION("""COMPUTED_VALUE"""),"BLUE")</f>
        <v>BLUE</v>
      </c>
      <c r="G1275" s="20" t="str">
        <f>IFERROR(__xludf.DUMMYFUNCTION("""COMPUTED_VALUE"""),"Uncle Sams Cider (11/12/2021) (Blue)")</f>
        <v>Uncle Sams Cider (11/12/2021) (Blue)</v>
      </c>
      <c r="H1275" s="19"/>
    </row>
    <row r="1276">
      <c r="A1276" s="9"/>
      <c r="B1276" s="15"/>
      <c r="C1276" s="9">
        <f>IFERROR(__xludf.DUMMYFUNCTION("""COMPUTED_VALUE"""),44592.2653414236)</f>
        <v>44592.26534</v>
      </c>
      <c r="D1276" s="15">
        <f>IFERROR(__xludf.DUMMYFUNCTION("""COMPUTED_VALUE"""),1.0)</f>
        <v>1</v>
      </c>
      <c r="E1276" s="16">
        <f>IFERROR(__xludf.DUMMYFUNCTION("""COMPUTED_VALUE"""),67.0)</f>
        <v>67</v>
      </c>
      <c r="F1276" s="19" t="str">
        <f>IFERROR(__xludf.DUMMYFUNCTION("""COMPUTED_VALUE"""),"BLUE")</f>
        <v>BLUE</v>
      </c>
      <c r="G1276" s="20" t="str">
        <f>IFERROR(__xludf.DUMMYFUNCTION("""COMPUTED_VALUE"""),"Uncle Sams Cider (11/12/2021) (Blue)")</f>
        <v>Uncle Sams Cider (11/12/2021) (Blue)</v>
      </c>
      <c r="H1276" s="19"/>
    </row>
    <row r="1277">
      <c r="A1277" s="9"/>
      <c r="B1277" s="15"/>
      <c r="C1277" s="9">
        <f>IFERROR(__xludf.DUMMYFUNCTION("""COMPUTED_VALUE"""),44592.2549200231)</f>
        <v>44592.25492</v>
      </c>
      <c r="D1277" s="15">
        <f>IFERROR(__xludf.DUMMYFUNCTION("""COMPUTED_VALUE"""),1.0)</f>
        <v>1</v>
      </c>
      <c r="E1277" s="16">
        <f>IFERROR(__xludf.DUMMYFUNCTION("""COMPUTED_VALUE"""),67.0)</f>
        <v>67</v>
      </c>
      <c r="F1277" s="19" t="str">
        <f>IFERROR(__xludf.DUMMYFUNCTION("""COMPUTED_VALUE"""),"BLUE")</f>
        <v>BLUE</v>
      </c>
      <c r="G1277" s="20" t="str">
        <f>IFERROR(__xludf.DUMMYFUNCTION("""COMPUTED_VALUE"""),"Uncle Sams Cider (11/12/2021) (Blue)")</f>
        <v>Uncle Sams Cider (11/12/2021) (Blue)</v>
      </c>
      <c r="H1277" s="19"/>
    </row>
    <row r="1278">
      <c r="A1278" s="9"/>
      <c r="B1278" s="15"/>
      <c r="C1278" s="9">
        <f>IFERROR(__xludf.DUMMYFUNCTION("""COMPUTED_VALUE"""),44592.2444990046)</f>
        <v>44592.2445</v>
      </c>
      <c r="D1278" s="15">
        <f>IFERROR(__xludf.DUMMYFUNCTION("""COMPUTED_VALUE"""),1.0)</f>
        <v>1</v>
      </c>
      <c r="E1278" s="16">
        <f>IFERROR(__xludf.DUMMYFUNCTION("""COMPUTED_VALUE"""),67.0)</f>
        <v>67</v>
      </c>
      <c r="F1278" s="19" t="str">
        <f>IFERROR(__xludf.DUMMYFUNCTION("""COMPUTED_VALUE"""),"BLUE")</f>
        <v>BLUE</v>
      </c>
      <c r="G1278" s="20" t="str">
        <f>IFERROR(__xludf.DUMMYFUNCTION("""COMPUTED_VALUE"""),"Uncle Sams Cider (11/12/2021) (Blue)")</f>
        <v>Uncle Sams Cider (11/12/2021) (Blue)</v>
      </c>
      <c r="H1278" s="19"/>
    </row>
    <row r="1279">
      <c r="A1279" s="9"/>
      <c r="B1279" s="15"/>
      <c r="C1279" s="9">
        <f>IFERROR(__xludf.DUMMYFUNCTION("""COMPUTED_VALUE"""),44592.2340776504)</f>
        <v>44592.23408</v>
      </c>
      <c r="D1279" s="15">
        <f>IFERROR(__xludf.DUMMYFUNCTION("""COMPUTED_VALUE"""),1.0)</f>
        <v>1</v>
      </c>
      <c r="E1279" s="16">
        <f>IFERROR(__xludf.DUMMYFUNCTION("""COMPUTED_VALUE"""),67.0)</f>
        <v>67</v>
      </c>
      <c r="F1279" s="19" t="str">
        <f>IFERROR(__xludf.DUMMYFUNCTION("""COMPUTED_VALUE"""),"BLUE")</f>
        <v>BLUE</v>
      </c>
      <c r="G1279" s="20" t="str">
        <f>IFERROR(__xludf.DUMMYFUNCTION("""COMPUTED_VALUE"""),"Uncle Sams Cider (11/12/2021) (Blue)")</f>
        <v>Uncle Sams Cider (11/12/2021) (Blue)</v>
      </c>
      <c r="H1279" s="19"/>
    </row>
    <row r="1280">
      <c r="A1280" s="9"/>
      <c r="B1280" s="15"/>
      <c r="C1280" s="9">
        <f>IFERROR(__xludf.DUMMYFUNCTION("""COMPUTED_VALUE"""),44592.2236579282)</f>
        <v>44592.22366</v>
      </c>
      <c r="D1280" s="15">
        <f>IFERROR(__xludf.DUMMYFUNCTION("""COMPUTED_VALUE"""),1.0)</f>
        <v>1</v>
      </c>
      <c r="E1280" s="16">
        <f>IFERROR(__xludf.DUMMYFUNCTION("""COMPUTED_VALUE"""),67.0)</f>
        <v>67</v>
      </c>
      <c r="F1280" s="19" t="str">
        <f>IFERROR(__xludf.DUMMYFUNCTION("""COMPUTED_VALUE"""),"BLUE")</f>
        <v>BLUE</v>
      </c>
      <c r="G1280" s="20" t="str">
        <f>IFERROR(__xludf.DUMMYFUNCTION("""COMPUTED_VALUE"""),"Uncle Sams Cider (11/12/2021) (Blue)")</f>
        <v>Uncle Sams Cider (11/12/2021) (Blue)</v>
      </c>
      <c r="H1280" s="19"/>
    </row>
    <row r="1281">
      <c r="A1281" s="9"/>
      <c r="B1281" s="15"/>
      <c r="C1281" s="9">
        <f>IFERROR(__xludf.DUMMYFUNCTION("""COMPUTED_VALUE"""),44592.2132377083)</f>
        <v>44592.21324</v>
      </c>
      <c r="D1281" s="15">
        <f>IFERROR(__xludf.DUMMYFUNCTION("""COMPUTED_VALUE"""),1.0)</f>
        <v>1</v>
      </c>
      <c r="E1281" s="16">
        <f>IFERROR(__xludf.DUMMYFUNCTION("""COMPUTED_VALUE"""),67.0)</f>
        <v>67</v>
      </c>
      <c r="F1281" s="19" t="str">
        <f>IFERROR(__xludf.DUMMYFUNCTION("""COMPUTED_VALUE"""),"BLUE")</f>
        <v>BLUE</v>
      </c>
      <c r="G1281" s="20" t="str">
        <f>IFERROR(__xludf.DUMMYFUNCTION("""COMPUTED_VALUE"""),"Uncle Sams Cider (11/12/2021) (Blue)")</f>
        <v>Uncle Sams Cider (11/12/2021) (Blue)</v>
      </c>
      <c r="H1281" s="19"/>
    </row>
    <row r="1282">
      <c r="A1282" s="9"/>
      <c r="B1282" s="15"/>
      <c r="C1282" s="9">
        <f>IFERROR(__xludf.DUMMYFUNCTION("""COMPUTED_VALUE"""),44592.2028067592)</f>
        <v>44592.20281</v>
      </c>
      <c r="D1282" s="15">
        <f>IFERROR(__xludf.DUMMYFUNCTION("""COMPUTED_VALUE"""),1.0)</f>
        <v>1</v>
      </c>
      <c r="E1282" s="16">
        <f>IFERROR(__xludf.DUMMYFUNCTION("""COMPUTED_VALUE"""),67.0)</f>
        <v>67</v>
      </c>
      <c r="F1282" s="19" t="str">
        <f>IFERROR(__xludf.DUMMYFUNCTION("""COMPUTED_VALUE"""),"BLUE")</f>
        <v>BLUE</v>
      </c>
      <c r="G1282" s="20" t="str">
        <f>IFERROR(__xludf.DUMMYFUNCTION("""COMPUTED_VALUE"""),"Uncle Sams Cider (11/12/2021) (Blue)")</f>
        <v>Uncle Sams Cider (11/12/2021) (Blue)</v>
      </c>
      <c r="H1282" s="19"/>
    </row>
    <row r="1283">
      <c r="A1283" s="9"/>
      <c r="B1283" s="15"/>
      <c r="C1283" s="9">
        <f>IFERROR(__xludf.DUMMYFUNCTION("""COMPUTED_VALUE"""),44592.1923862037)</f>
        <v>44592.19239</v>
      </c>
      <c r="D1283" s="15">
        <f>IFERROR(__xludf.DUMMYFUNCTION("""COMPUTED_VALUE"""),1.0)</f>
        <v>1</v>
      </c>
      <c r="E1283" s="16">
        <f>IFERROR(__xludf.DUMMYFUNCTION("""COMPUTED_VALUE"""),67.0)</f>
        <v>67</v>
      </c>
      <c r="F1283" s="19" t="str">
        <f>IFERROR(__xludf.DUMMYFUNCTION("""COMPUTED_VALUE"""),"BLUE")</f>
        <v>BLUE</v>
      </c>
      <c r="G1283" s="20" t="str">
        <f>IFERROR(__xludf.DUMMYFUNCTION("""COMPUTED_VALUE"""),"Uncle Sams Cider (11/12/2021) (Blue)")</f>
        <v>Uncle Sams Cider (11/12/2021) (Blue)</v>
      </c>
      <c r="H1283" s="19"/>
    </row>
    <row r="1284">
      <c r="A1284" s="9"/>
      <c r="B1284" s="15"/>
      <c r="C1284" s="9">
        <f>IFERROR(__xludf.DUMMYFUNCTION("""COMPUTED_VALUE"""),44592.1819645023)</f>
        <v>44592.18196</v>
      </c>
      <c r="D1284" s="15">
        <f>IFERROR(__xludf.DUMMYFUNCTION("""COMPUTED_VALUE"""),1.0)</f>
        <v>1</v>
      </c>
      <c r="E1284" s="16">
        <f>IFERROR(__xludf.DUMMYFUNCTION("""COMPUTED_VALUE"""),67.0)</f>
        <v>67</v>
      </c>
      <c r="F1284" s="19" t="str">
        <f>IFERROR(__xludf.DUMMYFUNCTION("""COMPUTED_VALUE"""),"BLUE")</f>
        <v>BLUE</v>
      </c>
      <c r="G1284" s="20" t="str">
        <f>IFERROR(__xludf.DUMMYFUNCTION("""COMPUTED_VALUE"""),"Uncle Sams Cider (11/12/2021) (Blue)")</f>
        <v>Uncle Sams Cider (11/12/2021) (Blue)</v>
      </c>
      <c r="H1284" s="19"/>
    </row>
    <row r="1285">
      <c r="A1285" s="9"/>
      <c r="B1285" s="15"/>
      <c r="C1285" s="9">
        <f>IFERROR(__xludf.DUMMYFUNCTION("""COMPUTED_VALUE"""),44592.1715193981)</f>
        <v>44592.17152</v>
      </c>
      <c r="D1285" s="15">
        <f>IFERROR(__xludf.DUMMYFUNCTION("""COMPUTED_VALUE"""),1.0)</f>
        <v>1</v>
      </c>
      <c r="E1285" s="16">
        <f>IFERROR(__xludf.DUMMYFUNCTION("""COMPUTED_VALUE"""),67.0)</f>
        <v>67</v>
      </c>
      <c r="F1285" s="19" t="str">
        <f>IFERROR(__xludf.DUMMYFUNCTION("""COMPUTED_VALUE"""),"BLUE")</f>
        <v>BLUE</v>
      </c>
      <c r="G1285" s="20" t="str">
        <f>IFERROR(__xludf.DUMMYFUNCTION("""COMPUTED_VALUE"""),"Uncle Sams Cider (11/12/2021) (Blue)")</f>
        <v>Uncle Sams Cider (11/12/2021) (Blue)</v>
      </c>
      <c r="H1285" s="19"/>
    </row>
    <row r="1286">
      <c r="A1286" s="9"/>
      <c r="B1286" s="15"/>
      <c r="C1286" s="9">
        <f>IFERROR(__xludf.DUMMYFUNCTION("""COMPUTED_VALUE"""),44592.1610978587)</f>
        <v>44592.1611</v>
      </c>
      <c r="D1286" s="15">
        <f>IFERROR(__xludf.DUMMYFUNCTION("""COMPUTED_VALUE"""),1.0)</f>
        <v>1</v>
      </c>
      <c r="E1286" s="16">
        <f>IFERROR(__xludf.DUMMYFUNCTION("""COMPUTED_VALUE"""),67.0)</f>
        <v>67</v>
      </c>
      <c r="F1286" s="19" t="str">
        <f>IFERROR(__xludf.DUMMYFUNCTION("""COMPUTED_VALUE"""),"BLUE")</f>
        <v>BLUE</v>
      </c>
      <c r="G1286" s="20" t="str">
        <f>IFERROR(__xludf.DUMMYFUNCTION("""COMPUTED_VALUE"""),"Uncle Sams Cider (11/12/2021) (Blue)")</f>
        <v>Uncle Sams Cider (11/12/2021) (Blue)</v>
      </c>
      <c r="H1286" s="19"/>
    </row>
    <row r="1287">
      <c r="A1287" s="9"/>
      <c r="B1287" s="15"/>
      <c r="C1287" s="9">
        <f>IFERROR(__xludf.DUMMYFUNCTION("""COMPUTED_VALUE"""),44592.1506543981)</f>
        <v>44592.15065</v>
      </c>
      <c r="D1287" s="15">
        <f>IFERROR(__xludf.DUMMYFUNCTION("""COMPUTED_VALUE"""),1.0)</f>
        <v>1</v>
      </c>
      <c r="E1287" s="16">
        <f>IFERROR(__xludf.DUMMYFUNCTION("""COMPUTED_VALUE"""),68.0)</f>
        <v>68</v>
      </c>
      <c r="F1287" s="19" t="str">
        <f>IFERROR(__xludf.DUMMYFUNCTION("""COMPUTED_VALUE"""),"BLUE")</f>
        <v>BLUE</v>
      </c>
      <c r="G1287" s="20" t="str">
        <f>IFERROR(__xludf.DUMMYFUNCTION("""COMPUTED_VALUE"""),"Uncle Sams Cider (11/12/2021) (Blue)")</f>
        <v>Uncle Sams Cider (11/12/2021) (Blue)</v>
      </c>
      <c r="H1287" s="19"/>
    </row>
    <row r="1288">
      <c r="A1288" s="9"/>
      <c r="B1288" s="15"/>
      <c r="C1288" s="9">
        <f>IFERROR(__xludf.DUMMYFUNCTION("""COMPUTED_VALUE"""),44592.1402326273)</f>
        <v>44592.14023</v>
      </c>
      <c r="D1288" s="15">
        <f>IFERROR(__xludf.DUMMYFUNCTION("""COMPUTED_VALUE"""),1.0)</f>
        <v>1</v>
      </c>
      <c r="E1288" s="16">
        <f>IFERROR(__xludf.DUMMYFUNCTION("""COMPUTED_VALUE"""),67.0)</f>
        <v>67</v>
      </c>
      <c r="F1288" s="19" t="str">
        <f>IFERROR(__xludf.DUMMYFUNCTION("""COMPUTED_VALUE"""),"BLUE")</f>
        <v>BLUE</v>
      </c>
      <c r="G1288" s="20" t="str">
        <f>IFERROR(__xludf.DUMMYFUNCTION("""COMPUTED_VALUE"""),"Uncle Sams Cider (11/12/2021) (Blue)")</f>
        <v>Uncle Sams Cider (11/12/2021) (Blue)</v>
      </c>
      <c r="H1288" s="19"/>
    </row>
    <row r="1289">
      <c r="A1289" s="9"/>
      <c r="B1289" s="15"/>
      <c r="C1289" s="9">
        <f>IFERROR(__xludf.DUMMYFUNCTION("""COMPUTED_VALUE"""),44592.1297989351)</f>
        <v>44592.1298</v>
      </c>
      <c r="D1289" s="15">
        <f>IFERROR(__xludf.DUMMYFUNCTION("""COMPUTED_VALUE"""),1.0)</f>
        <v>1</v>
      </c>
      <c r="E1289" s="16">
        <f>IFERROR(__xludf.DUMMYFUNCTION("""COMPUTED_VALUE"""),67.0)</f>
        <v>67</v>
      </c>
      <c r="F1289" s="19" t="str">
        <f>IFERROR(__xludf.DUMMYFUNCTION("""COMPUTED_VALUE"""),"BLUE")</f>
        <v>BLUE</v>
      </c>
      <c r="G1289" s="20" t="str">
        <f>IFERROR(__xludf.DUMMYFUNCTION("""COMPUTED_VALUE"""),"Uncle Sams Cider (11/12/2021) (Blue)")</f>
        <v>Uncle Sams Cider (11/12/2021) (Blue)</v>
      </c>
      <c r="H1289" s="19"/>
    </row>
    <row r="1290">
      <c r="A1290" s="9"/>
      <c r="B1290" s="15"/>
      <c r="C1290" s="9">
        <f>IFERROR(__xludf.DUMMYFUNCTION("""COMPUTED_VALUE"""),44592.1193784722)</f>
        <v>44592.11938</v>
      </c>
      <c r="D1290" s="15">
        <f>IFERROR(__xludf.DUMMYFUNCTION("""COMPUTED_VALUE"""),1.0)</f>
        <v>1</v>
      </c>
      <c r="E1290" s="16">
        <f>IFERROR(__xludf.DUMMYFUNCTION("""COMPUTED_VALUE"""),67.0)</f>
        <v>67</v>
      </c>
      <c r="F1290" s="19" t="str">
        <f>IFERROR(__xludf.DUMMYFUNCTION("""COMPUTED_VALUE"""),"BLUE")</f>
        <v>BLUE</v>
      </c>
      <c r="G1290" s="20" t="str">
        <f>IFERROR(__xludf.DUMMYFUNCTION("""COMPUTED_VALUE"""),"Uncle Sams Cider (11/12/2021) (Blue)")</f>
        <v>Uncle Sams Cider (11/12/2021) (Blue)</v>
      </c>
      <c r="H1290" s="19"/>
    </row>
    <row r="1291">
      <c r="A1291" s="9"/>
      <c r="B1291" s="15"/>
      <c r="C1291" s="9">
        <f>IFERROR(__xludf.DUMMYFUNCTION("""COMPUTED_VALUE"""),44592.108947118)</f>
        <v>44592.10895</v>
      </c>
      <c r="D1291" s="15">
        <f>IFERROR(__xludf.DUMMYFUNCTION("""COMPUTED_VALUE"""),1.0)</f>
        <v>1</v>
      </c>
      <c r="E1291" s="16">
        <f>IFERROR(__xludf.DUMMYFUNCTION("""COMPUTED_VALUE"""),66.0)</f>
        <v>66</v>
      </c>
      <c r="F1291" s="19" t="str">
        <f>IFERROR(__xludf.DUMMYFUNCTION("""COMPUTED_VALUE"""),"BLUE")</f>
        <v>BLUE</v>
      </c>
      <c r="G1291" s="20" t="str">
        <f>IFERROR(__xludf.DUMMYFUNCTION("""COMPUTED_VALUE"""),"Uncle Sams Cider (11/12/2021) (Blue)")</f>
        <v>Uncle Sams Cider (11/12/2021) (Blue)</v>
      </c>
      <c r="H1291" s="19"/>
    </row>
    <row r="1292">
      <c r="A1292" s="9"/>
      <c r="B1292" s="15"/>
      <c r="C1292" s="9">
        <f>IFERROR(__xludf.DUMMYFUNCTION("""COMPUTED_VALUE"""),44592.0985258564)</f>
        <v>44592.09853</v>
      </c>
      <c r="D1292" s="15">
        <f>IFERROR(__xludf.DUMMYFUNCTION("""COMPUTED_VALUE"""),1.0)</f>
        <v>1</v>
      </c>
      <c r="E1292" s="16">
        <f>IFERROR(__xludf.DUMMYFUNCTION("""COMPUTED_VALUE"""),66.0)</f>
        <v>66</v>
      </c>
      <c r="F1292" s="19" t="str">
        <f>IFERROR(__xludf.DUMMYFUNCTION("""COMPUTED_VALUE"""),"BLUE")</f>
        <v>BLUE</v>
      </c>
      <c r="G1292" s="20" t="str">
        <f>IFERROR(__xludf.DUMMYFUNCTION("""COMPUTED_VALUE"""),"Uncle Sams Cider (11/12/2021) (Blue)")</f>
        <v>Uncle Sams Cider (11/12/2021) (Blue)</v>
      </c>
      <c r="H1292" s="19"/>
    </row>
    <row r="1293">
      <c r="A1293" s="9"/>
      <c r="B1293" s="15"/>
      <c r="C1293" s="9">
        <f>IFERROR(__xludf.DUMMYFUNCTION("""COMPUTED_VALUE"""),44592.0881053009)</f>
        <v>44592.08811</v>
      </c>
      <c r="D1293" s="15">
        <f>IFERROR(__xludf.DUMMYFUNCTION("""COMPUTED_VALUE"""),1.0)</f>
        <v>1</v>
      </c>
      <c r="E1293" s="16">
        <f>IFERROR(__xludf.DUMMYFUNCTION("""COMPUTED_VALUE"""),65.0)</f>
        <v>65</v>
      </c>
      <c r="F1293" s="19" t="str">
        <f>IFERROR(__xludf.DUMMYFUNCTION("""COMPUTED_VALUE"""),"BLUE")</f>
        <v>BLUE</v>
      </c>
      <c r="G1293" s="20" t="str">
        <f>IFERROR(__xludf.DUMMYFUNCTION("""COMPUTED_VALUE"""),"Uncle Sams Cider (11/12/2021) (Blue)")</f>
        <v>Uncle Sams Cider (11/12/2021) (Blue)</v>
      </c>
      <c r="H1293" s="19"/>
    </row>
    <row r="1294">
      <c r="A1294" s="9"/>
      <c r="B1294" s="15"/>
      <c r="C1294" s="9">
        <f>IFERROR(__xludf.DUMMYFUNCTION("""COMPUTED_VALUE"""),44592.0776834606)</f>
        <v>44592.07768</v>
      </c>
      <c r="D1294" s="15">
        <f>IFERROR(__xludf.DUMMYFUNCTION("""COMPUTED_VALUE"""),1.0)</f>
        <v>1</v>
      </c>
      <c r="E1294" s="16">
        <f>IFERROR(__xludf.DUMMYFUNCTION("""COMPUTED_VALUE"""),65.0)</f>
        <v>65</v>
      </c>
      <c r="F1294" s="19" t="str">
        <f>IFERROR(__xludf.DUMMYFUNCTION("""COMPUTED_VALUE"""),"BLUE")</f>
        <v>BLUE</v>
      </c>
      <c r="G1294" s="20" t="str">
        <f>IFERROR(__xludf.DUMMYFUNCTION("""COMPUTED_VALUE"""),"Uncle Sams Cider (11/12/2021) (Blue)")</f>
        <v>Uncle Sams Cider (11/12/2021) (Blue)</v>
      </c>
      <c r="H1294" s="19"/>
    </row>
    <row r="1295">
      <c r="A1295" s="9"/>
      <c r="B1295" s="15"/>
      <c r="C1295" s="9">
        <f>IFERROR(__xludf.DUMMYFUNCTION("""COMPUTED_VALUE"""),44592.0672634375)</f>
        <v>44592.06726</v>
      </c>
      <c r="D1295" s="15">
        <f>IFERROR(__xludf.DUMMYFUNCTION("""COMPUTED_VALUE"""),1.0)</f>
        <v>1</v>
      </c>
      <c r="E1295" s="16">
        <f>IFERROR(__xludf.DUMMYFUNCTION("""COMPUTED_VALUE"""),64.0)</f>
        <v>64</v>
      </c>
      <c r="F1295" s="19" t="str">
        <f>IFERROR(__xludf.DUMMYFUNCTION("""COMPUTED_VALUE"""),"BLUE")</f>
        <v>BLUE</v>
      </c>
      <c r="G1295" s="20" t="str">
        <f>IFERROR(__xludf.DUMMYFUNCTION("""COMPUTED_VALUE"""),"Uncle Sams Cider (11/12/2021) (Blue)")</f>
        <v>Uncle Sams Cider (11/12/2021) (Blue)</v>
      </c>
      <c r="H1295" s="19"/>
    </row>
    <row r="1296">
      <c r="A1296" s="9"/>
      <c r="B1296" s="15"/>
      <c r="C1296" s="9">
        <f>IFERROR(__xludf.DUMMYFUNCTION("""COMPUTED_VALUE"""),44592.0568424537)</f>
        <v>44592.05684</v>
      </c>
      <c r="D1296" s="15">
        <f>IFERROR(__xludf.DUMMYFUNCTION("""COMPUTED_VALUE"""),1.0)</f>
        <v>1</v>
      </c>
      <c r="E1296" s="16">
        <f>IFERROR(__xludf.DUMMYFUNCTION("""COMPUTED_VALUE"""),64.0)</f>
        <v>64</v>
      </c>
      <c r="F1296" s="19" t="str">
        <f>IFERROR(__xludf.DUMMYFUNCTION("""COMPUTED_VALUE"""),"BLUE")</f>
        <v>BLUE</v>
      </c>
      <c r="G1296" s="20" t="str">
        <f>IFERROR(__xludf.DUMMYFUNCTION("""COMPUTED_VALUE"""),"Uncle Sams Cider (11/12/2021) (Blue)")</f>
        <v>Uncle Sams Cider (11/12/2021) (Blue)</v>
      </c>
      <c r="H1296" s="19"/>
    </row>
    <row r="1297">
      <c r="A1297" s="9"/>
      <c r="B1297" s="15"/>
      <c r="C1297" s="9">
        <f>IFERROR(__xludf.DUMMYFUNCTION("""COMPUTED_VALUE"""),44592.0463971527)</f>
        <v>44592.0464</v>
      </c>
      <c r="D1297" s="15">
        <f>IFERROR(__xludf.DUMMYFUNCTION("""COMPUTED_VALUE"""),1.0)</f>
        <v>1</v>
      </c>
      <c r="E1297" s="16">
        <f>IFERROR(__xludf.DUMMYFUNCTION("""COMPUTED_VALUE"""),64.0)</f>
        <v>64</v>
      </c>
      <c r="F1297" s="19" t="str">
        <f>IFERROR(__xludf.DUMMYFUNCTION("""COMPUTED_VALUE"""),"BLUE")</f>
        <v>BLUE</v>
      </c>
      <c r="G1297" s="20" t="str">
        <f>IFERROR(__xludf.DUMMYFUNCTION("""COMPUTED_VALUE"""),"Uncle Sams Cider (11/12/2021) (Blue)")</f>
        <v>Uncle Sams Cider (11/12/2021) (Blue)</v>
      </c>
      <c r="H1297" s="19"/>
    </row>
    <row r="1298">
      <c r="A1298" s="9"/>
      <c r="B1298" s="15"/>
      <c r="C1298" s="9">
        <f>IFERROR(__xludf.DUMMYFUNCTION("""COMPUTED_VALUE"""),44592.0359763078)</f>
        <v>44592.03598</v>
      </c>
      <c r="D1298" s="15">
        <f>IFERROR(__xludf.DUMMYFUNCTION("""COMPUTED_VALUE"""),1.0)</f>
        <v>1</v>
      </c>
      <c r="E1298" s="16">
        <f>IFERROR(__xludf.DUMMYFUNCTION("""COMPUTED_VALUE"""),63.0)</f>
        <v>63</v>
      </c>
      <c r="F1298" s="19" t="str">
        <f>IFERROR(__xludf.DUMMYFUNCTION("""COMPUTED_VALUE"""),"BLUE")</f>
        <v>BLUE</v>
      </c>
      <c r="G1298" s="20" t="str">
        <f>IFERROR(__xludf.DUMMYFUNCTION("""COMPUTED_VALUE"""),"Uncle Sams Cider (11/12/2021) (Blue)")</f>
        <v>Uncle Sams Cider (11/12/2021) (Blue)</v>
      </c>
      <c r="H1298" s="19"/>
    </row>
    <row r="1299">
      <c r="A1299" s="9"/>
      <c r="B1299" s="15"/>
      <c r="C1299" s="9">
        <f>IFERROR(__xludf.DUMMYFUNCTION("""COMPUTED_VALUE"""),44592.0255554513)</f>
        <v>44592.02556</v>
      </c>
      <c r="D1299" s="15">
        <f>IFERROR(__xludf.DUMMYFUNCTION("""COMPUTED_VALUE"""),1.0)</f>
        <v>1</v>
      </c>
      <c r="E1299" s="16">
        <f>IFERROR(__xludf.DUMMYFUNCTION("""COMPUTED_VALUE"""),63.0)</f>
        <v>63</v>
      </c>
      <c r="F1299" s="19" t="str">
        <f>IFERROR(__xludf.DUMMYFUNCTION("""COMPUTED_VALUE"""),"BLUE")</f>
        <v>BLUE</v>
      </c>
      <c r="G1299" s="20" t="str">
        <f>IFERROR(__xludf.DUMMYFUNCTION("""COMPUTED_VALUE"""),"Uncle Sams Cider (11/12/2021) (Blue)")</f>
        <v>Uncle Sams Cider (11/12/2021) (Blue)</v>
      </c>
      <c r="H1299" s="19"/>
    </row>
    <row r="1300">
      <c r="A1300" s="9"/>
      <c r="B1300" s="15"/>
      <c r="C1300" s="9">
        <f>IFERROR(__xludf.DUMMYFUNCTION("""COMPUTED_VALUE"""),44592.0151337731)</f>
        <v>44592.01513</v>
      </c>
      <c r="D1300" s="15">
        <f>IFERROR(__xludf.DUMMYFUNCTION("""COMPUTED_VALUE"""),1.0)</f>
        <v>1</v>
      </c>
      <c r="E1300" s="16">
        <f>IFERROR(__xludf.DUMMYFUNCTION("""COMPUTED_VALUE"""),62.0)</f>
        <v>62</v>
      </c>
      <c r="F1300" s="19" t="str">
        <f>IFERROR(__xludf.DUMMYFUNCTION("""COMPUTED_VALUE"""),"BLUE")</f>
        <v>BLUE</v>
      </c>
      <c r="G1300" s="20" t="str">
        <f>IFERROR(__xludf.DUMMYFUNCTION("""COMPUTED_VALUE"""),"Uncle Sams Cider (11/12/2021) (Blue)")</f>
        <v>Uncle Sams Cider (11/12/2021) (Blue)</v>
      </c>
      <c r="H1300" s="19"/>
    </row>
    <row r="1301">
      <c r="A1301" s="9"/>
      <c r="B1301" s="15"/>
      <c r="C1301" s="9">
        <f>IFERROR(__xludf.DUMMYFUNCTION("""COMPUTED_VALUE"""),44592.0047120023)</f>
        <v>44592.00471</v>
      </c>
      <c r="D1301" s="15">
        <f>IFERROR(__xludf.DUMMYFUNCTION("""COMPUTED_VALUE"""),1.0)</f>
        <v>1</v>
      </c>
      <c r="E1301" s="16">
        <f>IFERROR(__xludf.DUMMYFUNCTION("""COMPUTED_VALUE"""),62.0)</f>
        <v>62</v>
      </c>
      <c r="F1301" s="19" t="str">
        <f>IFERROR(__xludf.DUMMYFUNCTION("""COMPUTED_VALUE"""),"BLUE")</f>
        <v>BLUE</v>
      </c>
      <c r="G1301" s="20" t="str">
        <f>IFERROR(__xludf.DUMMYFUNCTION("""COMPUTED_VALUE"""),"Uncle Sams Cider (11/12/2021) (Blue)")</f>
        <v>Uncle Sams Cider (11/12/2021) (Blue)</v>
      </c>
      <c r="H1301" s="19"/>
    </row>
    <row r="1302">
      <c r="A1302" s="9"/>
      <c r="B1302" s="15"/>
      <c r="C1302" s="9">
        <f>IFERROR(__xludf.DUMMYFUNCTION("""COMPUTED_VALUE"""),44591.9942899537)</f>
        <v>44591.99429</v>
      </c>
      <c r="D1302" s="15">
        <f>IFERROR(__xludf.DUMMYFUNCTION("""COMPUTED_VALUE"""),1.0)</f>
        <v>1</v>
      </c>
      <c r="E1302" s="16">
        <f>IFERROR(__xludf.DUMMYFUNCTION("""COMPUTED_VALUE"""),61.0)</f>
        <v>61</v>
      </c>
      <c r="F1302" s="19" t="str">
        <f>IFERROR(__xludf.DUMMYFUNCTION("""COMPUTED_VALUE"""),"BLUE")</f>
        <v>BLUE</v>
      </c>
      <c r="G1302" s="20" t="str">
        <f>IFERROR(__xludf.DUMMYFUNCTION("""COMPUTED_VALUE"""),"Uncle Sams Cider (11/12/2021) (Blue)")</f>
        <v>Uncle Sams Cider (11/12/2021) (Blue)</v>
      </c>
      <c r="H1302" s="19"/>
    </row>
    <row r="1303">
      <c r="A1303" s="9"/>
      <c r="B1303" s="15"/>
      <c r="C1303" s="9">
        <f>IFERROR(__xludf.DUMMYFUNCTION("""COMPUTED_VALUE"""),44591.983868206)</f>
        <v>44591.98387</v>
      </c>
      <c r="D1303" s="15">
        <f>IFERROR(__xludf.DUMMYFUNCTION("""COMPUTED_VALUE"""),1.0)</f>
        <v>1</v>
      </c>
      <c r="E1303" s="16">
        <f>IFERROR(__xludf.DUMMYFUNCTION("""COMPUTED_VALUE"""),61.0)</f>
        <v>61</v>
      </c>
      <c r="F1303" s="19" t="str">
        <f>IFERROR(__xludf.DUMMYFUNCTION("""COMPUTED_VALUE"""),"BLUE")</f>
        <v>BLUE</v>
      </c>
      <c r="G1303" s="20" t="str">
        <f>IFERROR(__xludf.DUMMYFUNCTION("""COMPUTED_VALUE"""),"Uncle Sams Cider (11/12/2021) (Blue)")</f>
        <v>Uncle Sams Cider (11/12/2021) (Blue)</v>
      </c>
      <c r="H1303" s="19"/>
    </row>
    <row r="1304">
      <c r="A1304" s="9"/>
      <c r="B1304" s="15"/>
      <c r="C1304" s="9">
        <f>IFERROR(__xludf.DUMMYFUNCTION("""COMPUTED_VALUE"""),44591.9734469791)</f>
        <v>44591.97345</v>
      </c>
      <c r="D1304" s="15">
        <f>IFERROR(__xludf.DUMMYFUNCTION("""COMPUTED_VALUE"""),1.0)</f>
        <v>1</v>
      </c>
      <c r="E1304" s="16">
        <f>IFERROR(__xludf.DUMMYFUNCTION("""COMPUTED_VALUE"""),61.0)</f>
        <v>61</v>
      </c>
      <c r="F1304" s="19" t="str">
        <f>IFERROR(__xludf.DUMMYFUNCTION("""COMPUTED_VALUE"""),"BLUE")</f>
        <v>BLUE</v>
      </c>
      <c r="G1304" s="20" t="str">
        <f>IFERROR(__xludf.DUMMYFUNCTION("""COMPUTED_VALUE"""),"Uncle Sams Cider (11/12/2021) (Blue)")</f>
        <v>Uncle Sams Cider (11/12/2021) (Blue)</v>
      </c>
      <c r="H1304" s="19"/>
    </row>
    <row r="1305">
      <c r="A1305" s="9"/>
      <c r="B1305" s="15"/>
      <c r="C1305" s="9">
        <f>IFERROR(__xludf.DUMMYFUNCTION("""COMPUTED_VALUE"""),44591.9630127777)</f>
        <v>44591.96301</v>
      </c>
      <c r="D1305" s="15">
        <f>IFERROR(__xludf.DUMMYFUNCTION("""COMPUTED_VALUE"""),1.0)</f>
        <v>1</v>
      </c>
      <c r="E1305" s="16">
        <f>IFERROR(__xludf.DUMMYFUNCTION("""COMPUTED_VALUE"""),62.0)</f>
        <v>62</v>
      </c>
      <c r="F1305" s="19" t="str">
        <f>IFERROR(__xludf.DUMMYFUNCTION("""COMPUTED_VALUE"""),"BLUE")</f>
        <v>BLUE</v>
      </c>
      <c r="G1305" s="20" t="str">
        <f>IFERROR(__xludf.DUMMYFUNCTION("""COMPUTED_VALUE"""),"Uncle Sams Cider (11/12/2021) (Blue)")</f>
        <v>Uncle Sams Cider (11/12/2021) (Blue)</v>
      </c>
      <c r="H1305" s="19"/>
    </row>
    <row r="1306">
      <c r="A1306" s="9"/>
      <c r="B1306" s="15"/>
      <c r="C1306" s="9">
        <f>IFERROR(__xludf.DUMMYFUNCTION("""COMPUTED_VALUE"""),44591.9525917013)</f>
        <v>44591.95259</v>
      </c>
      <c r="D1306" s="15">
        <f>IFERROR(__xludf.DUMMYFUNCTION("""COMPUTED_VALUE"""),1.0)</f>
        <v>1</v>
      </c>
      <c r="E1306" s="16">
        <f>IFERROR(__xludf.DUMMYFUNCTION("""COMPUTED_VALUE"""),62.0)</f>
        <v>62</v>
      </c>
      <c r="F1306" s="19" t="str">
        <f>IFERROR(__xludf.DUMMYFUNCTION("""COMPUTED_VALUE"""),"BLUE")</f>
        <v>BLUE</v>
      </c>
      <c r="G1306" s="20" t="str">
        <f>IFERROR(__xludf.DUMMYFUNCTION("""COMPUTED_VALUE"""),"Uncle Sams Cider (11/12/2021) (Blue)")</f>
        <v>Uncle Sams Cider (11/12/2021) (Blue)</v>
      </c>
      <c r="H1306" s="19"/>
    </row>
    <row r="1307">
      <c r="A1307" s="9"/>
      <c r="B1307" s="15"/>
      <c r="C1307" s="9">
        <f>IFERROR(__xludf.DUMMYFUNCTION("""COMPUTED_VALUE"""),44591.9421712962)</f>
        <v>44591.94217</v>
      </c>
      <c r="D1307" s="15">
        <f>IFERROR(__xludf.DUMMYFUNCTION("""COMPUTED_VALUE"""),1.0)</f>
        <v>1</v>
      </c>
      <c r="E1307" s="16">
        <f>IFERROR(__xludf.DUMMYFUNCTION("""COMPUTED_VALUE"""),61.0)</f>
        <v>61</v>
      </c>
      <c r="F1307" s="19" t="str">
        <f>IFERROR(__xludf.DUMMYFUNCTION("""COMPUTED_VALUE"""),"BLUE")</f>
        <v>BLUE</v>
      </c>
      <c r="G1307" s="20" t="str">
        <f>IFERROR(__xludf.DUMMYFUNCTION("""COMPUTED_VALUE"""),"Uncle Sams Cider (11/12/2021) (Blue)")</f>
        <v>Uncle Sams Cider (11/12/2021) (Blue)</v>
      </c>
      <c r="H1307" s="19"/>
    </row>
    <row r="1308">
      <c r="A1308" s="9"/>
      <c r="B1308" s="15"/>
      <c r="C1308" s="9">
        <f>IFERROR(__xludf.DUMMYFUNCTION("""COMPUTED_VALUE"""),44591.9317488773)</f>
        <v>44591.93175</v>
      </c>
      <c r="D1308" s="15">
        <f>IFERROR(__xludf.DUMMYFUNCTION("""COMPUTED_VALUE"""),1.0)</f>
        <v>1</v>
      </c>
      <c r="E1308" s="16">
        <f>IFERROR(__xludf.DUMMYFUNCTION("""COMPUTED_VALUE"""),62.0)</f>
        <v>62</v>
      </c>
      <c r="F1308" s="19" t="str">
        <f>IFERROR(__xludf.DUMMYFUNCTION("""COMPUTED_VALUE"""),"BLUE")</f>
        <v>BLUE</v>
      </c>
      <c r="G1308" s="20" t="str">
        <f>IFERROR(__xludf.DUMMYFUNCTION("""COMPUTED_VALUE"""),"Uncle Sams Cider (11/12/2021) (Blue)")</f>
        <v>Uncle Sams Cider (11/12/2021) (Blue)</v>
      </c>
      <c r="H1308" s="19"/>
    </row>
    <row r="1309">
      <c r="A1309" s="9"/>
      <c r="B1309" s="15"/>
      <c r="C1309" s="9">
        <f>IFERROR(__xludf.DUMMYFUNCTION("""COMPUTED_VALUE"""),44591.9213292129)</f>
        <v>44591.92133</v>
      </c>
      <c r="D1309" s="15">
        <f>IFERROR(__xludf.DUMMYFUNCTION("""COMPUTED_VALUE"""),1.0)</f>
        <v>1</v>
      </c>
      <c r="E1309" s="16">
        <f>IFERROR(__xludf.DUMMYFUNCTION("""COMPUTED_VALUE"""),62.0)</f>
        <v>62</v>
      </c>
      <c r="F1309" s="19" t="str">
        <f>IFERROR(__xludf.DUMMYFUNCTION("""COMPUTED_VALUE"""),"BLUE")</f>
        <v>BLUE</v>
      </c>
      <c r="G1309" s="20" t="str">
        <f>IFERROR(__xludf.DUMMYFUNCTION("""COMPUTED_VALUE"""),"Uncle Sams Cider (11/12/2021) (Blue)")</f>
        <v>Uncle Sams Cider (11/12/2021) (Blue)</v>
      </c>
      <c r="H1309" s="19"/>
    </row>
    <row r="1310">
      <c r="A1310" s="9"/>
      <c r="B1310" s="15"/>
      <c r="C1310" s="9">
        <f>IFERROR(__xludf.DUMMYFUNCTION("""COMPUTED_VALUE"""),44591.9108980902)</f>
        <v>44591.9109</v>
      </c>
      <c r="D1310" s="15">
        <f>IFERROR(__xludf.DUMMYFUNCTION("""COMPUTED_VALUE"""),1.0)</f>
        <v>1</v>
      </c>
      <c r="E1310" s="16">
        <f>IFERROR(__xludf.DUMMYFUNCTION("""COMPUTED_VALUE"""),62.0)</f>
        <v>62</v>
      </c>
      <c r="F1310" s="19" t="str">
        <f>IFERROR(__xludf.DUMMYFUNCTION("""COMPUTED_VALUE"""),"BLUE")</f>
        <v>BLUE</v>
      </c>
      <c r="G1310" s="20" t="str">
        <f>IFERROR(__xludf.DUMMYFUNCTION("""COMPUTED_VALUE"""),"Uncle Sams Cider (11/12/2021) (Blue)")</f>
        <v>Uncle Sams Cider (11/12/2021) (Blue)</v>
      </c>
      <c r="H1310" s="19"/>
    </row>
    <row r="1311">
      <c r="A1311" s="9"/>
      <c r="B1311" s="15"/>
      <c r="C1311" s="9">
        <f>IFERROR(__xludf.DUMMYFUNCTION("""COMPUTED_VALUE"""),44591.9004763425)</f>
        <v>44591.90048</v>
      </c>
      <c r="D1311" s="15">
        <f>IFERROR(__xludf.DUMMYFUNCTION("""COMPUTED_VALUE"""),1.0)</f>
        <v>1</v>
      </c>
      <c r="E1311" s="16">
        <f>IFERROR(__xludf.DUMMYFUNCTION("""COMPUTED_VALUE"""),62.0)</f>
        <v>62</v>
      </c>
      <c r="F1311" s="19" t="str">
        <f>IFERROR(__xludf.DUMMYFUNCTION("""COMPUTED_VALUE"""),"BLUE")</f>
        <v>BLUE</v>
      </c>
      <c r="G1311" s="20" t="str">
        <f>IFERROR(__xludf.DUMMYFUNCTION("""COMPUTED_VALUE"""),"Uncle Sams Cider (11/12/2021) (Blue)")</f>
        <v>Uncle Sams Cider (11/12/2021) (Blue)</v>
      </c>
      <c r="H1311" s="19"/>
    </row>
    <row r="1312">
      <c r="A1312" s="9"/>
      <c r="B1312" s="15"/>
      <c r="C1312" s="9">
        <f>IFERROR(__xludf.DUMMYFUNCTION("""COMPUTED_VALUE"""),44591.8900315856)</f>
        <v>44591.89003</v>
      </c>
      <c r="D1312" s="15">
        <f>IFERROR(__xludf.DUMMYFUNCTION("""COMPUTED_VALUE"""),1.0)</f>
        <v>1</v>
      </c>
      <c r="E1312" s="16">
        <f>IFERROR(__xludf.DUMMYFUNCTION("""COMPUTED_VALUE"""),62.0)</f>
        <v>62</v>
      </c>
      <c r="F1312" s="19" t="str">
        <f>IFERROR(__xludf.DUMMYFUNCTION("""COMPUTED_VALUE"""),"BLUE")</f>
        <v>BLUE</v>
      </c>
      <c r="G1312" s="20" t="str">
        <f>IFERROR(__xludf.DUMMYFUNCTION("""COMPUTED_VALUE"""),"Uncle Sams Cider (11/12/2021) (Blue)")</f>
        <v>Uncle Sams Cider (11/12/2021) (Blue)</v>
      </c>
      <c r="H1312" s="19"/>
    </row>
    <row r="1313">
      <c r="A1313" s="9"/>
      <c r="B1313" s="15"/>
      <c r="C1313" s="9">
        <f>IFERROR(__xludf.DUMMYFUNCTION("""COMPUTED_VALUE"""),44591.8796107291)</f>
        <v>44591.87961</v>
      </c>
      <c r="D1313" s="15">
        <f>IFERROR(__xludf.DUMMYFUNCTION("""COMPUTED_VALUE"""),1.001)</f>
        <v>1.001</v>
      </c>
      <c r="E1313" s="16">
        <f>IFERROR(__xludf.DUMMYFUNCTION("""COMPUTED_VALUE"""),62.0)</f>
        <v>62</v>
      </c>
      <c r="F1313" s="19" t="str">
        <f>IFERROR(__xludf.DUMMYFUNCTION("""COMPUTED_VALUE"""),"BLUE")</f>
        <v>BLUE</v>
      </c>
      <c r="G1313" s="20" t="str">
        <f>IFERROR(__xludf.DUMMYFUNCTION("""COMPUTED_VALUE"""),"Uncle Sams Cider (11/12/2021) (Blue)")</f>
        <v>Uncle Sams Cider (11/12/2021) (Blue)</v>
      </c>
      <c r="H1313" s="19"/>
    </row>
    <row r="1314">
      <c r="A1314" s="9"/>
      <c r="B1314" s="15"/>
      <c r="C1314" s="9">
        <f>IFERROR(__xludf.DUMMYFUNCTION("""COMPUTED_VALUE"""),44591.8691914583)</f>
        <v>44591.86919</v>
      </c>
      <c r="D1314" s="15">
        <f>IFERROR(__xludf.DUMMYFUNCTION("""COMPUTED_VALUE"""),1.0)</f>
        <v>1</v>
      </c>
      <c r="E1314" s="16">
        <f>IFERROR(__xludf.DUMMYFUNCTION("""COMPUTED_VALUE"""),62.0)</f>
        <v>62</v>
      </c>
      <c r="F1314" s="19" t="str">
        <f>IFERROR(__xludf.DUMMYFUNCTION("""COMPUTED_VALUE"""),"BLUE")</f>
        <v>BLUE</v>
      </c>
      <c r="G1314" s="20" t="str">
        <f>IFERROR(__xludf.DUMMYFUNCTION("""COMPUTED_VALUE"""),"Uncle Sams Cider (11/12/2021) (Blue)")</f>
        <v>Uncle Sams Cider (11/12/2021) (Blue)</v>
      </c>
      <c r="H1314" s="19"/>
    </row>
    <row r="1315">
      <c r="A1315" s="9"/>
      <c r="B1315" s="15"/>
      <c r="C1315" s="9">
        <f>IFERROR(__xludf.DUMMYFUNCTION("""COMPUTED_VALUE"""),44591.8587694907)</f>
        <v>44591.85877</v>
      </c>
      <c r="D1315" s="15">
        <f>IFERROR(__xludf.DUMMYFUNCTION("""COMPUTED_VALUE"""),1.0)</f>
        <v>1</v>
      </c>
      <c r="E1315" s="16">
        <f>IFERROR(__xludf.DUMMYFUNCTION("""COMPUTED_VALUE"""),62.0)</f>
        <v>62</v>
      </c>
      <c r="F1315" s="19" t="str">
        <f>IFERROR(__xludf.DUMMYFUNCTION("""COMPUTED_VALUE"""),"BLUE")</f>
        <v>BLUE</v>
      </c>
      <c r="G1315" s="20" t="str">
        <f>IFERROR(__xludf.DUMMYFUNCTION("""COMPUTED_VALUE"""),"Uncle Sams Cider (11/12/2021) (Blue)")</f>
        <v>Uncle Sams Cider (11/12/2021) (Blue)</v>
      </c>
      <c r="H1315" s="19"/>
    </row>
    <row r="1316">
      <c r="A1316" s="9"/>
      <c r="B1316" s="15"/>
      <c r="C1316" s="9">
        <f>IFERROR(__xludf.DUMMYFUNCTION("""COMPUTED_VALUE"""),44591.8483365277)</f>
        <v>44591.84834</v>
      </c>
      <c r="D1316" s="15">
        <f>IFERROR(__xludf.DUMMYFUNCTION("""COMPUTED_VALUE"""),1.0)</f>
        <v>1</v>
      </c>
      <c r="E1316" s="16">
        <f>IFERROR(__xludf.DUMMYFUNCTION("""COMPUTED_VALUE"""),62.0)</f>
        <v>62</v>
      </c>
      <c r="F1316" s="19" t="str">
        <f>IFERROR(__xludf.DUMMYFUNCTION("""COMPUTED_VALUE"""),"BLUE")</f>
        <v>BLUE</v>
      </c>
      <c r="G1316" s="20" t="str">
        <f>IFERROR(__xludf.DUMMYFUNCTION("""COMPUTED_VALUE"""),"Uncle Sams Cider (11/12/2021) (Blue)")</f>
        <v>Uncle Sams Cider (11/12/2021) (Blue)</v>
      </c>
      <c r="H1316" s="19"/>
    </row>
    <row r="1317">
      <c r="A1317" s="9"/>
      <c r="B1317" s="15"/>
      <c r="C1317" s="9">
        <f>IFERROR(__xludf.DUMMYFUNCTION("""COMPUTED_VALUE"""),44591.8378796296)</f>
        <v>44591.83788</v>
      </c>
      <c r="D1317" s="15">
        <f>IFERROR(__xludf.DUMMYFUNCTION("""COMPUTED_VALUE"""),1.001)</f>
        <v>1.001</v>
      </c>
      <c r="E1317" s="16">
        <f>IFERROR(__xludf.DUMMYFUNCTION("""COMPUTED_VALUE"""),62.0)</f>
        <v>62</v>
      </c>
      <c r="F1317" s="19" t="str">
        <f>IFERROR(__xludf.DUMMYFUNCTION("""COMPUTED_VALUE"""),"BLUE")</f>
        <v>BLUE</v>
      </c>
      <c r="G1317" s="20" t="str">
        <f>IFERROR(__xludf.DUMMYFUNCTION("""COMPUTED_VALUE"""),"Uncle Sams Cider (11/12/2021) (Blue)")</f>
        <v>Uncle Sams Cider (11/12/2021) (Blue)</v>
      </c>
      <c r="H1317" s="19"/>
    </row>
    <row r="1318">
      <c r="A1318" s="9"/>
      <c r="B1318" s="15"/>
      <c r="C1318" s="9">
        <f>IFERROR(__xludf.DUMMYFUNCTION("""COMPUTED_VALUE"""),44591.8274597106)</f>
        <v>44591.82746</v>
      </c>
      <c r="D1318" s="15">
        <f>IFERROR(__xludf.DUMMYFUNCTION("""COMPUTED_VALUE"""),1.0)</f>
        <v>1</v>
      </c>
      <c r="E1318" s="16">
        <f>IFERROR(__xludf.DUMMYFUNCTION("""COMPUTED_VALUE"""),62.0)</f>
        <v>62</v>
      </c>
      <c r="F1318" s="19" t="str">
        <f>IFERROR(__xludf.DUMMYFUNCTION("""COMPUTED_VALUE"""),"BLUE")</f>
        <v>BLUE</v>
      </c>
      <c r="G1318" s="20" t="str">
        <f>IFERROR(__xludf.DUMMYFUNCTION("""COMPUTED_VALUE"""),"Uncle Sams Cider (11/12/2021) (Blue)")</f>
        <v>Uncle Sams Cider (11/12/2021) (Blue)</v>
      </c>
      <c r="H1318" s="19"/>
    </row>
    <row r="1319">
      <c r="A1319" s="9"/>
      <c r="B1319" s="15"/>
      <c r="C1319" s="9">
        <f>IFERROR(__xludf.DUMMYFUNCTION("""COMPUTED_VALUE"""),44591.8170286458)</f>
        <v>44591.81703</v>
      </c>
      <c r="D1319" s="15">
        <f>IFERROR(__xludf.DUMMYFUNCTION("""COMPUTED_VALUE"""),1.0)</f>
        <v>1</v>
      </c>
      <c r="E1319" s="16">
        <f>IFERROR(__xludf.DUMMYFUNCTION("""COMPUTED_VALUE"""),62.0)</f>
        <v>62</v>
      </c>
      <c r="F1319" s="19" t="str">
        <f>IFERROR(__xludf.DUMMYFUNCTION("""COMPUTED_VALUE"""),"BLUE")</f>
        <v>BLUE</v>
      </c>
      <c r="G1319" s="20" t="str">
        <f>IFERROR(__xludf.DUMMYFUNCTION("""COMPUTED_VALUE"""),"Uncle Sams Cider (11/12/2021) (Blue)")</f>
        <v>Uncle Sams Cider (11/12/2021) (Blue)</v>
      </c>
      <c r="H1319" s="19"/>
    </row>
    <row r="1320">
      <c r="A1320" s="9"/>
      <c r="B1320" s="15"/>
      <c r="C1320" s="9">
        <f>IFERROR(__xludf.DUMMYFUNCTION("""COMPUTED_VALUE"""),44591.8065967013)</f>
        <v>44591.8066</v>
      </c>
      <c r="D1320" s="15">
        <f>IFERROR(__xludf.DUMMYFUNCTION("""COMPUTED_VALUE"""),1.0)</f>
        <v>1</v>
      </c>
      <c r="E1320" s="16">
        <f>IFERROR(__xludf.DUMMYFUNCTION("""COMPUTED_VALUE"""),62.0)</f>
        <v>62</v>
      </c>
      <c r="F1320" s="19" t="str">
        <f>IFERROR(__xludf.DUMMYFUNCTION("""COMPUTED_VALUE"""),"BLUE")</f>
        <v>BLUE</v>
      </c>
      <c r="G1320" s="20" t="str">
        <f>IFERROR(__xludf.DUMMYFUNCTION("""COMPUTED_VALUE"""),"Uncle Sams Cider (11/12/2021) (Blue)")</f>
        <v>Uncle Sams Cider (11/12/2021) (Blue)</v>
      </c>
      <c r="H1320" s="19"/>
    </row>
    <row r="1321">
      <c r="A1321" s="9"/>
      <c r="B1321" s="15"/>
      <c r="C1321" s="9">
        <f>IFERROR(__xludf.DUMMYFUNCTION("""COMPUTED_VALUE"""),44591.7961770601)</f>
        <v>44591.79618</v>
      </c>
      <c r="D1321" s="15">
        <f>IFERROR(__xludf.DUMMYFUNCTION("""COMPUTED_VALUE"""),1.0)</f>
        <v>1</v>
      </c>
      <c r="E1321" s="16">
        <f>IFERROR(__xludf.DUMMYFUNCTION("""COMPUTED_VALUE"""),62.0)</f>
        <v>62</v>
      </c>
      <c r="F1321" s="19" t="str">
        <f>IFERROR(__xludf.DUMMYFUNCTION("""COMPUTED_VALUE"""),"BLUE")</f>
        <v>BLUE</v>
      </c>
      <c r="G1321" s="20" t="str">
        <f>IFERROR(__xludf.DUMMYFUNCTION("""COMPUTED_VALUE"""),"Uncle Sams Cider (11/12/2021) (Blue)")</f>
        <v>Uncle Sams Cider (11/12/2021) (Blue)</v>
      </c>
      <c r="H1321" s="19"/>
    </row>
    <row r="1322">
      <c r="A1322" s="9"/>
      <c r="B1322" s="15"/>
      <c r="C1322" s="9">
        <f>IFERROR(__xludf.DUMMYFUNCTION("""COMPUTED_VALUE"""),44591.7857561805)</f>
        <v>44591.78576</v>
      </c>
      <c r="D1322" s="15">
        <f>IFERROR(__xludf.DUMMYFUNCTION("""COMPUTED_VALUE"""),1.0)</f>
        <v>1</v>
      </c>
      <c r="E1322" s="16">
        <f>IFERROR(__xludf.DUMMYFUNCTION("""COMPUTED_VALUE"""),62.0)</f>
        <v>62</v>
      </c>
      <c r="F1322" s="19" t="str">
        <f>IFERROR(__xludf.DUMMYFUNCTION("""COMPUTED_VALUE"""),"BLUE")</f>
        <v>BLUE</v>
      </c>
      <c r="G1322" s="20" t="str">
        <f>IFERROR(__xludf.DUMMYFUNCTION("""COMPUTED_VALUE"""),"Uncle Sams Cider (11/12/2021) (Blue)")</f>
        <v>Uncle Sams Cider (11/12/2021) (Blue)</v>
      </c>
      <c r="H1322" s="19"/>
    </row>
    <row r="1323">
      <c r="A1323" s="9"/>
      <c r="B1323" s="15"/>
      <c r="C1323" s="9">
        <f>IFERROR(__xludf.DUMMYFUNCTION("""COMPUTED_VALUE"""),44591.7753350231)</f>
        <v>44591.77534</v>
      </c>
      <c r="D1323" s="15">
        <f>IFERROR(__xludf.DUMMYFUNCTION("""COMPUTED_VALUE"""),1.0)</f>
        <v>1</v>
      </c>
      <c r="E1323" s="16">
        <f>IFERROR(__xludf.DUMMYFUNCTION("""COMPUTED_VALUE"""),62.0)</f>
        <v>62</v>
      </c>
      <c r="F1323" s="19" t="str">
        <f>IFERROR(__xludf.DUMMYFUNCTION("""COMPUTED_VALUE"""),"BLUE")</f>
        <v>BLUE</v>
      </c>
      <c r="G1323" s="20" t="str">
        <f>IFERROR(__xludf.DUMMYFUNCTION("""COMPUTED_VALUE"""),"Uncle Sams Cider (11/12/2021) (Blue)")</f>
        <v>Uncle Sams Cider (11/12/2021) (Blue)</v>
      </c>
      <c r="H1323" s="19"/>
    </row>
    <row r="1324">
      <c r="A1324" s="9"/>
      <c r="B1324" s="15"/>
      <c r="C1324" s="9">
        <f>IFERROR(__xludf.DUMMYFUNCTION("""COMPUTED_VALUE"""),44591.7649121759)</f>
        <v>44591.76491</v>
      </c>
      <c r="D1324" s="15">
        <f>IFERROR(__xludf.DUMMYFUNCTION("""COMPUTED_VALUE"""),1.0)</f>
        <v>1</v>
      </c>
      <c r="E1324" s="16">
        <f>IFERROR(__xludf.DUMMYFUNCTION("""COMPUTED_VALUE"""),62.0)</f>
        <v>62</v>
      </c>
      <c r="F1324" s="19" t="str">
        <f>IFERROR(__xludf.DUMMYFUNCTION("""COMPUTED_VALUE"""),"BLUE")</f>
        <v>BLUE</v>
      </c>
      <c r="G1324" s="20" t="str">
        <f>IFERROR(__xludf.DUMMYFUNCTION("""COMPUTED_VALUE"""),"Uncle Sams Cider (11/12/2021) (Blue)")</f>
        <v>Uncle Sams Cider (11/12/2021) (Blue)</v>
      </c>
      <c r="H1324" s="19"/>
    </row>
    <row r="1325">
      <c r="A1325" s="9"/>
      <c r="B1325" s="15"/>
      <c r="C1325" s="9">
        <f>IFERROR(__xludf.DUMMYFUNCTION("""COMPUTED_VALUE"""),44591.7544884027)</f>
        <v>44591.75449</v>
      </c>
      <c r="D1325" s="15">
        <f>IFERROR(__xludf.DUMMYFUNCTION("""COMPUTED_VALUE"""),1.001)</f>
        <v>1.001</v>
      </c>
      <c r="E1325" s="16">
        <f>IFERROR(__xludf.DUMMYFUNCTION("""COMPUTED_VALUE"""),62.0)</f>
        <v>62</v>
      </c>
      <c r="F1325" s="19" t="str">
        <f>IFERROR(__xludf.DUMMYFUNCTION("""COMPUTED_VALUE"""),"BLUE")</f>
        <v>BLUE</v>
      </c>
      <c r="G1325" s="20" t="str">
        <f>IFERROR(__xludf.DUMMYFUNCTION("""COMPUTED_VALUE"""),"Uncle Sams Cider (11/12/2021) (Blue)")</f>
        <v>Uncle Sams Cider (11/12/2021) (Blue)</v>
      </c>
      <c r="H1325" s="19"/>
    </row>
    <row r="1326">
      <c r="A1326" s="9"/>
      <c r="B1326" s="15"/>
      <c r="C1326" s="9">
        <f>IFERROR(__xludf.DUMMYFUNCTION("""COMPUTED_VALUE"""),44591.7440680439)</f>
        <v>44591.74407</v>
      </c>
      <c r="D1326" s="15">
        <f>IFERROR(__xludf.DUMMYFUNCTION("""COMPUTED_VALUE"""),1.0)</f>
        <v>1</v>
      </c>
      <c r="E1326" s="16">
        <f>IFERROR(__xludf.DUMMYFUNCTION("""COMPUTED_VALUE"""),62.0)</f>
        <v>62</v>
      </c>
      <c r="F1326" s="19" t="str">
        <f>IFERROR(__xludf.DUMMYFUNCTION("""COMPUTED_VALUE"""),"BLUE")</f>
        <v>BLUE</v>
      </c>
      <c r="G1326" s="20" t="str">
        <f>IFERROR(__xludf.DUMMYFUNCTION("""COMPUTED_VALUE"""),"Uncle Sams Cider (11/12/2021) (Blue)")</f>
        <v>Uncle Sams Cider (11/12/2021) (Blue)</v>
      </c>
      <c r="H1326" s="19"/>
    </row>
    <row r="1327">
      <c r="A1327" s="9"/>
      <c r="B1327" s="15"/>
      <c r="C1327" s="9">
        <f>IFERROR(__xludf.DUMMYFUNCTION("""COMPUTED_VALUE"""),44591.733646655)</f>
        <v>44591.73365</v>
      </c>
      <c r="D1327" s="15">
        <f>IFERROR(__xludf.DUMMYFUNCTION("""COMPUTED_VALUE"""),1.0)</f>
        <v>1</v>
      </c>
      <c r="E1327" s="16">
        <f>IFERROR(__xludf.DUMMYFUNCTION("""COMPUTED_VALUE"""),62.0)</f>
        <v>62</v>
      </c>
      <c r="F1327" s="19" t="str">
        <f>IFERROR(__xludf.DUMMYFUNCTION("""COMPUTED_VALUE"""),"BLUE")</f>
        <v>BLUE</v>
      </c>
      <c r="G1327" s="20" t="str">
        <f>IFERROR(__xludf.DUMMYFUNCTION("""COMPUTED_VALUE"""),"Uncle Sams Cider (11/12/2021) (Blue)")</f>
        <v>Uncle Sams Cider (11/12/2021) (Blue)</v>
      </c>
      <c r="H1327" s="19"/>
    </row>
    <row r="1328">
      <c r="A1328" s="9"/>
      <c r="B1328" s="15"/>
      <c r="C1328" s="9">
        <f>IFERROR(__xludf.DUMMYFUNCTION("""COMPUTED_VALUE"""),44591.7232138194)</f>
        <v>44591.72321</v>
      </c>
      <c r="D1328" s="15">
        <f>IFERROR(__xludf.DUMMYFUNCTION("""COMPUTED_VALUE"""),1.0)</f>
        <v>1</v>
      </c>
      <c r="E1328" s="16">
        <f>IFERROR(__xludf.DUMMYFUNCTION("""COMPUTED_VALUE"""),62.0)</f>
        <v>62</v>
      </c>
      <c r="F1328" s="19" t="str">
        <f>IFERROR(__xludf.DUMMYFUNCTION("""COMPUTED_VALUE"""),"BLUE")</f>
        <v>BLUE</v>
      </c>
      <c r="G1328" s="20" t="str">
        <f>IFERROR(__xludf.DUMMYFUNCTION("""COMPUTED_VALUE"""),"Uncle Sams Cider (11/12/2021) (Blue)")</f>
        <v>Uncle Sams Cider (11/12/2021) (Blue)</v>
      </c>
      <c r="H1328" s="19"/>
    </row>
    <row r="1329">
      <c r="A1329" s="9"/>
      <c r="B1329" s="15"/>
      <c r="C1329" s="9">
        <f>IFERROR(__xludf.DUMMYFUNCTION("""COMPUTED_VALUE"""),44591.7127926388)</f>
        <v>44591.71279</v>
      </c>
      <c r="D1329" s="15">
        <f>IFERROR(__xludf.DUMMYFUNCTION("""COMPUTED_VALUE"""),1.0)</f>
        <v>1</v>
      </c>
      <c r="E1329" s="16">
        <f>IFERROR(__xludf.DUMMYFUNCTION("""COMPUTED_VALUE"""),62.0)</f>
        <v>62</v>
      </c>
      <c r="F1329" s="19" t="str">
        <f>IFERROR(__xludf.DUMMYFUNCTION("""COMPUTED_VALUE"""),"BLUE")</f>
        <v>BLUE</v>
      </c>
      <c r="G1329" s="20" t="str">
        <f>IFERROR(__xludf.DUMMYFUNCTION("""COMPUTED_VALUE"""),"Uncle Sams Cider (11/12/2021) (Blue)")</f>
        <v>Uncle Sams Cider (11/12/2021) (Blue)</v>
      </c>
      <c r="H1329" s="19"/>
    </row>
    <row r="1330">
      <c r="A1330" s="9"/>
      <c r="B1330" s="15"/>
      <c r="C1330" s="9">
        <f>IFERROR(__xludf.DUMMYFUNCTION("""COMPUTED_VALUE"""),44591.7023717824)</f>
        <v>44591.70237</v>
      </c>
      <c r="D1330" s="15">
        <f>IFERROR(__xludf.DUMMYFUNCTION("""COMPUTED_VALUE"""),1.0)</f>
        <v>1</v>
      </c>
      <c r="E1330" s="16">
        <f>IFERROR(__xludf.DUMMYFUNCTION("""COMPUTED_VALUE"""),62.0)</f>
        <v>62</v>
      </c>
      <c r="F1330" s="19" t="str">
        <f>IFERROR(__xludf.DUMMYFUNCTION("""COMPUTED_VALUE"""),"BLUE")</f>
        <v>BLUE</v>
      </c>
      <c r="G1330" s="20" t="str">
        <f>IFERROR(__xludf.DUMMYFUNCTION("""COMPUTED_VALUE"""),"Uncle Sams Cider (11/12/2021) (Blue)")</f>
        <v>Uncle Sams Cider (11/12/2021) (Blue)</v>
      </c>
      <c r="H1330" s="19"/>
    </row>
    <row r="1331">
      <c r="A1331" s="9"/>
      <c r="B1331" s="15"/>
      <c r="C1331" s="9">
        <f>IFERROR(__xludf.DUMMYFUNCTION("""COMPUTED_VALUE"""),44591.6919492013)</f>
        <v>44591.69195</v>
      </c>
      <c r="D1331" s="15">
        <f>IFERROR(__xludf.DUMMYFUNCTION("""COMPUTED_VALUE"""),1.0)</f>
        <v>1</v>
      </c>
      <c r="E1331" s="16">
        <f>IFERROR(__xludf.DUMMYFUNCTION("""COMPUTED_VALUE"""),62.0)</f>
        <v>62</v>
      </c>
      <c r="F1331" s="19" t="str">
        <f>IFERROR(__xludf.DUMMYFUNCTION("""COMPUTED_VALUE"""),"BLUE")</f>
        <v>BLUE</v>
      </c>
      <c r="G1331" s="20" t="str">
        <f>IFERROR(__xludf.DUMMYFUNCTION("""COMPUTED_VALUE"""),"Uncle Sams Cider (11/12/2021) (Blue)")</f>
        <v>Uncle Sams Cider (11/12/2021) (Blue)</v>
      </c>
      <c r="H1331" s="19"/>
    </row>
    <row r="1332">
      <c r="A1332" s="9"/>
      <c r="B1332" s="15"/>
      <c r="C1332" s="9">
        <f>IFERROR(__xludf.DUMMYFUNCTION("""COMPUTED_VALUE"""),44591.6815296527)</f>
        <v>44591.68153</v>
      </c>
      <c r="D1332" s="15">
        <f>IFERROR(__xludf.DUMMYFUNCTION("""COMPUTED_VALUE"""),1.0)</f>
        <v>1</v>
      </c>
      <c r="E1332" s="16">
        <f>IFERROR(__xludf.DUMMYFUNCTION("""COMPUTED_VALUE"""),62.0)</f>
        <v>62</v>
      </c>
      <c r="F1332" s="19" t="str">
        <f>IFERROR(__xludf.DUMMYFUNCTION("""COMPUTED_VALUE"""),"BLUE")</f>
        <v>BLUE</v>
      </c>
      <c r="G1332" s="20" t="str">
        <f>IFERROR(__xludf.DUMMYFUNCTION("""COMPUTED_VALUE"""),"Uncle Sams Cider (11/12/2021) (Blue)")</f>
        <v>Uncle Sams Cider (11/12/2021) (Blue)</v>
      </c>
      <c r="H1332" s="19"/>
    </row>
    <row r="1333">
      <c r="A1333" s="9"/>
      <c r="B1333" s="15"/>
      <c r="C1333" s="9">
        <f>IFERROR(__xludf.DUMMYFUNCTION("""COMPUTED_VALUE"""),44591.6710969212)</f>
        <v>44591.6711</v>
      </c>
      <c r="D1333" s="15">
        <f>IFERROR(__xludf.DUMMYFUNCTION("""COMPUTED_VALUE"""),1.0)</f>
        <v>1</v>
      </c>
      <c r="E1333" s="16">
        <f>IFERROR(__xludf.DUMMYFUNCTION("""COMPUTED_VALUE"""),62.0)</f>
        <v>62</v>
      </c>
      <c r="F1333" s="19" t="str">
        <f>IFERROR(__xludf.DUMMYFUNCTION("""COMPUTED_VALUE"""),"BLUE")</f>
        <v>BLUE</v>
      </c>
      <c r="G1333" s="20" t="str">
        <f>IFERROR(__xludf.DUMMYFUNCTION("""COMPUTED_VALUE"""),"Uncle Sams Cider (11/12/2021) (Blue)")</f>
        <v>Uncle Sams Cider (11/12/2021) (Blue)</v>
      </c>
      <c r="H1333" s="19"/>
    </row>
    <row r="1334">
      <c r="A1334" s="9"/>
      <c r="B1334" s="15"/>
      <c r="C1334" s="9">
        <f>IFERROR(__xludf.DUMMYFUNCTION("""COMPUTED_VALUE"""),44591.6606772106)</f>
        <v>44591.66068</v>
      </c>
      <c r="D1334" s="15">
        <f>IFERROR(__xludf.DUMMYFUNCTION("""COMPUTED_VALUE"""),1.0)</f>
        <v>1</v>
      </c>
      <c r="E1334" s="16">
        <f>IFERROR(__xludf.DUMMYFUNCTION("""COMPUTED_VALUE"""),62.0)</f>
        <v>62</v>
      </c>
      <c r="F1334" s="19" t="str">
        <f>IFERROR(__xludf.DUMMYFUNCTION("""COMPUTED_VALUE"""),"BLUE")</f>
        <v>BLUE</v>
      </c>
      <c r="G1334" s="20" t="str">
        <f>IFERROR(__xludf.DUMMYFUNCTION("""COMPUTED_VALUE"""),"Uncle Sams Cider (11/12/2021) (Blue)")</f>
        <v>Uncle Sams Cider (11/12/2021) (Blue)</v>
      </c>
      <c r="H1334" s="19"/>
    </row>
    <row r="1335">
      <c r="A1335" s="9"/>
      <c r="B1335" s="15"/>
      <c r="C1335" s="9">
        <f>IFERROR(__xludf.DUMMYFUNCTION("""COMPUTED_VALUE"""),44591.6502563194)</f>
        <v>44591.65026</v>
      </c>
      <c r="D1335" s="15">
        <f>IFERROR(__xludf.DUMMYFUNCTION("""COMPUTED_VALUE"""),1.001)</f>
        <v>1.001</v>
      </c>
      <c r="E1335" s="16">
        <f>IFERROR(__xludf.DUMMYFUNCTION("""COMPUTED_VALUE"""),62.0)</f>
        <v>62</v>
      </c>
      <c r="F1335" s="19" t="str">
        <f>IFERROR(__xludf.DUMMYFUNCTION("""COMPUTED_VALUE"""),"BLUE")</f>
        <v>BLUE</v>
      </c>
      <c r="G1335" s="20" t="str">
        <f>IFERROR(__xludf.DUMMYFUNCTION("""COMPUTED_VALUE"""),"Uncle Sams Cider (11/12/2021) (Blue)")</f>
        <v>Uncle Sams Cider (11/12/2021) (Blue)</v>
      </c>
      <c r="H1335" s="19"/>
    </row>
    <row r="1336">
      <c r="A1336" s="9"/>
      <c r="B1336" s="15"/>
      <c r="C1336" s="9">
        <f>IFERROR(__xludf.DUMMYFUNCTION("""COMPUTED_VALUE"""),44591.6398353356)</f>
        <v>44591.63984</v>
      </c>
      <c r="D1336" s="15">
        <f>IFERROR(__xludf.DUMMYFUNCTION("""COMPUTED_VALUE"""),1.0)</f>
        <v>1</v>
      </c>
      <c r="E1336" s="16">
        <f>IFERROR(__xludf.DUMMYFUNCTION("""COMPUTED_VALUE"""),62.0)</f>
        <v>62</v>
      </c>
      <c r="F1336" s="19" t="str">
        <f>IFERROR(__xludf.DUMMYFUNCTION("""COMPUTED_VALUE"""),"BLUE")</f>
        <v>BLUE</v>
      </c>
      <c r="G1336" s="20" t="str">
        <f>IFERROR(__xludf.DUMMYFUNCTION("""COMPUTED_VALUE"""),"Uncle Sams Cider (11/12/2021) (Blue)")</f>
        <v>Uncle Sams Cider (11/12/2021) (Blue)</v>
      </c>
      <c r="H1336" s="19"/>
    </row>
    <row r="1337">
      <c r="A1337" s="9"/>
      <c r="B1337" s="15"/>
      <c r="C1337" s="9">
        <f>IFERROR(__xludf.DUMMYFUNCTION("""COMPUTED_VALUE"""),44591.6294166088)</f>
        <v>44591.62942</v>
      </c>
      <c r="D1337" s="15">
        <f>IFERROR(__xludf.DUMMYFUNCTION("""COMPUTED_VALUE"""),1.0)</f>
        <v>1</v>
      </c>
      <c r="E1337" s="16">
        <f>IFERROR(__xludf.DUMMYFUNCTION("""COMPUTED_VALUE"""),62.0)</f>
        <v>62</v>
      </c>
      <c r="F1337" s="19" t="str">
        <f>IFERROR(__xludf.DUMMYFUNCTION("""COMPUTED_VALUE"""),"BLUE")</f>
        <v>BLUE</v>
      </c>
      <c r="G1337" s="20" t="str">
        <f>IFERROR(__xludf.DUMMYFUNCTION("""COMPUTED_VALUE"""),"Uncle Sams Cider (11/12/2021) (Blue)")</f>
        <v>Uncle Sams Cider (11/12/2021) (Blue)</v>
      </c>
      <c r="H1337" s="19"/>
    </row>
    <row r="1338">
      <c r="A1338" s="9"/>
      <c r="B1338" s="15"/>
      <c r="C1338" s="9">
        <f>IFERROR(__xludf.DUMMYFUNCTION("""COMPUTED_VALUE"""),44591.6189951041)</f>
        <v>44591.619</v>
      </c>
      <c r="D1338" s="15">
        <f>IFERROR(__xludf.DUMMYFUNCTION("""COMPUTED_VALUE"""),1.0)</f>
        <v>1</v>
      </c>
      <c r="E1338" s="16">
        <f>IFERROR(__xludf.DUMMYFUNCTION("""COMPUTED_VALUE"""),62.0)</f>
        <v>62</v>
      </c>
      <c r="F1338" s="19" t="str">
        <f>IFERROR(__xludf.DUMMYFUNCTION("""COMPUTED_VALUE"""),"BLUE")</f>
        <v>BLUE</v>
      </c>
      <c r="G1338" s="20" t="str">
        <f>IFERROR(__xludf.DUMMYFUNCTION("""COMPUTED_VALUE"""),"Uncle Sams Cider (11/12/2021) (Blue)")</f>
        <v>Uncle Sams Cider (11/12/2021) (Blue)</v>
      </c>
      <c r="H1338" s="19"/>
    </row>
    <row r="1339">
      <c r="A1339" s="9"/>
      <c r="B1339" s="15"/>
      <c r="C1339" s="9">
        <f>IFERROR(__xludf.DUMMYFUNCTION("""COMPUTED_VALUE"""),44591.6085748148)</f>
        <v>44591.60857</v>
      </c>
      <c r="D1339" s="15">
        <f>IFERROR(__xludf.DUMMYFUNCTION("""COMPUTED_VALUE"""),1.0)</f>
        <v>1</v>
      </c>
      <c r="E1339" s="16">
        <f>IFERROR(__xludf.DUMMYFUNCTION("""COMPUTED_VALUE"""),62.0)</f>
        <v>62</v>
      </c>
      <c r="F1339" s="19" t="str">
        <f>IFERROR(__xludf.DUMMYFUNCTION("""COMPUTED_VALUE"""),"BLUE")</f>
        <v>BLUE</v>
      </c>
      <c r="G1339" s="20" t="str">
        <f>IFERROR(__xludf.DUMMYFUNCTION("""COMPUTED_VALUE"""),"Uncle Sams Cider (11/12/2021) (Blue)")</f>
        <v>Uncle Sams Cider (11/12/2021) (Blue)</v>
      </c>
      <c r="H1339" s="19"/>
    </row>
    <row r="1340">
      <c r="A1340" s="9"/>
      <c r="B1340" s="15"/>
      <c r="C1340" s="9">
        <f>IFERROR(__xludf.DUMMYFUNCTION("""COMPUTED_VALUE"""),44591.5981552199)</f>
        <v>44591.59816</v>
      </c>
      <c r="D1340" s="15">
        <f>IFERROR(__xludf.DUMMYFUNCTION("""COMPUTED_VALUE"""),1.0)</f>
        <v>1</v>
      </c>
      <c r="E1340" s="16">
        <f>IFERROR(__xludf.DUMMYFUNCTION("""COMPUTED_VALUE"""),62.0)</f>
        <v>62</v>
      </c>
      <c r="F1340" s="19" t="str">
        <f>IFERROR(__xludf.DUMMYFUNCTION("""COMPUTED_VALUE"""),"BLUE")</f>
        <v>BLUE</v>
      </c>
      <c r="G1340" s="20" t="str">
        <f>IFERROR(__xludf.DUMMYFUNCTION("""COMPUTED_VALUE"""),"Uncle Sams Cider (11/12/2021) (Blue)")</f>
        <v>Uncle Sams Cider (11/12/2021) (Blue)</v>
      </c>
      <c r="H1340" s="19"/>
    </row>
    <row r="1341">
      <c r="A1341" s="9"/>
      <c r="B1341" s="15"/>
      <c r="C1341" s="9">
        <f>IFERROR(__xludf.DUMMYFUNCTION("""COMPUTED_VALUE"""),44591.5876986574)</f>
        <v>44591.5877</v>
      </c>
      <c r="D1341" s="15">
        <f>IFERROR(__xludf.DUMMYFUNCTION("""COMPUTED_VALUE"""),1.0)</f>
        <v>1</v>
      </c>
      <c r="E1341" s="16">
        <f>IFERROR(__xludf.DUMMYFUNCTION("""COMPUTED_VALUE"""),62.0)</f>
        <v>62</v>
      </c>
      <c r="F1341" s="19" t="str">
        <f>IFERROR(__xludf.DUMMYFUNCTION("""COMPUTED_VALUE"""),"BLUE")</f>
        <v>BLUE</v>
      </c>
      <c r="G1341" s="20" t="str">
        <f>IFERROR(__xludf.DUMMYFUNCTION("""COMPUTED_VALUE"""),"Uncle Sams Cider (11/12/2021) (Blue)")</f>
        <v>Uncle Sams Cider (11/12/2021) (Blue)</v>
      </c>
      <c r="H1341" s="19"/>
    </row>
    <row r="1342">
      <c r="A1342" s="9"/>
      <c r="B1342" s="15"/>
      <c r="C1342" s="9">
        <f>IFERROR(__xludf.DUMMYFUNCTION("""COMPUTED_VALUE"""),44591.5772768171)</f>
        <v>44591.57728</v>
      </c>
      <c r="D1342" s="15">
        <f>IFERROR(__xludf.DUMMYFUNCTION("""COMPUTED_VALUE"""),1.0)</f>
        <v>1</v>
      </c>
      <c r="E1342" s="16">
        <f>IFERROR(__xludf.DUMMYFUNCTION("""COMPUTED_VALUE"""),62.0)</f>
        <v>62</v>
      </c>
      <c r="F1342" s="19" t="str">
        <f>IFERROR(__xludf.DUMMYFUNCTION("""COMPUTED_VALUE"""),"BLUE")</f>
        <v>BLUE</v>
      </c>
      <c r="G1342" s="20" t="str">
        <f>IFERROR(__xludf.DUMMYFUNCTION("""COMPUTED_VALUE"""),"Uncle Sams Cider (11/12/2021) (Blue)")</f>
        <v>Uncle Sams Cider (11/12/2021) (Blue)</v>
      </c>
      <c r="H1342" s="19"/>
    </row>
    <row r="1343">
      <c r="A1343" s="9"/>
      <c r="B1343" s="15"/>
      <c r="C1343" s="9">
        <f>IFERROR(__xludf.DUMMYFUNCTION("""COMPUTED_VALUE"""),44591.5668580439)</f>
        <v>44591.56686</v>
      </c>
      <c r="D1343" s="15">
        <f>IFERROR(__xludf.DUMMYFUNCTION("""COMPUTED_VALUE"""),1.0)</f>
        <v>1</v>
      </c>
      <c r="E1343" s="16">
        <f>IFERROR(__xludf.DUMMYFUNCTION("""COMPUTED_VALUE"""),62.0)</f>
        <v>62</v>
      </c>
      <c r="F1343" s="19" t="str">
        <f>IFERROR(__xludf.DUMMYFUNCTION("""COMPUTED_VALUE"""),"BLUE")</f>
        <v>BLUE</v>
      </c>
      <c r="G1343" s="20" t="str">
        <f>IFERROR(__xludf.DUMMYFUNCTION("""COMPUTED_VALUE"""),"Uncle Sams Cider (11/12/2021) (Blue)")</f>
        <v>Uncle Sams Cider (11/12/2021) (Blue)</v>
      </c>
      <c r="H1343" s="19"/>
    </row>
    <row r="1344">
      <c r="A1344" s="9"/>
      <c r="B1344" s="15"/>
      <c r="C1344" s="9">
        <f>IFERROR(__xludf.DUMMYFUNCTION("""COMPUTED_VALUE"""),44591.5564356365)</f>
        <v>44591.55644</v>
      </c>
      <c r="D1344" s="15">
        <f>IFERROR(__xludf.DUMMYFUNCTION("""COMPUTED_VALUE"""),1.0)</f>
        <v>1</v>
      </c>
      <c r="E1344" s="16">
        <f>IFERROR(__xludf.DUMMYFUNCTION("""COMPUTED_VALUE"""),62.0)</f>
        <v>62</v>
      </c>
      <c r="F1344" s="19" t="str">
        <f>IFERROR(__xludf.DUMMYFUNCTION("""COMPUTED_VALUE"""),"BLUE")</f>
        <v>BLUE</v>
      </c>
      <c r="G1344" s="20" t="str">
        <f>IFERROR(__xludf.DUMMYFUNCTION("""COMPUTED_VALUE"""),"Uncle Sams Cider (11/12/2021) (Blue)")</f>
        <v>Uncle Sams Cider (11/12/2021) (Blue)</v>
      </c>
      <c r="H1344" s="19"/>
    </row>
    <row r="1345">
      <c r="A1345" s="9"/>
      <c r="B1345" s="15"/>
      <c r="C1345" s="9">
        <f>IFERROR(__xludf.DUMMYFUNCTION("""COMPUTED_VALUE"""),44591.5460156828)</f>
        <v>44591.54602</v>
      </c>
      <c r="D1345" s="15">
        <f>IFERROR(__xludf.DUMMYFUNCTION("""COMPUTED_VALUE"""),1.0)</f>
        <v>1</v>
      </c>
      <c r="E1345" s="16">
        <f>IFERROR(__xludf.DUMMYFUNCTION("""COMPUTED_VALUE"""),62.0)</f>
        <v>62</v>
      </c>
      <c r="F1345" s="19" t="str">
        <f>IFERROR(__xludf.DUMMYFUNCTION("""COMPUTED_VALUE"""),"BLUE")</f>
        <v>BLUE</v>
      </c>
      <c r="G1345" s="20" t="str">
        <f>IFERROR(__xludf.DUMMYFUNCTION("""COMPUTED_VALUE"""),"Uncle Sams Cider (11/12/2021) (Blue)")</f>
        <v>Uncle Sams Cider (11/12/2021) (Blue)</v>
      </c>
      <c r="H1345" s="19"/>
    </row>
    <row r="1346">
      <c r="A1346" s="9"/>
      <c r="B1346" s="15"/>
      <c r="C1346" s="9">
        <f>IFERROR(__xludf.DUMMYFUNCTION("""COMPUTED_VALUE"""),44591.5355818402)</f>
        <v>44591.53558</v>
      </c>
      <c r="D1346" s="15">
        <f>IFERROR(__xludf.DUMMYFUNCTION("""COMPUTED_VALUE"""),1.0)</f>
        <v>1</v>
      </c>
      <c r="E1346" s="16">
        <f>IFERROR(__xludf.DUMMYFUNCTION("""COMPUTED_VALUE"""),62.0)</f>
        <v>62</v>
      </c>
      <c r="F1346" s="19" t="str">
        <f>IFERROR(__xludf.DUMMYFUNCTION("""COMPUTED_VALUE"""),"BLUE")</f>
        <v>BLUE</v>
      </c>
      <c r="G1346" s="20" t="str">
        <f>IFERROR(__xludf.DUMMYFUNCTION("""COMPUTED_VALUE"""),"Uncle Sams Cider (11/12/2021) (Blue)")</f>
        <v>Uncle Sams Cider (11/12/2021) (Blue)</v>
      </c>
      <c r="H1346" s="19"/>
    </row>
    <row r="1347">
      <c r="A1347" s="9"/>
      <c r="B1347" s="15"/>
      <c r="C1347" s="9">
        <f>IFERROR(__xludf.DUMMYFUNCTION("""COMPUTED_VALUE"""),44591.5251616666)</f>
        <v>44591.52516</v>
      </c>
      <c r="D1347" s="15">
        <f>IFERROR(__xludf.DUMMYFUNCTION("""COMPUTED_VALUE"""),1.0)</f>
        <v>1</v>
      </c>
      <c r="E1347" s="16">
        <f>IFERROR(__xludf.DUMMYFUNCTION("""COMPUTED_VALUE"""),62.0)</f>
        <v>62</v>
      </c>
      <c r="F1347" s="19" t="str">
        <f>IFERROR(__xludf.DUMMYFUNCTION("""COMPUTED_VALUE"""),"BLUE")</f>
        <v>BLUE</v>
      </c>
      <c r="G1347" s="20" t="str">
        <f>IFERROR(__xludf.DUMMYFUNCTION("""COMPUTED_VALUE"""),"Uncle Sams Cider (11/12/2021) (Blue)")</f>
        <v>Uncle Sams Cider (11/12/2021) (Blue)</v>
      </c>
      <c r="H1347" s="19"/>
    </row>
    <row r="1348">
      <c r="A1348" s="9"/>
      <c r="B1348" s="15"/>
      <c r="C1348" s="9">
        <f>IFERROR(__xludf.DUMMYFUNCTION("""COMPUTED_VALUE"""),44591.5147392592)</f>
        <v>44591.51474</v>
      </c>
      <c r="D1348" s="15">
        <f>IFERROR(__xludf.DUMMYFUNCTION("""COMPUTED_VALUE"""),1.0)</f>
        <v>1</v>
      </c>
      <c r="E1348" s="16">
        <f>IFERROR(__xludf.DUMMYFUNCTION("""COMPUTED_VALUE"""),62.0)</f>
        <v>62</v>
      </c>
      <c r="F1348" s="19" t="str">
        <f>IFERROR(__xludf.DUMMYFUNCTION("""COMPUTED_VALUE"""),"BLUE")</f>
        <v>BLUE</v>
      </c>
      <c r="G1348" s="20" t="str">
        <f>IFERROR(__xludf.DUMMYFUNCTION("""COMPUTED_VALUE"""),"Uncle Sams Cider (11/12/2021) (Blue)")</f>
        <v>Uncle Sams Cider (11/12/2021) (Blue)</v>
      </c>
      <c r="H1348" s="19"/>
    </row>
    <row r="1349">
      <c r="A1349" s="9"/>
      <c r="B1349" s="15"/>
      <c r="C1349" s="9">
        <f>IFERROR(__xludf.DUMMYFUNCTION("""COMPUTED_VALUE"""),44591.5043181944)</f>
        <v>44591.50432</v>
      </c>
      <c r="D1349" s="15">
        <f>IFERROR(__xludf.DUMMYFUNCTION("""COMPUTED_VALUE"""),1.0)</f>
        <v>1</v>
      </c>
      <c r="E1349" s="16">
        <f>IFERROR(__xludf.DUMMYFUNCTION("""COMPUTED_VALUE"""),62.0)</f>
        <v>62</v>
      </c>
      <c r="F1349" s="19" t="str">
        <f>IFERROR(__xludf.DUMMYFUNCTION("""COMPUTED_VALUE"""),"BLUE")</f>
        <v>BLUE</v>
      </c>
      <c r="G1349" s="20" t="str">
        <f>IFERROR(__xludf.DUMMYFUNCTION("""COMPUTED_VALUE"""),"Uncle Sams Cider (11/12/2021) (Blue)")</f>
        <v>Uncle Sams Cider (11/12/2021) (Blue)</v>
      </c>
      <c r="H1349" s="19"/>
    </row>
    <row r="1350">
      <c r="A1350" s="9"/>
      <c r="B1350" s="15"/>
      <c r="C1350" s="9">
        <f>IFERROR(__xludf.DUMMYFUNCTION("""COMPUTED_VALUE"""),44591.4938973263)</f>
        <v>44591.4939</v>
      </c>
      <c r="D1350" s="15">
        <f>IFERROR(__xludf.DUMMYFUNCTION("""COMPUTED_VALUE"""),1.0)</f>
        <v>1</v>
      </c>
      <c r="E1350" s="16">
        <f>IFERROR(__xludf.DUMMYFUNCTION("""COMPUTED_VALUE"""),62.0)</f>
        <v>62</v>
      </c>
      <c r="F1350" s="19" t="str">
        <f>IFERROR(__xludf.DUMMYFUNCTION("""COMPUTED_VALUE"""),"BLUE")</f>
        <v>BLUE</v>
      </c>
      <c r="G1350" s="20" t="str">
        <f>IFERROR(__xludf.DUMMYFUNCTION("""COMPUTED_VALUE"""),"Uncle Sams Cider (11/12/2021) (Blue)")</f>
        <v>Uncle Sams Cider (11/12/2021) (Blue)</v>
      </c>
      <c r="H1350" s="19"/>
    </row>
    <row r="1351">
      <c r="A1351" s="9"/>
      <c r="B1351" s="15"/>
      <c r="C1351" s="9">
        <f>IFERROR(__xludf.DUMMYFUNCTION("""COMPUTED_VALUE"""),44591.4834749421)</f>
        <v>44591.48347</v>
      </c>
      <c r="D1351" s="15">
        <f>IFERROR(__xludf.DUMMYFUNCTION("""COMPUTED_VALUE"""),1.0)</f>
        <v>1</v>
      </c>
      <c r="E1351" s="16">
        <f>IFERROR(__xludf.DUMMYFUNCTION("""COMPUTED_VALUE"""),62.0)</f>
        <v>62</v>
      </c>
      <c r="F1351" s="19" t="str">
        <f>IFERROR(__xludf.DUMMYFUNCTION("""COMPUTED_VALUE"""),"BLUE")</f>
        <v>BLUE</v>
      </c>
      <c r="G1351" s="20" t="str">
        <f>IFERROR(__xludf.DUMMYFUNCTION("""COMPUTED_VALUE"""),"Uncle Sams Cider (11/12/2021) (Blue)")</f>
        <v>Uncle Sams Cider (11/12/2021) (Blue)</v>
      </c>
      <c r="H1351" s="19"/>
    </row>
    <row r="1352">
      <c r="A1352" s="9"/>
      <c r="B1352" s="15"/>
      <c r="C1352" s="9">
        <f>IFERROR(__xludf.DUMMYFUNCTION("""COMPUTED_VALUE"""),44591.4730528472)</f>
        <v>44591.47305</v>
      </c>
      <c r="D1352" s="15">
        <f>IFERROR(__xludf.DUMMYFUNCTION("""COMPUTED_VALUE"""),1.0)</f>
        <v>1</v>
      </c>
      <c r="E1352" s="16">
        <f>IFERROR(__xludf.DUMMYFUNCTION("""COMPUTED_VALUE"""),63.0)</f>
        <v>63</v>
      </c>
      <c r="F1352" s="19" t="str">
        <f>IFERROR(__xludf.DUMMYFUNCTION("""COMPUTED_VALUE"""),"BLUE")</f>
        <v>BLUE</v>
      </c>
      <c r="G1352" s="20" t="str">
        <f>IFERROR(__xludf.DUMMYFUNCTION("""COMPUTED_VALUE"""),"Uncle Sams Cider (11/12/2021) (Blue)")</f>
        <v>Uncle Sams Cider (11/12/2021) (Blue)</v>
      </c>
      <c r="H1352" s="19"/>
    </row>
    <row r="1353">
      <c r="A1353" s="9"/>
      <c r="B1353" s="15"/>
      <c r="C1353" s="9">
        <f>IFERROR(__xludf.DUMMYFUNCTION("""COMPUTED_VALUE"""),44591.4626302314)</f>
        <v>44591.46263</v>
      </c>
      <c r="D1353" s="15">
        <f>IFERROR(__xludf.DUMMYFUNCTION("""COMPUTED_VALUE"""),1.0)</f>
        <v>1</v>
      </c>
      <c r="E1353" s="16">
        <f>IFERROR(__xludf.DUMMYFUNCTION("""COMPUTED_VALUE"""),62.0)</f>
        <v>62</v>
      </c>
      <c r="F1353" s="19" t="str">
        <f>IFERROR(__xludf.DUMMYFUNCTION("""COMPUTED_VALUE"""),"BLUE")</f>
        <v>BLUE</v>
      </c>
      <c r="G1353" s="20" t="str">
        <f>IFERROR(__xludf.DUMMYFUNCTION("""COMPUTED_VALUE"""),"Uncle Sams Cider (11/12/2021) (Blue)")</f>
        <v>Uncle Sams Cider (11/12/2021) (Blue)</v>
      </c>
      <c r="H1353" s="19"/>
    </row>
    <row r="1354">
      <c r="A1354" s="9"/>
      <c r="B1354" s="15"/>
      <c r="C1354" s="9">
        <f>IFERROR(__xludf.DUMMYFUNCTION("""COMPUTED_VALUE"""),44591.4522097685)</f>
        <v>44591.45221</v>
      </c>
      <c r="D1354" s="15">
        <f>IFERROR(__xludf.DUMMYFUNCTION("""COMPUTED_VALUE"""),1.0)</f>
        <v>1</v>
      </c>
      <c r="E1354" s="16">
        <f>IFERROR(__xludf.DUMMYFUNCTION("""COMPUTED_VALUE"""),62.0)</f>
        <v>62</v>
      </c>
      <c r="F1354" s="19" t="str">
        <f>IFERROR(__xludf.DUMMYFUNCTION("""COMPUTED_VALUE"""),"BLUE")</f>
        <v>BLUE</v>
      </c>
      <c r="G1354" s="20" t="str">
        <f>IFERROR(__xludf.DUMMYFUNCTION("""COMPUTED_VALUE"""),"Uncle Sams Cider (11/12/2021) (Blue)")</f>
        <v>Uncle Sams Cider (11/12/2021) (Blue)</v>
      </c>
      <c r="H1354" s="19"/>
    </row>
    <row r="1355">
      <c r="A1355" s="9"/>
      <c r="B1355" s="15"/>
      <c r="C1355" s="9">
        <f>IFERROR(__xludf.DUMMYFUNCTION("""COMPUTED_VALUE"""),44591.4417882407)</f>
        <v>44591.44179</v>
      </c>
      <c r="D1355" s="15">
        <f>IFERROR(__xludf.DUMMYFUNCTION("""COMPUTED_VALUE"""),1.0)</f>
        <v>1</v>
      </c>
      <c r="E1355" s="16">
        <f>IFERROR(__xludf.DUMMYFUNCTION("""COMPUTED_VALUE"""),62.0)</f>
        <v>62</v>
      </c>
      <c r="F1355" s="19" t="str">
        <f>IFERROR(__xludf.DUMMYFUNCTION("""COMPUTED_VALUE"""),"BLUE")</f>
        <v>BLUE</v>
      </c>
      <c r="G1355" s="20" t="str">
        <f>IFERROR(__xludf.DUMMYFUNCTION("""COMPUTED_VALUE"""),"Uncle Sams Cider (11/12/2021) (Blue)")</f>
        <v>Uncle Sams Cider (11/12/2021) (Blue)</v>
      </c>
      <c r="H1355" s="19"/>
    </row>
    <row r="1356">
      <c r="A1356" s="9"/>
      <c r="B1356" s="15"/>
      <c r="C1356" s="9">
        <f>IFERROR(__xludf.DUMMYFUNCTION("""COMPUTED_VALUE"""),44591.431367118)</f>
        <v>44591.43137</v>
      </c>
      <c r="D1356" s="15">
        <f>IFERROR(__xludf.DUMMYFUNCTION("""COMPUTED_VALUE"""),1.0)</f>
        <v>1</v>
      </c>
      <c r="E1356" s="16">
        <f>IFERROR(__xludf.DUMMYFUNCTION("""COMPUTED_VALUE"""),63.0)</f>
        <v>63</v>
      </c>
      <c r="F1356" s="19" t="str">
        <f>IFERROR(__xludf.DUMMYFUNCTION("""COMPUTED_VALUE"""),"BLUE")</f>
        <v>BLUE</v>
      </c>
      <c r="G1356" s="20" t="str">
        <f>IFERROR(__xludf.DUMMYFUNCTION("""COMPUTED_VALUE"""),"Uncle Sams Cider (11/12/2021) (Blue)")</f>
        <v>Uncle Sams Cider (11/12/2021) (Blue)</v>
      </c>
      <c r="H1356" s="19"/>
    </row>
    <row r="1357">
      <c r="A1357" s="9"/>
      <c r="B1357" s="15"/>
      <c r="C1357" s="9">
        <f>IFERROR(__xludf.DUMMYFUNCTION("""COMPUTED_VALUE"""),44591.4209461921)</f>
        <v>44591.42095</v>
      </c>
      <c r="D1357" s="15">
        <f>IFERROR(__xludf.DUMMYFUNCTION("""COMPUTED_VALUE"""),1.0)</f>
        <v>1</v>
      </c>
      <c r="E1357" s="16">
        <f>IFERROR(__xludf.DUMMYFUNCTION("""COMPUTED_VALUE"""),63.0)</f>
        <v>63</v>
      </c>
      <c r="F1357" s="19" t="str">
        <f>IFERROR(__xludf.DUMMYFUNCTION("""COMPUTED_VALUE"""),"BLUE")</f>
        <v>BLUE</v>
      </c>
      <c r="G1357" s="20" t="str">
        <f>IFERROR(__xludf.DUMMYFUNCTION("""COMPUTED_VALUE"""),"Uncle Sams Cider (11/12/2021) (Blue)")</f>
        <v>Uncle Sams Cider (11/12/2021) (Blue)</v>
      </c>
      <c r="H1357" s="19"/>
    </row>
    <row r="1358">
      <c r="A1358" s="9"/>
      <c r="B1358" s="15"/>
      <c r="C1358" s="9">
        <f>IFERROR(__xludf.DUMMYFUNCTION("""COMPUTED_VALUE"""),44591.4105123842)</f>
        <v>44591.41051</v>
      </c>
      <c r="D1358" s="15">
        <f>IFERROR(__xludf.DUMMYFUNCTION("""COMPUTED_VALUE"""),1.0)</f>
        <v>1</v>
      </c>
      <c r="E1358" s="16">
        <f>IFERROR(__xludf.DUMMYFUNCTION("""COMPUTED_VALUE"""),63.0)</f>
        <v>63</v>
      </c>
      <c r="F1358" s="19" t="str">
        <f>IFERROR(__xludf.DUMMYFUNCTION("""COMPUTED_VALUE"""),"BLUE")</f>
        <v>BLUE</v>
      </c>
      <c r="G1358" s="20" t="str">
        <f>IFERROR(__xludf.DUMMYFUNCTION("""COMPUTED_VALUE"""),"Uncle Sams Cider (11/12/2021) (Blue)")</f>
        <v>Uncle Sams Cider (11/12/2021) (Blue)</v>
      </c>
      <c r="H1358" s="19"/>
    </row>
    <row r="1359">
      <c r="A1359" s="9"/>
      <c r="B1359" s="15"/>
      <c r="C1359" s="9">
        <f>IFERROR(__xludf.DUMMYFUNCTION("""COMPUTED_VALUE"""),44591.4000905787)</f>
        <v>44591.40009</v>
      </c>
      <c r="D1359" s="15">
        <f>IFERROR(__xludf.DUMMYFUNCTION("""COMPUTED_VALUE"""),1.0)</f>
        <v>1</v>
      </c>
      <c r="E1359" s="16">
        <f>IFERROR(__xludf.DUMMYFUNCTION("""COMPUTED_VALUE"""),63.0)</f>
        <v>63</v>
      </c>
      <c r="F1359" s="19" t="str">
        <f>IFERROR(__xludf.DUMMYFUNCTION("""COMPUTED_VALUE"""),"BLUE")</f>
        <v>BLUE</v>
      </c>
      <c r="G1359" s="20" t="str">
        <f>IFERROR(__xludf.DUMMYFUNCTION("""COMPUTED_VALUE"""),"Uncle Sams Cider (11/12/2021) (Blue)")</f>
        <v>Uncle Sams Cider (11/12/2021) (Blue)</v>
      </c>
      <c r="H1359" s="19"/>
    </row>
    <row r="1360">
      <c r="A1360" s="9"/>
      <c r="B1360" s="15"/>
      <c r="C1360" s="9">
        <f>IFERROR(__xludf.DUMMYFUNCTION("""COMPUTED_VALUE"""),44591.3896698263)</f>
        <v>44591.38967</v>
      </c>
      <c r="D1360" s="15">
        <f>IFERROR(__xludf.DUMMYFUNCTION("""COMPUTED_VALUE"""),1.0)</f>
        <v>1</v>
      </c>
      <c r="E1360" s="16">
        <f>IFERROR(__xludf.DUMMYFUNCTION("""COMPUTED_VALUE"""),63.0)</f>
        <v>63</v>
      </c>
      <c r="F1360" s="19" t="str">
        <f>IFERROR(__xludf.DUMMYFUNCTION("""COMPUTED_VALUE"""),"BLUE")</f>
        <v>BLUE</v>
      </c>
      <c r="G1360" s="20" t="str">
        <f>IFERROR(__xludf.DUMMYFUNCTION("""COMPUTED_VALUE"""),"Uncle Sams Cider (11/12/2021) (Blue)")</f>
        <v>Uncle Sams Cider (11/12/2021) (Blue)</v>
      </c>
      <c r="H1360" s="19"/>
    </row>
    <row r="1361">
      <c r="A1361" s="9"/>
      <c r="B1361" s="15"/>
      <c r="C1361" s="9">
        <f>IFERROR(__xludf.DUMMYFUNCTION("""COMPUTED_VALUE"""),44591.3792494907)</f>
        <v>44591.37925</v>
      </c>
      <c r="D1361" s="15">
        <f>IFERROR(__xludf.DUMMYFUNCTION("""COMPUTED_VALUE"""),1.0)</f>
        <v>1</v>
      </c>
      <c r="E1361" s="16">
        <f>IFERROR(__xludf.DUMMYFUNCTION("""COMPUTED_VALUE"""),63.0)</f>
        <v>63</v>
      </c>
      <c r="F1361" s="19" t="str">
        <f>IFERROR(__xludf.DUMMYFUNCTION("""COMPUTED_VALUE"""),"BLUE")</f>
        <v>BLUE</v>
      </c>
      <c r="G1361" s="20" t="str">
        <f>IFERROR(__xludf.DUMMYFUNCTION("""COMPUTED_VALUE"""),"Uncle Sams Cider (11/12/2021) (Blue)")</f>
        <v>Uncle Sams Cider (11/12/2021) (Blue)</v>
      </c>
      <c r="H1361" s="19"/>
    </row>
    <row r="1362">
      <c r="A1362" s="9"/>
      <c r="B1362" s="15"/>
      <c r="C1362" s="9">
        <f>IFERROR(__xludf.DUMMYFUNCTION("""COMPUTED_VALUE"""),44591.3688287037)</f>
        <v>44591.36883</v>
      </c>
      <c r="D1362" s="15">
        <f>IFERROR(__xludf.DUMMYFUNCTION("""COMPUTED_VALUE"""),1.0)</f>
        <v>1</v>
      </c>
      <c r="E1362" s="16">
        <f>IFERROR(__xludf.DUMMYFUNCTION("""COMPUTED_VALUE"""),63.0)</f>
        <v>63</v>
      </c>
      <c r="F1362" s="19" t="str">
        <f>IFERROR(__xludf.DUMMYFUNCTION("""COMPUTED_VALUE"""),"BLUE")</f>
        <v>BLUE</v>
      </c>
      <c r="G1362" s="20" t="str">
        <f>IFERROR(__xludf.DUMMYFUNCTION("""COMPUTED_VALUE"""),"Uncle Sams Cider (11/12/2021) (Blue)")</f>
        <v>Uncle Sams Cider (11/12/2021) (Blue)</v>
      </c>
      <c r="H1362" s="19"/>
    </row>
    <row r="1363">
      <c r="A1363" s="9"/>
      <c r="B1363" s="15"/>
      <c r="C1363" s="9">
        <f>IFERROR(__xludf.DUMMYFUNCTION("""COMPUTED_VALUE"""),44591.3584066088)</f>
        <v>44591.35841</v>
      </c>
      <c r="D1363" s="15">
        <f>IFERROR(__xludf.DUMMYFUNCTION("""COMPUTED_VALUE"""),1.0)</f>
        <v>1</v>
      </c>
      <c r="E1363" s="16">
        <f>IFERROR(__xludf.DUMMYFUNCTION("""COMPUTED_VALUE"""),63.0)</f>
        <v>63</v>
      </c>
      <c r="F1363" s="19" t="str">
        <f>IFERROR(__xludf.DUMMYFUNCTION("""COMPUTED_VALUE"""),"BLUE")</f>
        <v>BLUE</v>
      </c>
      <c r="G1363" s="20" t="str">
        <f>IFERROR(__xludf.DUMMYFUNCTION("""COMPUTED_VALUE"""),"Uncle Sams Cider (11/12/2021) (Blue)")</f>
        <v>Uncle Sams Cider (11/12/2021) (Blue)</v>
      </c>
      <c r="H1363" s="19"/>
    </row>
    <row r="1364">
      <c r="A1364" s="9"/>
      <c r="B1364" s="15"/>
      <c r="C1364" s="9">
        <f>IFERROR(__xludf.DUMMYFUNCTION("""COMPUTED_VALUE"""),44591.3479843634)</f>
        <v>44591.34798</v>
      </c>
      <c r="D1364" s="15">
        <f>IFERROR(__xludf.DUMMYFUNCTION("""COMPUTED_VALUE"""),1.0)</f>
        <v>1</v>
      </c>
      <c r="E1364" s="16">
        <f>IFERROR(__xludf.DUMMYFUNCTION("""COMPUTED_VALUE"""),63.0)</f>
        <v>63</v>
      </c>
      <c r="F1364" s="19" t="str">
        <f>IFERROR(__xludf.DUMMYFUNCTION("""COMPUTED_VALUE"""),"BLUE")</f>
        <v>BLUE</v>
      </c>
      <c r="G1364" s="20" t="str">
        <f>IFERROR(__xludf.DUMMYFUNCTION("""COMPUTED_VALUE"""),"Uncle Sams Cider (11/12/2021) (Blue)")</f>
        <v>Uncle Sams Cider (11/12/2021) (Blue)</v>
      </c>
      <c r="H1364" s="19"/>
    </row>
    <row r="1365">
      <c r="A1365" s="9"/>
      <c r="B1365" s="15"/>
      <c r="C1365" s="9">
        <f>IFERROR(__xludf.DUMMYFUNCTION("""COMPUTED_VALUE"""),44591.3375641435)</f>
        <v>44591.33756</v>
      </c>
      <c r="D1365" s="15">
        <f>IFERROR(__xludf.DUMMYFUNCTION("""COMPUTED_VALUE"""),1.0)</f>
        <v>1</v>
      </c>
      <c r="E1365" s="16">
        <f>IFERROR(__xludf.DUMMYFUNCTION("""COMPUTED_VALUE"""),63.0)</f>
        <v>63</v>
      </c>
      <c r="F1365" s="19" t="str">
        <f>IFERROR(__xludf.DUMMYFUNCTION("""COMPUTED_VALUE"""),"BLUE")</f>
        <v>BLUE</v>
      </c>
      <c r="G1365" s="20" t="str">
        <f>IFERROR(__xludf.DUMMYFUNCTION("""COMPUTED_VALUE"""),"Uncle Sams Cider (11/12/2021) (Blue)")</f>
        <v>Uncle Sams Cider (11/12/2021) (Blue)</v>
      </c>
      <c r="H1365" s="19"/>
    </row>
    <row r="1366">
      <c r="A1366" s="9"/>
      <c r="B1366" s="15"/>
      <c r="C1366" s="9">
        <f>IFERROR(__xludf.DUMMYFUNCTION("""COMPUTED_VALUE"""),44591.3271431828)</f>
        <v>44591.32714</v>
      </c>
      <c r="D1366" s="15">
        <f>IFERROR(__xludf.DUMMYFUNCTION("""COMPUTED_VALUE"""),1.0)</f>
        <v>1</v>
      </c>
      <c r="E1366" s="16">
        <f>IFERROR(__xludf.DUMMYFUNCTION("""COMPUTED_VALUE"""),63.0)</f>
        <v>63</v>
      </c>
      <c r="F1366" s="19" t="str">
        <f>IFERROR(__xludf.DUMMYFUNCTION("""COMPUTED_VALUE"""),"BLUE")</f>
        <v>BLUE</v>
      </c>
      <c r="G1366" s="20" t="str">
        <f>IFERROR(__xludf.DUMMYFUNCTION("""COMPUTED_VALUE"""),"Uncle Sams Cider (11/12/2021) (Blue)")</f>
        <v>Uncle Sams Cider (11/12/2021) (Blue)</v>
      </c>
      <c r="H1366" s="19"/>
    </row>
    <row r="1367">
      <c r="A1367" s="9"/>
      <c r="B1367" s="15"/>
      <c r="C1367" s="9">
        <f>IFERROR(__xludf.DUMMYFUNCTION("""COMPUTED_VALUE"""),44591.3167231828)</f>
        <v>44591.31672</v>
      </c>
      <c r="D1367" s="15">
        <f>IFERROR(__xludf.DUMMYFUNCTION("""COMPUTED_VALUE"""),1.0)</f>
        <v>1</v>
      </c>
      <c r="E1367" s="16">
        <f>IFERROR(__xludf.DUMMYFUNCTION("""COMPUTED_VALUE"""),63.0)</f>
        <v>63</v>
      </c>
      <c r="F1367" s="19" t="str">
        <f>IFERROR(__xludf.DUMMYFUNCTION("""COMPUTED_VALUE"""),"BLUE")</f>
        <v>BLUE</v>
      </c>
      <c r="G1367" s="20" t="str">
        <f>IFERROR(__xludf.DUMMYFUNCTION("""COMPUTED_VALUE"""),"Uncle Sams Cider (11/12/2021) (Blue)")</f>
        <v>Uncle Sams Cider (11/12/2021) (Blue)</v>
      </c>
      <c r="H1367" s="19"/>
    </row>
    <row r="1368">
      <c r="A1368" s="9"/>
      <c r="B1368" s="15"/>
      <c r="C1368" s="9">
        <f>IFERROR(__xludf.DUMMYFUNCTION("""COMPUTED_VALUE"""),44591.306291956)</f>
        <v>44591.30629</v>
      </c>
      <c r="D1368" s="15">
        <f>IFERROR(__xludf.DUMMYFUNCTION("""COMPUTED_VALUE"""),1.0)</f>
        <v>1</v>
      </c>
      <c r="E1368" s="16">
        <f>IFERROR(__xludf.DUMMYFUNCTION("""COMPUTED_VALUE"""),63.0)</f>
        <v>63</v>
      </c>
      <c r="F1368" s="19" t="str">
        <f>IFERROR(__xludf.DUMMYFUNCTION("""COMPUTED_VALUE"""),"BLUE")</f>
        <v>BLUE</v>
      </c>
      <c r="G1368" s="20" t="str">
        <f>IFERROR(__xludf.DUMMYFUNCTION("""COMPUTED_VALUE"""),"Uncle Sams Cider (11/12/2021) (Blue)")</f>
        <v>Uncle Sams Cider (11/12/2021) (Blue)</v>
      </c>
      <c r="H1368" s="19"/>
    </row>
    <row r="1369">
      <c r="A1369" s="9"/>
      <c r="B1369" s="15"/>
      <c r="C1369" s="9">
        <f>IFERROR(__xludf.DUMMYFUNCTION("""COMPUTED_VALUE"""),44591.2958701967)</f>
        <v>44591.29587</v>
      </c>
      <c r="D1369" s="15">
        <f>IFERROR(__xludf.DUMMYFUNCTION("""COMPUTED_VALUE"""),1.0)</f>
        <v>1</v>
      </c>
      <c r="E1369" s="16">
        <f>IFERROR(__xludf.DUMMYFUNCTION("""COMPUTED_VALUE"""),63.0)</f>
        <v>63</v>
      </c>
      <c r="F1369" s="19" t="str">
        <f>IFERROR(__xludf.DUMMYFUNCTION("""COMPUTED_VALUE"""),"BLUE")</f>
        <v>BLUE</v>
      </c>
      <c r="G1369" s="20" t="str">
        <f>IFERROR(__xludf.DUMMYFUNCTION("""COMPUTED_VALUE"""),"Uncle Sams Cider (11/12/2021) (Blue)")</f>
        <v>Uncle Sams Cider (11/12/2021) (Blue)</v>
      </c>
      <c r="H1369" s="19"/>
    </row>
    <row r="1370">
      <c r="A1370" s="9"/>
      <c r="B1370" s="15"/>
      <c r="C1370" s="9">
        <f>IFERROR(__xludf.DUMMYFUNCTION("""COMPUTED_VALUE"""),44591.2854244097)</f>
        <v>44591.28542</v>
      </c>
      <c r="D1370" s="15">
        <f>IFERROR(__xludf.DUMMYFUNCTION("""COMPUTED_VALUE"""),1.0)</f>
        <v>1</v>
      </c>
      <c r="E1370" s="16">
        <f>IFERROR(__xludf.DUMMYFUNCTION("""COMPUTED_VALUE"""),63.0)</f>
        <v>63</v>
      </c>
      <c r="F1370" s="19" t="str">
        <f>IFERROR(__xludf.DUMMYFUNCTION("""COMPUTED_VALUE"""),"BLUE")</f>
        <v>BLUE</v>
      </c>
      <c r="G1370" s="20" t="str">
        <f>IFERROR(__xludf.DUMMYFUNCTION("""COMPUTED_VALUE"""),"Uncle Sams Cider (11/12/2021) (Blue)")</f>
        <v>Uncle Sams Cider (11/12/2021) (Blue)</v>
      </c>
      <c r="H1370" s="19"/>
    </row>
    <row r="1371">
      <c r="A1371" s="9"/>
      <c r="B1371" s="15"/>
      <c r="C1371" s="9">
        <f>IFERROR(__xludf.DUMMYFUNCTION("""COMPUTED_VALUE"""),44591.2750051736)</f>
        <v>44591.27501</v>
      </c>
      <c r="D1371" s="15">
        <f>IFERROR(__xludf.DUMMYFUNCTION("""COMPUTED_VALUE"""),1.0)</f>
        <v>1</v>
      </c>
      <c r="E1371" s="16">
        <f>IFERROR(__xludf.DUMMYFUNCTION("""COMPUTED_VALUE"""),63.0)</f>
        <v>63</v>
      </c>
      <c r="F1371" s="19" t="str">
        <f>IFERROR(__xludf.DUMMYFUNCTION("""COMPUTED_VALUE"""),"BLUE")</f>
        <v>BLUE</v>
      </c>
      <c r="G1371" s="20" t="str">
        <f>IFERROR(__xludf.DUMMYFUNCTION("""COMPUTED_VALUE"""),"Uncle Sams Cider (11/12/2021) (Blue)")</f>
        <v>Uncle Sams Cider (11/12/2021) (Blue)</v>
      </c>
      <c r="H1371" s="19"/>
    </row>
    <row r="1372">
      <c r="A1372" s="9"/>
      <c r="B1372" s="15"/>
      <c r="C1372" s="9">
        <f>IFERROR(__xludf.DUMMYFUNCTION("""COMPUTED_VALUE"""),44591.2645860416)</f>
        <v>44591.26459</v>
      </c>
      <c r="D1372" s="15">
        <f>IFERROR(__xludf.DUMMYFUNCTION("""COMPUTED_VALUE"""),1.0)</f>
        <v>1</v>
      </c>
      <c r="E1372" s="16">
        <f>IFERROR(__xludf.DUMMYFUNCTION("""COMPUTED_VALUE"""),63.0)</f>
        <v>63</v>
      </c>
      <c r="F1372" s="19" t="str">
        <f>IFERROR(__xludf.DUMMYFUNCTION("""COMPUTED_VALUE"""),"BLUE")</f>
        <v>BLUE</v>
      </c>
      <c r="G1372" s="20" t="str">
        <f>IFERROR(__xludf.DUMMYFUNCTION("""COMPUTED_VALUE"""),"Uncle Sams Cider (11/12/2021) (Blue)")</f>
        <v>Uncle Sams Cider (11/12/2021) (Blue)</v>
      </c>
      <c r="H1372" s="19"/>
    </row>
    <row r="1373">
      <c r="A1373" s="9"/>
      <c r="B1373" s="15"/>
      <c r="C1373" s="9">
        <f>IFERROR(__xludf.DUMMYFUNCTION("""COMPUTED_VALUE"""),44591.2541540393)</f>
        <v>44591.25415</v>
      </c>
      <c r="D1373" s="15">
        <f>IFERROR(__xludf.DUMMYFUNCTION("""COMPUTED_VALUE"""),1.0)</f>
        <v>1</v>
      </c>
      <c r="E1373" s="16">
        <f>IFERROR(__xludf.DUMMYFUNCTION("""COMPUTED_VALUE"""),63.0)</f>
        <v>63</v>
      </c>
      <c r="F1373" s="19" t="str">
        <f>IFERROR(__xludf.DUMMYFUNCTION("""COMPUTED_VALUE"""),"BLUE")</f>
        <v>BLUE</v>
      </c>
      <c r="G1373" s="20" t="str">
        <f>IFERROR(__xludf.DUMMYFUNCTION("""COMPUTED_VALUE"""),"Uncle Sams Cider (11/12/2021) (Blue)")</f>
        <v>Uncle Sams Cider (11/12/2021) (Blue)</v>
      </c>
      <c r="H1373" s="19"/>
    </row>
    <row r="1374">
      <c r="A1374" s="9"/>
      <c r="B1374" s="15"/>
      <c r="C1374" s="9">
        <f>IFERROR(__xludf.DUMMYFUNCTION("""COMPUTED_VALUE"""),44591.2437203819)</f>
        <v>44591.24372</v>
      </c>
      <c r="D1374" s="15">
        <f>IFERROR(__xludf.DUMMYFUNCTION("""COMPUTED_VALUE"""),1.001)</f>
        <v>1.001</v>
      </c>
      <c r="E1374" s="16">
        <f>IFERROR(__xludf.DUMMYFUNCTION("""COMPUTED_VALUE"""),63.0)</f>
        <v>63</v>
      </c>
      <c r="F1374" s="19" t="str">
        <f>IFERROR(__xludf.DUMMYFUNCTION("""COMPUTED_VALUE"""),"BLUE")</f>
        <v>BLUE</v>
      </c>
      <c r="G1374" s="20" t="str">
        <f>IFERROR(__xludf.DUMMYFUNCTION("""COMPUTED_VALUE"""),"Uncle Sams Cider (11/12/2021) (Blue)")</f>
        <v>Uncle Sams Cider (11/12/2021) (Blue)</v>
      </c>
      <c r="H1374" s="19"/>
    </row>
    <row r="1375">
      <c r="A1375" s="9"/>
      <c r="B1375" s="15"/>
      <c r="C1375" s="9">
        <f>IFERROR(__xludf.DUMMYFUNCTION("""COMPUTED_VALUE"""),44591.2333007754)</f>
        <v>44591.2333</v>
      </c>
      <c r="D1375" s="15">
        <f>IFERROR(__xludf.DUMMYFUNCTION("""COMPUTED_VALUE"""),1.0)</f>
        <v>1</v>
      </c>
      <c r="E1375" s="16">
        <f>IFERROR(__xludf.DUMMYFUNCTION("""COMPUTED_VALUE"""),63.0)</f>
        <v>63</v>
      </c>
      <c r="F1375" s="19" t="str">
        <f>IFERROR(__xludf.DUMMYFUNCTION("""COMPUTED_VALUE"""),"BLUE")</f>
        <v>BLUE</v>
      </c>
      <c r="G1375" s="20" t="str">
        <f>IFERROR(__xludf.DUMMYFUNCTION("""COMPUTED_VALUE"""),"Uncle Sams Cider (11/12/2021) (Blue)")</f>
        <v>Uncle Sams Cider (11/12/2021) (Blue)</v>
      </c>
      <c r="H1375" s="19"/>
    </row>
    <row r="1376">
      <c r="A1376" s="9"/>
      <c r="B1376" s="15"/>
      <c r="C1376" s="9">
        <f>IFERROR(__xludf.DUMMYFUNCTION("""COMPUTED_VALUE"""),44591.2228802199)</f>
        <v>44591.22288</v>
      </c>
      <c r="D1376" s="15">
        <f>IFERROR(__xludf.DUMMYFUNCTION("""COMPUTED_VALUE"""),1.0)</f>
        <v>1</v>
      </c>
      <c r="E1376" s="16">
        <f>IFERROR(__xludf.DUMMYFUNCTION("""COMPUTED_VALUE"""),63.0)</f>
        <v>63</v>
      </c>
      <c r="F1376" s="19" t="str">
        <f>IFERROR(__xludf.DUMMYFUNCTION("""COMPUTED_VALUE"""),"BLUE")</f>
        <v>BLUE</v>
      </c>
      <c r="G1376" s="20" t="str">
        <f>IFERROR(__xludf.DUMMYFUNCTION("""COMPUTED_VALUE"""),"Uncle Sams Cider (11/12/2021) (Blue)")</f>
        <v>Uncle Sams Cider (11/12/2021) (Blue)</v>
      </c>
      <c r="H1376" s="19"/>
    </row>
    <row r="1377">
      <c r="A1377" s="9"/>
      <c r="B1377" s="15"/>
      <c r="C1377" s="9">
        <f>IFERROR(__xludf.DUMMYFUNCTION("""COMPUTED_VALUE"""),44591.2124600231)</f>
        <v>44591.21246</v>
      </c>
      <c r="D1377" s="15">
        <f>IFERROR(__xludf.DUMMYFUNCTION("""COMPUTED_VALUE"""),1.0)</f>
        <v>1</v>
      </c>
      <c r="E1377" s="16">
        <f>IFERROR(__xludf.DUMMYFUNCTION("""COMPUTED_VALUE"""),63.0)</f>
        <v>63</v>
      </c>
      <c r="F1377" s="19" t="str">
        <f>IFERROR(__xludf.DUMMYFUNCTION("""COMPUTED_VALUE"""),"BLUE")</f>
        <v>BLUE</v>
      </c>
      <c r="G1377" s="20" t="str">
        <f>IFERROR(__xludf.DUMMYFUNCTION("""COMPUTED_VALUE"""),"Uncle Sams Cider (11/12/2021) (Blue)")</f>
        <v>Uncle Sams Cider (11/12/2021) (Blue)</v>
      </c>
      <c r="H1377" s="19"/>
    </row>
    <row r="1378">
      <c r="A1378" s="9"/>
      <c r="B1378" s="15"/>
      <c r="C1378" s="9">
        <f>IFERROR(__xludf.DUMMYFUNCTION("""COMPUTED_VALUE"""),44591.2020407638)</f>
        <v>44591.20204</v>
      </c>
      <c r="D1378" s="15">
        <f>IFERROR(__xludf.DUMMYFUNCTION("""COMPUTED_VALUE"""),1.0)</f>
        <v>1</v>
      </c>
      <c r="E1378" s="16">
        <f>IFERROR(__xludf.DUMMYFUNCTION("""COMPUTED_VALUE"""),63.0)</f>
        <v>63</v>
      </c>
      <c r="F1378" s="19" t="str">
        <f>IFERROR(__xludf.DUMMYFUNCTION("""COMPUTED_VALUE"""),"BLUE")</f>
        <v>BLUE</v>
      </c>
      <c r="G1378" s="20" t="str">
        <f>IFERROR(__xludf.DUMMYFUNCTION("""COMPUTED_VALUE"""),"Uncle Sams Cider (11/12/2021) (Blue)")</f>
        <v>Uncle Sams Cider (11/12/2021) (Blue)</v>
      </c>
      <c r="H1378" s="19"/>
    </row>
    <row r="1379">
      <c r="A1379" s="9"/>
      <c r="B1379" s="15"/>
      <c r="C1379" s="9">
        <f>IFERROR(__xludf.DUMMYFUNCTION("""COMPUTED_VALUE"""),44591.1916211805)</f>
        <v>44591.19162</v>
      </c>
      <c r="D1379" s="15">
        <f>IFERROR(__xludf.DUMMYFUNCTION("""COMPUTED_VALUE"""),1.0)</f>
        <v>1</v>
      </c>
      <c r="E1379" s="16">
        <f>IFERROR(__xludf.DUMMYFUNCTION("""COMPUTED_VALUE"""),63.0)</f>
        <v>63</v>
      </c>
      <c r="F1379" s="19" t="str">
        <f>IFERROR(__xludf.DUMMYFUNCTION("""COMPUTED_VALUE"""),"BLUE")</f>
        <v>BLUE</v>
      </c>
      <c r="G1379" s="20" t="str">
        <f>IFERROR(__xludf.DUMMYFUNCTION("""COMPUTED_VALUE"""),"Uncle Sams Cider (11/12/2021) (Blue)")</f>
        <v>Uncle Sams Cider (11/12/2021) (Blue)</v>
      </c>
      <c r="H1379" s="19"/>
    </row>
    <row r="1380">
      <c r="A1380" s="9"/>
      <c r="B1380" s="15"/>
      <c r="C1380" s="9">
        <f>IFERROR(__xludf.DUMMYFUNCTION("""COMPUTED_VALUE"""),44591.1811892361)</f>
        <v>44591.18119</v>
      </c>
      <c r="D1380" s="15">
        <f>IFERROR(__xludf.DUMMYFUNCTION("""COMPUTED_VALUE"""),1.0)</f>
        <v>1</v>
      </c>
      <c r="E1380" s="16">
        <f>IFERROR(__xludf.DUMMYFUNCTION("""COMPUTED_VALUE"""),63.0)</f>
        <v>63</v>
      </c>
      <c r="F1380" s="19" t="str">
        <f>IFERROR(__xludf.DUMMYFUNCTION("""COMPUTED_VALUE"""),"BLUE")</f>
        <v>BLUE</v>
      </c>
      <c r="G1380" s="20" t="str">
        <f>IFERROR(__xludf.DUMMYFUNCTION("""COMPUTED_VALUE"""),"Uncle Sams Cider (11/12/2021) (Blue)")</f>
        <v>Uncle Sams Cider (11/12/2021) (Blue)</v>
      </c>
      <c r="H1380" s="19"/>
    </row>
    <row r="1381">
      <c r="A1381" s="9"/>
      <c r="B1381" s="15"/>
      <c r="C1381" s="9">
        <f>IFERROR(__xludf.DUMMYFUNCTION("""COMPUTED_VALUE"""),44591.1707688425)</f>
        <v>44591.17077</v>
      </c>
      <c r="D1381" s="15">
        <f>IFERROR(__xludf.DUMMYFUNCTION("""COMPUTED_VALUE"""),1.0)</f>
        <v>1</v>
      </c>
      <c r="E1381" s="16">
        <f>IFERROR(__xludf.DUMMYFUNCTION("""COMPUTED_VALUE"""),63.0)</f>
        <v>63</v>
      </c>
      <c r="F1381" s="19" t="str">
        <f>IFERROR(__xludf.DUMMYFUNCTION("""COMPUTED_VALUE"""),"BLUE")</f>
        <v>BLUE</v>
      </c>
      <c r="G1381" s="20" t="str">
        <f>IFERROR(__xludf.DUMMYFUNCTION("""COMPUTED_VALUE"""),"Uncle Sams Cider (11/12/2021) (Blue)")</f>
        <v>Uncle Sams Cider (11/12/2021) (Blue)</v>
      </c>
      <c r="H1381" s="19"/>
    </row>
    <row r="1382">
      <c r="A1382" s="9"/>
      <c r="B1382" s="15"/>
      <c r="C1382" s="9">
        <f>IFERROR(__xludf.DUMMYFUNCTION("""COMPUTED_VALUE"""),44591.1603465046)</f>
        <v>44591.16035</v>
      </c>
      <c r="D1382" s="15">
        <f>IFERROR(__xludf.DUMMYFUNCTION("""COMPUTED_VALUE"""),1.0)</f>
        <v>1</v>
      </c>
      <c r="E1382" s="16">
        <f>IFERROR(__xludf.DUMMYFUNCTION("""COMPUTED_VALUE"""),63.0)</f>
        <v>63</v>
      </c>
      <c r="F1382" s="19" t="str">
        <f>IFERROR(__xludf.DUMMYFUNCTION("""COMPUTED_VALUE"""),"BLUE")</f>
        <v>BLUE</v>
      </c>
      <c r="G1382" s="20" t="str">
        <f>IFERROR(__xludf.DUMMYFUNCTION("""COMPUTED_VALUE"""),"Uncle Sams Cider (11/12/2021) (Blue)")</f>
        <v>Uncle Sams Cider (11/12/2021) (Blue)</v>
      </c>
      <c r="H1382" s="19"/>
    </row>
    <row r="1383">
      <c r="A1383" s="9"/>
      <c r="B1383" s="15"/>
      <c r="C1383" s="9">
        <f>IFERROR(__xludf.DUMMYFUNCTION("""COMPUTED_VALUE"""),44591.1499267013)</f>
        <v>44591.14993</v>
      </c>
      <c r="D1383" s="15">
        <f>IFERROR(__xludf.DUMMYFUNCTION("""COMPUTED_VALUE"""),1.0)</f>
        <v>1</v>
      </c>
      <c r="E1383" s="16">
        <f>IFERROR(__xludf.DUMMYFUNCTION("""COMPUTED_VALUE"""),63.0)</f>
        <v>63</v>
      </c>
      <c r="F1383" s="19" t="str">
        <f>IFERROR(__xludf.DUMMYFUNCTION("""COMPUTED_VALUE"""),"BLUE")</f>
        <v>BLUE</v>
      </c>
      <c r="G1383" s="20" t="str">
        <f>IFERROR(__xludf.DUMMYFUNCTION("""COMPUTED_VALUE"""),"Uncle Sams Cider (11/12/2021) (Blue)")</f>
        <v>Uncle Sams Cider (11/12/2021) (Blue)</v>
      </c>
      <c r="H1383" s="19"/>
    </row>
    <row r="1384">
      <c r="A1384" s="9"/>
      <c r="B1384" s="15"/>
      <c r="C1384" s="9">
        <f>IFERROR(__xludf.DUMMYFUNCTION("""COMPUTED_VALUE"""),44591.1395056018)</f>
        <v>44591.13951</v>
      </c>
      <c r="D1384" s="15">
        <f>IFERROR(__xludf.DUMMYFUNCTION("""COMPUTED_VALUE"""),1.0)</f>
        <v>1</v>
      </c>
      <c r="E1384" s="16">
        <f>IFERROR(__xludf.DUMMYFUNCTION("""COMPUTED_VALUE"""),63.0)</f>
        <v>63</v>
      </c>
      <c r="F1384" s="19" t="str">
        <f>IFERROR(__xludf.DUMMYFUNCTION("""COMPUTED_VALUE"""),"BLUE")</f>
        <v>BLUE</v>
      </c>
      <c r="G1384" s="20" t="str">
        <f>IFERROR(__xludf.DUMMYFUNCTION("""COMPUTED_VALUE"""),"Uncle Sams Cider (11/12/2021) (Blue)")</f>
        <v>Uncle Sams Cider (11/12/2021) (Blue)</v>
      </c>
      <c r="H1384" s="19"/>
    </row>
    <row r="1385">
      <c r="A1385" s="9"/>
      <c r="B1385" s="15"/>
      <c r="C1385" s="9">
        <f>IFERROR(__xludf.DUMMYFUNCTION("""COMPUTED_VALUE"""),44591.1290844675)</f>
        <v>44591.12908</v>
      </c>
      <c r="D1385" s="15">
        <f>IFERROR(__xludf.DUMMYFUNCTION("""COMPUTED_VALUE"""),1.0)</f>
        <v>1</v>
      </c>
      <c r="E1385" s="16">
        <f>IFERROR(__xludf.DUMMYFUNCTION("""COMPUTED_VALUE"""),63.0)</f>
        <v>63</v>
      </c>
      <c r="F1385" s="19" t="str">
        <f>IFERROR(__xludf.DUMMYFUNCTION("""COMPUTED_VALUE"""),"BLUE")</f>
        <v>BLUE</v>
      </c>
      <c r="G1385" s="20" t="str">
        <f>IFERROR(__xludf.DUMMYFUNCTION("""COMPUTED_VALUE"""),"Uncle Sams Cider (11/12/2021) (Blue)")</f>
        <v>Uncle Sams Cider (11/12/2021) (Blue)</v>
      </c>
      <c r="H1385" s="19"/>
    </row>
    <row r="1386">
      <c r="A1386" s="9"/>
      <c r="B1386" s="15"/>
      <c r="C1386" s="9">
        <f>IFERROR(__xludf.DUMMYFUNCTION("""COMPUTED_VALUE"""),44591.1186537499)</f>
        <v>44591.11865</v>
      </c>
      <c r="D1386" s="15">
        <f>IFERROR(__xludf.DUMMYFUNCTION("""COMPUTED_VALUE"""),1.0)</f>
        <v>1</v>
      </c>
      <c r="E1386" s="16">
        <f>IFERROR(__xludf.DUMMYFUNCTION("""COMPUTED_VALUE"""),63.0)</f>
        <v>63</v>
      </c>
      <c r="F1386" s="19" t="str">
        <f>IFERROR(__xludf.DUMMYFUNCTION("""COMPUTED_VALUE"""),"BLUE")</f>
        <v>BLUE</v>
      </c>
      <c r="G1386" s="20" t="str">
        <f>IFERROR(__xludf.DUMMYFUNCTION("""COMPUTED_VALUE"""),"Uncle Sams Cider (11/12/2021) (Blue)")</f>
        <v>Uncle Sams Cider (11/12/2021) (Blue)</v>
      </c>
      <c r="H1386" s="19"/>
    </row>
    <row r="1387">
      <c r="A1387" s="9"/>
      <c r="B1387" s="15"/>
      <c r="C1387" s="9">
        <f>IFERROR(__xludf.DUMMYFUNCTION("""COMPUTED_VALUE"""),44591.1082319907)</f>
        <v>44591.10823</v>
      </c>
      <c r="D1387" s="15">
        <f>IFERROR(__xludf.DUMMYFUNCTION("""COMPUTED_VALUE"""),1.001)</f>
        <v>1.001</v>
      </c>
      <c r="E1387" s="16">
        <f>IFERROR(__xludf.DUMMYFUNCTION("""COMPUTED_VALUE"""),63.0)</f>
        <v>63</v>
      </c>
      <c r="F1387" s="19" t="str">
        <f>IFERROR(__xludf.DUMMYFUNCTION("""COMPUTED_VALUE"""),"BLUE")</f>
        <v>BLUE</v>
      </c>
      <c r="G1387" s="20" t="str">
        <f>IFERROR(__xludf.DUMMYFUNCTION("""COMPUTED_VALUE"""),"Uncle Sams Cider (11/12/2021) (Blue)")</f>
        <v>Uncle Sams Cider (11/12/2021) (Blue)</v>
      </c>
      <c r="H1387" s="19"/>
    </row>
    <row r="1388">
      <c r="A1388" s="9"/>
      <c r="B1388" s="15"/>
      <c r="C1388" s="9">
        <f>IFERROR(__xludf.DUMMYFUNCTION("""COMPUTED_VALUE"""),44591.0978133217)</f>
        <v>44591.09781</v>
      </c>
      <c r="D1388" s="15">
        <f>IFERROR(__xludf.DUMMYFUNCTION("""COMPUTED_VALUE"""),1.0)</f>
        <v>1</v>
      </c>
      <c r="E1388" s="16">
        <f>IFERROR(__xludf.DUMMYFUNCTION("""COMPUTED_VALUE"""),64.0)</f>
        <v>64</v>
      </c>
      <c r="F1388" s="19" t="str">
        <f>IFERROR(__xludf.DUMMYFUNCTION("""COMPUTED_VALUE"""),"BLUE")</f>
        <v>BLUE</v>
      </c>
      <c r="G1388" s="20" t="str">
        <f>IFERROR(__xludf.DUMMYFUNCTION("""COMPUTED_VALUE"""),"Uncle Sams Cider (11/12/2021) (Blue)")</f>
        <v>Uncle Sams Cider (11/12/2021) (Blue)</v>
      </c>
      <c r="H1388" s="19"/>
    </row>
    <row r="1389">
      <c r="A1389" s="9"/>
      <c r="B1389" s="15"/>
      <c r="C1389" s="9">
        <f>IFERROR(__xludf.DUMMYFUNCTION("""COMPUTED_VALUE"""),44591.0873919907)</f>
        <v>44591.08739</v>
      </c>
      <c r="D1389" s="15">
        <f>IFERROR(__xludf.DUMMYFUNCTION("""COMPUTED_VALUE"""),1.0)</f>
        <v>1</v>
      </c>
      <c r="E1389" s="16">
        <f>IFERROR(__xludf.DUMMYFUNCTION("""COMPUTED_VALUE"""),64.0)</f>
        <v>64</v>
      </c>
      <c r="F1389" s="19" t="str">
        <f>IFERROR(__xludf.DUMMYFUNCTION("""COMPUTED_VALUE"""),"BLUE")</f>
        <v>BLUE</v>
      </c>
      <c r="G1389" s="20" t="str">
        <f>IFERROR(__xludf.DUMMYFUNCTION("""COMPUTED_VALUE"""),"Uncle Sams Cider (11/12/2021) (Blue)")</f>
        <v>Uncle Sams Cider (11/12/2021) (Blue)</v>
      </c>
      <c r="H1389" s="19"/>
    </row>
    <row r="1390">
      <c r="A1390" s="9"/>
      <c r="B1390" s="15"/>
      <c r="C1390" s="9">
        <f>IFERROR(__xludf.DUMMYFUNCTION("""COMPUTED_VALUE"""),44591.0769696527)</f>
        <v>44591.07697</v>
      </c>
      <c r="D1390" s="15">
        <f>IFERROR(__xludf.DUMMYFUNCTION("""COMPUTED_VALUE"""),1.0)</f>
        <v>1</v>
      </c>
      <c r="E1390" s="16">
        <f>IFERROR(__xludf.DUMMYFUNCTION("""COMPUTED_VALUE"""),64.0)</f>
        <v>64</v>
      </c>
      <c r="F1390" s="19" t="str">
        <f>IFERROR(__xludf.DUMMYFUNCTION("""COMPUTED_VALUE"""),"BLUE")</f>
        <v>BLUE</v>
      </c>
      <c r="G1390" s="20" t="str">
        <f>IFERROR(__xludf.DUMMYFUNCTION("""COMPUTED_VALUE"""),"Uncle Sams Cider (11/12/2021) (Blue)")</f>
        <v>Uncle Sams Cider (11/12/2021) (Blue)</v>
      </c>
      <c r="H1390" s="19"/>
    </row>
    <row r="1391">
      <c r="A1391" s="9"/>
      <c r="B1391" s="15"/>
      <c r="C1391" s="9">
        <f>IFERROR(__xludf.DUMMYFUNCTION("""COMPUTED_VALUE"""),44591.0665491087)</f>
        <v>44591.06655</v>
      </c>
      <c r="D1391" s="15">
        <f>IFERROR(__xludf.DUMMYFUNCTION("""COMPUTED_VALUE"""),1.0)</f>
        <v>1</v>
      </c>
      <c r="E1391" s="16">
        <f>IFERROR(__xludf.DUMMYFUNCTION("""COMPUTED_VALUE"""),64.0)</f>
        <v>64</v>
      </c>
      <c r="F1391" s="19" t="str">
        <f>IFERROR(__xludf.DUMMYFUNCTION("""COMPUTED_VALUE"""),"BLUE")</f>
        <v>BLUE</v>
      </c>
      <c r="G1391" s="20" t="str">
        <f>IFERROR(__xludf.DUMMYFUNCTION("""COMPUTED_VALUE"""),"Uncle Sams Cider (11/12/2021) (Blue)")</f>
        <v>Uncle Sams Cider (11/12/2021) (Blue)</v>
      </c>
      <c r="H1391" s="19"/>
    </row>
    <row r="1392">
      <c r="A1392" s="9"/>
      <c r="B1392" s="15"/>
      <c r="C1392" s="9">
        <f>IFERROR(__xludf.DUMMYFUNCTION("""COMPUTED_VALUE"""),44591.0561157291)</f>
        <v>44591.05612</v>
      </c>
      <c r="D1392" s="15">
        <f>IFERROR(__xludf.DUMMYFUNCTION("""COMPUTED_VALUE"""),1.0)</f>
        <v>1</v>
      </c>
      <c r="E1392" s="16">
        <f>IFERROR(__xludf.DUMMYFUNCTION("""COMPUTED_VALUE"""),64.0)</f>
        <v>64</v>
      </c>
      <c r="F1392" s="19" t="str">
        <f>IFERROR(__xludf.DUMMYFUNCTION("""COMPUTED_VALUE"""),"BLUE")</f>
        <v>BLUE</v>
      </c>
      <c r="G1392" s="20" t="str">
        <f>IFERROR(__xludf.DUMMYFUNCTION("""COMPUTED_VALUE"""),"Uncle Sams Cider (11/12/2021) (Blue)")</f>
        <v>Uncle Sams Cider (11/12/2021) (Blue)</v>
      </c>
      <c r="H1392" s="19"/>
    </row>
    <row r="1393">
      <c r="A1393" s="9"/>
      <c r="B1393" s="15"/>
      <c r="C1393" s="9">
        <f>IFERROR(__xludf.DUMMYFUNCTION("""COMPUTED_VALUE"""),44591.0456958796)</f>
        <v>44591.0457</v>
      </c>
      <c r="D1393" s="15">
        <f>IFERROR(__xludf.DUMMYFUNCTION("""COMPUTED_VALUE"""),1.0)</f>
        <v>1</v>
      </c>
      <c r="E1393" s="16">
        <f>IFERROR(__xludf.DUMMYFUNCTION("""COMPUTED_VALUE"""),64.0)</f>
        <v>64</v>
      </c>
      <c r="F1393" s="19" t="str">
        <f>IFERROR(__xludf.DUMMYFUNCTION("""COMPUTED_VALUE"""),"BLUE")</f>
        <v>BLUE</v>
      </c>
      <c r="G1393" s="20" t="str">
        <f>IFERROR(__xludf.DUMMYFUNCTION("""COMPUTED_VALUE"""),"Uncle Sams Cider (11/12/2021) (Blue)")</f>
        <v>Uncle Sams Cider (11/12/2021) (Blue)</v>
      </c>
      <c r="H1393" s="19"/>
    </row>
    <row r="1394">
      <c r="A1394" s="9"/>
      <c r="B1394" s="15"/>
      <c r="C1394" s="9">
        <f>IFERROR(__xludf.DUMMYFUNCTION("""COMPUTED_VALUE"""),44591.0352753356)</f>
        <v>44591.03528</v>
      </c>
      <c r="D1394" s="15">
        <f>IFERROR(__xludf.DUMMYFUNCTION("""COMPUTED_VALUE"""),1.0)</f>
        <v>1</v>
      </c>
      <c r="E1394" s="16">
        <f>IFERROR(__xludf.DUMMYFUNCTION("""COMPUTED_VALUE"""),64.0)</f>
        <v>64</v>
      </c>
      <c r="F1394" s="19" t="str">
        <f>IFERROR(__xludf.DUMMYFUNCTION("""COMPUTED_VALUE"""),"BLUE")</f>
        <v>BLUE</v>
      </c>
      <c r="G1394" s="20" t="str">
        <f>IFERROR(__xludf.DUMMYFUNCTION("""COMPUTED_VALUE"""),"Uncle Sams Cider (11/12/2021) (Blue)")</f>
        <v>Uncle Sams Cider (11/12/2021) (Blue)</v>
      </c>
      <c r="H1394" s="19"/>
    </row>
    <row r="1395">
      <c r="A1395" s="9"/>
      <c r="B1395" s="15"/>
      <c r="C1395" s="9">
        <f>IFERROR(__xludf.DUMMYFUNCTION("""COMPUTED_VALUE"""),44591.0248530555)</f>
        <v>44591.02485</v>
      </c>
      <c r="D1395" s="15">
        <f>IFERROR(__xludf.DUMMYFUNCTION("""COMPUTED_VALUE"""),1.0)</f>
        <v>1</v>
      </c>
      <c r="E1395" s="16">
        <f>IFERROR(__xludf.DUMMYFUNCTION("""COMPUTED_VALUE"""),64.0)</f>
        <v>64</v>
      </c>
      <c r="F1395" s="19" t="str">
        <f>IFERROR(__xludf.DUMMYFUNCTION("""COMPUTED_VALUE"""),"BLUE")</f>
        <v>BLUE</v>
      </c>
      <c r="G1395" s="20" t="str">
        <f>IFERROR(__xludf.DUMMYFUNCTION("""COMPUTED_VALUE"""),"Uncle Sams Cider (11/12/2021) (Blue)")</f>
        <v>Uncle Sams Cider (11/12/2021) (Blue)</v>
      </c>
      <c r="H1395" s="19"/>
    </row>
    <row r="1396">
      <c r="A1396" s="9"/>
      <c r="B1396" s="15"/>
      <c r="C1396" s="9">
        <f>IFERROR(__xludf.DUMMYFUNCTION("""COMPUTED_VALUE"""),44591.0144204282)</f>
        <v>44591.01442</v>
      </c>
      <c r="D1396" s="15">
        <f>IFERROR(__xludf.DUMMYFUNCTION("""COMPUTED_VALUE"""),1.0)</f>
        <v>1</v>
      </c>
      <c r="E1396" s="16">
        <f>IFERROR(__xludf.DUMMYFUNCTION("""COMPUTED_VALUE"""),64.0)</f>
        <v>64</v>
      </c>
      <c r="F1396" s="19" t="str">
        <f>IFERROR(__xludf.DUMMYFUNCTION("""COMPUTED_VALUE"""),"BLUE")</f>
        <v>BLUE</v>
      </c>
      <c r="G1396" s="20" t="str">
        <f>IFERROR(__xludf.DUMMYFUNCTION("""COMPUTED_VALUE"""),"Uncle Sams Cider (11/12/2021) (Blue)")</f>
        <v>Uncle Sams Cider (11/12/2021) (Blue)</v>
      </c>
      <c r="H1396" s="19"/>
    </row>
    <row r="1397">
      <c r="A1397" s="9"/>
      <c r="B1397" s="15"/>
      <c r="C1397" s="9">
        <f>IFERROR(__xludf.DUMMYFUNCTION("""COMPUTED_VALUE"""),44591.0039973842)</f>
        <v>44591.004</v>
      </c>
      <c r="D1397" s="15">
        <f>IFERROR(__xludf.DUMMYFUNCTION("""COMPUTED_VALUE"""),1.0)</f>
        <v>1</v>
      </c>
      <c r="E1397" s="16">
        <f>IFERROR(__xludf.DUMMYFUNCTION("""COMPUTED_VALUE"""),64.0)</f>
        <v>64</v>
      </c>
      <c r="F1397" s="19" t="str">
        <f>IFERROR(__xludf.DUMMYFUNCTION("""COMPUTED_VALUE"""),"BLUE")</f>
        <v>BLUE</v>
      </c>
      <c r="G1397" s="20" t="str">
        <f>IFERROR(__xludf.DUMMYFUNCTION("""COMPUTED_VALUE"""),"Uncle Sams Cider (11/12/2021) (Blue)")</f>
        <v>Uncle Sams Cider (11/12/2021) (Blue)</v>
      </c>
      <c r="H1397" s="19"/>
    </row>
    <row r="1398">
      <c r="A1398" s="9"/>
      <c r="B1398" s="15"/>
      <c r="C1398" s="9">
        <f>IFERROR(__xludf.DUMMYFUNCTION("""COMPUTED_VALUE"""),44590.9935766782)</f>
        <v>44590.99358</v>
      </c>
      <c r="D1398" s="15">
        <f>IFERROR(__xludf.DUMMYFUNCTION("""COMPUTED_VALUE"""),1.0)</f>
        <v>1</v>
      </c>
      <c r="E1398" s="16">
        <f>IFERROR(__xludf.DUMMYFUNCTION("""COMPUTED_VALUE"""),64.0)</f>
        <v>64</v>
      </c>
      <c r="F1398" s="19" t="str">
        <f>IFERROR(__xludf.DUMMYFUNCTION("""COMPUTED_VALUE"""),"BLUE")</f>
        <v>BLUE</v>
      </c>
      <c r="G1398" s="20" t="str">
        <f>IFERROR(__xludf.DUMMYFUNCTION("""COMPUTED_VALUE"""),"Uncle Sams Cider (11/12/2021) (Blue)")</f>
        <v>Uncle Sams Cider (11/12/2021) (Blue)</v>
      </c>
      <c r="H1398" s="19"/>
    </row>
    <row r="1399">
      <c r="A1399" s="9"/>
      <c r="B1399" s="15"/>
      <c r="C1399" s="9">
        <f>IFERROR(__xludf.DUMMYFUNCTION("""COMPUTED_VALUE"""),44590.9831542361)</f>
        <v>44590.98315</v>
      </c>
      <c r="D1399" s="15">
        <f>IFERROR(__xludf.DUMMYFUNCTION("""COMPUTED_VALUE"""),1.0)</f>
        <v>1</v>
      </c>
      <c r="E1399" s="16">
        <f>IFERROR(__xludf.DUMMYFUNCTION("""COMPUTED_VALUE"""),64.0)</f>
        <v>64</v>
      </c>
      <c r="F1399" s="19" t="str">
        <f>IFERROR(__xludf.DUMMYFUNCTION("""COMPUTED_VALUE"""),"BLUE")</f>
        <v>BLUE</v>
      </c>
      <c r="G1399" s="20" t="str">
        <f>IFERROR(__xludf.DUMMYFUNCTION("""COMPUTED_VALUE"""),"Uncle Sams Cider (11/12/2021) (Blue)")</f>
        <v>Uncle Sams Cider (11/12/2021) (Blue)</v>
      </c>
      <c r="H1399" s="19"/>
    </row>
    <row r="1400">
      <c r="A1400" s="9"/>
      <c r="B1400" s="15"/>
      <c r="C1400" s="9">
        <f>IFERROR(__xludf.DUMMYFUNCTION("""COMPUTED_VALUE"""),44590.9727217824)</f>
        <v>44590.97272</v>
      </c>
      <c r="D1400" s="15">
        <f>IFERROR(__xludf.DUMMYFUNCTION("""COMPUTED_VALUE"""),1.0)</f>
        <v>1</v>
      </c>
      <c r="E1400" s="16">
        <f>IFERROR(__xludf.DUMMYFUNCTION("""COMPUTED_VALUE"""),64.0)</f>
        <v>64</v>
      </c>
      <c r="F1400" s="19" t="str">
        <f>IFERROR(__xludf.DUMMYFUNCTION("""COMPUTED_VALUE"""),"BLUE")</f>
        <v>BLUE</v>
      </c>
      <c r="G1400" s="20" t="str">
        <f>IFERROR(__xludf.DUMMYFUNCTION("""COMPUTED_VALUE"""),"Uncle Sams Cider (11/12/2021) (Blue)")</f>
        <v>Uncle Sams Cider (11/12/2021) (Blue)</v>
      </c>
      <c r="H1400" s="19"/>
    </row>
    <row r="1401">
      <c r="A1401" s="9"/>
      <c r="B1401" s="15"/>
      <c r="C1401" s="9">
        <f>IFERROR(__xludf.DUMMYFUNCTION("""COMPUTED_VALUE"""),44590.9622998379)</f>
        <v>44590.9623</v>
      </c>
      <c r="D1401" s="15">
        <f>IFERROR(__xludf.DUMMYFUNCTION("""COMPUTED_VALUE"""),1.0)</f>
        <v>1</v>
      </c>
      <c r="E1401" s="16">
        <f>IFERROR(__xludf.DUMMYFUNCTION("""COMPUTED_VALUE"""),64.0)</f>
        <v>64</v>
      </c>
      <c r="F1401" s="19" t="str">
        <f>IFERROR(__xludf.DUMMYFUNCTION("""COMPUTED_VALUE"""),"BLUE")</f>
        <v>BLUE</v>
      </c>
      <c r="G1401" s="20" t="str">
        <f>IFERROR(__xludf.DUMMYFUNCTION("""COMPUTED_VALUE"""),"Uncle Sams Cider (11/12/2021) (Blue)")</f>
        <v>Uncle Sams Cider (11/12/2021) (Blue)</v>
      </c>
      <c r="H1401" s="19"/>
    </row>
    <row r="1402">
      <c r="A1402" s="9"/>
      <c r="B1402" s="15"/>
      <c r="C1402" s="9">
        <f>IFERROR(__xludf.DUMMYFUNCTION("""COMPUTED_VALUE"""),44590.9518680208)</f>
        <v>44590.95187</v>
      </c>
      <c r="D1402" s="15">
        <f>IFERROR(__xludf.DUMMYFUNCTION("""COMPUTED_VALUE"""),1.0)</f>
        <v>1</v>
      </c>
      <c r="E1402" s="16">
        <f>IFERROR(__xludf.DUMMYFUNCTION("""COMPUTED_VALUE"""),64.0)</f>
        <v>64</v>
      </c>
      <c r="F1402" s="19" t="str">
        <f>IFERROR(__xludf.DUMMYFUNCTION("""COMPUTED_VALUE"""),"BLUE")</f>
        <v>BLUE</v>
      </c>
      <c r="G1402" s="20" t="str">
        <f>IFERROR(__xludf.DUMMYFUNCTION("""COMPUTED_VALUE"""),"Uncle Sams Cider (11/12/2021) (Blue)")</f>
        <v>Uncle Sams Cider (11/12/2021) (Blue)</v>
      </c>
      <c r="H1402" s="19"/>
    </row>
    <row r="1403">
      <c r="A1403" s="9"/>
      <c r="B1403" s="15"/>
      <c r="C1403" s="9">
        <f>IFERROR(__xludf.DUMMYFUNCTION("""COMPUTED_VALUE"""),44590.9414462615)</f>
        <v>44590.94145</v>
      </c>
      <c r="D1403" s="15">
        <f>IFERROR(__xludf.DUMMYFUNCTION("""COMPUTED_VALUE"""),1.0)</f>
        <v>1</v>
      </c>
      <c r="E1403" s="16">
        <f>IFERROR(__xludf.DUMMYFUNCTION("""COMPUTED_VALUE"""),64.0)</f>
        <v>64</v>
      </c>
      <c r="F1403" s="19" t="str">
        <f>IFERROR(__xludf.DUMMYFUNCTION("""COMPUTED_VALUE"""),"BLUE")</f>
        <v>BLUE</v>
      </c>
      <c r="G1403" s="20" t="str">
        <f>IFERROR(__xludf.DUMMYFUNCTION("""COMPUTED_VALUE"""),"Uncle Sams Cider (11/12/2021) (Blue)")</f>
        <v>Uncle Sams Cider (11/12/2021) (Blue)</v>
      </c>
      <c r="H1403" s="19"/>
    </row>
    <row r="1404">
      <c r="A1404" s="9"/>
      <c r="B1404" s="15"/>
      <c r="C1404" s="9">
        <f>IFERROR(__xludf.DUMMYFUNCTION("""COMPUTED_VALUE"""),44590.9310248842)</f>
        <v>44590.93102</v>
      </c>
      <c r="D1404" s="15">
        <f>IFERROR(__xludf.DUMMYFUNCTION("""COMPUTED_VALUE"""),1.0)</f>
        <v>1</v>
      </c>
      <c r="E1404" s="16">
        <f>IFERROR(__xludf.DUMMYFUNCTION("""COMPUTED_VALUE"""),64.0)</f>
        <v>64</v>
      </c>
      <c r="F1404" s="19" t="str">
        <f>IFERROR(__xludf.DUMMYFUNCTION("""COMPUTED_VALUE"""),"BLUE")</f>
        <v>BLUE</v>
      </c>
      <c r="G1404" s="20" t="str">
        <f>IFERROR(__xludf.DUMMYFUNCTION("""COMPUTED_VALUE"""),"Uncle Sams Cider (11/12/2021) (Blue)")</f>
        <v>Uncle Sams Cider (11/12/2021) (Blue)</v>
      </c>
      <c r="H1404" s="19"/>
    </row>
    <row r="1405">
      <c r="A1405" s="9"/>
      <c r="B1405" s="15"/>
      <c r="C1405" s="9">
        <f>IFERROR(__xludf.DUMMYFUNCTION("""COMPUTED_VALUE"""),44590.9205922801)</f>
        <v>44590.92059</v>
      </c>
      <c r="D1405" s="15">
        <f>IFERROR(__xludf.DUMMYFUNCTION("""COMPUTED_VALUE"""),1.0)</f>
        <v>1</v>
      </c>
      <c r="E1405" s="16">
        <f>IFERROR(__xludf.DUMMYFUNCTION("""COMPUTED_VALUE"""),64.0)</f>
        <v>64</v>
      </c>
      <c r="F1405" s="19" t="str">
        <f>IFERROR(__xludf.DUMMYFUNCTION("""COMPUTED_VALUE"""),"BLUE")</f>
        <v>BLUE</v>
      </c>
      <c r="G1405" s="20" t="str">
        <f>IFERROR(__xludf.DUMMYFUNCTION("""COMPUTED_VALUE"""),"Uncle Sams Cider (11/12/2021) (Blue)")</f>
        <v>Uncle Sams Cider (11/12/2021) (Blue)</v>
      </c>
      <c r="H1405" s="19"/>
    </row>
    <row r="1406">
      <c r="A1406" s="9"/>
      <c r="B1406" s="15"/>
      <c r="C1406" s="9">
        <f>IFERROR(__xludf.DUMMYFUNCTION("""COMPUTED_VALUE"""),44590.9100902546)</f>
        <v>44590.91009</v>
      </c>
      <c r="D1406" s="15">
        <f>IFERROR(__xludf.DUMMYFUNCTION("""COMPUTED_VALUE"""),1.0)</f>
        <v>1</v>
      </c>
      <c r="E1406" s="16">
        <f>IFERROR(__xludf.DUMMYFUNCTION("""COMPUTED_VALUE"""),64.0)</f>
        <v>64</v>
      </c>
      <c r="F1406" s="19" t="str">
        <f>IFERROR(__xludf.DUMMYFUNCTION("""COMPUTED_VALUE"""),"BLUE")</f>
        <v>BLUE</v>
      </c>
      <c r="G1406" s="20" t="str">
        <f>IFERROR(__xludf.DUMMYFUNCTION("""COMPUTED_VALUE"""),"Uncle Sams Cider (11/12/2021) (Blue)")</f>
        <v>Uncle Sams Cider (11/12/2021) (Blue)</v>
      </c>
      <c r="H1406" s="19"/>
    </row>
    <row r="1407">
      <c r="A1407" s="9"/>
      <c r="B1407" s="15"/>
      <c r="C1407" s="9">
        <f>IFERROR(__xludf.DUMMYFUNCTION("""COMPUTED_VALUE"""),44590.8996699884)</f>
        <v>44590.89967</v>
      </c>
      <c r="D1407" s="15">
        <f>IFERROR(__xludf.DUMMYFUNCTION("""COMPUTED_VALUE"""),1.0)</f>
        <v>1</v>
      </c>
      <c r="E1407" s="16">
        <f>IFERROR(__xludf.DUMMYFUNCTION("""COMPUTED_VALUE"""),64.0)</f>
        <v>64</v>
      </c>
      <c r="F1407" s="19" t="str">
        <f>IFERROR(__xludf.DUMMYFUNCTION("""COMPUTED_VALUE"""),"BLUE")</f>
        <v>BLUE</v>
      </c>
      <c r="G1407" s="20" t="str">
        <f>IFERROR(__xludf.DUMMYFUNCTION("""COMPUTED_VALUE"""),"Uncle Sams Cider (11/12/2021) (Blue)")</f>
        <v>Uncle Sams Cider (11/12/2021) (Blue)</v>
      </c>
      <c r="H1407" s="19"/>
    </row>
    <row r="1408">
      <c r="A1408" s="9"/>
      <c r="B1408" s="15"/>
      <c r="C1408" s="9">
        <f>IFERROR(__xludf.DUMMYFUNCTION("""COMPUTED_VALUE"""),44590.8892481712)</f>
        <v>44590.88925</v>
      </c>
      <c r="D1408" s="15">
        <f>IFERROR(__xludf.DUMMYFUNCTION("""COMPUTED_VALUE"""),1.0)</f>
        <v>1</v>
      </c>
      <c r="E1408" s="16">
        <f>IFERROR(__xludf.DUMMYFUNCTION("""COMPUTED_VALUE"""),64.0)</f>
        <v>64</v>
      </c>
      <c r="F1408" s="19" t="str">
        <f>IFERROR(__xludf.DUMMYFUNCTION("""COMPUTED_VALUE"""),"BLUE")</f>
        <v>BLUE</v>
      </c>
      <c r="G1408" s="20" t="str">
        <f>IFERROR(__xludf.DUMMYFUNCTION("""COMPUTED_VALUE"""),"Uncle Sams Cider (11/12/2021) (Blue)")</f>
        <v>Uncle Sams Cider (11/12/2021) (Blue)</v>
      </c>
      <c r="H1408" s="19"/>
    </row>
    <row r="1409">
      <c r="A1409" s="9"/>
      <c r="B1409" s="15"/>
      <c r="C1409" s="9">
        <f>IFERROR(__xludf.DUMMYFUNCTION("""COMPUTED_VALUE"""),44590.8788161458)</f>
        <v>44590.87882</v>
      </c>
      <c r="D1409" s="15">
        <f>IFERROR(__xludf.DUMMYFUNCTION("""COMPUTED_VALUE"""),1.0)</f>
        <v>1</v>
      </c>
      <c r="E1409" s="16">
        <f>IFERROR(__xludf.DUMMYFUNCTION("""COMPUTED_VALUE"""),64.0)</f>
        <v>64</v>
      </c>
      <c r="F1409" s="19" t="str">
        <f>IFERROR(__xludf.DUMMYFUNCTION("""COMPUTED_VALUE"""),"BLUE")</f>
        <v>BLUE</v>
      </c>
      <c r="G1409" s="20" t="str">
        <f>IFERROR(__xludf.DUMMYFUNCTION("""COMPUTED_VALUE"""),"Uncle Sams Cider (11/12/2021) (Blue)")</f>
        <v>Uncle Sams Cider (11/12/2021) (Blue)</v>
      </c>
      <c r="H1409" s="19"/>
    </row>
    <row r="1410">
      <c r="A1410" s="9"/>
      <c r="B1410" s="15"/>
      <c r="C1410" s="9">
        <f>IFERROR(__xludf.DUMMYFUNCTION("""COMPUTED_VALUE"""),44590.8683956481)</f>
        <v>44590.8684</v>
      </c>
      <c r="D1410" s="15">
        <f>IFERROR(__xludf.DUMMYFUNCTION("""COMPUTED_VALUE"""),1.0)</f>
        <v>1</v>
      </c>
      <c r="E1410" s="16">
        <f>IFERROR(__xludf.DUMMYFUNCTION("""COMPUTED_VALUE"""),64.0)</f>
        <v>64</v>
      </c>
      <c r="F1410" s="19" t="str">
        <f>IFERROR(__xludf.DUMMYFUNCTION("""COMPUTED_VALUE"""),"BLUE")</f>
        <v>BLUE</v>
      </c>
      <c r="G1410" s="20" t="str">
        <f>IFERROR(__xludf.DUMMYFUNCTION("""COMPUTED_VALUE"""),"Uncle Sams Cider (11/12/2021) (Blue)")</f>
        <v>Uncle Sams Cider (11/12/2021) (Blue)</v>
      </c>
      <c r="H1410" s="19"/>
    </row>
    <row r="1411">
      <c r="A1411" s="9"/>
      <c r="B1411" s="15"/>
      <c r="C1411" s="9">
        <f>IFERROR(__xludf.DUMMYFUNCTION("""COMPUTED_VALUE"""),44590.8579626736)</f>
        <v>44590.85796</v>
      </c>
      <c r="D1411" s="15">
        <f>IFERROR(__xludf.DUMMYFUNCTION("""COMPUTED_VALUE"""),1.0)</f>
        <v>1</v>
      </c>
      <c r="E1411" s="16">
        <f>IFERROR(__xludf.DUMMYFUNCTION("""COMPUTED_VALUE"""),64.0)</f>
        <v>64</v>
      </c>
      <c r="F1411" s="19" t="str">
        <f>IFERROR(__xludf.DUMMYFUNCTION("""COMPUTED_VALUE"""),"BLUE")</f>
        <v>BLUE</v>
      </c>
      <c r="G1411" s="20" t="str">
        <f>IFERROR(__xludf.DUMMYFUNCTION("""COMPUTED_VALUE"""),"Uncle Sams Cider (11/12/2021) (Blue)")</f>
        <v>Uncle Sams Cider (11/12/2021) (Blue)</v>
      </c>
      <c r="H1411" s="19"/>
    </row>
    <row r="1412">
      <c r="A1412" s="9"/>
      <c r="B1412" s="15"/>
      <c r="C1412" s="9">
        <f>IFERROR(__xludf.DUMMYFUNCTION("""COMPUTED_VALUE"""),44590.8475413078)</f>
        <v>44590.84754</v>
      </c>
      <c r="D1412" s="15">
        <f>IFERROR(__xludf.DUMMYFUNCTION("""COMPUTED_VALUE"""),1.0)</f>
        <v>1</v>
      </c>
      <c r="E1412" s="16">
        <f>IFERROR(__xludf.DUMMYFUNCTION("""COMPUTED_VALUE"""),64.0)</f>
        <v>64</v>
      </c>
      <c r="F1412" s="19" t="str">
        <f>IFERROR(__xludf.DUMMYFUNCTION("""COMPUTED_VALUE"""),"BLUE")</f>
        <v>BLUE</v>
      </c>
      <c r="G1412" s="20" t="str">
        <f>IFERROR(__xludf.DUMMYFUNCTION("""COMPUTED_VALUE"""),"Uncle Sams Cider (11/12/2021) (Blue)")</f>
        <v>Uncle Sams Cider (11/12/2021) (Blue)</v>
      </c>
      <c r="H1412" s="19"/>
    </row>
    <row r="1413">
      <c r="A1413" s="9"/>
      <c r="B1413" s="15"/>
      <c r="C1413" s="9">
        <f>IFERROR(__xludf.DUMMYFUNCTION("""COMPUTED_VALUE"""),44590.8371074074)</f>
        <v>44590.83711</v>
      </c>
      <c r="D1413" s="15">
        <f>IFERROR(__xludf.DUMMYFUNCTION("""COMPUTED_VALUE"""),1.0)</f>
        <v>1</v>
      </c>
      <c r="E1413" s="16">
        <f>IFERROR(__xludf.DUMMYFUNCTION("""COMPUTED_VALUE"""),64.0)</f>
        <v>64</v>
      </c>
      <c r="F1413" s="19" t="str">
        <f>IFERROR(__xludf.DUMMYFUNCTION("""COMPUTED_VALUE"""),"BLUE")</f>
        <v>BLUE</v>
      </c>
      <c r="G1413" s="20" t="str">
        <f>IFERROR(__xludf.DUMMYFUNCTION("""COMPUTED_VALUE"""),"Uncle Sams Cider (11/12/2021) (Blue)")</f>
        <v>Uncle Sams Cider (11/12/2021) (Blue)</v>
      </c>
      <c r="H1413" s="19"/>
    </row>
    <row r="1414">
      <c r="A1414" s="9"/>
      <c r="B1414" s="15"/>
      <c r="C1414" s="9">
        <f>IFERROR(__xludf.DUMMYFUNCTION("""COMPUTED_VALUE"""),44590.8266853356)</f>
        <v>44590.82669</v>
      </c>
      <c r="D1414" s="15">
        <f>IFERROR(__xludf.DUMMYFUNCTION("""COMPUTED_VALUE"""),1.0)</f>
        <v>1</v>
      </c>
      <c r="E1414" s="16">
        <f>IFERROR(__xludf.DUMMYFUNCTION("""COMPUTED_VALUE"""),64.0)</f>
        <v>64</v>
      </c>
      <c r="F1414" s="19" t="str">
        <f>IFERROR(__xludf.DUMMYFUNCTION("""COMPUTED_VALUE"""),"BLUE")</f>
        <v>BLUE</v>
      </c>
      <c r="G1414" s="20" t="str">
        <f>IFERROR(__xludf.DUMMYFUNCTION("""COMPUTED_VALUE"""),"Uncle Sams Cider (11/12/2021) (Blue)")</f>
        <v>Uncle Sams Cider (11/12/2021) (Blue)</v>
      </c>
      <c r="H1414" s="19"/>
    </row>
    <row r="1415">
      <c r="A1415" s="9"/>
      <c r="B1415" s="15"/>
      <c r="C1415" s="9">
        <f>IFERROR(__xludf.DUMMYFUNCTION("""COMPUTED_VALUE"""),44590.8162633564)</f>
        <v>44590.81626</v>
      </c>
      <c r="D1415" s="15">
        <f>IFERROR(__xludf.DUMMYFUNCTION("""COMPUTED_VALUE"""),1.0)</f>
        <v>1</v>
      </c>
      <c r="E1415" s="16">
        <f>IFERROR(__xludf.DUMMYFUNCTION("""COMPUTED_VALUE"""),64.0)</f>
        <v>64</v>
      </c>
      <c r="F1415" s="19" t="str">
        <f>IFERROR(__xludf.DUMMYFUNCTION("""COMPUTED_VALUE"""),"BLUE")</f>
        <v>BLUE</v>
      </c>
      <c r="G1415" s="20" t="str">
        <f>IFERROR(__xludf.DUMMYFUNCTION("""COMPUTED_VALUE"""),"Uncle Sams Cider (11/12/2021) (Blue)")</f>
        <v>Uncle Sams Cider (11/12/2021) (Blue)</v>
      </c>
      <c r="H1415" s="19"/>
    </row>
    <row r="1416">
      <c r="A1416" s="9"/>
      <c r="B1416" s="15"/>
      <c r="C1416" s="9">
        <f>IFERROR(__xludf.DUMMYFUNCTION("""COMPUTED_VALUE"""),44590.8058420949)</f>
        <v>44590.80584</v>
      </c>
      <c r="D1416" s="15">
        <f>IFERROR(__xludf.DUMMYFUNCTION("""COMPUTED_VALUE"""),1.0)</f>
        <v>1</v>
      </c>
      <c r="E1416" s="16">
        <f>IFERROR(__xludf.DUMMYFUNCTION("""COMPUTED_VALUE"""),64.0)</f>
        <v>64</v>
      </c>
      <c r="F1416" s="19" t="str">
        <f>IFERROR(__xludf.DUMMYFUNCTION("""COMPUTED_VALUE"""),"BLUE")</f>
        <v>BLUE</v>
      </c>
      <c r="G1416" s="20" t="str">
        <f>IFERROR(__xludf.DUMMYFUNCTION("""COMPUTED_VALUE"""),"Uncle Sams Cider (11/12/2021) (Blue)")</f>
        <v>Uncle Sams Cider (11/12/2021) (Blue)</v>
      </c>
      <c r="H1416" s="19"/>
    </row>
    <row r="1417">
      <c r="A1417" s="9"/>
      <c r="B1417" s="15"/>
      <c r="C1417" s="9">
        <f>IFERROR(__xludf.DUMMYFUNCTION("""COMPUTED_VALUE"""),44590.7954224421)</f>
        <v>44590.79542</v>
      </c>
      <c r="D1417" s="15">
        <f>IFERROR(__xludf.DUMMYFUNCTION("""COMPUTED_VALUE"""),1.0)</f>
        <v>1</v>
      </c>
      <c r="E1417" s="16">
        <f>IFERROR(__xludf.DUMMYFUNCTION("""COMPUTED_VALUE"""),64.0)</f>
        <v>64</v>
      </c>
      <c r="F1417" s="19" t="str">
        <f>IFERROR(__xludf.DUMMYFUNCTION("""COMPUTED_VALUE"""),"BLUE")</f>
        <v>BLUE</v>
      </c>
      <c r="G1417" s="20" t="str">
        <f>IFERROR(__xludf.DUMMYFUNCTION("""COMPUTED_VALUE"""),"Uncle Sams Cider (11/12/2021) (Blue)")</f>
        <v>Uncle Sams Cider (11/12/2021) (Blue)</v>
      </c>
      <c r="H1417" s="19"/>
    </row>
    <row r="1418">
      <c r="A1418" s="9"/>
      <c r="B1418" s="15"/>
      <c r="C1418" s="9">
        <f>IFERROR(__xludf.DUMMYFUNCTION("""COMPUTED_VALUE"""),44590.7850000694)</f>
        <v>44590.785</v>
      </c>
      <c r="D1418" s="15">
        <f>IFERROR(__xludf.DUMMYFUNCTION("""COMPUTED_VALUE"""),1.0)</f>
        <v>1</v>
      </c>
      <c r="E1418" s="16">
        <f>IFERROR(__xludf.DUMMYFUNCTION("""COMPUTED_VALUE"""),65.0)</f>
        <v>65</v>
      </c>
      <c r="F1418" s="19" t="str">
        <f>IFERROR(__xludf.DUMMYFUNCTION("""COMPUTED_VALUE"""),"BLUE")</f>
        <v>BLUE</v>
      </c>
      <c r="G1418" s="20" t="str">
        <f>IFERROR(__xludf.DUMMYFUNCTION("""COMPUTED_VALUE"""),"Uncle Sams Cider (11/12/2021) (Blue)")</f>
        <v>Uncle Sams Cider (11/12/2021) (Blue)</v>
      </c>
      <c r="H1418" s="19"/>
    </row>
    <row r="1419">
      <c r="A1419" s="9"/>
      <c r="B1419" s="15"/>
      <c r="C1419" s="9">
        <f>IFERROR(__xludf.DUMMYFUNCTION("""COMPUTED_VALUE"""),44590.7745794675)</f>
        <v>44590.77458</v>
      </c>
      <c r="D1419" s="15">
        <f>IFERROR(__xludf.DUMMYFUNCTION("""COMPUTED_VALUE"""),1.0)</f>
        <v>1</v>
      </c>
      <c r="E1419" s="16">
        <f>IFERROR(__xludf.DUMMYFUNCTION("""COMPUTED_VALUE"""),65.0)</f>
        <v>65</v>
      </c>
      <c r="F1419" s="19" t="str">
        <f>IFERROR(__xludf.DUMMYFUNCTION("""COMPUTED_VALUE"""),"BLUE")</f>
        <v>BLUE</v>
      </c>
      <c r="G1419" s="20" t="str">
        <f>IFERROR(__xludf.DUMMYFUNCTION("""COMPUTED_VALUE"""),"Uncle Sams Cider (11/12/2021) (Blue)")</f>
        <v>Uncle Sams Cider (11/12/2021) (Blue)</v>
      </c>
      <c r="H1419" s="19"/>
    </row>
    <row r="1420">
      <c r="A1420" s="9"/>
      <c r="B1420" s="15"/>
      <c r="C1420" s="9">
        <f>IFERROR(__xludf.DUMMYFUNCTION("""COMPUTED_VALUE"""),44590.7641572569)</f>
        <v>44590.76416</v>
      </c>
      <c r="D1420" s="15">
        <f>IFERROR(__xludf.DUMMYFUNCTION("""COMPUTED_VALUE"""),1.0)</f>
        <v>1</v>
      </c>
      <c r="E1420" s="16">
        <f>IFERROR(__xludf.DUMMYFUNCTION("""COMPUTED_VALUE"""),65.0)</f>
        <v>65</v>
      </c>
      <c r="F1420" s="19" t="str">
        <f>IFERROR(__xludf.DUMMYFUNCTION("""COMPUTED_VALUE"""),"BLUE")</f>
        <v>BLUE</v>
      </c>
      <c r="G1420" s="20" t="str">
        <f>IFERROR(__xludf.DUMMYFUNCTION("""COMPUTED_VALUE"""),"Uncle Sams Cider (11/12/2021) (Blue)")</f>
        <v>Uncle Sams Cider (11/12/2021) (Blue)</v>
      </c>
      <c r="H1420" s="19"/>
    </row>
    <row r="1421">
      <c r="A1421" s="9"/>
      <c r="B1421" s="15"/>
      <c r="C1421" s="9">
        <f>IFERROR(__xludf.DUMMYFUNCTION("""COMPUTED_VALUE"""),44590.7537377314)</f>
        <v>44590.75374</v>
      </c>
      <c r="D1421" s="15">
        <f>IFERROR(__xludf.DUMMYFUNCTION("""COMPUTED_VALUE"""),1.0)</f>
        <v>1</v>
      </c>
      <c r="E1421" s="16">
        <f>IFERROR(__xludf.DUMMYFUNCTION("""COMPUTED_VALUE"""),65.0)</f>
        <v>65</v>
      </c>
      <c r="F1421" s="19" t="str">
        <f>IFERROR(__xludf.DUMMYFUNCTION("""COMPUTED_VALUE"""),"BLUE")</f>
        <v>BLUE</v>
      </c>
      <c r="G1421" s="20" t="str">
        <f>IFERROR(__xludf.DUMMYFUNCTION("""COMPUTED_VALUE"""),"Uncle Sams Cider (11/12/2021) (Blue)")</f>
        <v>Uncle Sams Cider (11/12/2021) (Blue)</v>
      </c>
      <c r="H1421" s="19"/>
    </row>
    <row r="1422">
      <c r="A1422" s="9"/>
      <c r="B1422" s="15"/>
      <c r="C1422" s="9">
        <f>IFERROR(__xludf.DUMMYFUNCTION("""COMPUTED_VALUE"""),44590.7433165277)</f>
        <v>44590.74332</v>
      </c>
      <c r="D1422" s="15">
        <f>IFERROR(__xludf.DUMMYFUNCTION("""COMPUTED_VALUE"""),1.0)</f>
        <v>1</v>
      </c>
      <c r="E1422" s="16">
        <f>IFERROR(__xludf.DUMMYFUNCTION("""COMPUTED_VALUE"""),65.0)</f>
        <v>65</v>
      </c>
      <c r="F1422" s="19" t="str">
        <f>IFERROR(__xludf.DUMMYFUNCTION("""COMPUTED_VALUE"""),"BLUE")</f>
        <v>BLUE</v>
      </c>
      <c r="G1422" s="20" t="str">
        <f>IFERROR(__xludf.DUMMYFUNCTION("""COMPUTED_VALUE"""),"Uncle Sams Cider (11/12/2021) (Blue)")</f>
        <v>Uncle Sams Cider (11/12/2021) (Blue)</v>
      </c>
      <c r="H1422" s="19"/>
    </row>
    <row r="1423">
      <c r="A1423" s="9"/>
      <c r="B1423" s="15"/>
      <c r="C1423" s="9">
        <f>IFERROR(__xludf.DUMMYFUNCTION("""COMPUTED_VALUE"""),44590.732882199)</f>
        <v>44590.73288</v>
      </c>
      <c r="D1423" s="15">
        <f>IFERROR(__xludf.DUMMYFUNCTION("""COMPUTED_VALUE"""),1.0)</f>
        <v>1</v>
      </c>
      <c r="E1423" s="16">
        <f>IFERROR(__xludf.DUMMYFUNCTION("""COMPUTED_VALUE"""),65.0)</f>
        <v>65</v>
      </c>
      <c r="F1423" s="19" t="str">
        <f>IFERROR(__xludf.DUMMYFUNCTION("""COMPUTED_VALUE"""),"BLUE")</f>
        <v>BLUE</v>
      </c>
      <c r="G1423" s="20" t="str">
        <f>IFERROR(__xludf.DUMMYFUNCTION("""COMPUTED_VALUE"""),"Uncle Sams Cider (11/12/2021) (Blue)")</f>
        <v>Uncle Sams Cider (11/12/2021) (Blue)</v>
      </c>
      <c r="H1423" s="19"/>
    </row>
    <row r="1424">
      <c r="A1424" s="9"/>
      <c r="B1424" s="15"/>
      <c r="C1424" s="9">
        <f>IFERROR(__xludf.DUMMYFUNCTION("""COMPUTED_VALUE"""),44590.7224606712)</f>
        <v>44590.72246</v>
      </c>
      <c r="D1424" s="15">
        <f>IFERROR(__xludf.DUMMYFUNCTION("""COMPUTED_VALUE"""),1.0)</f>
        <v>1</v>
      </c>
      <c r="E1424" s="16">
        <f>IFERROR(__xludf.DUMMYFUNCTION("""COMPUTED_VALUE"""),65.0)</f>
        <v>65</v>
      </c>
      <c r="F1424" s="19" t="str">
        <f>IFERROR(__xludf.DUMMYFUNCTION("""COMPUTED_VALUE"""),"BLUE")</f>
        <v>BLUE</v>
      </c>
      <c r="G1424" s="20" t="str">
        <f>IFERROR(__xludf.DUMMYFUNCTION("""COMPUTED_VALUE"""),"Uncle Sams Cider (11/12/2021) (Blue)")</f>
        <v>Uncle Sams Cider (11/12/2021) (Blue)</v>
      </c>
      <c r="H1424" s="19"/>
    </row>
    <row r="1425">
      <c r="A1425" s="9"/>
      <c r="B1425" s="15"/>
      <c r="C1425" s="9">
        <f>IFERROR(__xludf.DUMMYFUNCTION("""COMPUTED_VALUE"""),44590.7119918171)</f>
        <v>44590.71199</v>
      </c>
      <c r="D1425" s="15">
        <f>IFERROR(__xludf.DUMMYFUNCTION("""COMPUTED_VALUE"""),1.0)</f>
        <v>1</v>
      </c>
      <c r="E1425" s="16">
        <f>IFERROR(__xludf.DUMMYFUNCTION("""COMPUTED_VALUE"""),65.0)</f>
        <v>65</v>
      </c>
      <c r="F1425" s="19" t="str">
        <f>IFERROR(__xludf.DUMMYFUNCTION("""COMPUTED_VALUE"""),"BLUE")</f>
        <v>BLUE</v>
      </c>
      <c r="G1425" s="20" t="str">
        <f>IFERROR(__xludf.DUMMYFUNCTION("""COMPUTED_VALUE"""),"Uncle Sams Cider (11/12/2021) (Blue)")</f>
        <v>Uncle Sams Cider (11/12/2021) (Blue)</v>
      </c>
      <c r="H1425" s="19"/>
    </row>
    <row r="1426">
      <c r="A1426" s="9"/>
      <c r="B1426" s="15"/>
      <c r="C1426" s="9">
        <f>IFERROR(__xludf.DUMMYFUNCTION("""COMPUTED_VALUE"""),44590.7015695138)</f>
        <v>44590.70157</v>
      </c>
      <c r="D1426" s="15">
        <f>IFERROR(__xludf.DUMMYFUNCTION("""COMPUTED_VALUE"""),1.0)</f>
        <v>1</v>
      </c>
      <c r="E1426" s="16">
        <f>IFERROR(__xludf.DUMMYFUNCTION("""COMPUTED_VALUE"""),65.0)</f>
        <v>65</v>
      </c>
      <c r="F1426" s="19" t="str">
        <f>IFERROR(__xludf.DUMMYFUNCTION("""COMPUTED_VALUE"""),"BLUE")</f>
        <v>BLUE</v>
      </c>
      <c r="G1426" s="20" t="str">
        <f>IFERROR(__xludf.DUMMYFUNCTION("""COMPUTED_VALUE"""),"Uncle Sams Cider (11/12/2021) (Blue)")</f>
        <v>Uncle Sams Cider (11/12/2021) (Blue)</v>
      </c>
      <c r="H1426" s="19"/>
    </row>
    <row r="1427">
      <c r="A1427" s="9"/>
      <c r="B1427" s="15"/>
      <c r="C1427" s="9">
        <f>IFERROR(__xludf.DUMMYFUNCTION("""COMPUTED_VALUE"""),44590.6911484374)</f>
        <v>44590.69115</v>
      </c>
      <c r="D1427" s="15">
        <f>IFERROR(__xludf.DUMMYFUNCTION("""COMPUTED_VALUE"""),1.0)</f>
        <v>1</v>
      </c>
      <c r="E1427" s="16">
        <f>IFERROR(__xludf.DUMMYFUNCTION("""COMPUTED_VALUE"""),65.0)</f>
        <v>65</v>
      </c>
      <c r="F1427" s="19" t="str">
        <f>IFERROR(__xludf.DUMMYFUNCTION("""COMPUTED_VALUE"""),"BLUE")</f>
        <v>BLUE</v>
      </c>
      <c r="G1427" s="20" t="str">
        <f>IFERROR(__xludf.DUMMYFUNCTION("""COMPUTED_VALUE"""),"Uncle Sams Cider (11/12/2021) (Blue)")</f>
        <v>Uncle Sams Cider (11/12/2021) (Blue)</v>
      </c>
      <c r="H1427" s="19"/>
    </row>
    <row r="1428">
      <c r="A1428" s="9"/>
      <c r="B1428" s="15"/>
      <c r="C1428" s="9">
        <f>IFERROR(__xludf.DUMMYFUNCTION("""COMPUTED_VALUE"""),44590.6807273379)</f>
        <v>44590.68073</v>
      </c>
      <c r="D1428" s="15">
        <f>IFERROR(__xludf.DUMMYFUNCTION("""COMPUTED_VALUE"""),1.0)</f>
        <v>1</v>
      </c>
      <c r="E1428" s="16">
        <f>IFERROR(__xludf.DUMMYFUNCTION("""COMPUTED_VALUE"""),65.0)</f>
        <v>65</v>
      </c>
      <c r="F1428" s="19" t="str">
        <f>IFERROR(__xludf.DUMMYFUNCTION("""COMPUTED_VALUE"""),"BLUE")</f>
        <v>BLUE</v>
      </c>
      <c r="G1428" s="20" t="str">
        <f>IFERROR(__xludf.DUMMYFUNCTION("""COMPUTED_VALUE"""),"Uncle Sams Cider (11/12/2021) (Blue)")</f>
        <v>Uncle Sams Cider (11/12/2021) (Blue)</v>
      </c>
      <c r="H1428" s="19"/>
    </row>
    <row r="1429">
      <c r="A1429" s="9"/>
      <c r="B1429" s="15"/>
      <c r="C1429" s="9">
        <f>IFERROR(__xludf.DUMMYFUNCTION("""COMPUTED_VALUE"""),44590.6703073263)</f>
        <v>44590.67031</v>
      </c>
      <c r="D1429" s="15">
        <f>IFERROR(__xludf.DUMMYFUNCTION("""COMPUTED_VALUE"""),1.0)</f>
        <v>1</v>
      </c>
      <c r="E1429" s="16">
        <f>IFERROR(__xludf.DUMMYFUNCTION("""COMPUTED_VALUE"""),65.0)</f>
        <v>65</v>
      </c>
      <c r="F1429" s="19" t="str">
        <f>IFERROR(__xludf.DUMMYFUNCTION("""COMPUTED_VALUE"""),"BLUE")</f>
        <v>BLUE</v>
      </c>
      <c r="G1429" s="20" t="str">
        <f>IFERROR(__xludf.DUMMYFUNCTION("""COMPUTED_VALUE"""),"Uncle Sams Cider (11/12/2021) (Blue)")</f>
        <v>Uncle Sams Cider (11/12/2021) (Blue)</v>
      </c>
      <c r="H1429" s="19"/>
    </row>
    <row r="1430">
      <c r="A1430" s="9"/>
      <c r="B1430" s="15"/>
      <c r="C1430" s="9">
        <f>IFERROR(__xludf.DUMMYFUNCTION("""COMPUTED_VALUE"""),44590.6598835763)</f>
        <v>44590.65988</v>
      </c>
      <c r="D1430" s="15">
        <f>IFERROR(__xludf.DUMMYFUNCTION("""COMPUTED_VALUE"""),1.0)</f>
        <v>1</v>
      </c>
      <c r="E1430" s="16">
        <f>IFERROR(__xludf.DUMMYFUNCTION("""COMPUTED_VALUE"""),65.0)</f>
        <v>65</v>
      </c>
      <c r="F1430" s="19" t="str">
        <f>IFERROR(__xludf.DUMMYFUNCTION("""COMPUTED_VALUE"""),"BLUE")</f>
        <v>BLUE</v>
      </c>
      <c r="G1430" s="20" t="str">
        <f>IFERROR(__xludf.DUMMYFUNCTION("""COMPUTED_VALUE"""),"Uncle Sams Cider (11/12/2021) (Blue)")</f>
        <v>Uncle Sams Cider (11/12/2021) (Blue)</v>
      </c>
      <c r="H1430" s="19"/>
    </row>
    <row r="1431">
      <c r="A1431" s="9"/>
      <c r="B1431" s="15"/>
      <c r="C1431" s="9">
        <f>IFERROR(__xludf.DUMMYFUNCTION("""COMPUTED_VALUE"""),44590.6494637037)</f>
        <v>44590.64946</v>
      </c>
      <c r="D1431" s="15">
        <f>IFERROR(__xludf.DUMMYFUNCTION("""COMPUTED_VALUE"""),1.0)</f>
        <v>1</v>
      </c>
      <c r="E1431" s="16">
        <f>IFERROR(__xludf.DUMMYFUNCTION("""COMPUTED_VALUE"""),65.0)</f>
        <v>65</v>
      </c>
      <c r="F1431" s="19" t="str">
        <f>IFERROR(__xludf.DUMMYFUNCTION("""COMPUTED_VALUE"""),"BLUE")</f>
        <v>BLUE</v>
      </c>
      <c r="G1431" s="20" t="str">
        <f>IFERROR(__xludf.DUMMYFUNCTION("""COMPUTED_VALUE"""),"Uncle Sams Cider (11/12/2021) (Blue)")</f>
        <v>Uncle Sams Cider (11/12/2021) (Blue)</v>
      </c>
      <c r="H1431" s="19"/>
    </row>
    <row r="1432">
      <c r="A1432" s="9"/>
      <c r="B1432" s="15"/>
      <c r="C1432" s="9">
        <f>IFERROR(__xludf.DUMMYFUNCTION("""COMPUTED_VALUE"""),44590.6390425462)</f>
        <v>44590.63904</v>
      </c>
      <c r="D1432" s="15">
        <f>IFERROR(__xludf.DUMMYFUNCTION("""COMPUTED_VALUE"""),1.0)</f>
        <v>1</v>
      </c>
      <c r="E1432" s="16">
        <f>IFERROR(__xludf.DUMMYFUNCTION("""COMPUTED_VALUE"""),65.0)</f>
        <v>65</v>
      </c>
      <c r="F1432" s="19" t="str">
        <f>IFERROR(__xludf.DUMMYFUNCTION("""COMPUTED_VALUE"""),"BLUE")</f>
        <v>BLUE</v>
      </c>
      <c r="G1432" s="20" t="str">
        <f>IFERROR(__xludf.DUMMYFUNCTION("""COMPUTED_VALUE"""),"Uncle Sams Cider (11/12/2021) (Blue)")</f>
        <v>Uncle Sams Cider (11/12/2021) (Blue)</v>
      </c>
      <c r="H1432" s="19"/>
    </row>
    <row r="1433">
      <c r="A1433" s="9"/>
      <c r="B1433" s="15"/>
      <c r="C1433" s="9">
        <f>IFERROR(__xludf.DUMMYFUNCTION("""COMPUTED_VALUE"""),44590.6286224652)</f>
        <v>44590.62862</v>
      </c>
      <c r="D1433" s="15">
        <f>IFERROR(__xludf.DUMMYFUNCTION("""COMPUTED_VALUE"""),1.0)</f>
        <v>1</v>
      </c>
      <c r="E1433" s="16">
        <f>IFERROR(__xludf.DUMMYFUNCTION("""COMPUTED_VALUE"""),65.0)</f>
        <v>65</v>
      </c>
      <c r="F1433" s="19" t="str">
        <f>IFERROR(__xludf.DUMMYFUNCTION("""COMPUTED_VALUE"""),"BLUE")</f>
        <v>BLUE</v>
      </c>
      <c r="G1433" s="20" t="str">
        <f>IFERROR(__xludf.DUMMYFUNCTION("""COMPUTED_VALUE"""),"Uncle Sams Cider (11/12/2021) (Blue)")</f>
        <v>Uncle Sams Cider (11/12/2021) (Blue)</v>
      </c>
      <c r="H1433" s="19"/>
    </row>
    <row r="1434">
      <c r="A1434" s="9"/>
      <c r="B1434" s="15"/>
      <c r="C1434" s="9">
        <f>IFERROR(__xludf.DUMMYFUNCTION("""COMPUTED_VALUE"""),44590.6182037615)</f>
        <v>44590.6182</v>
      </c>
      <c r="D1434" s="15">
        <f>IFERROR(__xludf.DUMMYFUNCTION("""COMPUTED_VALUE"""),1.0)</f>
        <v>1</v>
      </c>
      <c r="E1434" s="16">
        <f>IFERROR(__xludf.DUMMYFUNCTION("""COMPUTED_VALUE"""),65.0)</f>
        <v>65</v>
      </c>
      <c r="F1434" s="19" t="str">
        <f>IFERROR(__xludf.DUMMYFUNCTION("""COMPUTED_VALUE"""),"BLUE")</f>
        <v>BLUE</v>
      </c>
      <c r="G1434" s="20" t="str">
        <f>IFERROR(__xludf.DUMMYFUNCTION("""COMPUTED_VALUE"""),"Uncle Sams Cider (11/12/2021) (Blue)")</f>
        <v>Uncle Sams Cider (11/12/2021) (Blue)</v>
      </c>
      <c r="H1434" s="19"/>
    </row>
    <row r="1435">
      <c r="A1435" s="9"/>
      <c r="B1435" s="15"/>
      <c r="C1435" s="9">
        <f>IFERROR(__xludf.DUMMYFUNCTION("""COMPUTED_VALUE"""),44590.6077721875)</f>
        <v>44590.60777</v>
      </c>
      <c r="D1435" s="15">
        <f>IFERROR(__xludf.DUMMYFUNCTION("""COMPUTED_VALUE"""),1.0)</f>
        <v>1</v>
      </c>
      <c r="E1435" s="16">
        <f>IFERROR(__xludf.DUMMYFUNCTION("""COMPUTED_VALUE"""),65.0)</f>
        <v>65</v>
      </c>
      <c r="F1435" s="19" t="str">
        <f>IFERROR(__xludf.DUMMYFUNCTION("""COMPUTED_VALUE"""),"BLUE")</f>
        <v>BLUE</v>
      </c>
      <c r="G1435" s="20" t="str">
        <f>IFERROR(__xludf.DUMMYFUNCTION("""COMPUTED_VALUE"""),"Uncle Sams Cider (11/12/2021) (Blue)")</f>
        <v>Uncle Sams Cider (11/12/2021) (Blue)</v>
      </c>
      <c r="H1435" s="19"/>
    </row>
    <row r="1436">
      <c r="A1436" s="9"/>
      <c r="B1436" s="15"/>
      <c r="C1436" s="9">
        <f>IFERROR(__xludf.DUMMYFUNCTION("""COMPUTED_VALUE"""),44590.5973539004)</f>
        <v>44590.59735</v>
      </c>
      <c r="D1436" s="15">
        <f>IFERROR(__xludf.DUMMYFUNCTION("""COMPUTED_VALUE"""),1.0)</f>
        <v>1</v>
      </c>
      <c r="E1436" s="16">
        <f>IFERROR(__xludf.DUMMYFUNCTION("""COMPUTED_VALUE"""),65.0)</f>
        <v>65</v>
      </c>
      <c r="F1436" s="19" t="str">
        <f>IFERROR(__xludf.DUMMYFUNCTION("""COMPUTED_VALUE"""),"BLUE")</f>
        <v>BLUE</v>
      </c>
      <c r="G1436" s="20" t="str">
        <f>IFERROR(__xludf.DUMMYFUNCTION("""COMPUTED_VALUE"""),"Uncle Sams Cider (11/12/2021) (Blue)")</f>
        <v>Uncle Sams Cider (11/12/2021) (Blue)</v>
      </c>
      <c r="H1436" s="19"/>
    </row>
    <row r="1437">
      <c r="A1437" s="9"/>
      <c r="B1437" s="15"/>
      <c r="C1437" s="9">
        <f>IFERROR(__xludf.DUMMYFUNCTION("""COMPUTED_VALUE"""),44590.586932905)</f>
        <v>44590.58693</v>
      </c>
      <c r="D1437" s="15">
        <f>IFERROR(__xludf.DUMMYFUNCTION("""COMPUTED_VALUE"""),1.0)</f>
        <v>1</v>
      </c>
      <c r="E1437" s="16">
        <f>IFERROR(__xludf.DUMMYFUNCTION("""COMPUTED_VALUE"""),65.0)</f>
        <v>65</v>
      </c>
      <c r="F1437" s="19" t="str">
        <f>IFERROR(__xludf.DUMMYFUNCTION("""COMPUTED_VALUE"""),"BLUE")</f>
        <v>BLUE</v>
      </c>
      <c r="G1437" s="20" t="str">
        <f>IFERROR(__xludf.DUMMYFUNCTION("""COMPUTED_VALUE"""),"Uncle Sams Cider (11/12/2021) (Blue)")</f>
        <v>Uncle Sams Cider (11/12/2021) (Blue)</v>
      </c>
      <c r="H1437" s="19"/>
    </row>
    <row r="1438">
      <c r="A1438" s="9"/>
      <c r="B1438" s="15"/>
      <c r="C1438" s="9">
        <f>IFERROR(__xludf.DUMMYFUNCTION("""COMPUTED_VALUE"""),44590.576511655)</f>
        <v>44590.57651</v>
      </c>
      <c r="D1438" s="15">
        <f>IFERROR(__xludf.DUMMYFUNCTION("""COMPUTED_VALUE"""),1.0)</f>
        <v>1</v>
      </c>
      <c r="E1438" s="16">
        <f>IFERROR(__xludf.DUMMYFUNCTION("""COMPUTED_VALUE"""),65.0)</f>
        <v>65</v>
      </c>
      <c r="F1438" s="19" t="str">
        <f>IFERROR(__xludf.DUMMYFUNCTION("""COMPUTED_VALUE"""),"BLUE")</f>
        <v>BLUE</v>
      </c>
      <c r="G1438" s="20" t="str">
        <f>IFERROR(__xludf.DUMMYFUNCTION("""COMPUTED_VALUE"""),"Uncle Sams Cider (11/12/2021) (Blue)")</f>
        <v>Uncle Sams Cider (11/12/2021) (Blue)</v>
      </c>
      <c r="H1438" s="19"/>
    </row>
    <row r="1439">
      <c r="A1439" s="9"/>
      <c r="B1439" s="15"/>
      <c r="C1439" s="9">
        <f>IFERROR(__xludf.DUMMYFUNCTION("""COMPUTED_VALUE"""),44590.5660903587)</f>
        <v>44590.56609</v>
      </c>
      <c r="D1439" s="15">
        <f>IFERROR(__xludf.DUMMYFUNCTION("""COMPUTED_VALUE"""),1.0)</f>
        <v>1</v>
      </c>
      <c r="E1439" s="16">
        <f>IFERROR(__xludf.DUMMYFUNCTION("""COMPUTED_VALUE"""),65.0)</f>
        <v>65</v>
      </c>
      <c r="F1439" s="19" t="str">
        <f>IFERROR(__xludf.DUMMYFUNCTION("""COMPUTED_VALUE"""),"BLUE")</f>
        <v>BLUE</v>
      </c>
      <c r="G1439" s="20" t="str">
        <f>IFERROR(__xludf.DUMMYFUNCTION("""COMPUTED_VALUE"""),"Uncle Sams Cider (11/12/2021) (Blue)")</f>
        <v>Uncle Sams Cider (11/12/2021) (Blue)</v>
      </c>
      <c r="H1439" s="19"/>
    </row>
    <row r="1440">
      <c r="A1440" s="9"/>
      <c r="B1440" s="15"/>
      <c r="C1440" s="9">
        <f>IFERROR(__xludf.DUMMYFUNCTION("""COMPUTED_VALUE"""),44590.5556692013)</f>
        <v>44590.55567</v>
      </c>
      <c r="D1440" s="15">
        <f>IFERROR(__xludf.DUMMYFUNCTION("""COMPUTED_VALUE"""),1.0)</f>
        <v>1</v>
      </c>
      <c r="E1440" s="16">
        <f>IFERROR(__xludf.DUMMYFUNCTION("""COMPUTED_VALUE"""),65.0)</f>
        <v>65</v>
      </c>
      <c r="F1440" s="19" t="str">
        <f>IFERROR(__xludf.DUMMYFUNCTION("""COMPUTED_VALUE"""),"BLUE")</f>
        <v>BLUE</v>
      </c>
      <c r="G1440" s="20" t="str">
        <f>IFERROR(__xludf.DUMMYFUNCTION("""COMPUTED_VALUE"""),"Uncle Sams Cider (11/12/2021) (Blue)")</f>
        <v>Uncle Sams Cider (11/12/2021) (Blue)</v>
      </c>
      <c r="H1440" s="19"/>
    </row>
    <row r="1441">
      <c r="A1441" s="9"/>
      <c r="B1441" s="15"/>
      <c r="C1441" s="9">
        <f>IFERROR(__xludf.DUMMYFUNCTION("""COMPUTED_VALUE"""),44590.5452482291)</f>
        <v>44590.54525</v>
      </c>
      <c r="D1441" s="15">
        <f>IFERROR(__xludf.DUMMYFUNCTION("""COMPUTED_VALUE"""),1.0)</f>
        <v>1</v>
      </c>
      <c r="E1441" s="16">
        <f>IFERROR(__xludf.DUMMYFUNCTION("""COMPUTED_VALUE"""),65.0)</f>
        <v>65</v>
      </c>
      <c r="F1441" s="19" t="str">
        <f>IFERROR(__xludf.DUMMYFUNCTION("""COMPUTED_VALUE"""),"BLUE")</f>
        <v>BLUE</v>
      </c>
      <c r="G1441" s="20" t="str">
        <f>IFERROR(__xludf.DUMMYFUNCTION("""COMPUTED_VALUE"""),"Uncle Sams Cider (11/12/2021) (Blue)")</f>
        <v>Uncle Sams Cider (11/12/2021) (Blue)</v>
      </c>
      <c r="H1441" s="19"/>
    </row>
    <row r="1442">
      <c r="A1442" s="9"/>
      <c r="B1442" s="15"/>
      <c r="C1442" s="9">
        <f>IFERROR(__xludf.DUMMYFUNCTION("""COMPUTED_VALUE"""),44590.5348147453)</f>
        <v>44590.53481</v>
      </c>
      <c r="D1442" s="15">
        <f>IFERROR(__xludf.DUMMYFUNCTION("""COMPUTED_VALUE"""),1.0)</f>
        <v>1</v>
      </c>
      <c r="E1442" s="16">
        <f>IFERROR(__xludf.DUMMYFUNCTION("""COMPUTED_VALUE"""),65.0)</f>
        <v>65</v>
      </c>
      <c r="F1442" s="19" t="str">
        <f>IFERROR(__xludf.DUMMYFUNCTION("""COMPUTED_VALUE"""),"BLUE")</f>
        <v>BLUE</v>
      </c>
      <c r="G1442" s="20" t="str">
        <f>IFERROR(__xludf.DUMMYFUNCTION("""COMPUTED_VALUE"""),"Uncle Sams Cider (11/12/2021) (Blue)")</f>
        <v>Uncle Sams Cider (11/12/2021) (Blue)</v>
      </c>
      <c r="H1442" s="19"/>
    </row>
    <row r="1443">
      <c r="A1443" s="9"/>
      <c r="B1443" s="15"/>
      <c r="C1443" s="9">
        <f>IFERROR(__xludf.DUMMYFUNCTION("""COMPUTED_VALUE"""),44590.5243930555)</f>
        <v>44590.52439</v>
      </c>
      <c r="D1443" s="15">
        <f>IFERROR(__xludf.DUMMYFUNCTION("""COMPUTED_VALUE"""),1.0)</f>
        <v>1</v>
      </c>
      <c r="E1443" s="16">
        <f>IFERROR(__xludf.DUMMYFUNCTION("""COMPUTED_VALUE"""),65.0)</f>
        <v>65</v>
      </c>
      <c r="F1443" s="19" t="str">
        <f>IFERROR(__xludf.DUMMYFUNCTION("""COMPUTED_VALUE"""),"BLUE")</f>
        <v>BLUE</v>
      </c>
      <c r="G1443" s="20" t="str">
        <f>IFERROR(__xludf.DUMMYFUNCTION("""COMPUTED_VALUE"""),"Uncle Sams Cider (11/12/2021) (Blue)")</f>
        <v>Uncle Sams Cider (11/12/2021) (Blue)</v>
      </c>
      <c r="H1443" s="19"/>
    </row>
    <row r="1444">
      <c r="A1444" s="9"/>
      <c r="B1444" s="15"/>
      <c r="C1444" s="9">
        <f>IFERROR(__xludf.DUMMYFUNCTION("""COMPUTED_VALUE"""),44590.5139699305)</f>
        <v>44590.51397</v>
      </c>
      <c r="D1444" s="15">
        <f>IFERROR(__xludf.DUMMYFUNCTION("""COMPUTED_VALUE"""),1.0)</f>
        <v>1</v>
      </c>
      <c r="E1444" s="16">
        <f>IFERROR(__xludf.DUMMYFUNCTION("""COMPUTED_VALUE"""),65.0)</f>
        <v>65</v>
      </c>
      <c r="F1444" s="19" t="str">
        <f>IFERROR(__xludf.DUMMYFUNCTION("""COMPUTED_VALUE"""),"BLUE")</f>
        <v>BLUE</v>
      </c>
      <c r="G1444" s="20" t="str">
        <f>IFERROR(__xludf.DUMMYFUNCTION("""COMPUTED_VALUE"""),"Uncle Sams Cider (11/12/2021) (Blue)")</f>
        <v>Uncle Sams Cider (11/12/2021) (Blue)</v>
      </c>
      <c r="H1444" s="19"/>
    </row>
    <row r="1445">
      <c r="A1445" s="9"/>
      <c r="B1445" s="15"/>
      <c r="C1445" s="9">
        <f>IFERROR(__xludf.DUMMYFUNCTION("""COMPUTED_VALUE"""),44590.5035369097)</f>
        <v>44590.50354</v>
      </c>
      <c r="D1445" s="15">
        <f>IFERROR(__xludf.DUMMYFUNCTION("""COMPUTED_VALUE"""),1.0)</f>
        <v>1</v>
      </c>
      <c r="E1445" s="16">
        <f>IFERROR(__xludf.DUMMYFUNCTION("""COMPUTED_VALUE"""),65.0)</f>
        <v>65</v>
      </c>
      <c r="F1445" s="19" t="str">
        <f>IFERROR(__xludf.DUMMYFUNCTION("""COMPUTED_VALUE"""),"BLUE")</f>
        <v>BLUE</v>
      </c>
      <c r="G1445" s="20" t="str">
        <f>IFERROR(__xludf.DUMMYFUNCTION("""COMPUTED_VALUE"""),"Uncle Sams Cider (11/12/2021) (Blue)")</f>
        <v>Uncle Sams Cider (11/12/2021) (Blue)</v>
      </c>
      <c r="H1445" s="19"/>
    </row>
    <row r="1446">
      <c r="A1446" s="9"/>
      <c r="B1446" s="15"/>
      <c r="C1446" s="9">
        <f>IFERROR(__xludf.DUMMYFUNCTION("""COMPUTED_VALUE"""),44590.4930935995)</f>
        <v>44590.49309</v>
      </c>
      <c r="D1446" s="15">
        <f>IFERROR(__xludf.DUMMYFUNCTION("""COMPUTED_VALUE"""),1.0)</f>
        <v>1</v>
      </c>
      <c r="E1446" s="16">
        <f>IFERROR(__xludf.DUMMYFUNCTION("""COMPUTED_VALUE"""),66.0)</f>
        <v>66</v>
      </c>
      <c r="F1446" s="19" t="str">
        <f>IFERROR(__xludf.DUMMYFUNCTION("""COMPUTED_VALUE"""),"BLUE")</f>
        <v>BLUE</v>
      </c>
      <c r="G1446" s="20" t="str">
        <f>IFERROR(__xludf.DUMMYFUNCTION("""COMPUTED_VALUE"""),"Uncle Sams Cider (11/12/2021) (Blue)")</f>
        <v>Uncle Sams Cider (11/12/2021) (Blue)</v>
      </c>
      <c r="H1446" s="19"/>
    </row>
    <row r="1447">
      <c r="A1447" s="9"/>
      <c r="B1447" s="15"/>
      <c r="C1447" s="9">
        <f>IFERROR(__xludf.DUMMYFUNCTION("""COMPUTED_VALUE"""),44590.4826726157)</f>
        <v>44590.48267</v>
      </c>
      <c r="D1447" s="15">
        <f>IFERROR(__xludf.DUMMYFUNCTION("""COMPUTED_VALUE"""),1.0)</f>
        <v>1</v>
      </c>
      <c r="E1447" s="16">
        <f>IFERROR(__xludf.DUMMYFUNCTION("""COMPUTED_VALUE"""),66.0)</f>
        <v>66</v>
      </c>
      <c r="F1447" s="19" t="str">
        <f>IFERROR(__xludf.DUMMYFUNCTION("""COMPUTED_VALUE"""),"BLUE")</f>
        <v>BLUE</v>
      </c>
      <c r="G1447" s="20" t="str">
        <f>IFERROR(__xludf.DUMMYFUNCTION("""COMPUTED_VALUE"""),"Uncle Sams Cider (11/12/2021) (Blue)")</f>
        <v>Uncle Sams Cider (11/12/2021) (Blue)</v>
      </c>
      <c r="H1447" s="19"/>
    </row>
    <row r="1448">
      <c r="A1448" s="9"/>
      <c r="B1448" s="15"/>
      <c r="C1448" s="9">
        <f>IFERROR(__xludf.DUMMYFUNCTION("""COMPUTED_VALUE"""),44590.4722377314)</f>
        <v>44590.47224</v>
      </c>
      <c r="D1448" s="15">
        <f>IFERROR(__xludf.DUMMYFUNCTION("""COMPUTED_VALUE"""),1.0)</f>
        <v>1</v>
      </c>
      <c r="E1448" s="16">
        <f>IFERROR(__xludf.DUMMYFUNCTION("""COMPUTED_VALUE"""),66.0)</f>
        <v>66</v>
      </c>
      <c r="F1448" s="19" t="str">
        <f>IFERROR(__xludf.DUMMYFUNCTION("""COMPUTED_VALUE"""),"BLUE")</f>
        <v>BLUE</v>
      </c>
      <c r="G1448" s="20" t="str">
        <f>IFERROR(__xludf.DUMMYFUNCTION("""COMPUTED_VALUE"""),"Uncle Sams Cider (11/12/2021) (Blue)")</f>
        <v>Uncle Sams Cider (11/12/2021) (Blue)</v>
      </c>
      <c r="H1448" s="19"/>
    </row>
    <row r="1449">
      <c r="A1449" s="9"/>
      <c r="B1449" s="15"/>
      <c r="C1449" s="9">
        <f>IFERROR(__xludf.DUMMYFUNCTION("""COMPUTED_VALUE"""),44590.4618176157)</f>
        <v>44590.46182</v>
      </c>
      <c r="D1449" s="15">
        <f>IFERROR(__xludf.DUMMYFUNCTION("""COMPUTED_VALUE"""),1.0)</f>
        <v>1</v>
      </c>
      <c r="E1449" s="16">
        <f>IFERROR(__xludf.DUMMYFUNCTION("""COMPUTED_VALUE"""),66.0)</f>
        <v>66</v>
      </c>
      <c r="F1449" s="19" t="str">
        <f>IFERROR(__xludf.DUMMYFUNCTION("""COMPUTED_VALUE"""),"BLUE")</f>
        <v>BLUE</v>
      </c>
      <c r="G1449" s="20" t="str">
        <f>IFERROR(__xludf.DUMMYFUNCTION("""COMPUTED_VALUE"""),"Uncle Sams Cider (11/12/2021) (Blue)")</f>
        <v>Uncle Sams Cider (11/12/2021) (Blue)</v>
      </c>
      <c r="H1449" s="19"/>
    </row>
    <row r="1450">
      <c r="A1450" s="9"/>
      <c r="B1450" s="15"/>
      <c r="C1450" s="9">
        <f>IFERROR(__xludf.DUMMYFUNCTION("""COMPUTED_VALUE"""),44590.451384537)</f>
        <v>44590.45138</v>
      </c>
      <c r="D1450" s="15">
        <f>IFERROR(__xludf.DUMMYFUNCTION("""COMPUTED_VALUE"""),1.0)</f>
        <v>1</v>
      </c>
      <c r="E1450" s="16">
        <f>IFERROR(__xludf.DUMMYFUNCTION("""COMPUTED_VALUE"""),66.0)</f>
        <v>66</v>
      </c>
      <c r="F1450" s="19" t="str">
        <f>IFERROR(__xludf.DUMMYFUNCTION("""COMPUTED_VALUE"""),"BLUE")</f>
        <v>BLUE</v>
      </c>
      <c r="G1450" s="20" t="str">
        <f>IFERROR(__xludf.DUMMYFUNCTION("""COMPUTED_VALUE"""),"Uncle Sams Cider (11/12/2021) (Blue)")</f>
        <v>Uncle Sams Cider (11/12/2021) (Blue)</v>
      </c>
      <c r="H1450" s="19"/>
    </row>
    <row r="1451">
      <c r="A1451" s="9"/>
      <c r="B1451" s="15"/>
      <c r="C1451" s="9">
        <f>IFERROR(__xludf.DUMMYFUNCTION("""COMPUTED_VALUE"""),44590.4409526736)</f>
        <v>44590.44095</v>
      </c>
      <c r="D1451" s="15">
        <f>IFERROR(__xludf.DUMMYFUNCTION("""COMPUTED_VALUE"""),1.0)</f>
        <v>1</v>
      </c>
      <c r="E1451" s="16">
        <f>IFERROR(__xludf.DUMMYFUNCTION("""COMPUTED_VALUE"""),66.0)</f>
        <v>66</v>
      </c>
      <c r="F1451" s="19" t="str">
        <f>IFERROR(__xludf.DUMMYFUNCTION("""COMPUTED_VALUE"""),"BLUE")</f>
        <v>BLUE</v>
      </c>
      <c r="G1451" s="20" t="str">
        <f>IFERROR(__xludf.DUMMYFUNCTION("""COMPUTED_VALUE"""),"Uncle Sams Cider (11/12/2021) (Blue)")</f>
        <v>Uncle Sams Cider (11/12/2021) (Blue)</v>
      </c>
      <c r="H1451" s="19"/>
    </row>
    <row r="1452">
      <c r="A1452" s="9"/>
      <c r="B1452" s="15"/>
      <c r="C1452" s="9">
        <f>IFERROR(__xludf.DUMMYFUNCTION("""COMPUTED_VALUE"""),44590.4305310995)</f>
        <v>44590.43053</v>
      </c>
      <c r="D1452" s="15">
        <f>IFERROR(__xludf.DUMMYFUNCTION("""COMPUTED_VALUE"""),1.0)</f>
        <v>1</v>
      </c>
      <c r="E1452" s="16">
        <f>IFERROR(__xludf.DUMMYFUNCTION("""COMPUTED_VALUE"""),66.0)</f>
        <v>66</v>
      </c>
      <c r="F1452" s="19" t="str">
        <f>IFERROR(__xludf.DUMMYFUNCTION("""COMPUTED_VALUE"""),"BLUE")</f>
        <v>BLUE</v>
      </c>
      <c r="G1452" s="20" t="str">
        <f>IFERROR(__xludf.DUMMYFUNCTION("""COMPUTED_VALUE"""),"Uncle Sams Cider (11/12/2021) (Blue)")</f>
        <v>Uncle Sams Cider (11/12/2021) (Blue)</v>
      </c>
      <c r="H1452" s="19"/>
    </row>
    <row r="1453">
      <c r="A1453" s="9"/>
      <c r="B1453" s="15"/>
      <c r="C1453" s="9">
        <f>IFERROR(__xludf.DUMMYFUNCTION("""COMPUTED_VALUE"""),44590.420111412)</f>
        <v>44590.42011</v>
      </c>
      <c r="D1453" s="15">
        <f>IFERROR(__xludf.DUMMYFUNCTION("""COMPUTED_VALUE"""),1.0)</f>
        <v>1</v>
      </c>
      <c r="E1453" s="16">
        <f>IFERROR(__xludf.DUMMYFUNCTION("""COMPUTED_VALUE"""),66.0)</f>
        <v>66</v>
      </c>
      <c r="F1453" s="19" t="str">
        <f>IFERROR(__xludf.DUMMYFUNCTION("""COMPUTED_VALUE"""),"BLUE")</f>
        <v>BLUE</v>
      </c>
      <c r="G1453" s="20" t="str">
        <f>IFERROR(__xludf.DUMMYFUNCTION("""COMPUTED_VALUE"""),"Uncle Sams Cider (11/12/2021) (Blue)")</f>
        <v>Uncle Sams Cider (11/12/2021) (Blue)</v>
      </c>
      <c r="H1453" s="19"/>
    </row>
    <row r="1454">
      <c r="A1454" s="9"/>
      <c r="B1454" s="15"/>
      <c r="C1454" s="9">
        <f>IFERROR(__xludf.DUMMYFUNCTION("""COMPUTED_VALUE"""),44590.4096912384)</f>
        <v>44590.40969</v>
      </c>
      <c r="D1454" s="15">
        <f>IFERROR(__xludf.DUMMYFUNCTION("""COMPUTED_VALUE"""),1.0)</f>
        <v>1</v>
      </c>
      <c r="E1454" s="16">
        <f>IFERROR(__xludf.DUMMYFUNCTION("""COMPUTED_VALUE"""),66.0)</f>
        <v>66</v>
      </c>
      <c r="F1454" s="19" t="str">
        <f>IFERROR(__xludf.DUMMYFUNCTION("""COMPUTED_VALUE"""),"BLUE")</f>
        <v>BLUE</v>
      </c>
      <c r="G1454" s="20" t="str">
        <f>IFERROR(__xludf.DUMMYFUNCTION("""COMPUTED_VALUE"""),"Uncle Sams Cider (11/12/2021) (Blue)")</f>
        <v>Uncle Sams Cider (11/12/2021) (Blue)</v>
      </c>
      <c r="H1454" s="19"/>
    </row>
    <row r="1455">
      <c r="A1455" s="9"/>
      <c r="B1455" s="15"/>
      <c r="C1455" s="9">
        <f>IFERROR(__xludf.DUMMYFUNCTION("""COMPUTED_VALUE"""),44590.3992712962)</f>
        <v>44590.39927</v>
      </c>
      <c r="D1455" s="15">
        <f>IFERROR(__xludf.DUMMYFUNCTION("""COMPUTED_VALUE"""),1.0)</f>
        <v>1</v>
      </c>
      <c r="E1455" s="16">
        <f>IFERROR(__xludf.DUMMYFUNCTION("""COMPUTED_VALUE"""),66.0)</f>
        <v>66</v>
      </c>
      <c r="F1455" s="19" t="str">
        <f>IFERROR(__xludf.DUMMYFUNCTION("""COMPUTED_VALUE"""),"BLUE")</f>
        <v>BLUE</v>
      </c>
      <c r="G1455" s="20" t="str">
        <f>IFERROR(__xludf.DUMMYFUNCTION("""COMPUTED_VALUE"""),"Uncle Sams Cider (11/12/2021) (Blue)")</f>
        <v>Uncle Sams Cider (11/12/2021) (Blue)</v>
      </c>
      <c r="H1455" s="19"/>
    </row>
    <row r="1456">
      <c r="A1456" s="9"/>
      <c r="B1456" s="15"/>
      <c r="C1456" s="9">
        <f>IFERROR(__xludf.DUMMYFUNCTION("""COMPUTED_VALUE"""),44590.3888495138)</f>
        <v>44590.38885</v>
      </c>
      <c r="D1456" s="15">
        <f>IFERROR(__xludf.DUMMYFUNCTION("""COMPUTED_VALUE"""),1.0)</f>
        <v>1</v>
      </c>
      <c r="E1456" s="16">
        <f>IFERROR(__xludf.DUMMYFUNCTION("""COMPUTED_VALUE"""),66.0)</f>
        <v>66</v>
      </c>
      <c r="F1456" s="19" t="str">
        <f>IFERROR(__xludf.DUMMYFUNCTION("""COMPUTED_VALUE"""),"BLUE")</f>
        <v>BLUE</v>
      </c>
      <c r="G1456" s="20" t="str">
        <f>IFERROR(__xludf.DUMMYFUNCTION("""COMPUTED_VALUE"""),"Uncle Sams Cider (11/12/2021) (Blue)")</f>
        <v>Uncle Sams Cider (11/12/2021) (Blue)</v>
      </c>
      <c r="H1456" s="19"/>
    </row>
    <row r="1457">
      <c r="A1457" s="9"/>
      <c r="B1457" s="15"/>
      <c r="C1457" s="9">
        <f>IFERROR(__xludf.DUMMYFUNCTION("""COMPUTED_VALUE"""),44590.3784275)</f>
        <v>44590.37843</v>
      </c>
      <c r="D1457" s="15">
        <f>IFERROR(__xludf.DUMMYFUNCTION("""COMPUTED_VALUE"""),1.0)</f>
        <v>1</v>
      </c>
      <c r="E1457" s="16">
        <f>IFERROR(__xludf.DUMMYFUNCTION("""COMPUTED_VALUE"""),66.0)</f>
        <v>66</v>
      </c>
      <c r="F1457" s="19" t="str">
        <f>IFERROR(__xludf.DUMMYFUNCTION("""COMPUTED_VALUE"""),"BLUE")</f>
        <v>BLUE</v>
      </c>
      <c r="G1457" s="20" t="str">
        <f>IFERROR(__xludf.DUMMYFUNCTION("""COMPUTED_VALUE"""),"Uncle Sams Cider (11/12/2021) (Blue)")</f>
        <v>Uncle Sams Cider (11/12/2021) (Blue)</v>
      </c>
      <c r="H1457" s="19"/>
    </row>
    <row r="1458">
      <c r="A1458" s="9"/>
      <c r="B1458" s="15"/>
      <c r="C1458" s="9">
        <f>IFERROR(__xludf.DUMMYFUNCTION("""COMPUTED_VALUE"""),44590.3679935069)</f>
        <v>44590.36799</v>
      </c>
      <c r="D1458" s="15">
        <f>IFERROR(__xludf.DUMMYFUNCTION("""COMPUTED_VALUE"""),1.0)</f>
        <v>1</v>
      </c>
      <c r="E1458" s="16">
        <f>IFERROR(__xludf.DUMMYFUNCTION("""COMPUTED_VALUE"""),66.0)</f>
        <v>66</v>
      </c>
      <c r="F1458" s="19" t="str">
        <f>IFERROR(__xludf.DUMMYFUNCTION("""COMPUTED_VALUE"""),"BLUE")</f>
        <v>BLUE</v>
      </c>
      <c r="G1458" s="20" t="str">
        <f>IFERROR(__xludf.DUMMYFUNCTION("""COMPUTED_VALUE"""),"Uncle Sams Cider (11/12/2021) (Blue)")</f>
        <v>Uncle Sams Cider (11/12/2021) (Blue)</v>
      </c>
      <c r="H1458" s="19"/>
    </row>
    <row r="1459">
      <c r="A1459" s="9"/>
      <c r="B1459" s="15"/>
      <c r="C1459" s="9">
        <f>IFERROR(__xludf.DUMMYFUNCTION("""COMPUTED_VALUE"""),44590.3575608912)</f>
        <v>44590.35756</v>
      </c>
      <c r="D1459" s="15">
        <f>IFERROR(__xludf.DUMMYFUNCTION("""COMPUTED_VALUE"""),1.0)</f>
        <v>1</v>
      </c>
      <c r="E1459" s="16">
        <f>IFERROR(__xludf.DUMMYFUNCTION("""COMPUTED_VALUE"""),66.0)</f>
        <v>66</v>
      </c>
      <c r="F1459" s="19" t="str">
        <f>IFERROR(__xludf.DUMMYFUNCTION("""COMPUTED_VALUE"""),"BLUE")</f>
        <v>BLUE</v>
      </c>
      <c r="G1459" s="20" t="str">
        <f>IFERROR(__xludf.DUMMYFUNCTION("""COMPUTED_VALUE"""),"Uncle Sams Cider (11/12/2021) (Blue)")</f>
        <v>Uncle Sams Cider (11/12/2021) (Blue)</v>
      </c>
      <c r="H1459" s="19"/>
    </row>
    <row r="1460">
      <c r="A1460" s="9"/>
      <c r="B1460" s="15"/>
      <c r="C1460" s="9">
        <f>IFERROR(__xludf.DUMMYFUNCTION("""COMPUTED_VALUE"""),44590.3471397916)</f>
        <v>44590.34714</v>
      </c>
      <c r="D1460" s="15">
        <f>IFERROR(__xludf.DUMMYFUNCTION("""COMPUTED_VALUE"""),1.0)</f>
        <v>1</v>
      </c>
      <c r="E1460" s="16">
        <f>IFERROR(__xludf.DUMMYFUNCTION("""COMPUTED_VALUE"""),66.0)</f>
        <v>66</v>
      </c>
      <c r="F1460" s="19" t="str">
        <f>IFERROR(__xludf.DUMMYFUNCTION("""COMPUTED_VALUE"""),"BLUE")</f>
        <v>BLUE</v>
      </c>
      <c r="G1460" s="20" t="str">
        <f>IFERROR(__xludf.DUMMYFUNCTION("""COMPUTED_VALUE"""),"Uncle Sams Cider (11/12/2021) (Blue)")</f>
        <v>Uncle Sams Cider (11/12/2021) (Blue)</v>
      </c>
      <c r="H1460" s="19"/>
    </row>
    <row r="1461">
      <c r="A1461" s="9"/>
      <c r="B1461" s="15"/>
      <c r="C1461" s="9">
        <f>IFERROR(__xludf.DUMMYFUNCTION("""COMPUTED_VALUE"""),44590.3367050694)</f>
        <v>44590.33671</v>
      </c>
      <c r="D1461" s="15">
        <f>IFERROR(__xludf.DUMMYFUNCTION("""COMPUTED_VALUE"""),1.0)</f>
        <v>1</v>
      </c>
      <c r="E1461" s="16">
        <f>IFERROR(__xludf.DUMMYFUNCTION("""COMPUTED_VALUE"""),66.0)</f>
        <v>66</v>
      </c>
      <c r="F1461" s="19" t="str">
        <f>IFERROR(__xludf.DUMMYFUNCTION("""COMPUTED_VALUE"""),"BLUE")</f>
        <v>BLUE</v>
      </c>
      <c r="G1461" s="20" t="str">
        <f>IFERROR(__xludf.DUMMYFUNCTION("""COMPUTED_VALUE"""),"Uncle Sams Cider (11/12/2021) (Blue)")</f>
        <v>Uncle Sams Cider (11/12/2021) (Blue)</v>
      </c>
      <c r="H1461" s="19"/>
    </row>
    <row r="1462">
      <c r="A1462" s="9"/>
      <c r="B1462" s="15"/>
      <c r="C1462" s="9">
        <f>IFERROR(__xludf.DUMMYFUNCTION("""COMPUTED_VALUE"""),44590.3262835416)</f>
        <v>44590.32628</v>
      </c>
      <c r="D1462" s="15">
        <f>IFERROR(__xludf.DUMMYFUNCTION("""COMPUTED_VALUE"""),1.0)</f>
        <v>1</v>
      </c>
      <c r="E1462" s="16">
        <f>IFERROR(__xludf.DUMMYFUNCTION("""COMPUTED_VALUE"""),66.0)</f>
        <v>66</v>
      </c>
      <c r="F1462" s="19" t="str">
        <f>IFERROR(__xludf.DUMMYFUNCTION("""COMPUTED_VALUE"""),"BLUE")</f>
        <v>BLUE</v>
      </c>
      <c r="G1462" s="20" t="str">
        <f>IFERROR(__xludf.DUMMYFUNCTION("""COMPUTED_VALUE"""),"Uncle Sams Cider (11/12/2021) (Blue)")</f>
        <v>Uncle Sams Cider (11/12/2021) (Blue)</v>
      </c>
      <c r="H1462" s="19"/>
    </row>
    <row r="1463">
      <c r="A1463" s="9"/>
      <c r="B1463" s="15"/>
      <c r="C1463" s="9">
        <f>IFERROR(__xludf.DUMMYFUNCTION("""COMPUTED_VALUE"""),44590.3158393865)</f>
        <v>44590.31584</v>
      </c>
      <c r="D1463" s="15">
        <f>IFERROR(__xludf.DUMMYFUNCTION("""COMPUTED_VALUE"""),1.0)</f>
        <v>1</v>
      </c>
      <c r="E1463" s="16">
        <f>IFERROR(__xludf.DUMMYFUNCTION("""COMPUTED_VALUE"""),66.0)</f>
        <v>66</v>
      </c>
      <c r="F1463" s="19" t="str">
        <f>IFERROR(__xludf.DUMMYFUNCTION("""COMPUTED_VALUE"""),"BLUE")</f>
        <v>BLUE</v>
      </c>
      <c r="G1463" s="20" t="str">
        <f>IFERROR(__xludf.DUMMYFUNCTION("""COMPUTED_VALUE"""),"Uncle Sams Cider (11/12/2021) (Blue)")</f>
        <v>Uncle Sams Cider (11/12/2021) (Blue)</v>
      </c>
      <c r="H1463" s="19"/>
    </row>
    <row r="1464">
      <c r="A1464" s="9"/>
      <c r="B1464" s="15"/>
      <c r="C1464" s="9">
        <f>IFERROR(__xludf.DUMMYFUNCTION("""COMPUTED_VALUE"""),44590.3054192476)</f>
        <v>44590.30542</v>
      </c>
      <c r="D1464" s="15">
        <f>IFERROR(__xludf.DUMMYFUNCTION("""COMPUTED_VALUE"""),1.0)</f>
        <v>1</v>
      </c>
      <c r="E1464" s="16">
        <f>IFERROR(__xludf.DUMMYFUNCTION("""COMPUTED_VALUE"""),66.0)</f>
        <v>66</v>
      </c>
      <c r="F1464" s="19" t="str">
        <f>IFERROR(__xludf.DUMMYFUNCTION("""COMPUTED_VALUE"""),"BLUE")</f>
        <v>BLUE</v>
      </c>
      <c r="G1464" s="20" t="str">
        <f>IFERROR(__xludf.DUMMYFUNCTION("""COMPUTED_VALUE"""),"Uncle Sams Cider (11/12/2021) (Blue)")</f>
        <v>Uncle Sams Cider (11/12/2021) (Blue)</v>
      </c>
      <c r="H1464" s="19"/>
    </row>
    <row r="1465">
      <c r="A1465" s="9"/>
      <c r="B1465" s="15"/>
      <c r="C1465" s="9">
        <f>IFERROR(__xludf.DUMMYFUNCTION("""COMPUTED_VALUE"""),44590.2949994791)</f>
        <v>44590.295</v>
      </c>
      <c r="D1465" s="15">
        <f>IFERROR(__xludf.DUMMYFUNCTION("""COMPUTED_VALUE"""),1.0)</f>
        <v>1</v>
      </c>
      <c r="E1465" s="16">
        <f>IFERROR(__xludf.DUMMYFUNCTION("""COMPUTED_VALUE"""),66.0)</f>
        <v>66</v>
      </c>
      <c r="F1465" s="19" t="str">
        <f>IFERROR(__xludf.DUMMYFUNCTION("""COMPUTED_VALUE"""),"BLUE")</f>
        <v>BLUE</v>
      </c>
      <c r="G1465" s="20" t="str">
        <f>IFERROR(__xludf.DUMMYFUNCTION("""COMPUTED_VALUE"""),"Uncle Sams Cider (11/12/2021) (Blue)")</f>
        <v>Uncle Sams Cider (11/12/2021) (Blue)</v>
      </c>
      <c r="H1465" s="19"/>
    </row>
    <row r="1466">
      <c r="A1466" s="9"/>
      <c r="B1466" s="15"/>
      <c r="C1466" s="9">
        <f>IFERROR(__xludf.DUMMYFUNCTION("""COMPUTED_VALUE"""),44590.2845790856)</f>
        <v>44590.28458</v>
      </c>
      <c r="D1466" s="15">
        <f>IFERROR(__xludf.DUMMYFUNCTION("""COMPUTED_VALUE"""),1.0)</f>
        <v>1</v>
      </c>
      <c r="E1466" s="16">
        <f>IFERROR(__xludf.DUMMYFUNCTION("""COMPUTED_VALUE"""),66.0)</f>
        <v>66</v>
      </c>
      <c r="F1466" s="19" t="str">
        <f>IFERROR(__xludf.DUMMYFUNCTION("""COMPUTED_VALUE"""),"BLUE")</f>
        <v>BLUE</v>
      </c>
      <c r="G1466" s="20" t="str">
        <f>IFERROR(__xludf.DUMMYFUNCTION("""COMPUTED_VALUE"""),"Uncle Sams Cider (11/12/2021) (Blue)")</f>
        <v>Uncle Sams Cider (11/12/2021) (Blue)</v>
      </c>
      <c r="H1466" s="19"/>
    </row>
    <row r="1467">
      <c r="A1467" s="9"/>
      <c r="B1467" s="15"/>
      <c r="C1467" s="9">
        <f>IFERROR(__xludf.DUMMYFUNCTION("""COMPUTED_VALUE"""),44590.2741576736)</f>
        <v>44590.27416</v>
      </c>
      <c r="D1467" s="15">
        <f>IFERROR(__xludf.DUMMYFUNCTION("""COMPUTED_VALUE"""),1.0)</f>
        <v>1</v>
      </c>
      <c r="E1467" s="16">
        <f>IFERROR(__xludf.DUMMYFUNCTION("""COMPUTED_VALUE"""),66.0)</f>
        <v>66</v>
      </c>
      <c r="F1467" s="19" t="str">
        <f>IFERROR(__xludf.DUMMYFUNCTION("""COMPUTED_VALUE"""),"BLUE")</f>
        <v>BLUE</v>
      </c>
      <c r="G1467" s="20" t="str">
        <f>IFERROR(__xludf.DUMMYFUNCTION("""COMPUTED_VALUE"""),"Uncle Sams Cider (11/12/2021) (Blue)")</f>
        <v>Uncle Sams Cider (11/12/2021) (Blue)</v>
      </c>
      <c r="H1467" s="19"/>
    </row>
    <row r="1468">
      <c r="A1468" s="9"/>
      <c r="B1468" s="15"/>
      <c r="C1468" s="9">
        <f>IFERROR(__xludf.DUMMYFUNCTION("""COMPUTED_VALUE"""),44590.2637361111)</f>
        <v>44590.26374</v>
      </c>
      <c r="D1468" s="15">
        <f>IFERROR(__xludf.DUMMYFUNCTION("""COMPUTED_VALUE"""),1.0)</f>
        <v>1</v>
      </c>
      <c r="E1468" s="16">
        <f>IFERROR(__xludf.DUMMYFUNCTION("""COMPUTED_VALUE"""),66.0)</f>
        <v>66</v>
      </c>
      <c r="F1468" s="19" t="str">
        <f>IFERROR(__xludf.DUMMYFUNCTION("""COMPUTED_VALUE"""),"BLUE")</f>
        <v>BLUE</v>
      </c>
      <c r="G1468" s="20" t="str">
        <f>IFERROR(__xludf.DUMMYFUNCTION("""COMPUTED_VALUE"""),"Uncle Sams Cider (11/12/2021) (Blue)")</f>
        <v>Uncle Sams Cider (11/12/2021) (Blue)</v>
      </c>
      <c r="H1468" s="19"/>
    </row>
    <row r="1469">
      <c r="A1469" s="9"/>
      <c r="B1469" s="15"/>
      <c r="C1469" s="9">
        <f>IFERROR(__xludf.DUMMYFUNCTION("""COMPUTED_VALUE"""),44590.253302905)</f>
        <v>44590.2533</v>
      </c>
      <c r="D1469" s="15">
        <f>IFERROR(__xludf.DUMMYFUNCTION("""COMPUTED_VALUE"""),1.0)</f>
        <v>1</v>
      </c>
      <c r="E1469" s="16">
        <f>IFERROR(__xludf.DUMMYFUNCTION("""COMPUTED_VALUE"""),66.0)</f>
        <v>66</v>
      </c>
      <c r="F1469" s="19" t="str">
        <f>IFERROR(__xludf.DUMMYFUNCTION("""COMPUTED_VALUE"""),"BLUE")</f>
        <v>BLUE</v>
      </c>
      <c r="G1469" s="20" t="str">
        <f>IFERROR(__xludf.DUMMYFUNCTION("""COMPUTED_VALUE"""),"Uncle Sams Cider (11/12/2021) (Blue)")</f>
        <v>Uncle Sams Cider (11/12/2021) (Blue)</v>
      </c>
      <c r="H1469" s="19"/>
    </row>
    <row r="1470">
      <c r="A1470" s="9"/>
      <c r="B1470" s="15"/>
      <c r="C1470" s="9">
        <f>IFERROR(__xludf.DUMMYFUNCTION("""COMPUTED_VALUE"""),44590.2428818402)</f>
        <v>44590.24288</v>
      </c>
      <c r="D1470" s="15">
        <f>IFERROR(__xludf.DUMMYFUNCTION("""COMPUTED_VALUE"""),1.0)</f>
        <v>1</v>
      </c>
      <c r="E1470" s="16">
        <f>IFERROR(__xludf.DUMMYFUNCTION("""COMPUTED_VALUE"""),67.0)</f>
        <v>67</v>
      </c>
      <c r="F1470" s="19" t="str">
        <f>IFERROR(__xludf.DUMMYFUNCTION("""COMPUTED_VALUE"""),"BLUE")</f>
        <v>BLUE</v>
      </c>
      <c r="G1470" s="20" t="str">
        <f>IFERROR(__xludf.DUMMYFUNCTION("""COMPUTED_VALUE"""),"Uncle Sams Cider (11/12/2021) (Blue)")</f>
        <v>Uncle Sams Cider (11/12/2021) (Blue)</v>
      </c>
      <c r="H1470" s="19"/>
    </row>
    <row r="1471">
      <c r="A1471" s="9"/>
      <c r="B1471" s="15"/>
      <c r="C1471" s="9">
        <f>IFERROR(__xludf.DUMMYFUNCTION("""COMPUTED_VALUE"""),44590.2324606365)</f>
        <v>44590.23246</v>
      </c>
      <c r="D1471" s="15">
        <f>IFERROR(__xludf.DUMMYFUNCTION("""COMPUTED_VALUE"""),1.0)</f>
        <v>1</v>
      </c>
      <c r="E1471" s="16">
        <f>IFERROR(__xludf.DUMMYFUNCTION("""COMPUTED_VALUE"""),67.0)</f>
        <v>67</v>
      </c>
      <c r="F1471" s="19" t="str">
        <f>IFERROR(__xludf.DUMMYFUNCTION("""COMPUTED_VALUE"""),"BLUE")</f>
        <v>BLUE</v>
      </c>
      <c r="G1471" s="20" t="str">
        <f>IFERROR(__xludf.DUMMYFUNCTION("""COMPUTED_VALUE"""),"Uncle Sams Cider (11/12/2021) (Blue)")</f>
        <v>Uncle Sams Cider (11/12/2021) (Blue)</v>
      </c>
      <c r="H1471" s="19"/>
    </row>
    <row r="1472">
      <c r="A1472" s="9"/>
      <c r="B1472" s="15"/>
      <c r="C1472" s="9">
        <f>IFERROR(__xludf.DUMMYFUNCTION("""COMPUTED_VALUE"""),44590.2220402662)</f>
        <v>44590.22204</v>
      </c>
      <c r="D1472" s="15">
        <f>IFERROR(__xludf.DUMMYFUNCTION("""COMPUTED_VALUE"""),1.0)</f>
        <v>1</v>
      </c>
      <c r="E1472" s="16">
        <f>IFERROR(__xludf.DUMMYFUNCTION("""COMPUTED_VALUE"""),67.0)</f>
        <v>67</v>
      </c>
      <c r="F1472" s="19" t="str">
        <f>IFERROR(__xludf.DUMMYFUNCTION("""COMPUTED_VALUE"""),"BLUE")</f>
        <v>BLUE</v>
      </c>
      <c r="G1472" s="20" t="str">
        <f>IFERROR(__xludf.DUMMYFUNCTION("""COMPUTED_VALUE"""),"Uncle Sams Cider (11/12/2021) (Blue)")</f>
        <v>Uncle Sams Cider (11/12/2021) (Blue)</v>
      </c>
      <c r="H1472" s="19"/>
    </row>
    <row r="1473">
      <c r="A1473" s="9"/>
      <c r="B1473" s="15"/>
      <c r="C1473" s="9">
        <f>IFERROR(__xludf.DUMMYFUNCTION("""COMPUTED_VALUE"""),44590.2116187268)</f>
        <v>44590.21162</v>
      </c>
      <c r="D1473" s="15">
        <f>IFERROR(__xludf.DUMMYFUNCTION("""COMPUTED_VALUE"""),1.0)</f>
        <v>1</v>
      </c>
      <c r="E1473" s="16">
        <f>IFERROR(__xludf.DUMMYFUNCTION("""COMPUTED_VALUE"""),67.0)</f>
        <v>67</v>
      </c>
      <c r="F1473" s="19" t="str">
        <f>IFERROR(__xludf.DUMMYFUNCTION("""COMPUTED_VALUE"""),"BLUE")</f>
        <v>BLUE</v>
      </c>
      <c r="G1473" s="20" t="str">
        <f>IFERROR(__xludf.DUMMYFUNCTION("""COMPUTED_VALUE"""),"Uncle Sams Cider (11/12/2021) (Blue)")</f>
        <v>Uncle Sams Cider (11/12/2021) (Blue)</v>
      </c>
      <c r="H1473" s="19"/>
    </row>
    <row r="1474">
      <c r="A1474" s="9"/>
      <c r="B1474" s="15"/>
      <c r="C1474" s="9">
        <f>IFERROR(__xludf.DUMMYFUNCTION("""COMPUTED_VALUE"""),44590.2011868518)</f>
        <v>44590.20119</v>
      </c>
      <c r="D1474" s="15">
        <f>IFERROR(__xludf.DUMMYFUNCTION("""COMPUTED_VALUE"""),1.0)</f>
        <v>1</v>
      </c>
      <c r="E1474" s="16">
        <f>IFERROR(__xludf.DUMMYFUNCTION("""COMPUTED_VALUE"""),67.0)</f>
        <v>67</v>
      </c>
      <c r="F1474" s="19" t="str">
        <f>IFERROR(__xludf.DUMMYFUNCTION("""COMPUTED_VALUE"""),"BLUE")</f>
        <v>BLUE</v>
      </c>
      <c r="G1474" s="20" t="str">
        <f>IFERROR(__xludf.DUMMYFUNCTION("""COMPUTED_VALUE"""),"Uncle Sams Cider (11/12/2021) (Blue)")</f>
        <v>Uncle Sams Cider (11/12/2021) (Blue)</v>
      </c>
      <c r="H1474" s="19"/>
    </row>
    <row r="1475">
      <c r="A1475" s="9"/>
      <c r="B1475" s="15"/>
      <c r="C1475" s="9">
        <f>IFERROR(__xludf.DUMMYFUNCTION("""COMPUTED_VALUE"""),44590.1907662384)</f>
        <v>44590.19077</v>
      </c>
      <c r="D1475" s="15">
        <f>IFERROR(__xludf.DUMMYFUNCTION("""COMPUTED_VALUE"""),1.0)</f>
        <v>1</v>
      </c>
      <c r="E1475" s="16">
        <f>IFERROR(__xludf.DUMMYFUNCTION("""COMPUTED_VALUE"""),67.0)</f>
        <v>67</v>
      </c>
      <c r="F1475" s="19" t="str">
        <f>IFERROR(__xludf.DUMMYFUNCTION("""COMPUTED_VALUE"""),"BLUE")</f>
        <v>BLUE</v>
      </c>
      <c r="G1475" s="20" t="str">
        <f>IFERROR(__xludf.DUMMYFUNCTION("""COMPUTED_VALUE"""),"Uncle Sams Cider (11/12/2021) (Blue)")</f>
        <v>Uncle Sams Cider (11/12/2021) (Blue)</v>
      </c>
      <c r="H1475" s="19"/>
    </row>
    <row r="1476">
      <c r="A1476" s="9"/>
      <c r="B1476" s="15"/>
      <c r="C1476" s="9">
        <f>IFERROR(__xludf.DUMMYFUNCTION("""COMPUTED_VALUE"""),44590.1803321064)</f>
        <v>44590.18033</v>
      </c>
      <c r="D1476" s="15">
        <f>IFERROR(__xludf.DUMMYFUNCTION("""COMPUTED_VALUE"""),1.0)</f>
        <v>1</v>
      </c>
      <c r="E1476" s="16">
        <f>IFERROR(__xludf.DUMMYFUNCTION("""COMPUTED_VALUE"""),67.0)</f>
        <v>67</v>
      </c>
      <c r="F1476" s="19" t="str">
        <f>IFERROR(__xludf.DUMMYFUNCTION("""COMPUTED_VALUE"""),"BLUE")</f>
        <v>BLUE</v>
      </c>
      <c r="G1476" s="20" t="str">
        <f>IFERROR(__xludf.DUMMYFUNCTION("""COMPUTED_VALUE"""),"Uncle Sams Cider (11/12/2021) (Blue)")</f>
        <v>Uncle Sams Cider (11/12/2021) (Blue)</v>
      </c>
      <c r="H1476" s="19"/>
    </row>
    <row r="1477">
      <c r="A1477" s="9"/>
      <c r="B1477" s="15"/>
      <c r="C1477" s="9">
        <f>IFERROR(__xludf.DUMMYFUNCTION("""COMPUTED_VALUE"""),44590.1699092361)</f>
        <v>44590.16991</v>
      </c>
      <c r="D1477" s="15">
        <f>IFERROR(__xludf.DUMMYFUNCTION("""COMPUTED_VALUE"""),1.0)</f>
        <v>1</v>
      </c>
      <c r="E1477" s="16">
        <f>IFERROR(__xludf.DUMMYFUNCTION("""COMPUTED_VALUE"""),67.0)</f>
        <v>67</v>
      </c>
      <c r="F1477" s="19" t="str">
        <f>IFERROR(__xludf.DUMMYFUNCTION("""COMPUTED_VALUE"""),"BLUE")</f>
        <v>BLUE</v>
      </c>
      <c r="G1477" s="20" t="str">
        <f>IFERROR(__xludf.DUMMYFUNCTION("""COMPUTED_VALUE"""),"Uncle Sams Cider (11/12/2021) (Blue)")</f>
        <v>Uncle Sams Cider (11/12/2021) (Blue)</v>
      </c>
      <c r="H1477" s="19"/>
    </row>
    <row r="1478">
      <c r="A1478" s="9"/>
      <c r="B1478" s="15"/>
      <c r="C1478" s="9">
        <f>IFERROR(__xludf.DUMMYFUNCTION("""COMPUTED_VALUE"""),44590.1594771296)</f>
        <v>44590.15948</v>
      </c>
      <c r="D1478" s="15">
        <f>IFERROR(__xludf.DUMMYFUNCTION("""COMPUTED_VALUE"""),1.0)</f>
        <v>1</v>
      </c>
      <c r="E1478" s="16">
        <f>IFERROR(__xludf.DUMMYFUNCTION("""COMPUTED_VALUE"""),67.0)</f>
        <v>67</v>
      </c>
      <c r="F1478" s="19" t="str">
        <f>IFERROR(__xludf.DUMMYFUNCTION("""COMPUTED_VALUE"""),"BLUE")</f>
        <v>BLUE</v>
      </c>
      <c r="G1478" s="20" t="str">
        <f>IFERROR(__xludf.DUMMYFUNCTION("""COMPUTED_VALUE"""),"Uncle Sams Cider (11/12/2021) (Blue)")</f>
        <v>Uncle Sams Cider (11/12/2021) (Blue)</v>
      </c>
      <c r="H1478" s="19"/>
    </row>
    <row r="1479">
      <c r="A1479" s="9"/>
      <c r="B1479" s="15"/>
      <c r="C1479" s="9">
        <f>IFERROR(__xludf.DUMMYFUNCTION("""COMPUTED_VALUE"""),44590.1490554513)</f>
        <v>44590.14906</v>
      </c>
      <c r="D1479" s="15">
        <f>IFERROR(__xludf.DUMMYFUNCTION("""COMPUTED_VALUE"""),1.0)</f>
        <v>1</v>
      </c>
      <c r="E1479" s="16">
        <f>IFERROR(__xludf.DUMMYFUNCTION("""COMPUTED_VALUE"""),67.0)</f>
        <v>67</v>
      </c>
      <c r="F1479" s="19" t="str">
        <f>IFERROR(__xludf.DUMMYFUNCTION("""COMPUTED_VALUE"""),"BLUE")</f>
        <v>BLUE</v>
      </c>
      <c r="G1479" s="20" t="str">
        <f>IFERROR(__xludf.DUMMYFUNCTION("""COMPUTED_VALUE"""),"Uncle Sams Cider (11/12/2021) (Blue)")</f>
        <v>Uncle Sams Cider (11/12/2021) (Blue)</v>
      </c>
      <c r="H1479" s="19"/>
    </row>
    <row r="1480">
      <c r="A1480" s="9"/>
      <c r="B1480" s="15"/>
      <c r="C1480" s="9">
        <f>IFERROR(__xludf.DUMMYFUNCTION("""COMPUTED_VALUE"""),44590.1386338194)</f>
        <v>44590.13863</v>
      </c>
      <c r="D1480" s="15">
        <f>IFERROR(__xludf.DUMMYFUNCTION("""COMPUTED_VALUE"""),1.0)</f>
        <v>1</v>
      </c>
      <c r="E1480" s="16">
        <f>IFERROR(__xludf.DUMMYFUNCTION("""COMPUTED_VALUE"""),67.0)</f>
        <v>67</v>
      </c>
      <c r="F1480" s="19" t="str">
        <f>IFERROR(__xludf.DUMMYFUNCTION("""COMPUTED_VALUE"""),"BLUE")</f>
        <v>BLUE</v>
      </c>
      <c r="G1480" s="20" t="str">
        <f>IFERROR(__xludf.DUMMYFUNCTION("""COMPUTED_VALUE"""),"Uncle Sams Cider (11/12/2021) (Blue)")</f>
        <v>Uncle Sams Cider (11/12/2021) (Blue)</v>
      </c>
      <c r="H1480" s="19"/>
    </row>
    <row r="1481">
      <c r="A1481" s="9"/>
      <c r="B1481" s="15"/>
      <c r="C1481" s="9">
        <f>IFERROR(__xludf.DUMMYFUNCTION("""COMPUTED_VALUE"""),44590.1281890277)</f>
        <v>44590.12819</v>
      </c>
      <c r="D1481" s="15">
        <f>IFERROR(__xludf.DUMMYFUNCTION("""COMPUTED_VALUE"""),1.0)</f>
        <v>1</v>
      </c>
      <c r="E1481" s="16">
        <f>IFERROR(__xludf.DUMMYFUNCTION("""COMPUTED_VALUE"""),67.0)</f>
        <v>67</v>
      </c>
      <c r="F1481" s="19" t="str">
        <f>IFERROR(__xludf.DUMMYFUNCTION("""COMPUTED_VALUE"""),"BLUE")</f>
        <v>BLUE</v>
      </c>
      <c r="G1481" s="20" t="str">
        <f>IFERROR(__xludf.DUMMYFUNCTION("""COMPUTED_VALUE"""),"Uncle Sams Cider (11/12/2021) (Blue)")</f>
        <v>Uncle Sams Cider (11/12/2021) (Blue)</v>
      </c>
      <c r="H1481" s="19"/>
    </row>
    <row r="1482">
      <c r="A1482" s="9"/>
      <c r="B1482" s="15"/>
      <c r="C1482" s="9">
        <f>IFERROR(__xludf.DUMMYFUNCTION("""COMPUTED_VALUE"""),44590.1177687384)</f>
        <v>44590.11777</v>
      </c>
      <c r="D1482" s="15">
        <f>IFERROR(__xludf.DUMMYFUNCTION("""COMPUTED_VALUE"""),1.0)</f>
        <v>1</v>
      </c>
      <c r="E1482" s="16">
        <f>IFERROR(__xludf.DUMMYFUNCTION("""COMPUTED_VALUE"""),67.0)</f>
        <v>67</v>
      </c>
      <c r="F1482" s="19" t="str">
        <f>IFERROR(__xludf.DUMMYFUNCTION("""COMPUTED_VALUE"""),"BLUE")</f>
        <v>BLUE</v>
      </c>
      <c r="G1482" s="20" t="str">
        <f>IFERROR(__xludf.DUMMYFUNCTION("""COMPUTED_VALUE"""),"Uncle Sams Cider (11/12/2021) (Blue)")</f>
        <v>Uncle Sams Cider (11/12/2021) (Blue)</v>
      </c>
      <c r="H1482" s="19"/>
    </row>
    <row r="1483">
      <c r="A1483" s="9"/>
      <c r="B1483" s="15"/>
      <c r="C1483" s="9">
        <f>IFERROR(__xludf.DUMMYFUNCTION("""COMPUTED_VALUE"""),44590.1073367361)</f>
        <v>44590.10734</v>
      </c>
      <c r="D1483" s="15">
        <f>IFERROR(__xludf.DUMMYFUNCTION("""COMPUTED_VALUE"""),1.0)</f>
        <v>1</v>
      </c>
      <c r="E1483" s="16">
        <f>IFERROR(__xludf.DUMMYFUNCTION("""COMPUTED_VALUE"""),67.0)</f>
        <v>67</v>
      </c>
      <c r="F1483" s="19" t="str">
        <f>IFERROR(__xludf.DUMMYFUNCTION("""COMPUTED_VALUE"""),"BLUE")</f>
        <v>BLUE</v>
      </c>
      <c r="G1483" s="20" t="str">
        <f>IFERROR(__xludf.DUMMYFUNCTION("""COMPUTED_VALUE"""),"Uncle Sams Cider (11/12/2021) (Blue)")</f>
        <v>Uncle Sams Cider (11/12/2021) (Blue)</v>
      </c>
      <c r="H1483" s="19"/>
    </row>
    <row r="1484">
      <c r="A1484" s="9"/>
      <c r="B1484" s="15"/>
      <c r="C1484" s="9">
        <f>IFERROR(__xludf.DUMMYFUNCTION("""COMPUTED_VALUE"""),44590.0969151273)</f>
        <v>44590.09692</v>
      </c>
      <c r="D1484" s="15">
        <f>IFERROR(__xludf.DUMMYFUNCTION("""COMPUTED_VALUE"""),1.0)</f>
        <v>1</v>
      </c>
      <c r="E1484" s="16">
        <f>IFERROR(__xludf.DUMMYFUNCTION("""COMPUTED_VALUE"""),67.0)</f>
        <v>67</v>
      </c>
      <c r="F1484" s="19" t="str">
        <f>IFERROR(__xludf.DUMMYFUNCTION("""COMPUTED_VALUE"""),"BLUE")</f>
        <v>BLUE</v>
      </c>
      <c r="G1484" s="20" t="str">
        <f>IFERROR(__xludf.DUMMYFUNCTION("""COMPUTED_VALUE"""),"Uncle Sams Cider (11/12/2021) (Blue)")</f>
        <v>Uncle Sams Cider (11/12/2021) (Blue)</v>
      </c>
      <c r="H1484" s="19"/>
    </row>
    <row r="1485">
      <c r="A1485" s="9"/>
      <c r="B1485" s="15"/>
      <c r="C1485" s="9">
        <f>IFERROR(__xludf.DUMMYFUNCTION("""COMPUTED_VALUE"""),44590.0864832407)</f>
        <v>44590.08648</v>
      </c>
      <c r="D1485" s="15">
        <f>IFERROR(__xludf.DUMMYFUNCTION("""COMPUTED_VALUE"""),1.0)</f>
        <v>1</v>
      </c>
      <c r="E1485" s="16">
        <f>IFERROR(__xludf.DUMMYFUNCTION("""COMPUTED_VALUE"""),67.0)</f>
        <v>67</v>
      </c>
      <c r="F1485" s="19" t="str">
        <f>IFERROR(__xludf.DUMMYFUNCTION("""COMPUTED_VALUE"""),"BLUE")</f>
        <v>BLUE</v>
      </c>
      <c r="G1485" s="20" t="str">
        <f>IFERROR(__xludf.DUMMYFUNCTION("""COMPUTED_VALUE"""),"Uncle Sams Cider (11/12/2021) (Blue)")</f>
        <v>Uncle Sams Cider (11/12/2021) (Blue)</v>
      </c>
      <c r="H1485" s="19"/>
    </row>
    <row r="1486">
      <c r="A1486" s="9"/>
      <c r="B1486" s="15"/>
      <c r="C1486" s="9">
        <f>IFERROR(__xludf.DUMMYFUNCTION("""COMPUTED_VALUE"""),44590.0760621296)</f>
        <v>44590.07606</v>
      </c>
      <c r="D1486" s="15">
        <f>IFERROR(__xludf.DUMMYFUNCTION("""COMPUTED_VALUE"""),1.0)</f>
        <v>1</v>
      </c>
      <c r="E1486" s="16">
        <f>IFERROR(__xludf.DUMMYFUNCTION("""COMPUTED_VALUE"""),67.0)</f>
        <v>67</v>
      </c>
      <c r="F1486" s="19" t="str">
        <f>IFERROR(__xludf.DUMMYFUNCTION("""COMPUTED_VALUE"""),"BLUE")</f>
        <v>BLUE</v>
      </c>
      <c r="G1486" s="20" t="str">
        <f>IFERROR(__xludf.DUMMYFUNCTION("""COMPUTED_VALUE"""),"Uncle Sams Cider (11/12/2021) (Blue)")</f>
        <v>Uncle Sams Cider (11/12/2021) (Blue)</v>
      </c>
      <c r="H1486" s="19"/>
    </row>
    <row r="1487">
      <c r="A1487" s="9"/>
      <c r="B1487" s="15"/>
      <c r="C1487" s="9">
        <f>IFERROR(__xludf.DUMMYFUNCTION("""COMPUTED_VALUE"""),44590.0656405092)</f>
        <v>44590.06564</v>
      </c>
      <c r="D1487" s="15">
        <f>IFERROR(__xludf.DUMMYFUNCTION("""COMPUTED_VALUE"""),1.0)</f>
        <v>1</v>
      </c>
      <c r="E1487" s="16">
        <f>IFERROR(__xludf.DUMMYFUNCTION("""COMPUTED_VALUE"""),67.0)</f>
        <v>67</v>
      </c>
      <c r="F1487" s="19" t="str">
        <f>IFERROR(__xludf.DUMMYFUNCTION("""COMPUTED_VALUE"""),"BLUE")</f>
        <v>BLUE</v>
      </c>
      <c r="G1487" s="20" t="str">
        <f>IFERROR(__xludf.DUMMYFUNCTION("""COMPUTED_VALUE"""),"Uncle Sams Cider (11/12/2021) (Blue)")</f>
        <v>Uncle Sams Cider (11/12/2021) (Blue)</v>
      </c>
      <c r="H1487" s="19"/>
    </row>
    <row r="1488">
      <c r="A1488" s="9"/>
      <c r="B1488" s="15"/>
      <c r="C1488" s="9">
        <f>IFERROR(__xludf.DUMMYFUNCTION("""COMPUTED_VALUE"""),44590.0552196643)</f>
        <v>44590.05522</v>
      </c>
      <c r="D1488" s="15">
        <f>IFERROR(__xludf.DUMMYFUNCTION("""COMPUTED_VALUE"""),1.0)</f>
        <v>1</v>
      </c>
      <c r="E1488" s="16">
        <f>IFERROR(__xludf.DUMMYFUNCTION("""COMPUTED_VALUE"""),67.0)</f>
        <v>67</v>
      </c>
      <c r="F1488" s="19" t="str">
        <f>IFERROR(__xludf.DUMMYFUNCTION("""COMPUTED_VALUE"""),"BLUE")</f>
        <v>BLUE</v>
      </c>
      <c r="G1488" s="20" t="str">
        <f>IFERROR(__xludf.DUMMYFUNCTION("""COMPUTED_VALUE"""),"Uncle Sams Cider (11/12/2021) (Blue)")</f>
        <v>Uncle Sams Cider (11/12/2021) (Blue)</v>
      </c>
      <c r="H1488" s="19"/>
    </row>
    <row r="1489">
      <c r="A1489" s="9"/>
      <c r="B1489" s="15"/>
      <c r="C1489" s="9">
        <f>IFERROR(__xludf.DUMMYFUNCTION("""COMPUTED_VALUE"""),44590.0447973148)</f>
        <v>44590.0448</v>
      </c>
      <c r="D1489" s="15">
        <f>IFERROR(__xludf.DUMMYFUNCTION("""COMPUTED_VALUE"""),1.0)</f>
        <v>1</v>
      </c>
      <c r="E1489" s="16">
        <f>IFERROR(__xludf.DUMMYFUNCTION("""COMPUTED_VALUE"""),67.0)</f>
        <v>67</v>
      </c>
      <c r="F1489" s="19" t="str">
        <f>IFERROR(__xludf.DUMMYFUNCTION("""COMPUTED_VALUE"""),"BLUE")</f>
        <v>BLUE</v>
      </c>
      <c r="G1489" s="20" t="str">
        <f>IFERROR(__xludf.DUMMYFUNCTION("""COMPUTED_VALUE"""),"Uncle Sams Cider (11/12/2021) (Blue)")</f>
        <v>Uncle Sams Cider (11/12/2021) (Blue)</v>
      </c>
      <c r="H1489" s="19"/>
    </row>
    <row r="1490">
      <c r="A1490" s="9"/>
      <c r="B1490" s="15"/>
      <c r="C1490" s="9">
        <f>IFERROR(__xludf.DUMMYFUNCTION("""COMPUTED_VALUE"""),44590.0343781249)</f>
        <v>44590.03438</v>
      </c>
      <c r="D1490" s="15">
        <f>IFERROR(__xludf.DUMMYFUNCTION("""COMPUTED_VALUE"""),1.0)</f>
        <v>1</v>
      </c>
      <c r="E1490" s="16">
        <f>IFERROR(__xludf.DUMMYFUNCTION("""COMPUTED_VALUE"""),67.0)</f>
        <v>67</v>
      </c>
      <c r="F1490" s="19" t="str">
        <f>IFERROR(__xludf.DUMMYFUNCTION("""COMPUTED_VALUE"""),"BLUE")</f>
        <v>BLUE</v>
      </c>
      <c r="G1490" s="20" t="str">
        <f>IFERROR(__xludf.DUMMYFUNCTION("""COMPUTED_VALUE"""),"Uncle Sams Cider (11/12/2021) (Blue)")</f>
        <v>Uncle Sams Cider (11/12/2021) (Blue)</v>
      </c>
      <c r="H1490" s="19"/>
    </row>
    <row r="1491">
      <c r="A1491" s="9"/>
      <c r="B1491" s="15"/>
      <c r="C1491" s="9">
        <f>IFERROR(__xludf.DUMMYFUNCTION("""COMPUTED_VALUE"""),44590.0239576157)</f>
        <v>44590.02396</v>
      </c>
      <c r="D1491" s="15">
        <f>IFERROR(__xludf.DUMMYFUNCTION("""COMPUTED_VALUE"""),1.0)</f>
        <v>1</v>
      </c>
      <c r="E1491" s="16">
        <f>IFERROR(__xludf.DUMMYFUNCTION("""COMPUTED_VALUE"""),67.0)</f>
        <v>67</v>
      </c>
      <c r="F1491" s="19" t="str">
        <f>IFERROR(__xludf.DUMMYFUNCTION("""COMPUTED_VALUE"""),"BLUE")</f>
        <v>BLUE</v>
      </c>
      <c r="G1491" s="20" t="str">
        <f>IFERROR(__xludf.DUMMYFUNCTION("""COMPUTED_VALUE"""),"Uncle Sams Cider (11/12/2021) (Blue)")</f>
        <v>Uncle Sams Cider (11/12/2021) (Blue)</v>
      </c>
      <c r="H1491" s="19"/>
    </row>
    <row r="1492">
      <c r="A1492" s="9"/>
      <c r="B1492" s="15"/>
      <c r="C1492" s="9">
        <f>IFERROR(__xludf.DUMMYFUNCTION("""COMPUTED_VALUE"""),44590.0135250115)</f>
        <v>44590.01353</v>
      </c>
      <c r="D1492" s="15">
        <f>IFERROR(__xludf.DUMMYFUNCTION("""COMPUTED_VALUE"""),1.0)</f>
        <v>1</v>
      </c>
      <c r="E1492" s="16">
        <f>IFERROR(__xludf.DUMMYFUNCTION("""COMPUTED_VALUE"""),67.0)</f>
        <v>67</v>
      </c>
      <c r="F1492" s="19" t="str">
        <f>IFERROR(__xludf.DUMMYFUNCTION("""COMPUTED_VALUE"""),"BLUE")</f>
        <v>BLUE</v>
      </c>
      <c r="G1492" s="20" t="str">
        <f>IFERROR(__xludf.DUMMYFUNCTION("""COMPUTED_VALUE"""),"Uncle Sams Cider (11/12/2021) (Blue)")</f>
        <v>Uncle Sams Cider (11/12/2021) (Blue)</v>
      </c>
      <c r="H1492" s="19"/>
    </row>
    <row r="1493">
      <c r="A1493" s="9"/>
      <c r="B1493" s="15"/>
      <c r="C1493" s="9">
        <f>IFERROR(__xludf.DUMMYFUNCTION("""COMPUTED_VALUE"""),44590.0031046064)</f>
        <v>44590.0031</v>
      </c>
      <c r="D1493" s="15">
        <f>IFERROR(__xludf.DUMMYFUNCTION("""COMPUTED_VALUE"""),1.0)</f>
        <v>1</v>
      </c>
      <c r="E1493" s="16">
        <f>IFERROR(__xludf.DUMMYFUNCTION("""COMPUTED_VALUE"""),68.0)</f>
        <v>68</v>
      </c>
      <c r="F1493" s="19" t="str">
        <f>IFERROR(__xludf.DUMMYFUNCTION("""COMPUTED_VALUE"""),"BLUE")</f>
        <v>BLUE</v>
      </c>
      <c r="G1493" s="20" t="str">
        <f>IFERROR(__xludf.DUMMYFUNCTION("""COMPUTED_VALUE"""),"Uncle Sams Cider (11/12/2021) (Blue)")</f>
        <v>Uncle Sams Cider (11/12/2021) (Blue)</v>
      </c>
      <c r="H1493" s="19"/>
    </row>
    <row r="1494">
      <c r="A1494" s="9"/>
      <c r="B1494" s="15"/>
      <c r="C1494" s="9">
        <f>IFERROR(__xludf.DUMMYFUNCTION("""COMPUTED_VALUE"""),44589.9926837615)</f>
        <v>44589.99268</v>
      </c>
      <c r="D1494" s="15">
        <f>IFERROR(__xludf.DUMMYFUNCTION("""COMPUTED_VALUE"""),1.0)</f>
        <v>1</v>
      </c>
      <c r="E1494" s="16">
        <f>IFERROR(__xludf.DUMMYFUNCTION("""COMPUTED_VALUE"""),68.0)</f>
        <v>68</v>
      </c>
      <c r="F1494" s="19" t="str">
        <f>IFERROR(__xludf.DUMMYFUNCTION("""COMPUTED_VALUE"""),"BLUE")</f>
        <v>BLUE</v>
      </c>
      <c r="G1494" s="20" t="str">
        <f>IFERROR(__xludf.DUMMYFUNCTION("""COMPUTED_VALUE"""),"Uncle Sams Cider (11/12/2021) (Blue)")</f>
        <v>Uncle Sams Cider (11/12/2021) (Blue)</v>
      </c>
      <c r="H1494" s="19"/>
    </row>
    <row r="1495">
      <c r="A1495" s="9"/>
      <c r="B1495" s="15"/>
      <c r="C1495" s="9">
        <f>IFERROR(__xludf.DUMMYFUNCTION("""COMPUTED_VALUE"""),44589.9822629282)</f>
        <v>44589.98226</v>
      </c>
      <c r="D1495" s="15">
        <f>IFERROR(__xludf.DUMMYFUNCTION("""COMPUTED_VALUE"""),1.0)</f>
        <v>1</v>
      </c>
      <c r="E1495" s="16">
        <f>IFERROR(__xludf.DUMMYFUNCTION("""COMPUTED_VALUE"""),67.0)</f>
        <v>67</v>
      </c>
      <c r="F1495" s="19" t="str">
        <f>IFERROR(__xludf.DUMMYFUNCTION("""COMPUTED_VALUE"""),"BLUE")</f>
        <v>BLUE</v>
      </c>
      <c r="G1495" s="20" t="str">
        <f>IFERROR(__xludf.DUMMYFUNCTION("""COMPUTED_VALUE"""),"Uncle Sams Cider (11/12/2021) (Blue)")</f>
        <v>Uncle Sams Cider (11/12/2021) (Blue)</v>
      </c>
      <c r="H1495" s="19"/>
    </row>
    <row r="1496">
      <c r="A1496" s="9"/>
      <c r="B1496" s="15"/>
      <c r="C1496" s="9">
        <f>IFERROR(__xludf.DUMMYFUNCTION("""COMPUTED_VALUE"""),44589.9718400115)</f>
        <v>44589.97184</v>
      </c>
      <c r="D1496" s="15">
        <f>IFERROR(__xludf.DUMMYFUNCTION("""COMPUTED_VALUE"""),1.0)</f>
        <v>1</v>
      </c>
      <c r="E1496" s="16">
        <f>IFERROR(__xludf.DUMMYFUNCTION("""COMPUTED_VALUE"""),67.0)</f>
        <v>67</v>
      </c>
      <c r="F1496" s="19" t="str">
        <f>IFERROR(__xludf.DUMMYFUNCTION("""COMPUTED_VALUE"""),"BLUE")</f>
        <v>BLUE</v>
      </c>
      <c r="G1496" s="20" t="str">
        <f>IFERROR(__xludf.DUMMYFUNCTION("""COMPUTED_VALUE"""),"Uncle Sams Cider (11/12/2021) (Blue)")</f>
        <v>Uncle Sams Cider (11/12/2021) (Blue)</v>
      </c>
      <c r="H1496" s="19"/>
    </row>
    <row r="1497">
      <c r="A1497" s="9"/>
      <c r="B1497" s="15"/>
      <c r="C1497" s="9">
        <f>IFERROR(__xludf.DUMMYFUNCTION("""COMPUTED_VALUE"""),44589.9614067939)</f>
        <v>44589.96141</v>
      </c>
      <c r="D1497" s="15">
        <f>IFERROR(__xludf.DUMMYFUNCTION("""COMPUTED_VALUE"""),1.0)</f>
        <v>1</v>
      </c>
      <c r="E1497" s="16">
        <f>IFERROR(__xludf.DUMMYFUNCTION("""COMPUTED_VALUE"""),67.0)</f>
        <v>67</v>
      </c>
      <c r="F1497" s="19" t="str">
        <f>IFERROR(__xludf.DUMMYFUNCTION("""COMPUTED_VALUE"""),"BLUE")</f>
        <v>BLUE</v>
      </c>
      <c r="G1497" s="20" t="str">
        <f>IFERROR(__xludf.DUMMYFUNCTION("""COMPUTED_VALUE"""),"Uncle Sams Cider (11/12/2021) (Blue)")</f>
        <v>Uncle Sams Cider (11/12/2021) (Blue)</v>
      </c>
      <c r="H1497" s="19"/>
    </row>
    <row r="1498">
      <c r="A1498" s="9"/>
      <c r="B1498" s="15"/>
      <c r="C1498" s="9">
        <f>IFERROR(__xludf.DUMMYFUNCTION("""COMPUTED_VALUE"""),44589.9509624536)</f>
        <v>44589.95096</v>
      </c>
      <c r="D1498" s="15">
        <f>IFERROR(__xludf.DUMMYFUNCTION("""COMPUTED_VALUE"""),1.0)</f>
        <v>1</v>
      </c>
      <c r="E1498" s="16">
        <f>IFERROR(__xludf.DUMMYFUNCTION("""COMPUTED_VALUE"""),66.0)</f>
        <v>66</v>
      </c>
      <c r="F1498" s="19" t="str">
        <f>IFERROR(__xludf.DUMMYFUNCTION("""COMPUTED_VALUE"""),"BLUE")</f>
        <v>BLUE</v>
      </c>
      <c r="G1498" s="20" t="str">
        <f>IFERROR(__xludf.DUMMYFUNCTION("""COMPUTED_VALUE"""),"Uncle Sams Cider (11/12/2021) (Blue)")</f>
        <v>Uncle Sams Cider (11/12/2021) (Blue)</v>
      </c>
      <c r="H1498" s="19"/>
    </row>
    <row r="1499">
      <c r="A1499" s="9"/>
      <c r="B1499" s="15"/>
      <c r="C1499" s="9">
        <f>IFERROR(__xludf.DUMMYFUNCTION("""COMPUTED_VALUE"""),44589.9405406713)</f>
        <v>44589.94054</v>
      </c>
      <c r="D1499" s="15">
        <f>IFERROR(__xludf.DUMMYFUNCTION("""COMPUTED_VALUE"""),1.0)</f>
        <v>1</v>
      </c>
      <c r="E1499" s="16">
        <f>IFERROR(__xludf.DUMMYFUNCTION("""COMPUTED_VALUE"""),66.0)</f>
        <v>66</v>
      </c>
      <c r="F1499" s="19" t="str">
        <f>IFERROR(__xludf.DUMMYFUNCTION("""COMPUTED_VALUE"""),"BLUE")</f>
        <v>BLUE</v>
      </c>
      <c r="G1499" s="20" t="str">
        <f>IFERROR(__xludf.DUMMYFUNCTION("""COMPUTED_VALUE"""),"Uncle Sams Cider (11/12/2021) (Blue)")</f>
        <v>Uncle Sams Cider (11/12/2021) (Blue)</v>
      </c>
      <c r="H1499" s="19"/>
    </row>
    <row r="1500">
      <c r="A1500" s="9"/>
      <c r="B1500" s="15"/>
      <c r="C1500" s="9">
        <f>IFERROR(__xludf.DUMMYFUNCTION("""COMPUTED_VALUE"""),44589.9301078703)</f>
        <v>44589.93011</v>
      </c>
      <c r="D1500" s="15">
        <f>IFERROR(__xludf.DUMMYFUNCTION("""COMPUTED_VALUE"""),1.0)</f>
        <v>1</v>
      </c>
      <c r="E1500" s="16">
        <f>IFERROR(__xludf.DUMMYFUNCTION("""COMPUTED_VALUE"""),65.0)</f>
        <v>65</v>
      </c>
      <c r="F1500" s="19" t="str">
        <f>IFERROR(__xludf.DUMMYFUNCTION("""COMPUTED_VALUE"""),"BLUE")</f>
        <v>BLUE</v>
      </c>
      <c r="G1500" s="20" t="str">
        <f>IFERROR(__xludf.DUMMYFUNCTION("""COMPUTED_VALUE"""),"Uncle Sams Cider (11/12/2021) (Blue)")</f>
        <v>Uncle Sams Cider (11/12/2021) (Blue)</v>
      </c>
      <c r="H1500" s="19"/>
    </row>
    <row r="1501">
      <c r="A1501" s="9"/>
      <c r="B1501" s="15"/>
      <c r="C1501" s="9">
        <f>IFERROR(__xludf.DUMMYFUNCTION("""COMPUTED_VALUE"""),44589.9196863657)</f>
        <v>44589.91969</v>
      </c>
      <c r="D1501" s="15">
        <f>IFERROR(__xludf.DUMMYFUNCTION("""COMPUTED_VALUE"""),1.0)</f>
        <v>1</v>
      </c>
      <c r="E1501" s="16">
        <f>IFERROR(__xludf.DUMMYFUNCTION("""COMPUTED_VALUE"""),65.0)</f>
        <v>65</v>
      </c>
      <c r="F1501" s="19" t="str">
        <f>IFERROR(__xludf.DUMMYFUNCTION("""COMPUTED_VALUE"""),"BLUE")</f>
        <v>BLUE</v>
      </c>
      <c r="G1501" s="20" t="str">
        <f>IFERROR(__xludf.DUMMYFUNCTION("""COMPUTED_VALUE"""),"Uncle Sams Cider (11/12/2021) (Blue)")</f>
        <v>Uncle Sams Cider (11/12/2021) (Blue)</v>
      </c>
      <c r="H1501" s="19"/>
    </row>
    <row r="1502">
      <c r="A1502" s="9"/>
      <c r="B1502" s="15"/>
      <c r="C1502" s="9">
        <f>IFERROR(__xludf.DUMMYFUNCTION("""COMPUTED_VALUE"""),44589.9092648726)</f>
        <v>44589.90926</v>
      </c>
      <c r="D1502" s="15">
        <f>IFERROR(__xludf.DUMMYFUNCTION("""COMPUTED_VALUE"""),1.0)</f>
        <v>1</v>
      </c>
      <c r="E1502" s="16">
        <f>IFERROR(__xludf.DUMMYFUNCTION("""COMPUTED_VALUE"""),64.0)</f>
        <v>64</v>
      </c>
      <c r="F1502" s="19" t="str">
        <f>IFERROR(__xludf.DUMMYFUNCTION("""COMPUTED_VALUE"""),"BLUE")</f>
        <v>BLUE</v>
      </c>
      <c r="G1502" s="20" t="str">
        <f>IFERROR(__xludf.DUMMYFUNCTION("""COMPUTED_VALUE"""),"Uncle Sams Cider (11/12/2021) (Blue)")</f>
        <v>Uncle Sams Cider (11/12/2021) (Blue)</v>
      </c>
      <c r="H1502" s="19"/>
    </row>
    <row r="1503">
      <c r="A1503" s="9"/>
      <c r="B1503" s="15"/>
      <c r="C1503" s="9">
        <f>IFERROR(__xludf.DUMMYFUNCTION("""COMPUTED_VALUE"""),44589.8988441319)</f>
        <v>44589.89884</v>
      </c>
      <c r="D1503" s="15">
        <f>IFERROR(__xludf.DUMMYFUNCTION("""COMPUTED_VALUE"""),1.0)</f>
        <v>1</v>
      </c>
      <c r="E1503" s="16">
        <f>IFERROR(__xludf.DUMMYFUNCTION("""COMPUTED_VALUE"""),64.0)</f>
        <v>64</v>
      </c>
      <c r="F1503" s="19" t="str">
        <f>IFERROR(__xludf.DUMMYFUNCTION("""COMPUTED_VALUE"""),"BLUE")</f>
        <v>BLUE</v>
      </c>
      <c r="G1503" s="20" t="str">
        <f>IFERROR(__xludf.DUMMYFUNCTION("""COMPUTED_VALUE"""),"Uncle Sams Cider (11/12/2021) (Blue)")</f>
        <v>Uncle Sams Cider (11/12/2021) (Blue)</v>
      </c>
      <c r="H1503" s="19"/>
    </row>
    <row r="1504">
      <c r="A1504" s="9"/>
      <c r="B1504" s="15"/>
      <c r="C1504" s="9">
        <f>IFERROR(__xludf.DUMMYFUNCTION("""COMPUTED_VALUE"""),44589.8884264467)</f>
        <v>44589.88843</v>
      </c>
      <c r="D1504" s="15">
        <f>IFERROR(__xludf.DUMMYFUNCTION("""COMPUTED_VALUE"""),1.0)</f>
        <v>1</v>
      </c>
      <c r="E1504" s="16">
        <f>IFERROR(__xludf.DUMMYFUNCTION("""COMPUTED_VALUE"""),63.0)</f>
        <v>63</v>
      </c>
      <c r="F1504" s="19" t="str">
        <f>IFERROR(__xludf.DUMMYFUNCTION("""COMPUTED_VALUE"""),"BLUE")</f>
        <v>BLUE</v>
      </c>
      <c r="G1504" s="20" t="str">
        <f>IFERROR(__xludf.DUMMYFUNCTION("""COMPUTED_VALUE"""),"Uncle Sams Cider (11/12/2021) (Blue)")</f>
        <v>Uncle Sams Cider (11/12/2021) (Blue)</v>
      </c>
      <c r="H1504" s="19"/>
    </row>
    <row r="1505">
      <c r="A1505" s="9"/>
      <c r="B1505" s="15"/>
      <c r="C1505" s="9">
        <f>IFERROR(__xludf.DUMMYFUNCTION("""COMPUTED_VALUE"""),44589.8780047685)</f>
        <v>44589.878</v>
      </c>
      <c r="D1505" s="15">
        <f>IFERROR(__xludf.DUMMYFUNCTION("""COMPUTED_VALUE"""),1.0)</f>
        <v>1</v>
      </c>
      <c r="E1505" s="16">
        <f>IFERROR(__xludf.DUMMYFUNCTION("""COMPUTED_VALUE"""),63.0)</f>
        <v>63</v>
      </c>
      <c r="F1505" s="19" t="str">
        <f>IFERROR(__xludf.DUMMYFUNCTION("""COMPUTED_VALUE"""),"BLUE")</f>
        <v>BLUE</v>
      </c>
      <c r="G1505" s="20" t="str">
        <f>IFERROR(__xludf.DUMMYFUNCTION("""COMPUTED_VALUE"""),"Uncle Sams Cider (11/12/2021) (Blue)")</f>
        <v>Uncle Sams Cider (11/12/2021) (Blue)</v>
      </c>
      <c r="H1505" s="19"/>
    </row>
    <row r="1506">
      <c r="A1506" s="9"/>
      <c r="B1506" s="15"/>
      <c r="C1506" s="9">
        <f>IFERROR(__xludf.DUMMYFUNCTION("""COMPUTED_VALUE"""),44589.8675713194)</f>
        <v>44589.86757</v>
      </c>
      <c r="D1506" s="15">
        <f>IFERROR(__xludf.DUMMYFUNCTION("""COMPUTED_VALUE"""),1.001)</f>
        <v>1.001</v>
      </c>
      <c r="E1506" s="16">
        <f>IFERROR(__xludf.DUMMYFUNCTION("""COMPUTED_VALUE"""),62.0)</f>
        <v>62</v>
      </c>
      <c r="F1506" s="19" t="str">
        <f>IFERROR(__xludf.DUMMYFUNCTION("""COMPUTED_VALUE"""),"BLUE")</f>
        <v>BLUE</v>
      </c>
      <c r="G1506" s="20" t="str">
        <f>IFERROR(__xludf.DUMMYFUNCTION("""COMPUTED_VALUE"""),"Uncle Sams Cider (11/12/2021) (Blue)")</f>
        <v>Uncle Sams Cider (11/12/2021) (Blue)</v>
      </c>
      <c r="H1506" s="19"/>
    </row>
    <row r="1507">
      <c r="A1507" s="9"/>
      <c r="B1507" s="15"/>
      <c r="C1507" s="9">
        <f>IFERROR(__xludf.DUMMYFUNCTION("""COMPUTED_VALUE"""),44589.85715125)</f>
        <v>44589.85715</v>
      </c>
      <c r="D1507" s="15">
        <f>IFERROR(__xludf.DUMMYFUNCTION("""COMPUTED_VALUE"""),1.0)</f>
        <v>1</v>
      </c>
      <c r="E1507" s="16">
        <f>IFERROR(__xludf.DUMMYFUNCTION("""COMPUTED_VALUE"""),62.0)</f>
        <v>62</v>
      </c>
      <c r="F1507" s="19" t="str">
        <f>IFERROR(__xludf.DUMMYFUNCTION("""COMPUTED_VALUE"""),"BLUE")</f>
        <v>BLUE</v>
      </c>
      <c r="G1507" s="20" t="str">
        <f>IFERROR(__xludf.DUMMYFUNCTION("""COMPUTED_VALUE"""),"Uncle Sams Cider (11/12/2021) (Blue)")</f>
        <v>Uncle Sams Cider (11/12/2021) (Blue)</v>
      </c>
      <c r="H1507" s="19"/>
    </row>
    <row r="1508">
      <c r="A1508" s="9"/>
      <c r="B1508" s="15"/>
      <c r="C1508" s="9">
        <f>IFERROR(__xludf.DUMMYFUNCTION("""COMPUTED_VALUE"""),44589.8467181828)</f>
        <v>44589.84672</v>
      </c>
      <c r="D1508" s="15">
        <f>IFERROR(__xludf.DUMMYFUNCTION("""COMPUTED_VALUE"""),1.001)</f>
        <v>1.001</v>
      </c>
      <c r="E1508" s="16">
        <f>IFERROR(__xludf.DUMMYFUNCTION("""COMPUTED_VALUE"""),62.0)</f>
        <v>62</v>
      </c>
      <c r="F1508" s="19" t="str">
        <f>IFERROR(__xludf.DUMMYFUNCTION("""COMPUTED_VALUE"""),"BLUE")</f>
        <v>BLUE</v>
      </c>
      <c r="G1508" s="20" t="str">
        <f>IFERROR(__xludf.DUMMYFUNCTION("""COMPUTED_VALUE"""),"Uncle Sams Cider (11/12/2021) (Blue)")</f>
        <v>Uncle Sams Cider (11/12/2021) (Blue)</v>
      </c>
      <c r="H1508" s="19"/>
    </row>
    <row r="1509">
      <c r="A1509" s="9"/>
      <c r="B1509" s="15"/>
      <c r="C1509" s="9">
        <f>IFERROR(__xludf.DUMMYFUNCTION("""COMPUTED_VALUE"""),44589.8362862036)</f>
        <v>44589.83629</v>
      </c>
      <c r="D1509" s="15">
        <f>IFERROR(__xludf.DUMMYFUNCTION("""COMPUTED_VALUE"""),1.0)</f>
        <v>1</v>
      </c>
      <c r="E1509" s="16">
        <f>IFERROR(__xludf.DUMMYFUNCTION("""COMPUTED_VALUE"""),61.0)</f>
        <v>61</v>
      </c>
      <c r="F1509" s="19" t="str">
        <f>IFERROR(__xludf.DUMMYFUNCTION("""COMPUTED_VALUE"""),"BLUE")</f>
        <v>BLUE</v>
      </c>
      <c r="G1509" s="20" t="str">
        <f>IFERROR(__xludf.DUMMYFUNCTION("""COMPUTED_VALUE"""),"Uncle Sams Cider (11/12/2021) (Blue)")</f>
        <v>Uncle Sams Cider (11/12/2021) (Blue)</v>
      </c>
      <c r="H1509" s="19"/>
    </row>
    <row r="1510">
      <c r="A1510" s="9"/>
      <c r="B1510" s="15"/>
      <c r="C1510" s="9">
        <f>IFERROR(__xludf.DUMMYFUNCTION("""COMPUTED_VALUE"""),44589.8258656597)</f>
        <v>44589.82587</v>
      </c>
      <c r="D1510" s="15">
        <f>IFERROR(__xludf.DUMMYFUNCTION("""COMPUTED_VALUE"""),1.0)</f>
        <v>1</v>
      </c>
      <c r="E1510" s="16">
        <f>IFERROR(__xludf.DUMMYFUNCTION("""COMPUTED_VALUE"""),61.0)</f>
        <v>61</v>
      </c>
      <c r="F1510" s="19" t="str">
        <f>IFERROR(__xludf.DUMMYFUNCTION("""COMPUTED_VALUE"""),"BLUE")</f>
        <v>BLUE</v>
      </c>
      <c r="G1510" s="20" t="str">
        <f>IFERROR(__xludf.DUMMYFUNCTION("""COMPUTED_VALUE"""),"Uncle Sams Cider (11/12/2021) (Blue)")</f>
        <v>Uncle Sams Cider (11/12/2021) (Blue)</v>
      </c>
      <c r="H1510" s="19"/>
    </row>
    <row r="1511">
      <c r="A1511" s="9"/>
      <c r="B1511" s="15"/>
      <c r="C1511" s="9">
        <f>IFERROR(__xludf.DUMMYFUNCTION("""COMPUTED_VALUE"""),44589.8154302777)</f>
        <v>44589.81543</v>
      </c>
      <c r="D1511" s="15">
        <f>IFERROR(__xludf.DUMMYFUNCTION("""COMPUTED_VALUE"""),1.001)</f>
        <v>1.001</v>
      </c>
      <c r="E1511" s="16">
        <f>IFERROR(__xludf.DUMMYFUNCTION("""COMPUTED_VALUE"""),61.0)</f>
        <v>61</v>
      </c>
      <c r="F1511" s="19" t="str">
        <f>IFERROR(__xludf.DUMMYFUNCTION("""COMPUTED_VALUE"""),"BLUE")</f>
        <v>BLUE</v>
      </c>
      <c r="G1511" s="20" t="str">
        <f>IFERROR(__xludf.DUMMYFUNCTION("""COMPUTED_VALUE"""),"Uncle Sams Cider (11/12/2021) (Blue)")</f>
        <v>Uncle Sams Cider (11/12/2021) (Blue)</v>
      </c>
      <c r="H1511" s="19"/>
    </row>
    <row r="1512">
      <c r="A1512" s="9"/>
      <c r="B1512" s="15"/>
      <c r="C1512" s="9">
        <f>IFERROR(__xludf.DUMMYFUNCTION("""COMPUTED_VALUE"""),44589.8050075115)</f>
        <v>44589.80501</v>
      </c>
      <c r="D1512" s="15">
        <f>IFERROR(__xludf.DUMMYFUNCTION("""COMPUTED_VALUE"""),1.001)</f>
        <v>1.001</v>
      </c>
      <c r="E1512" s="16">
        <f>IFERROR(__xludf.DUMMYFUNCTION("""COMPUTED_VALUE"""),61.0)</f>
        <v>61</v>
      </c>
      <c r="F1512" s="19" t="str">
        <f>IFERROR(__xludf.DUMMYFUNCTION("""COMPUTED_VALUE"""),"BLUE")</f>
        <v>BLUE</v>
      </c>
      <c r="G1512" s="20" t="str">
        <f>IFERROR(__xludf.DUMMYFUNCTION("""COMPUTED_VALUE"""),"Uncle Sams Cider (11/12/2021) (Blue)")</f>
        <v>Uncle Sams Cider (11/12/2021) (Blue)</v>
      </c>
      <c r="H1512" s="19"/>
    </row>
    <row r="1513">
      <c r="A1513" s="9"/>
      <c r="B1513" s="15"/>
      <c r="C1513" s="9">
        <f>IFERROR(__xludf.DUMMYFUNCTION("""COMPUTED_VALUE"""),44589.7945739814)</f>
        <v>44589.79457</v>
      </c>
      <c r="D1513" s="15">
        <f>IFERROR(__xludf.DUMMYFUNCTION("""COMPUTED_VALUE"""),1.001)</f>
        <v>1.001</v>
      </c>
      <c r="E1513" s="16">
        <f>IFERROR(__xludf.DUMMYFUNCTION("""COMPUTED_VALUE"""),62.0)</f>
        <v>62</v>
      </c>
      <c r="F1513" s="19" t="str">
        <f>IFERROR(__xludf.DUMMYFUNCTION("""COMPUTED_VALUE"""),"BLUE")</f>
        <v>BLUE</v>
      </c>
      <c r="G1513" s="20" t="str">
        <f>IFERROR(__xludf.DUMMYFUNCTION("""COMPUTED_VALUE"""),"Uncle Sams Cider (11/12/2021) (Blue)")</f>
        <v>Uncle Sams Cider (11/12/2021) (Blue)</v>
      </c>
      <c r="H1513" s="19"/>
    </row>
    <row r="1514">
      <c r="A1514" s="9"/>
      <c r="B1514" s="15"/>
      <c r="C1514" s="9">
        <f>IFERROR(__xludf.DUMMYFUNCTION("""COMPUTED_VALUE"""),44589.7841503703)</f>
        <v>44589.78415</v>
      </c>
      <c r="D1514" s="15">
        <f>IFERROR(__xludf.DUMMYFUNCTION("""COMPUTED_VALUE"""),1.0)</f>
        <v>1</v>
      </c>
      <c r="E1514" s="16">
        <f>IFERROR(__xludf.DUMMYFUNCTION("""COMPUTED_VALUE"""),61.0)</f>
        <v>61</v>
      </c>
      <c r="F1514" s="19" t="str">
        <f>IFERROR(__xludf.DUMMYFUNCTION("""COMPUTED_VALUE"""),"BLUE")</f>
        <v>BLUE</v>
      </c>
      <c r="G1514" s="20" t="str">
        <f>IFERROR(__xludf.DUMMYFUNCTION("""COMPUTED_VALUE"""),"Uncle Sams Cider (11/12/2021) (Blue)")</f>
        <v>Uncle Sams Cider (11/12/2021) (Blue)</v>
      </c>
      <c r="H1514" s="19"/>
    </row>
    <row r="1515">
      <c r="A1515" s="9"/>
      <c r="B1515" s="15"/>
      <c r="C1515" s="9">
        <f>IFERROR(__xludf.DUMMYFUNCTION("""COMPUTED_VALUE"""),44589.7737291666)</f>
        <v>44589.77373</v>
      </c>
      <c r="D1515" s="15">
        <f>IFERROR(__xludf.DUMMYFUNCTION("""COMPUTED_VALUE"""),1.001)</f>
        <v>1.001</v>
      </c>
      <c r="E1515" s="16">
        <f>IFERROR(__xludf.DUMMYFUNCTION("""COMPUTED_VALUE"""),61.0)</f>
        <v>61</v>
      </c>
      <c r="F1515" s="19" t="str">
        <f>IFERROR(__xludf.DUMMYFUNCTION("""COMPUTED_VALUE"""),"BLUE")</f>
        <v>BLUE</v>
      </c>
      <c r="G1515" s="20" t="str">
        <f>IFERROR(__xludf.DUMMYFUNCTION("""COMPUTED_VALUE"""),"Uncle Sams Cider (11/12/2021) (Blue)")</f>
        <v>Uncle Sams Cider (11/12/2021) (Blue)</v>
      </c>
      <c r="H1515" s="19"/>
    </row>
    <row r="1516">
      <c r="A1516" s="9"/>
      <c r="B1516" s="15"/>
      <c r="C1516" s="9">
        <f>IFERROR(__xludf.DUMMYFUNCTION("""COMPUTED_VALUE"""),44589.7633079629)</f>
        <v>44589.76331</v>
      </c>
      <c r="D1516" s="15">
        <f>IFERROR(__xludf.DUMMYFUNCTION("""COMPUTED_VALUE"""),1.001)</f>
        <v>1.001</v>
      </c>
      <c r="E1516" s="16">
        <f>IFERROR(__xludf.DUMMYFUNCTION("""COMPUTED_VALUE"""),61.0)</f>
        <v>61</v>
      </c>
      <c r="F1516" s="19" t="str">
        <f>IFERROR(__xludf.DUMMYFUNCTION("""COMPUTED_VALUE"""),"BLUE")</f>
        <v>BLUE</v>
      </c>
      <c r="G1516" s="20" t="str">
        <f>IFERROR(__xludf.DUMMYFUNCTION("""COMPUTED_VALUE"""),"Uncle Sams Cider (11/12/2021) (Blue)")</f>
        <v>Uncle Sams Cider (11/12/2021) (Blue)</v>
      </c>
      <c r="H1516" s="19"/>
    </row>
    <row r="1517">
      <c r="A1517" s="9"/>
      <c r="B1517" s="15"/>
      <c r="C1517" s="9">
        <f>IFERROR(__xludf.DUMMYFUNCTION("""COMPUTED_VALUE"""),44589.752874537)</f>
        <v>44589.75287</v>
      </c>
      <c r="D1517" s="15">
        <f>IFERROR(__xludf.DUMMYFUNCTION("""COMPUTED_VALUE"""),1.001)</f>
        <v>1.001</v>
      </c>
      <c r="E1517" s="16">
        <f>IFERROR(__xludf.DUMMYFUNCTION("""COMPUTED_VALUE"""),61.0)</f>
        <v>61</v>
      </c>
      <c r="F1517" s="19" t="str">
        <f>IFERROR(__xludf.DUMMYFUNCTION("""COMPUTED_VALUE"""),"BLUE")</f>
        <v>BLUE</v>
      </c>
      <c r="G1517" s="20" t="str">
        <f>IFERROR(__xludf.DUMMYFUNCTION("""COMPUTED_VALUE"""),"Uncle Sams Cider (11/12/2021) (Blue)")</f>
        <v>Uncle Sams Cider (11/12/2021) (Blue)</v>
      </c>
      <c r="H1517" s="19"/>
    </row>
    <row r="1518">
      <c r="A1518" s="9"/>
      <c r="B1518" s="15"/>
      <c r="C1518" s="9">
        <f>IFERROR(__xludf.DUMMYFUNCTION("""COMPUTED_VALUE"""),44589.7424421412)</f>
        <v>44589.74244</v>
      </c>
      <c r="D1518" s="15">
        <f>IFERROR(__xludf.DUMMYFUNCTION("""COMPUTED_VALUE"""),1.001)</f>
        <v>1.001</v>
      </c>
      <c r="E1518" s="16">
        <f>IFERROR(__xludf.DUMMYFUNCTION("""COMPUTED_VALUE"""),62.0)</f>
        <v>62</v>
      </c>
      <c r="F1518" s="19" t="str">
        <f>IFERROR(__xludf.DUMMYFUNCTION("""COMPUTED_VALUE"""),"BLUE")</f>
        <v>BLUE</v>
      </c>
      <c r="G1518" s="20" t="str">
        <f>IFERROR(__xludf.DUMMYFUNCTION("""COMPUTED_VALUE"""),"Uncle Sams Cider (11/12/2021) (Blue)")</f>
        <v>Uncle Sams Cider (11/12/2021) (Blue)</v>
      </c>
      <c r="H1518" s="19"/>
    </row>
    <row r="1519">
      <c r="A1519" s="9"/>
      <c r="B1519" s="15"/>
      <c r="C1519" s="9">
        <f>IFERROR(__xludf.DUMMYFUNCTION("""COMPUTED_VALUE"""),44589.7319971412)</f>
        <v>44589.732</v>
      </c>
      <c r="D1519" s="15">
        <f>IFERROR(__xludf.DUMMYFUNCTION("""COMPUTED_VALUE"""),1.001)</f>
        <v>1.001</v>
      </c>
      <c r="E1519" s="16">
        <f>IFERROR(__xludf.DUMMYFUNCTION("""COMPUTED_VALUE"""),62.0)</f>
        <v>62</v>
      </c>
      <c r="F1519" s="19" t="str">
        <f>IFERROR(__xludf.DUMMYFUNCTION("""COMPUTED_VALUE"""),"BLUE")</f>
        <v>BLUE</v>
      </c>
      <c r="G1519" s="20" t="str">
        <f>IFERROR(__xludf.DUMMYFUNCTION("""COMPUTED_VALUE"""),"Uncle Sams Cider (11/12/2021) (Blue)")</f>
        <v>Uncle Sams Cider (11/12/2021) (Blue)</v>
      </c>
      <c r="H1519" s="19"/>
    </row>
    <row r="1520">
      <c r="A1520" s="9"/>
      <c r="B1520" s="15"/>
      <c r="C1520" s="9">
        <f>IFERROR(__xludf.DUMMYFUNCTION("""COMPUTED_VALUE"""),44589.7215639236)</f>
        <v>44589.72156</v>
      </c>
      <c r="D1520" s="15">
        <f>IFERROR(__xludf.DUMMYFUNCTION("""COMPUTED_VALUE"""),1.001)</f>
        <v>1.001</v>
      </c>
      <c r="E1520" s="16">
        <f>IFERROR(__xludf.DUMMYFUNCTION("""COMPUTED_VALUE"""),62.0)</f>
        <v>62</v>
      </c>
      <c r="F1520" s="19" t="str">
        <f>IFERROR(__xludf.DUMMYFUNCTION("""COMPUTED_VALUE"""),"BLUE")</f>
        <v>BLUE</v>
      </c>
      <c r="G1520" s="20" t="str">
        <f>IFERROR(__xludf.DUMMYFUNCTION("""COMPUTED_VALUE"""),"Uncle Sams Cider (11/12/2021) (Blue)")</f>
        <v>Uncle Sams Cider (11/12/2021) (Blue)</v>
      </c>
      <c r="H1520" s="19"/>
    </row>
    <row r="1521">
      <c r="A1521" s="9"/>
      <c r="B1521" s="15"/>
      <c r="C1521" s="9">
        <f>IFERROR(__xludf.DUMMYFUNCTION("""COMPUTED_VALUE"""),44589.7111308333)</f>
        <v>44589.71113</v>
      </c>
      <c r="D1521" s="15">
        <f>IFERROR(__xludf.DUMMYFUNCTION("""COMPUTED_VALUE"""),1.001)</f>
        <v>1.001</v>
      </c>
      <c r="E1521" s="16">
        <f>IFERROR(__xludf.DUMMYFUNCTION("""COMPUTED_VALUE"""),62.0)</f>
        <v>62</v>
      </c>
      <c r="F1521" s="19" t="str">
        <f>IFERROR(__xludf.DUMMYFUNCTION("""COMPUTED_VALUE"""),"BLUE")</f>
        <v>BLUE</v>
      </c>
      <c r="G1521" s="20" t="str">
        <f>IFERROR(__xludf.DUMMYFUNCTION("""COMPUTED_VALUE"""),"Uncle Sams Cider (11/12/2021) (Blue)")</f>
        <v>Uncle Sams Cider (11/12/2021) (Blue)</v>
      </c>
      <c r="H1521" s="19"/>
    </row>
    <row r="1522">
      <c r="A1522" s="9"/>
      <c r="B1522" s="15"/>
      <c r="C1522" s="9">
        <f>IFERROR(__xludf.DUMMYFUNCTION("""COMPUTED_VALUE"""),44589.7007101736)</f>
        <v>44589.70071</v>
      </c>
      <c r="D1522" s="15">
        <f>IFERROR(__xludf.DUMMYFUNCTION("""COMPUTED_VALUE"""),1.001)</f>
        <v>1.001</v>
      </c>
      <c r="E1522" s="16">
        <f>IFERROR(__xludf.DUMMYFUNCTION("""COMPUTED_VALUE"""),62.0)</f>
        <v>62</v>
      </c>
      <c r="F1522" s="19" t="str">
        <f>IFERROR(__xludf.DUMMYFUNCTION("""COMPUTED_VALUE"""),"BLUE")</f>
        <v>BLUE</v>
      </c>
      <c r="G1522" s="20" t="str">
        <f>IFERROR(__xludf.DUMMYFUNCTION("""COMPUTED_VALUE"""),"Uncle Sams Cider (11/12/2021) (Blue)")</f>
        <v>Uncle Sams Cider (11/12/2021) (Blue)</v>
      </c>
      <c r="H1522" s="19"/>
    </row>
    <row r="1523">
      <c r="A1523" s="9"/>
      <c r="B1523" s="15"/>
      <c r="C1523" s="9">
        <f>IFERROR(__xludf.DUMMYFUNCTION("""COMPUTED_VALUE"""),44589.6902902199)</f>
        <v>44589.69029</v>
      </c>
      <c r="D1523" s="15">
        <f>IFERROR(__xludf.DUMMYFUNCTION("""COMPUTED_VALUE"""),1.001)</f>
        <v>1.001</v>
      </c>
      <c r="E1523" s="16">
        <f>IFERROR(__xludf.DUMMYFUNCTION("""COMPUTED_VALUE"""),62.0)</f>
        <v>62</v>
      </c>
      <c r="F1523" s="19" t="str">
        <f>IFERROR(__xludf.DUMMYFUNCTION("""COMPUTED_VALUE"""),"BLUE")</f>
        <v>BLUE</v>
      </c>
      <c r="G1523" s="20" t="str">
        <f>IFERROR(__xludf.DUMMYFUNCTION("""COMPUTED_VALUE"""),"Uncle Sams Cider (11/12/2021) (Blue)")</f>
        <v>Uncle Sams Cider (11/12/2021) (Blue)</v>
      </c>
      <c r="H1523" s="19"/>
    </row>
    <row r="1524">
      <c r="A1524" s="9"/>
      <c r="B1524" s="15"/>
      <c r="C1524" s="9">
        <f>IFERROR(__xludf.DUMMYFUNCTION("""COMPUTED_VALUE"""),44589.6798694212)</f>
        <v>44589.67987</v>
      </c>
      <c r="D1524" s="15">
        <f>IFERROR(__xludf.DUMMYFUNCTION("""COMPUTED_VALUE"""),1.0)</f>
        <v>1</v>
      </c>
      <c r="E1524" s="16">
        <f>IFERROR(__xludf.DUMMYFUNCTION("""COMPUTED_VALUE"""),62.0)</f>
        <v>62</v>
      </c>
      <c r="F1524" s="19" t="str">
        <f>IFERROR(__xludf.DUMMYFUNCTION("""COMPUTED_VALUE"""),"BLUE")</f>
        <v>BLUE</v>
      </c>
      <c r="G1524" s="20" t="str">
        <f>IFERROR(__xludf.DUMMYFUNCTION("""COMPUTED_VALUE"""),"Uncle Sams Cider (11/12/2021) (Blue)")</f>
        <v>Uncle Sams Cider (11/12/2021) (Blue)</v>
      </c>
      <c r="H1524" s="19"/>
    </row>
    <row r="1525">
      <c r="A1525" s="9"/>
      <c r="B1525" s="15"/>
      <c r="C1525" s="9">
        <f>IFERROR(__xludf.DUMMYFUNCTION("""COMPUTED_VALUE"""),44589.6694496875)</f>
        <v>44589.66945</v>
      </c>
      <c r="D1525" s="15">
        <f>IFERROR(__xludf.DUMMYFUNCTION("""COMPUTED_VALUE"""),1.001)</f>
        <v>1.001</v>
      </c>
      <c r="E1525" s="16">
        <f>IFERROR(__xludf.DUMMYFUNCTION("""COMPUTED_VALUE"""),62.0)</f>
        <v>62</v>
      </c>
      <c r="F1525" s="19" t="str">
        <f>IFERROR(__xludf.DUMMYFUNCTION("""COMPUTED_VALUE"""),"BLUE")</f>
        <v>BLUE</v>
      </c>
      <c r="G1525" s="20" t="str">
        <f>IFERROR(__xludf.DUMMYFUNCTION("""COMPUTED_VALUE"""),"Uncle Sams Cider (11/12/2021) (Blue)")</f>
        <v>Uncle Sams Cider (11/12/2021) (Blue)</v>
      </c>
      <c r="H1525" s="19"/>
    </row>
    <row r="1526">
      <c r="A1526" s="9"/>
      <c r="B1526" s="15"/>
      <c r="C1526" s="9">
        <f>IFERROR(__xludf.DUMMYFUNCTION("""COMPUTED_VALUE"""),44589.6590288773)</f>
        <v>44589.65903</v>
      </c>
      <c r="D1526" s="15">
        <f>IFERROR(__xludf.DUMMYFUNCTION("""COMPUTED_VALUE"""),1.001)</f>
        <v>1.001</v>
      </c>
      <c r="E1526" s="16">
        <f>IFERROR(__xludf.DUMMYFUNCTION("""COMPUTED_VALUE"""),62.0)</f>
        <v>62</v>
      </c>
      <c r="F1526" s="19" t="str">
        <f>IFERROR(__xludf.DUMMYFUNCTION("""COMPUTED_VALUE"""),"BLUE")</f>
        <v>BLUE</v>
      </c>
      <c r="G1526" s="20" t="str">
        <f>IFERROR(__xludf.DUMMYFUNCTION("""COMPUTED_VALUE"""),"Uncle Sams Cider (11/12/2021) (Blue)")</f>
        <v>Uncle Sams Cider (11/12/2021) (Blue)</v>
      </c>
      <c r="H1526" s="19"/>
    </row>
    <row r="1527">
      <c r="A1527" s="9"/>
      <c r="B1527" s="15"/>
      <c r="C1527" s="9">
        <f>IFERROR(__xludf.DUMMYFUNCTION("""COMPUTED_VALUE"""),44589.6486053125)</f>
        <v>44589.64861</v>
      </c>
      <c r="D1527" s="15">
        <f>IFERROR(__xludf.DUMMYFUNCTION("""COMPUTED_VALUE"""),1.001)</f>
        <v>1.001</v>
      </c>
      <c r="E1527" s="16">
        <f>IFERROR(__xludf.DUMMYFUNCTION("""COMPUTED_VALUE"""),62.0)</f>
        <v>62</v>
      </c>
      <c r="F1527" s="19" t="str">
        <f>IFERROR(__xludf.DUMMYFUNCTION("""COMPUTED_VALUE"""),"BLUE")</f>
        <v>BLUE</v>
      </c>
      <c r="G1527" s="20" t="str">
        <f>IFERROR(__xludf.DUMMYFUNCTION("""COMPUTED_VALUE"""),"Uncle Sams Cider (11/12/2021) (Blue)")</f>
        <v>Uncle Sams Cider (11/12/2021) (Blue)</v>
      </c>
      <c r="H1527" s="19"/>
    </row>
    <row r="1528">
      <c r="A1528" s="9"/>
      <c r="B1528" s="15"/>
      <c r="C1528" s="9">
        <f>IFERROR(__xludf.DUMMYFUNCTION("""COMPUTED_VALUE"""),44589.6381849652)</f>
        <v>44589.63818</v>
      </c>
      <c r="D1528" s="15">
        <f>IFERROR(__xludf.DUMMYFUNCTION("""COMPUTED_VALUE"""),1.001)</f>
        <v>1.001</v>
      </c>
      <c r="E1528" s="16">
        <f>IFERROR(__xludf.DUMMYFUNCTION("""COMPUTED_VALUE"""),62.0)</f>
        <v>62</v>
      </c>
      <c r="F1528" s="19" t="str">
        <f>IFERROR(__xludf.DUMMYFUNCTION("""COMPUTED_VALUE"""),"BLUE")</f>
        <v>BLUE</v>
      </c>
      <c r="G1528" s="20" t="str">
        <f>IFERROR(__xludf.DUMMYFUNCTION("""COMPUTED_VALUE"""),"Uncle Sams Cider (11/12/2021) (Blue)")</f>
        <v>Uncle Sams Cider (11/12/2021) (Blue)</v>
      </c>
      <c r="H1528" s="19"/>
    </row>
    <row r="1529">
      <c r="A1529" s="9"/>
      <c r="B1529" s="15"/>
      <c r="C1529" s="9">
        <f>IFERROR(__xludf.DUMMYFUNCTION("""COMPUTED_VALUE"""),44589.6277652314)</f>
        <v>44589.62777</v>
      </c>
      <c r="D1529" s="15">
        <f>IFERROR(__xludf.DUMMYFUNCTION("""COMPUTED_VALUE"""),1.001)</f>
        <v>1.001</v>
      </c>
      <c r="E1529" s="16">
        <f>IFERROR(__xludf.DUMMYFUNCTION("""COMPUTED_VALUE"""),62.0)</f>
        <v>62</v>
      </c>
      <c r="F1529" s="19" t="str">
        <f>IFERROR(__xludf.DUMMYFUNCTION("""COMPUTED_VALUE"""),"BLUE")</f>
        <v>BLUE</v>
      </c>
      <c r="G1529" s="20" t="str">
        <f>IFERROR(__xludf.DUMMYFUNCTION("""COMPUTED_VALUE"""),"Uncle Sams Cider (11/12/2021) (Blue)")</f>
        <v>Uncle Sams Cider (11/12/2021) (Blue)</v>
      </c>
      <c r="H1529" s="19"/>
    </row>
    <row r="1530">
      <c r="A1530" s="9"/>
      <c r="B1530" s="15"/>
      <c r="C1530" s="9">
        <f>IFERROR(__xludf.DUMMYFUNCTION("""COMPUTED_VALUE"""),44589.6173438078)</f>
        <v>44589.61734</v>
      </c>
      <c r="D1530" s="15">
        <f>IFERROR(__xludf.DUMMYFUNCTION("""COMPUTED_VALUE"""),1.0)</f>
        <v>1</v>
      </c>
      <c r="E1530" s="16">
        <f>IFERROR(__xludf.DUMMYFUNCTION("""COMPUTED_VALUE"""),62.0)</f>
        <v>62</v>
      </c>
      <c r="F1530" s="19" t="str">
        <f>IFERROR(__xludf.DUMMYFUNCTION("""COMPUTED_VALUE"""),"BLUE")</f>
        <v>BLUE</v>
      </c>
      <c r="G1530" s="20" t="str">
        <f>IFERROR(__xludf.DUMMYFUNCTION("""COMPUTED_VALUE"""),"Uncle Sams Cider (11/12/2021) (Blue)")</f>
        <v>Uncle Sams Cider (11/12/2021) (Blue)</v>
      </c>
      <c r="H1530" s="19"/>
    </row>
    <row r="1531">
      <c r="A1531" s="9"/>
      <c r="B1531" s="15"/>
      <c r="C1531" s="9">
        <f>IFERROR(__xludf.DUMMYFUNCTION("""COMPUTED_VALUE"""),44589.6069239583)</f>
        <v>44589.60692</v>
      </c>
      <c r="D1531" s="15">
        <f>IFERROR(__xludf.DUMMYFUNCTION("""COMPUTED_VALUE"""),1.0)</f>
        <v>1</v>
      </c>
      <c r="E1531" s="16">
        <f>IFERROR(__xludf.DUMMYFUNCTION("""COMPUTED_VALUE"""),62.0)</f>
        <v>62</v>
      </c>
      <c r="F1531" s="19" t="str">
        <f>IFERROR(__xludf.DUMMYFUNCTION("""COMPUTED_VALUE"""),"BLUE")</f>
        <v>BLUE</v>
      </c>
      <c r="G1531" s="20" t="str">
        <f>IFERROR(__xludf.DUMMYFUNCTION("""COMPUTED_VALUE"""),"Uncle Sams Cider (11/12/2021) (Blue)")</f>
        <v>Uncle Sams Cider (11/12/2021) (Blue)</v>
      </c>
      <c r="H1531" s="19"/>
    </row>
    <row r="1532">
      <c r="A1532" s="9"/>
      <c r="B1532" s="15"/>
      <c r="C1532" s="9">
        <f>IFERROR(__xludf.DUMMYFUNCTION("""COMPUTED_VALUE"""),44589.5965032754)</f>
        <v>44589.5965</v>
      </c>
      <c r="D1532" s="15">
        <f>IFERROR(__xludf.DUMMYFUNCTION("""COMPUTED_VALUE"""),1.001)</f>
        <v>1.001</v>
      </c>
      <c r="E1532" s="16">
        <f>IFERROR(__xludf.DUMMYFUNCTION("""COMPUTED_VALUE"""),62.0)</f>
        <v>62</v>
      </c>
      <c r="F1532" s="19" t="str">
        <f>IFERROR(__xludf.DUMMYFUNCTION("""COMPUTED_VALUE"""),"BLUE")</f>
        <v>BLUE</v>
      </c>
      <c r="G1532" s="20" t="str">
        <f>IFERROR(__xludf.DUMMYFUNCTION("""COMPUTED_VALUE"""),"Uncle Sams Cider (11/12/2021) (Blue)")</f>
        <v>Uncle Sams Cider (11/12/2021) (Blue)</v>
      </c>
      <c r="H1532" s="19"/>
    </row>
    <row r="1533">
      <c r="A1533" s="9"/>
      <c r="B1533" s="15"/>
      <c r="C1533" s="9">
        <f>IFERROR(__xludf.DUMMYFUNCTION("""COMPUTED_VALUE"""),44589.5860801273)</f>
        <v>44589.58608</v>
      </c>
      <c r="D1533" s="15">
        <f>IFERROR(__xludf.DUMMYFUNCTION("""COMPUTED_VALUE"""),1.001)</f>
        <v>1.001</v>
      </c>
      <c r="E1533" s="16">
        <f>IFERROR(__xludf.DUMMYFUNCTION("""COMPUTED_VALUE"""),62.0)</f>
        <v>62</v>
      </c>
      <c r="F1533" s="19" t="str">
        <f>IFERROR(__xludf.DUMMYFUNCTION("""COMPUTED_VALUE"""),"BLUE")</f>
        <v>BLUE</v>
      </c>
      <c r="G1533" s="20" t="str">
        <f>IFERROR(__xludf.DUMMYFUNCTION("""COMPUTED_VALUE"""),"Uncle Sams Cider (11/12/2021) (Blue)")</f>
        <v>Uncle Sams Cider (11/12/2021) (Blue)</v>
      </c>
      <c r="H1533" s="19"/>
    </row>
    <row r="1534">
      <c r="A1534" s="9"/>
      <c r="B1534" s="15"/>
      <c r="C1534" s="9">
        <f>IFERROR(__xludf.DUMMYFUNCTION("""COMPUTED_VALUE"""),44589.5756580787)</f>
        <v>44589.57566</v>
      </c>
      <c r="D1534" s="15">
        <f>IFERROR(__xludf.DUMMYFUNCTION("""COMPUTED_VALUE"""),1.001)</f>
        <v>1.001</v>
      </c>
      <c r="E1534" s="16">
        <f>IFERROR(__xludf.DUMMYFUNCTION("""COMPUTED_VALUE"""),62.0)</f>
        <v>62</v>
      </c>
      <c r="F1534" s="19" t="str">
        <f>IFERROR(__xludf.DUMMYFUNCTION("""COMPUTED_VALUE"""),"BLUE")</f>
        <v>BLUE</v>
      </c>
      <c r="G1534" s="20" t="str">
        <f>IFERROR(__xludf.DUMMYFUNCTION("""COMPUTED_VALUE"""),"Uncle Sams Cider (11/12/2021) (Blue)")</f>
        <v>Uncle Sams Cider (11/12/2021) (Blue)</v>
      </c>
      <c r="H1534" s="19"/>
    </row>
    <row r="1535">
      <c r="A1535" s="9"/>
      <c r="B1535" s="15"/>
      <c r="C1535" s="9">
        <f>IFERROR(__xludf.DUMMYFUNCTION("""COMPUTED_VALUE"""),44589.5652368749)</f>
        <v>44589.56524</v>
      </c>
      <c r="D1535" s="15">
        <f>IFERROR(__xludf.DUMMYFUNCTION("""COMPUTED_VALUE"""),1.001)</f>
        <v>1.001</v>
      </c>
      <c r="E1535" s="16">
        <f>IFERROR(__xludf.DUMMYFUNCTION("""COMPUTED_VALUE"""),62.0)</f>
        <v>62</v>
      </c>
      <c r="F1535" s="19" t="str">
        <f>IFERROR(__xludf.DUMMYFUNCTION("""COMPUTED_VALUE"""),"BLUE")</f>
        <v>BLUE</v>
      </c>
      <c r="G1535" s="20" t="str">
        <f>IFERROR(__xludf.DUMMYFUNCTION("""COMPUTED_VALUE"""),"Uncle Sams Cider (11/12/2021) (Blue)")</f>
        <v>Uncle Sams Cider (11/12/2021) (Blue)</v>
      </c>
      <c r="H1535" s="19"/>
    </row>
    <row r="1536">
      <c r="A1536" s="9"/>
      <c r="B1536" s="15"/>
      <c r="C1536" s="9">
        <f>IFERROR(__xludf.DUMMYFUNCTION("""COMPUTED_VALUE"""),44589.5548054861)</f>
        <v>44589.55481</v>
      </c>
      <c r="D1536" s="15">
        <f>IFERROR(__xludf.DUMMYFUNCTION("""COMPUTED_VALUE"""),1.001)</f>
        <v>1.001</v>
      </c>
      <c r="E1536" s="16">
        <f>IFERROR(__xludf.DUMMYFUNCTION("""COMPUTED_VALUE"""),62.0)</f>
        <v>62</v>
      </c>
      <c r="F1536" s="19" t="str">
        <f>IFERROR(__xludf.DUMMYFUNCTION("""COMPUTED_VALUE"""),"BLUE")</f>
        <v>BLUE</v>
      </c>
      <c r="G1536" s="20" t="str">
        <f>IFERROR(__xludf.DUMMYFUNCTION("""COMPUTED_VALUE"""),"Uncle Sams Cider (11/12/2021) (Blue)")</f>
        <v>Uncle Sams Cider (11/12/2021) (Blue)</v>
      </c>
      <c r="H1536" s="19"/>
    </row>
    <row r="1537">
      <c r="A1537" s="9"/>
      <c r="B1537" s="15"/>
      <c r="C1537" s="9">
        <f>IFERROR(__xludf.DUMMYFUNCTION("""COMPUTED_VALUE"""),44589.5443833217)</f>
        <v>44589.54438</v>
      </c>
      <c r="D1537" s="15">
        <f>IFERROR(__xludf.DUMMYFUNCTION("""COMPUTED_VALUE"""),1.0)</f>
        <v>1</v>
      </c>
      <c r="E1537" s="16">
        <f>IFERROR(__xludf.DUMMYFUNCTION("""COMPUTED_VALUE"""),62.0)</f>
        <v>62</v>
      </c>
      <c r="F1537" s="19" t="str">
        <f>IFERROR(__xludf.DUMMYFUNCTION("""COMPUTED_VALUE"""),"BLUE")</f>
        <v>BLUE</v>
      </c>
      <c r="G1537" s="20" t="str">
        <f>IFERROR(__xludf.DUMMYFUNCTION("""COMPUTED_VALUE"""),"Uncle Sams Cider (11/12/2021) (Blue)")</f>
        <v>Uncle Sams Cider (11/12/2021) (Blue)</v>
      </c>
      <c r="H1537" s="19"/>
    </row>
    <row r="1538">
      <c r="A1538" s="9"/>
      <c r="B1538" s="15"/>
      <c r="C1538" s="9">
        <f>IFERROR(__xludf.DUMMYFUNCTION("""COMPUTED_VALUE"""),44589.5339642592)</f>
        <v>44589.53396</v>
      </c>
      <c r="D1538" s="15">
        <f>IFERROR(__xludf.DUMMYFUNCTION("""COMPUTED_VALUE"""),1.001)</f>
        <v>1.001</v>
      </c>
      <c r="E1538" s="16">
        <f>IFERROR(__xludf.DUMMYFUNCTION("""COMPUTED_VALUE"""),62.0)</f>
        <v>62</v>
      </c>
      <c r="F1538" s="19" t="str">
        <f>IFERROR(__xludf.DUMMYFUNCTION("""COMPUTED_VALUE"""),"BLUE")</f>
        <v>BLUE</v>
      </c>
      <c r="G1538" s="20" t="str">
        <f>IFERROR(__xludf.DUMMYFUNCTION("""COMPUTED_VALUE"""),"Uncle Sams Cider (11/12/2021) (Blue)")</f>
        <v>Uncle Sams Cider (11/12/2021) (Blue)</v>
      </c>
      <c r="H1538" s="19"/>
    </row>
    <row r="1539">
      <c r="A1539" s="9"/>
      <c r="B1539" s="15"/>
      <c r="C1539" s="9">
        <f>IFERROR(__xludf.DUMMYFUNCTION("""COMPUTED_VALUE"""),44589.5235405555)</f>
        <v>44589.52354</v>
      </c>
      <c r="D1539" s="15">
        <f>IFERROR(__xludf.DUMMYFUNCTION("""COMPUTED_VALUE"""),1.001)</f>
        <v>1.001</v>
      </c>
      <c r="E1539" s="16">
        <f>IFERROR(__xludf.DUMMYFUNCTION("""COMPUTED_VALUE"""),62.0)</f>
        <v>62</v>
      </c>
      <c r="F1539" s="19" t="str">
        <f>IFERROR(__xludf.DUMMYFUNCTION("""COMPUTED_VALUE"""),"BLUE")</f>
        <v>BLUE</v>
      </c>
      <c r="G1539" s="20" t="str">
        <f>IFERROR(__xludf.DUMMYFUNCTION("""COMPUTED_VALUE"""),"Uncle Sams Cider (11/12/2021) (Blue)")</f>
        <v>Uncle Sams Cider (11/12/2021) (Blue)</v>
      </c>
      <c r="H1539" s="19"/>
    </row>
    <row r="1540">
      <c r="A1540" s="9"/>
      <c r="B1540" s="15"/>
      <c r="C1540" s="9">
        <f>IFERROR(__xludf.DUMMYFUNCTION("""COMPUTED_VALUE"""),44589.5131083333)</f>
        <v>44589.51311</v>
      </c>
      <c r="D1540" s="15">
        <f>IFERROR(__xludf.DUMMYFUNCTION("""COMPUTED_VALUE"""),1.001)</f>
        <v>1.001</v>
      </c>
      <c r="E1540" s="16">
        <f>IFERROR(__xludf.DUMMYFUNCTION("""COMPUTED_VALUE"""),62.0)</f>
        <v>62</v>
      </c>
      <c r="F1540" s="19" t="str">
        <f>IFERROR(__xludf.DUMMYFUNCTION("""COMPUTED_VALUE"""),"BLUE")</f>
        <v>BLUE</v>
      </c>
      <c r="G1540" s="20" t="str">
        <f>IFERROR(__xludf.DUMMYFUNCTION("""COMPUTED_VALUE"""),"Uncle Sams Cider (11/12/2021) (Blue)")</f>
        <v>Uncle Sams Cider (11/12/2021) (Blue)</v>
      </c>
      <c r="H1540" s="19"/>
    </row>
    <row r="1541">
      <c r="A1541" s="9"/>
      <c r="B1541" s="15"/>
      <c r="C1541" s="9">
        <f>IFERROR(__xludf.DUMMYFUNCTION("""COMPUTED_VALUE"""),44589.5026893865)</f>
        <v>44589.50269</v>
      </c>
      <c r="D1541" s="15">
        <f>IFERROR(__xludf.DUMMYFUNCTION("""COMPUTED_VALUE"""),1.001)</f>
        <v>1.001</v>
      </c>
      <c r="E1541" s="16">
        <f>IFERROR(__xludf.DUMMYFUNCTION("""COMPUTED_VALUE"""),62.0)</f>
        <v>62</v>
      </c>
      <c r="F1541" s="19" t="str">
        <f>IFERROR(__xludf.DUMMYFUNCTION("""COMPUTED_VALUE"""),"BLUE")</f>
        <v>BLUE</v>
      </c>
      <c r="G1541" s="20" t="str">
        <f>IFERROR(__xludf.DUMMYFUNCTION("""COMPUTED_VALUE"""),"Uncle Sams Cider (11/12/2021) (Blue)")</f>
        <v>Uncle Sams Cider (11/12/2021) (Blue)</v>
      </c>
      <c r="H1541" s="19"/>
    </row>
    <row r="1542">
      <c r="A1542" s="9"/>
      <c r="B1542" s="15"/>
      <c r="C1542" s="9">
        <f>IFERROR(__xludf.DUMMYFUNCTION("""COMPUTED_VALUE"""),44589.4922694097)</f>
        <v>44589.49227</v>
      </c>
      <c r="D1542" s="15">
        <f>IFERROR(__xludf.DUMMYFUNCTION("""COMPUTED_VALUE"""),1.001)</f>
        <v>1.001</v>
      </c>
      <c r="E1542" s="16">
        <f>IFERROR(__xludf.DUMMYFUNCTION("""COMPUTED_VALUE"""),62.0)</f>
        <v>62</v>
      </c>
      <c r="F1542" s="19" t="str">
        <f>IFERROR(__xludf.DUMMYFUNCTION("""COMPUTED_VALUE"""),"BLUE")</f>
        <v>BLUE</v>
      </c>
      <c r="G1542" s="20" t="str">
        <f>IFERROR(__xludf.DUMMYFUNCTION("""COMPUTED_VALUE"""),"Uncle Sams Cider (11/12/2021) (Blue)")</f>
        <v>Uncle Sams Cider (11/12/2021) (Blue)</v>
      </c>
      <c r="H1542" s="19"/>
    </row>
    <row r="1543">
      <c r="A1543" s="9"/>
      <c r="B1543" s="15"/>
      <c r="C1543" s="9">
        <f>IFERROR(__xludf.DUMMYFUNCTION("""COMPUTED_VALUE"""),44589.481849155)</f>
        <v>44589.48185</v>
      </c>
      <c r="D1543" s="15">
        <f>IFERROR(__xludf.DUMMYFUNCTION("""COMPUTED_VALUE"""),1.001)</f>
        <v>1.001</v>
      </c>
      <c r="E1543" s="16">
        <f>IFERROR(__xludf.DUMMYFUNCTION("""COMPUTED_VALUE"""),62.0)</f>
        <v>62</v>
      </c>
      <c r="F1543" s="19" t="str">
        <f>IFERROR(__xludf.DUMMYFUNCTION("""COMPUTED_VALUE"""),"BLUE")</f>
        <v>BLUE</v>
      </c>
      <c r="G1543" s="20" t="str">
        <f>IFERROR(__xludf.DUMMYFUNCTION("""COMPUTED_VALUE"""),"Uncle Sams Cider (11/12/2021) (Blue)")</f>
        <v>Uncle Sams Cider (11/12/2021) (Blue)</v>
      </c>
      <c r="H1543" s="19"/>
    </row>
    <row r="1544">
      <c r="A1544" s="9"/>
      <c r="B1544" s="15"/>
      <c r="C1544" s="9">
        <f>IFERROR(__xludf.DUMMYFUNCTION("""COMPUTED_VALUE"""),44589.4714290509)</f>
        <v>44589.47143</v>
      </c>
      <c r="D1544" s="15">
        <f>IFERROR(__xludf.DUMMYFUNCTION("""COMPUTED_VALUE"""),1.0)</f>
        <v>1</v>
      </c>
      <c r="E1544" s="16">
        <f>IFERROR(__xludf.DUMMYFUNCTION("""COMPUTED_VALUE"""),62.0)</f>
        <v>62</v>
      </c>
      <c r="F1544" s="19" t="str">
        <f>IFERROR(__xludf.DUMMYFUNCTION("""COMPUTED_VALUE"""),"BLUE")</f>
        <v>BLUE</v>
      </c>
      <c r="G1544" s="20" t="str">
        <f>IFERROR(__xludf.DUMMYFUNCTION("""COMPUTED_VALUE"""),"Uncle Sams Cider (11/12/2021) (Blue)")</f>
        <v>Uncle Sams Cider (11/12/2021) (Blue)</v>
      </c>
      <c r="H1544" s="19"/>
    </row>
    <row r="1545">
      <c r="A1545" s="9"/>
      <c r="B1545" s="15"/>
      <c r="C1545" s="9">
        <f>IFERROR(__xludf.DUMMYFUNCTION("""COMPUTED_VALUE"""),44589.4609969791)</f>
        <v>44589.461</v>
      </c>
      <c r="D1545" s="15">
        <f>IFERROR(__xludf.DUMMYFUNCTION("""COMPUTED_VALUE"""),1.001)</f>
        <v>1.001</v>
      </c>
      <c r="E1545" s="16">
        <f>IFERROR(__xludf.DUMMYFUNCTION("""COMPUTED_VALUE"""),62.0)</f>
        <v>62</v>
      </c>
      <c r="F1545" s="19" t="str">
        <f>IFERROR(__xludf.DUMMYFUNCTION("""COMPUTED_VALUE"""),"BLUE")</f>
        <v>BLUE</v>
      </c>
      <c r="G1545" s="20" t="str">
        <f>IFERROR(__xludf.DUMMYFUNCTION("""COMPUTED_VALUE"""),"Uncle Sams Cider (11/12/2021) (Blue)")</f>
        <v>Uncle Sams Cider (11/12/2021) (Blue)</v>
      </c>
      <c r="H1545" s="19"/>
    </row>
    <row r="1546">
      <c r="A1546" s="9"/>
      <c r="B1546" s="15"/>
      <c r="C1546" s="9">
        <f>IFERROR(__xludf.DUMMYFUNCTION("""COMPUTED_VALUE"""),44589.4505618287)</f>
        <v>44589.45056</v>
      </c>
      <c r="D1546" s="15">
        <f>IFERROR(__xludf.DUMMYFUNCTION("""COMPUTED_VALUE"""),1.001)</f>
        <v>1.001</v>
      </c>
      <c r="E1546" s="16">
        <f>IFERROR(__xludf.DUMMYFUNCTION("""COMPUTED_VALUE"""),62.0)</f>
        <v>62</v>
      </c>
      <c r="F1546" s="19" t="str">
        <f>IFERROR(__xludf.DUMMYFUNCTION("""COMPUTED_VALUE"""),"BLUE")</f>
        <v>BLUE</v>
      </c>
      <c r="G1546" s="20" t="str">
        <f>IFERROR(__xludf.DUMMYFUNCTION("""COMPUTED_VALUE"""),"Uncle Sams Cider (11/12/2021) (Blue)")</f>
        <v>Uncle Sams Cider (11/12/2021) (Blue)</v>
      </c>
      <c r="H1546" s="19"/>
    </row>
    <row r="1547">
      <c r="A1547" s="9"/>
      <c r="B1547" s="15"/>
      <c r="C1547" s="9">
        <f>IFERROR(__xludf.DUMMYFUNCTION("""COMPUTED_VALUE"""),44589.4401075925)</f>
        <v>44589.44011</v>
      </c>
      <c r="D1547" s="15">
        <f>IFERROR(__xludf.DUMMYFUNCTION("""COMPUTED_VALUE"""),1.001)</f>
        <v>1.001</v>
      </c>
      <c r="E1547" s="16">
        <f>IFERROR(__xludf.DUMMYFUNCTION("""COMPUTED_VALUE"""),62.0)</f>
        <v>62</v>
      </c>
      <c r="F1547" s="19" t="str">
        <f>IFERROR(__xludf.DUMMYFUNCTION("""COMPUTED_VALUE"""),"BLUE")</f>
        <v>BLUE</v>
      </c>
      <c r="G1547" s="20" t="str">
        <f>IFERROR(__xludf.DUMMYFUNCTION("""COMPUTED_VALUE"""),"Uncle Sams Cider (11/12/2021) (Blue)")</f>
        <v>Uncle Sams Cider (11/12/2021) (Blue)</v>
      </c>
      <c r="H1547" s="19"/>
    </row>
    <row r="1548">
      <c r="A1548" s="9"/>
      <c r="B1548" s="15"/>
      <c r="C1548" s="9">
        <f>IFERROR(__xludf.DUMMYFUNCTION("""COMPUTED_VALUE"""),44589.4296854513)</f>
        <v>44589.42969</v>
      </c>
      <c r="D1548" s="15">
        <f>IFERROR(__xludf.DUMMYFUNCTION("""COMPUTED_VALUE"""),1.001)</f>
        <v>1.001</v>
      </c>
      <c r="E1548" s="16">
        <f>IFERROR(__xludf.DUMMYFUNCTION("""COMPUTED_VALUE"""),62.0)</f>
        <v>62</v>
      </c>
      <c r="F1548" s="19" t="str">
        <f>IFERROR(__xludf.DUMMYFUNCTION("""COMPUTED_VALUE"""),"BLUE")</f>
        <v>BLUE</v>
      </c>
      <c r="G1548" s="20" t="str">
        <f>IFERROR(__xludf.DUMMYFUNCTION("""COMPUTED_VALUE"""),"Uncle Sams Cider (11/12/2021) (Blue)")</f>
        <v>Uncle Sams Cider (11/12/2021) (Blue)</v>
      </c>
      <c r="H1548" s="19"/>
    </row>
    <row r="1549">
      <c r="A1549" s="9"/>
      <c r="B1549" s="15"/>
      <c r="C1549" s="9">
        <f>IFERROR(__xludf.DUMMYFUNCTION("""COMPUTED_VALUE"""),44589.4192652662)</f>
        <v>44589.41927</v>
      </c>
      <c r="D1549" s="15">
        <f>IFERROR(__xludf.DUMMYFUNCTION("""COMPUTED_VALUE"""),1.001)</f>
        <v>1.001</v>
      </c>
      <c r="E1549" s="16">
        <f>IFERROR(__xludf.DUMMYFUNCTION("""COMPUTED_VALUE"""),62.0)</f>
        <v>62</v>
      </c>
      <c r="F1549" s="19" t="str">
        <f>IFERROR(__xludf.DUMMYFUNCTION("""COMPUTED_VALUE"""),"BLUE")</f>
        <v>BLUE</v>
      </c>
      <c r="G1549" s="20" t="str">
        <f>IFERROR(__xludf.DUMMYFUNCTION("""COMPUTED_VALUE"""),"Uncle Sams Cider (11/12/2021) (Blue)")</f>
        <v>Uncle Sams Cider (11/12/2021) (Blue)</v>
      </c>
      <c r="H1549" s="19"/>
    </row>
    <row r="1550">
      <c r="A1550" s="9"/>
      <c r="B1550" s="15"/>
      <c r="C1550" s="9">
        <f>IFERROR(__xludf.DUMMYFUNCTION("""COMPUTED_VALUE"""),44589.4088420601)</f>
        <v>44589.40884</v>
      </c>
      <c r="D1550" s="15">
        <f>IFERROR(__xludf.DUMMYFUNCTION("""COMPUTED_VALUE"""),1.001)</f>
        <v>1.001</v>
      </c>
      <c r="E1550" s="16">
        <f>IFERROR(__xludf.DUMMYFUNCTION("""COMPUTED_VALUE"""),62.0)</f>
        <v>62</v>
      </c>
      <c r="F1550" s="19" t="str">
        <f>IFERROR(__xludf.DUMMYFUNCTION("""COMPUTED_VALUE"""),"BLUE")</f>
        <v>BLUE</v>
      </c>
      <c r="G1550" s="20" t="str">
        <f>IFERROR(__xludf.DUMMYFUNCTION("""COMPUTED_VALUE"""),"Uncle Sams Cider (11/12/2021) (Blue)")</f>
        <v>Uncle Sams Cider (11/12/2021) (Blue)</v>
      </c>
      <c r="H1550" s="19"/>
    </row>
    <row r="1551">
      <c r="A1551" s="9"/>
      <c r="B1551" s="15"/>
      <c r="C1551" s="9">
        <f>IFERROR(__xludf.DUMMYFUNCTION("""COMPUTED_VALUE"""),44589.3984088425)</f>
        <v>44589.39841</v>
      </c>
      <c r="D1551" s="15">
        <f>IFERROR(__xludf.DUMMYFUNCTION("""COMPUTED_VALUE"""),1.001)</f>
        <v>1.001</v>
      </c>
      <c r="E1551" s="16">
        <f>IFERROR(__xludf.DUMMYFUNCTION("""COMPUTED_VALUE"""),62.0)</f>
        <v>62</v>
      </c>
      <c r="F1551" s="19" t="str">
        <f>IFERROR(__xludf.DUMMYFUNCTION("""COMPUTED_VALUE"""),"BLUE")</f>
        <v>BLUE</v>
      </c>
      <c r="G1551" s="20" t="str">
        <f>IFERROR(__xludf.DUMMYFUNCTION("""COMPUTED_VALUE"""),"Uncle Sams Cider (11/12/2021) (Blue)")</f>
        <v>Uncle Sams Cider (11/12/2021) (Blue)</v>
      </c>
      <c r="H1551" s="19"/>
    </row>
    <row r="1552">
      <c r="A1552" s="9"/>
      <c r="B1552" s="15"/>
      <c r="C1552" s="9">
        <f>IFERROR(__xludf.DUMMYFUNCTION("""COMPUTED_VALUE"""),44589.3879751851)</f>
        <v>44589.38798</v>
      </c>
      <c r="D1552" s="15">
        <f>IFERROR(__xludf.DUMMYFUNCTION("""COMPUTED_VALUE"""),1.001)</f>
        <v>1.001</v>
      </c>
      <c r="E1552" s="16">
        <f>IFERROR(__xludf.DUMMYFUNCTION("""COMPUTED_VALUE"""),62.0)</f>
        <v>62</v>
      </c>
      <c r="F1552" s="19" t="str">
        <f>IFERROR(__xludf.DUMMYFUNCTION("""COMPUTED_VALUE"""),"BLUE")</f>
        <v>BLUE</v>
      </c>
      <c r="G1552" s="20" t="str">
        <f>IFERROR(__xludf.DUMMYFUNCTION("""COMPUTED_VALUE"""),"Uncle Sams Cider (11/12/2021) (Blue)")</f>
        <v>Uncle Sams Cider (11/12/2021) (Blue)</v>
      </c>
      <c r="H1552" s="19"/>
    </row>
    <row r="1553">
      <c r="A1553" s="9"/>
      <c r="B1553" s="15"/>
      <c r="C1553" s="9">
        <f>IFERROR(__xludf.DUMMYFUNCTION("""COMPUTED_VALUE"""),44589.3775437268)</f>
        <v>44589.37754</v>
      </c>
      <c r="D1553" s="15">
        <f>IFERROR(__xludf.DUMMYFUNCTION("""COMPUTED_VALUE"""),1.0)</f>
        <v>1</v>
      </c>
      <c r="E1553" s="16">
        <f>IFERROR(__xludf.DUMMYFUNCTION("""COMPUTED_VALUE"""),62.0)</f>
        <v>62</v>
      </c>
      <c r="F1553" s="19" t="str">
        <f>IFERROR(__xludf.DUMMYFUNCTION("""COMPUTED_VALUE"""),"BLUE")</f>
        <v>BLUE</v>
      </c>
      <c r="G1553" s="20" t="str">
        <f>IFERROR(__xludf.DUMMYFUNCTION("""COMPUTED_VALUE"""),"Uncle Sams Cider (11/12/2021) (Blue)")</f>
        <v>Uncle Sams Cider (11/12/2021) (Blue)</v>
      </c>
      <c r="H1553" s="19"/>
    </row>
    <row r="1554">
      <c r="A1554" s="9"/>
      <c r="B1554" s="15"/>
      <c r="C1554" s="9">
        <f>IFERROR(__xludf.DUMMYFUNCTION("""COMPUTED_VALUE"""),44589.3671123379)</f>
        <v>44589.36711</v>
      </c>
      <c r="D1554" s="15">
        <f>IFERROR(__xludf.DUMMYFUNCTION("""COMPUTED_VALUE"""),1.001)</f>
        <v>1.001</v>
      </c>
      <c r="E1554" s="16">
        <f>IFERROR(__xludf.DUMMYFUNCTION("""COMPUTED_VALUE"""),62.0)</f>
        <v>62</v>
      </c>
      <c r="F1554" s="19" t="str">
        <f>IFERROR(__xludf.DUMMYFUNCTION("""COMPUTED_VALUE"""),"BLUE")</f>
        <v>BLUE</v>
      </c>
      <c r="G1554" s="20" t="str">
        <f>IFERROR(__xludf.DUMMYFUNCTION("""COMPUTED_VALUE"""),"Uncle Sams Cider (11/12/2021) (Blue)")</f>
        <v>Uncle Sams Cider (11/12/2021) (Blue)</v>
      </c>
      <c r="H1554" s="19"/>
    </row>
    <row r="1555">
      <c r="A1555" s="9"/>
      <c r="B1555" s="15"/>
      <c r="C1555" s="9">
        <f>IFERROR(__xludf.DUMMYFUNCTION("""COMPUTED_VALUE"""),44589.3566898842)</f>
        <v>44589.35669</v>
      </c>
      <c r="D1555" s="15">
        <f>IFERROR(__xludf.DUMMYFUNCTION("""COMPUTED_VALUE"""),1.001)</f>
        <v>1.001</v>
      </c>
      <c r="E1555" s="16">
        <f>IFERROR(__xludf.DUMMYFUNCTION("""COMPUTED_VALUE"""),62.0)</f>
        <v>62</v>
      </c>
      <c r="F1555" s="19" t="str">
        <f>IFERROR(__xludf.DUMMYFUNCTION("""COMPUTED_VALUE"""),"BLUE")</f>
        <v>BLUE</v>
      </c>
      <c r="G1555" s="20" t="str">
        <f>IFERROR(__xludf.DUMMYFUNCTION("""COMPUTED_VALUE"""),"Uncle Sams Cider (11/12/2021) (Blue)")</f>
        <v>Uncle Sams Cider (11/12/2021) (Blue)</v>
      </c>
      <c r="H1555" s="19"/>
    </row>
    <row r="1556">
      <c r="A1556" s="9"/>
      <c r="B1556" s="15"/>
      <c r="C1556" s="9">
        <f>IFERROR(__xludf.DUMMYFUNCTION("""COMPUTED_VALUE"""),44589.346269699)</f>
        <v>44589.34627</v>
      </c>
      <c r="D1556" s="15">
        <f>IFERROR(__xludf.DUMMYFUNCTION("""COMPUTED_VALUE"""),1.0)</f>
        <v>1</v>
      </c>
      <c r="E1556" s="16">
        <f>IFERROR(__xludf.DUMMYFUNCTION("""COMPUTED_VALUE"""),62.0)</f>
        <v>62</v>
      </c>
      <c r="F1556" s="19" t="str">
        <f>IFERROR(__xludf.DUMMYFUNCTION("""COMPUTED_VALUE"""),"BLUE")</f>
        <v>BLUE</v>
      </c>
      <c r="G1556" s="20" t="str">
        <f>IFERROR(__xludf.DUMMYFUNCTION("""COMPUTED_VALUE"""),"Uncle Sams Cider (11/12/2021) (Blue)")</f>
        <v>Uncle Sams Cider (11/12/2021) (Blue)</v>
      </c>
      <c r="H1556" s="19"/>
    </row>
    <row r="1557">
      <c r="A1557" s="9"/>
      <c r="B1557" s="15"/>
      <c r="C1557" s="9">
        <f>IFERROR(__xludf.DUMMYFUNCTION("""COMPUTED_VALUE"""),44589.3358480324)</f>
        <v>44589.33585</v>
      </c>
      <c r="D1557" s="15">
        <f>IFERROR(__xludf.DUMMYFUNCTION("""COMPUTED_VALUE"""),1.0)</f>
        <v>1</v>
      </c>
      <c r="E1557" s="16">
        <f>IFERROR(__xludf.DUMMYFUNCTION("""COMPUTED_VALUE"""),62.0)</f>
        <v>62</v>
      </c>
      <c r="F1557" s="19" t="str">
        <f>IFERROR(__xludf.DUMMYFUNCTION("""COMPUTED_VALUE"""),"BLUE")</f>
        <v>BLUE</v>
      </c>
      <c r="G1557" s="20" t="str">
        <f>IFERROR(__xludf.DUMMYFUNCTION("""COMPUTED_VALUE"""),"Uncle Sams Cider (11/12/2021) (Blue)")</f>
        <v>Uncle Sams Cider (11/12/2021) (Blue)</v>
      </c>
      <c r="H1557" s="19"/>
    </row>
    <row r="1558">
      <c r="A1558" s="9"/>
      <c r="B1558" s="15"/>
      <c r="C1558" s="9">
        <f>IFERROR(__xludf.DUMMYFUNCTION("""COMPUTED_VALUE"""),44589.3254250578)</f>
        <v>44589.32543</v>
      </c>
      <c r="D1558" s="15">
        <f>IFERROR(__xludf.DUMMYFUNCTION("""COMPUTED_VALUE"""),1.001)</f>
        <v>1.001</v>
      </c>
      <c r="E1558" s="16">
        <f>IFERROR(__xludf.DUMMYFUNCTION("""COMPUTED_VALUE"""),62.0)</f>
        <v>62</v>
      </c>
      <c r="F1558" s="19" t="str">
        <f>IFERROR(__xludf.DUMMYFUNCTION("""COMPUTED_VALUE"""),"BLUE")</f>
        <v>BLUE</v>
      </c>
      <c r="G1558" s="20" t="str">
        <f>IFERROR(__xludf.DUMMYFUNCTION("""COMPUTED_VALUE"""),"Uncle Sams Cider (11/12/2021) (Blue)")</f>
        <v>Uncle Sams Cider (11/12/2021) (Blue)</v>
      </c>
      <c r="H1558" s="19"/>
    </row>
    <row r="1559">
      <c r="A1559" s="9"/>
      <c r="B1559" s="15"/>
      <c r="C1559" s="9">
        <f>IFERROR(__xludf.DUMMYFUNCTION("""COMPUTED_VALUE"""),44589.3150061458)</f>
        <v>44589.31501</v>
      </c>
      <c r="D1559" s="15">
        <f>IFERROR(__xludf.DUMMYFUNCTION("""COMPUTED_VALUE"""),1.0)</f>
        <v>1</v>
      </c>
      <c r="E1559" s="16">
        <f>IFERROR(__xludf.DUMMYFUNCTION("""COMPUTED_VALUE"""),62.0)</f>
        <v>62</v>
      </c>
      <c r="F1559" s="19" t="str">
        <f>IFERROR(__xludf.DUMMYFUNCTION("""COMPUTED_VALUE"""),"BLUE")</f>
        <v>BLUE</v>
      </c>
      <c r="G1559" s="20" t="str">
        <f>IFERROR(__xludf.DUMMYFUNCTION("""COMPUTED_VALUE"""),"Uncle Sams Cider (11/12/2021) (Blue)")</f>
        <v>Uncle Sams Cider (11/12/2021) (Blue)</v>
      </c>
      <c r="H1559" s="19"/>
    </row>
    <row r="1560">
      <c r="A1560" s="9"/>
      <c r="B1560" s="15"/>
      <c r="C1560" s="9">
        <f>IFERROR(__xludf.DUMMYFUNCTION("""COMPUTED_VALUE"""),44589.3045836921)</f>
        <v>44589.30458</v>
      </c>
      <c r="D1560" s="15">
        <f>IFERROR(__xludf.DUMMYFUNCTION("""COMPUTED_VALUE"""),1.0)</f>
        <v>1</v>
      </c>
      <c r="E1560" s="16">
        <f>IFERROR(__xludf.DUMMYFUNCTION("""COMPUTED_VALUE"""),62.0)</f>
        <v>62</v>
      </c>
      <c r="F1560" s="19" t="str">
        <f>IFERROR(__xludf.DUMMYFUNCTION("""COMPUTED_VALUE"""),"BLUE")</f>
        <v>BLUE</v>
      </c>
      <c r="G1560" s="20" t="str">
        <f>IFERROR(__xludf.DUMMYFUNCTION("""COMPUTED_VALUE"""),"Uncle Sams Cider (11/12/2021) (Blue)")</f>
        <v>Uncle Sams Cider (11/12/2021) (Blue)</v>
      </c>
      <c r="H1560" s="19"/>
    </row>
    <row r="1561">
      <c r="A1561" s="9"/>
      <c r="B1561" s="15"/>
      <c r="C1561" s="9">
        <f>IFERROR(__xludf.DUMMYFUNCTION("""COMPUTED_VALUE"""),44589.2941632175)</f>
        <v>44589.29416</v>
      </c>
      <c r="D1561" s="15">
        <f>IFERROR(__xludf.DUMMYFUNCTION("""COMPUTED_VALUE"""),1.001)</f>
        <v>1.001</v>
      </c>
      <c r="E1561" s="16">
        <f>IFERROR(__xludf.DUMMYFUNCTION("""COMPUTED_VALUE"""),62.0)</f>
        <v>62</v>
      </c>
      <c r="F1561" s="19" t="str">
        <f>IFERROR(__xludf.DUMMYFUNCTION("""COMPUTED_VALUE"""),"BLUE")</f>
        <v>BLUE</v>
      </c>
      <c r="G1561" s="20" t="str">
        <f>IFERROR(__xludf.DUMMYFUNCTION("""COMPUTED_VALUE"""),"Uncle Sams Cider (11/12/2021) (Blue)")</f>
        <v>Uncle Sams Cider (11/12/2021) (Blue)</v>
      </c>
      <c r="H1561" s="19"/>
    </row>
    <row r="1562">
      <c r="A1562" s="9"/>
      <c r="B1562" s="15"/>
      <c r="C1562" s="9">
        <f>IFERROR(__xludf.DUMMYFUNCTION("""COMPUTED_VALUE"""),44589.2837435069)</f>
        <v>44589.28374</v>
      </c>
      <c r="D1562" s="15">
        <f>IFERROR(__xludf.DUMMYFUNCTION("""COMPUTED_VALUE"""),1.0)</f>
        <v>1</v>
      </c>
      <c r="E1562" s="16">
        <f>IFERROR(__xludf.DUMMYFUNCTION("""COMPUTED_VALUE"""),62.0)</f>
        <v>62</v>
      </c>
      <c r="F1562" s="19" t="str">
        <f>IFERROR(__xludf.DUMMYFUNCTION("""COMPUTED_VALUE"""),"BLUE")</f>
        <v>BLUE</v>
      </c>
      <c r="G1562" s="20" t="str">
        <f>IFERROR(__xludf.DUMMYFUNCTION("""COMPUTED_VALUE"""),"Uncle Sams Cider (11/12/2021) (Blue)")</f>
        <v>Uncle Sams Cider (11/12/2021) (Blue)</v>
      </c>
      <c r="H1562" s="19"/>
    </row>
    <row r="1563">
      <c r="A1563" s="9"/>
      <c r="B1563" s="15"/>
      <c r="C1563" s="9">
        <f>IFERROR(__xludf.DUMMYFUNCTION("""COMPUTED_VALUE"""),44589.273310405)</f>
        <v>44589.27331</v>
      </c>
      <c r="D1563" s="15">
        <f>IFERROR(__xludf.DUMMYFUNCTION("""COMPUTED_VALUE"""),1.001)</f>
        <v>1.001</v>
      </c>
      <c r="E1563" s="16">
        <f>IFERROR(__xludf.DUMMYFUNCTION("""COMPUTED_VALUE"""),62.0)</f>
        <v>62</v>
      </c>
      <c r="F1563" s="19" t="str">
        <f>IFERROR(__xludf.DUMMYFUNCTION("""COMPUTED_VALUE"""),"BLUE")</f>
        <v>BLUE</v>
      </c>
      <c r="G1563" s="20" t="str">
        <f>IFERROR(__xludf.DUMMYFUNCTION("""COMPUTED_VALUE"""),"Uncle Sams Cider (11/12/2021) (Blue)")</f>
        <v>Uncle Sams Cider (11/12/2021) (Blue)</v>
      </c>
      <c r="H1563" s="19"/>
    </row>
    <row r="1564">
      <c r="A1564" s="9"/>
      <c r="B1564" s="15"/>
      <c r="C1564" s="9">
        <f>IFERROR(__xludf.DUMMYFUNCTION("""COMPUTED_VALUE"""),44589.2628875347)</f>
        <v>44589.26289</v>
      </c>
      <c r="D1564" s="15">
        <f>IFERROR(__xludf.DUMMYFUNCTION("""COMPUTED_VALUE"""),1.0)</f>
        <v>1</v>
      </c>
      <c r="E1564" s="16">
        <f>IFERROR(__xludf.DUMMYFUNCTION("""COMPUTED_VALUE"""),62.0)</f>
        <v>62</v>
      </c>
      <c r="F1564" s="19" t="str">
        <f>IFERROR(__xludf.DUMMYFUNCTION("""COMPUTED_VALUE"""),"BLUE")</f>
        <v>BLUE</v>
      </c>
      <c r="G1564" s="20" t="str">
        <f>IFERROR(__xludf.DUMMYFUNCTION("""COMPUTED_VALUE"""),"Uncle Sams Cider (11/12/2021) (Blue)")</f>
        <v>Uncle Sams Cider (11/12/2021) (Blue)</v>
      </c>
      <c r="H1564" s="19"/>
    </row>
    <row r="1565">
      <c r="A1565" s="9"/>
      <c r="B1565" s="15"/>
      <c r="C1565" s="9">
        <f>IFERROR(__xludf.DUMMYFUNCTION("""COMPUTED_VALUE"""),44589.2524655902)</f>
        <v>44589.25247</v>
      </c>
      <c r="D1565" s="15">
        <f>IFERROR(__xludf.DUMMYFUNCTION("""COMPUTED_VALUE"""),1.001)</f>
        <v>1.001</v>
      </c>
      <c r="E1565" s="16">
        <f>IFERROR(__xludf.DUMMYFUNCTION("""COMPUTED_VALUE"""),62.0)</f>
        <v>62</v>
      </c>
      <c r="F1565" s="19" t="str">
        <f>IFERROR(__xludf.DUMMYFUNCTION("""COMPUTED_VALUE"""),"BLUE")</f>
        <v>BLUE</v>
      </c>
      <c r="G1565" s="20" t="str">
        <f>IFERROR(__xludf.DUMMYFUNCTION("""COMPUTED_VALUE"""),"Uncle Sams Cider (11/12/2021) (Blue)")</f>
        <v>Uncle Sams Cider (11/12/2021) (Blue)</v>
      </c>
      <c r="H1565" s="19"/>
    </row>
    <row r="1566">
      <c r="A1566" s="9"/>
      <c r="B1566" s="15"/>
      <c r="C1566" s="9">
        <f>IFERROR(__xludf.DUMMYFUNCTION("""COMPUTED_VALUE"""),44589.2420432754)</f>
        <v>44589.24204</v>
      </c>
      <c r="D1566" s="15">
        <f>IFERROR(__xludf.DUMMYFUNCTION("""COMPUTED_VALUE"""),1.001)</f>
        <v>1.001</v>
      </c>
      <c r="E1566" s="16">
        <f>IFERROR(__xludf.DUMMYFUNCTION("""COMPUTED_VALUE"""),62.0)</f>
        <v>62</v>
      </c>
      <c r="F1566" s="19" t="str">
        <f>IFERROR(__xludf.DUMMYFUNCTION("""COMPUTED_VALUE"""),"BLUE")</f>
        <v>BLUE</v>
      </c>
      <c r="G1566" s="20" t="str">
        <f>IFERROR(__xludf.DUMMYFUNCTION("""COMPUTED_VALUE"""),"Uncle Sams Cider (11/12/2021) (Blue)")</f>
        <v>Uncle Sams Cider (11/12/2021) (Blue)</v>
      </c>
      <c r="H1566" s="19"/>
    </row>
    <row r="1567">
      <c r="A1567" s="9"/>
      <c r="B1567" s="15"/>
      <c r="C1567" s="9">
        <f>IFERROR(__xludf.DUMMYFUNCTION("""COMPUTED_VALUE"""),44589.2316224421)</f>
        <v>44589.23162</v>
      </c>
      <c r="D1567" s="15">
        <f>IFERROR(__xludf.DUMMYFUNCTION("""COMPUTED_VALUE"""),1.0)</f>
        <v>1</v>
      </c>
      <c r="E1567" s="16">
        <f>IFERROR(__xludf.DUMMYFUNCTION("""COMPUTED_VALUE"""),62.0)</f>
        <v>62</v>
      </c>
      <c r="F1567" s="19" t="str">
        <f>IFERROR(__xludf.DUMMYFUNCTION("""COMPUTED_VALUE"""),"BLUE")</f>
        <v>BLUE</v>
      </c>
      <c r="G1567" s="20" t="str">
        <f>IFERROR(__xludf.DUMMYFUNCTION("""COMPUTED_VALUE"""),"Uncle Sams Cider (11/12/2021) (Blue)")</f>
        <v>Uncle Sams Cider (11/12/2021) (Blue)</v>
      </c>
      <c r="H1567" s="19"/>
    </row>
    <row r="1568">
      <c r="A1568" s="9"/>
      <c r="B1568" s="15"/>
      <c r="C1568" s="9">
        <f>IFERROR(__xludf.DUMMYFUNCTION("""COMPUTED_VALUE"""),44589.2212024884)</f>
        <v>44589.2212</v>
      </c>
      <c r="D1568" s="15">
        <f>IFERROR(__xludf.DUMMYFUNCTION("""COMPUTED_VALUE"""),1.0)</f>
        <v>1</v>
      </c>
      <c r="E1568" s="16">
        <f>IFERROR(__xludf.DUMMYFUNCTION("""COMPUTED_VALUE"""),62.0)</f>
        <v>62</v>
      </c>
      <c r="F1568" s="19" t="str">
        <f>IFERROR(__xludf.DUMMYFUNCTION("""COMPUTED_VALUE"""),"BLUE")</f>
        <v>BLUE</v>
      </c>
      <c r="G1568" s="20" t="str">
        <f>IFERROR(__xludf.DUMMYFUNCTION("""COMPUTED_VALUE"""),"Uncle Sams Cider (11/12/2021) (Blue)")</f>
        <v>Uncle Sams Cider (11/12/2021) (Blue)</v>
      </c>
      <c r="H1568" s="19"/>
    </row>
    <row r="1569">
      <c r="A1569" s="9"/>
      <c r="B1569" s="15"/>
      <c r="C1569" s="9">
        <f>IFERROR(__xludf.DUMMYFUNCTION("""COMPUTED_VALUE"""),44589.2107827314)</f>
        <v>44589.21078</v>
      </c>
      <c r="D1569" s="15">
        <f>IFERROR(__xludf.DUMMYFUNCTION("""COMPUTED_VALUE"""),1.0)</f>
        <v>1</v>
      </c>
      <c r="E1569" s="16">
        <f>IFERROR(__xludf.DUMMYFUNCTION("""COMPUTED_VALUE"""),62.0)</f>
        <v>62</v>
      </c>
      <c r="F1569" s="19" t="str">
        <f>IFERROR(__xludf.DUMMYFUNCTION("""COMPUTED_VALUE"""),"BLUE")</f>
        <v>BLUE</v>
      </c>
      <c r="G1569" s="20" t="str">
        <f>IFERROR(__xludf.DUMMYFUNCTION("""COMPUTED_VALUE"""),"Uncle Sams Cider (11/12/2021) (Blue)")</f>
        <v>Uncle Sams Cider (11/12/2021) (Blue)</v>
      </c>
      <c r="H1569" s="19"/>
    </row>
    <row r="1570">
      <c r="A1570" s="9"/>
      <c r="B1570" s="15"/>
      <c r="C1570" s="9">
        <f>IFERROR(__xludf.DUMMYFUNCTION("""COMPUTED_VALUE"""),44589.2003631018)</f>
        <v>44589.20036</v>
      </c>
      <c r="D1570" s="15">
        <f>IFERROR(__xludf.DUMMYFUNCTION("""COMPUTED_VALUE"""),1.001)</f>
        <v>1.001</v>
      </c>
      <c r="E1570" s="16">
        <f>IFERROR(__xludf.DUMMYFUNCTION("""COMPUTED_VALUE"""),62.0)</f>
        <v>62</v>
      </c>
      <c r="F1570" s="19" t="str">
        <f>IFERROR(__xludf.DUMMYFUNCTION("""COMPUTED_VALUE"""),"BLUE")</f>
        <v>BLUE</v>
      </c>
      <c r="G1570" s="20" t="str">
        <f>IFERROR(__xludf.DUMMYFUNCTION("""COMPUTED_VALUE"""),"Uncle Sams Cider (11/12/2021) (Blue)")</f>
        <v>Uncle Sams Cider (11/12/2021) (Blue)</v>
      </c>
      <c r="H1570" s="19"/>
    </row>
    <row r="1571">
      <c r="A1571" s="9"/>
      <c r="B1571" s="15"/>
      <c r="C1571" s="9">
        <f>IFERROR(__xludf.DUMMYFUNCTION("""COMPUTED_VALUE"""),44589.1899426967)</f>
        <v>44589.18994</v>
      </c>
      <c r="D1571" s="15">
        <f>IFERROR(__xludf.DUMMYFUNCTION("""COMPUTED_VALUE"""),1.0)</f>
        <v>1</v>
      </c>
      <c r="E1571" s="16">
        <f>IFERROR(__xludf.DUMMYFUNCTION("""COMPUTED_VALUE"""),62.0)</f>
        <v>62</v>
      </c>
      <c r="F1571" s="19" t="str">
        <f>IFERROR(__xludf.DUMMYFUNCTION("""COMPUTED_VALUE"""),"BLUE")</f>
        <v>BLUE</v>
      </c>
      <c r="G1571" s="20" t="str">
        <f>IFERROR(__xludf.DUMMYFUNCTION("""COMPUTED_VALUE"""),"Uncle Sams Cider (11/12/2021) (Blue)")</f>
        <v>Uncle Sams Cider (11/12/2021) (Blue)</v>
      </c>
      <c r="H1571" s="19"/>
    </row>
    <row r="1572">
      <c r="A1572" s="9"/>
      <c r="B1572" s="15"/>
      <c r="C1572" s="9">
        <f>IFERROR(__xludf.DUMMYFUNCTION("""COMPUTED_VALUE"""),44589.1795218055)</f>
        <v>44589.17952</v>
      </c>
      <c r="D1572" s="15">
        <f>IFERROR(__xludf.DUMMYFUNCTION("""COMPUTED_VALUE"""),1.0)</f>
        <v>1</v>
      </c>
      <c r="E1572" s="16">
        <f>IFERROR(__xludf.DUMMYFUNCTION("""COMPUTED_VALUE"""),62.0)</f>
        <v>62</v>
      </c>
      <c r="F1572" s="19" t="str">
        <f>IFERROR(__xludf.DUMMYFUNCTION("""COMPUTED_VALUE"""),"BLUE")</f>
        <v>BLUE</v>
      </c>
      <c r="G1572" s="20" t="str">
        <f>IFERROR(__xludf.DUMMYFUNCTION("""COMPUTED_VALUE"""),"Uncle Sams Cider (11/12/2021) (Blue)")</f>
        <v>Uncle Sams Cider (11/12/2021) (Blue)</v>
      </c>
      <c r="H1572" s="19"/>
    </row>
    <row r="1573">
      <c r="A1573" s="9"/>
      <c r="B1573" s="15"/>
      <c r="C1573" s="9">
        <f>IFERROR(__xludf.DUMMYFUNCTION("""COMPUTED_VALUE"""),44589.1691012384)</f>
        <v>44589.1691</v>
      </c>
      <c r="D1573" s="15">
        <f>IFERROR(__xludf.DUMMYFUNCTION("""COMPUTED_VALUE"""),1.0)</f>
        <v>1</v>
      </c>
      <c r="E1573" s="16">
        <f>IFERROR(__xludf.DUMMYFUNCTION("""COMPUTED_VALUE"""),62.0)</f>
        <v>62</v>
      </c>
      <c r="F1573" s="19" t="str">
        <f>IFERROR(__xludf.DUMMYFUNCTION("""COMPUTED_VALUE"""),"BLUE")</f>
        <v>BLUE</v>
      </c>
      <c r="G1573" s="20" t="str">
        <f>IFERROR(__xludf.DUMMYFUNCTION("""COMPUTED_VALUE"""),"Uncle Sams Cider (11/12/2021) (Blue)")</f>
        <v>Uncle Sams Cider (11/12/2021) (Blue)</v>
      </c>
      <c r="H1573" s="19"/>
    </row>
    <row r="1574">
      <c r="A1574" s="9"/>
      <c r="B1574" s="15"/>
      <c r="C1574" s="9">
        <f>IFERROR(__xludf.DUMMYFUNCTION("""COMPUTED_VALUE"""),44589.1586786458)</f>
        <v>44589.15868</v>
      </c>
      <c r="D1574" s="15">
        <f>IFERROR(__xludf.DUMMYFUNCTION("""COMPUTED_VALUE"""),1.0)</f>
        <v>1</v>
      </c>
      <c r="E1574" s="16">
        <f>IFERROR(__xludf.DUMMYFUNCTION("""COMPUTED_VALUE"""),62.0)</f>
        <v>62</v>
      </c>
      <c r="F1574" s="19" t="str">
        <f>IFERROR(__xludf.DUMMYFUNCTION("""COMPUTED_VALUE"""),"BLUE")</f>
        <v>BLUE</v>
      </c>
      <c r="G1574" s="20" t="str">
        <f>IFERROR(__xludf.DUMMYFUNCTION("""COMPUTED_VALUE"""),"Uncle Sams Cider (11/12/2021) (Blue)")</f>
        <v>Uncle Sams Cider (11/12/2021) (Blue)</v>
      </c>
      <c r="H1574" s="19"/>
    </row>
    <row r="1575">
      <c r="A1575" s="9"/>
      <c r="B1575" s="15"/>
      <c r="C1575" s="9">
        <f>IFERROR(__xludf.DUMMYFUNCTION("""COMPUTED_VALUE"""),44589.1482447685)</f>
        <v>44589.14824</v>
      </c>
      <c r="D1575" s="15">
        <f>IFERROR(__xludf.DUMMYFUNCTION("""COMPUTED_VALUE"""),1.0)</f>
        <v>1</v>
      </c>
      <c r="E1575" s="16">
        <f>IFERROR(__xludf.DUMMYFUNCTION("""COMPUTED_VALUE"""),63.0)</f>
        <v>63</v>
      </c>
      <c r="F1575" s="19" t="str">
        <f>IFERROR(__xludf.DUMMYFUNCTION("""COMPUTED_VALUE"""),"BLUE")</f>
        <v>BLUE</v>
      </c>
      <c r="G1575" s="20" t="str">
        <f>IFERROR(__xludf.DUMMYFUNCTION("""COMPUTED_VALUE"""),"Uncle Sams Cider (11/12/2021) (Blue)")</f>
        <v>Uncle Sams Cider (11/12/2021) (Blue)</v>
      </c>
      <c r="H1575" s="19"/>
    </row>
    <row r="1576">
      <c r="A1576" s="9"/>
      <c r="B1576" s="15"/>
      <c r="C1576" s="9">
        <f>IFERROR(__xludf.DUMMYFUNCTION("""COMPUTED_VALUE"""),44589.1378227199)</f>
        <v>44589.13782</v>
      </c>
      <c r="D1576" s="15">
        <f>IFERROR(__xludf.DUMMYFUNCTION("""COMPUTED_VALUE"""),1.0)</f>
        <v>1</v>
      </c>
      <c r="E1576" s="16">
        <f>IFERROR(__xludf.DUMMYFUNCTION("""COMPUTED_VALUE"""),63.0)</f>
        <v>63</v>
      </c>
      <c r="F1576" s="19" t="str">
        <f>IFERROR(__xludf.DUMMYFUNCTION("""COMPUTED_VALUE"""),"BLUE")</f>
        <v>BLUE</v>
      </c>
      <c r="G1576" s="20" t="str">
        <f>IFERROR(__xludf.DUMMYFUNCTION("""COMPUTED_VALUE"""),"Uncle Sams Cider (11/12/2021) (Blue)")</f>
        <v>Uncle Sams Cider (11/12/2021) (Blue)</v>
      </c>
      <c r="H1576" s="19"/>
    </row>
    <row r="1577">
      <c r="A1577" s="9"/>
      <c r="B1577" s="15"/>
      <c r="C1577" s="9">
        <f>IFERROR(__xludf.DUMMYFUNCTION("""COMPUTED_VALUE"""),44589.1274003819)</f>
        <v>44589.1274</v>
      </c>
      <c r="D1577" s="15">
        <f>IFERROR(__xludf.DUMMYFUNCTION("""COMPUTED_VALUE"""),1.001)</f>
        <v>1.001</v>
      </c>
      <c r="E1577" s="16">
        <f>IFERROR(__xludf.DUMMYFUNCTION("""COMPUTED_VALUE"""),63.0)</f>
        <v>63</v>
      </c>
      <c r="F1577" s="19" t="str">
        <f>IFERROR(__xludf.DUMMYFUNCTION("""COMPUTED_VALUE"""),"BLUE")</f>
        <v>BLUE</v>
      </c>
      <c r="G1577" s="20" t="str">
        <f>IFERROR(__xludf.DUMMYFUNCTION("""COMPUTED_VALUE"""),"Uncle Sams Cider (11/12/2021) (Blue)")</f>
        <v>Uncle Sams Cider (11/12/2021) (Blue)</v>
      </c>
      <c r="H1577" s="19"/>
    </row>
    <row r="1578">
      <c r="A1578" s="9"/>
      <c r="B1578" s="15"/>
      <c r="C1578" s="9">
        <f>IFERROR(__xludf.DUMMYFUNCTION("""COMPUTED_VALUE"""),44589.1169796875)</f>
        <v>44589.11698</v>
      </c>
      <c r="D1578" s="15">
        <f>IFERROR(__xludf.DUMMYFUNCTION("""COMPUTED_VALUE"""),1.001)</f>
        <v>1.001</v>
      </c>
      <c r="E1578" s="16">
        <f>IFERROR(__xludf.DUMMYFUNCTION("""COMPUTED_VALUE"""),63.0)</f>
        <v>63</v>
      </c>
      <c r="F1578" s="19" t="str">
        <f>IFERROR(__xludf.DUMMYFUNCTION("""COMPUTED_VALUE"""),"BLUE")</f>
        <v>BLUE</v>
      </c>
      <c r="G1578" s="20" t="str">
        <f>IFERROR(__xludf.DUMMYFUNCTION("""COMPUTED_VALUE"""),"Uncle Sams Cider (11/12/2021) (Blue)")</f>
        <v>Uncle Sams Cider (11/12/2021) (Blue)</v>
      </c>
      <c r="H1578" s="19"/>
    </row>
    <row r="1579">
      <c r="A1579" s="9"/>
      <c r="B1579" s="15"/>
      <c r="C1579" s="9">
        <f>IFERROR(__xludf.DUMMYFUNCTION("""COMPUTED_VALUE"""),44589.1065590509)</f>
        <v>44589.10656</v>
      </c>
      <c r="D1579" s="15">
        <f>IFERROR(__xludf.DUMMYFUNCTION("""COMPUTED_VALUE"""),1.0)</f>
        <v>1</v>
      </c>
      <c r="E1579" s="16">
        <f>IFERROR(__xludf.DUMMYFUNCTION("""COMPUTED_VALUE"""),63.0)</f>
        <v>63</v>
      </c>
      <c r="F1579" s="19" t="str">
        <f>IFERROR(__xludf.DUMMYFUNCTION("""COMPUTED_VALUE"""),"BLUE")</f>
        <v>BLUE</v>
      </c>
      <c r="G1579" s="20" t="str">
        <f>IFERROR(__xludf.DUMMYFUNCTION("""COMPUTED_VALUE"""),"Uncle Sams Cider (11/12/2021) (Blue)")</f>
        <v>Uncle Sams Cider (11/12/2021) (Blue)</v>
      </c>
      <c r="H1579" s="19"/>
    </row>
    <row r="1580">
      <c r="A1580" s="9"/>
      <c r="B1580" s="15"/>
      <c r="C1580" s="9">
        <f>IFERROR(__xludf.DUMMYFUNCTION("""COMPUTED_VALUE"""),44589.0961374305)</f>
        <v>44589.09614</v>
      </c>
      <c r="D1580" s="15">
        <f>IFERROR(__xludf.DUMMYFUNCTION("""COMPUTED_VALUE"""),1.001)</f>
        <v>1.001</v>
      </c>
      <c r="E1580" s="16">
        <f>IFERROR(__xludf.DUMMYFUNCTION("""COMPUTED_VALUE"""),63.0)</f>
        <v>63</v>
      </c>
      <c r="F1580" s="19" t="str">
        <f>IFERROR(__xludf.DUMMYFUNCTION("""COMPUTED_VALUE"""),"BLUE")</f>
        <v>BLUE</v>
      </c>
      <c r="G1580" s="20" t="str">
        <f>IFERROR(__xludf.DUMMYFUNCTION("""COMPUTED_VALUE"""),"Uncle Sams Cider (11/12/2021) (Blue)")</f>
        <v>Uncle Sams Cider (11/12/2021) (Blue)</v>
      </c>
      <c r="H1580" s="19"/>
    </row>
    <row r="1581">
      <c r="A1581" s="9"/>
      <c r="B1581" s="15"/>
      <c r="C1581" s="9">
        <f>IFERROR(__xludf.DUMMYFUNCTION("""COMPUTED_VALUE"""),44589.085717824)</f>
        <v>44589.08572</v>
      </c>
      <c r="D1581" s="15">
        <f>IFERROR(__xludf.DUMMYFUNCTION("""COMPUTED_VALUE"""),1.0)</f>
        <v>1</v>
      </c>
      <c r="E1581" s="16">
        <f>IFERROR(__xludf.DUMMYFUNCTION("""COMPUTED_VALUE"""),63.0)</f>
        <v>63</v>
      </c>
      <c r="F1581" s="19" t="str">
        <f>IFERROR(__xludf.DUMMYFUNCTION("""COMPUTED_VALUE"""),"BLUE")</f>
        <v>BLUE</v>
      </c>
      <c r="G1581" s="20" t="str">
        <f>IFERROR(__xludf.DUMMYFUNCTION("""COMPUTED_VALUE"""),"Uncle Sams Cider (11/12/2021) (Blue)")</f>
        <v>Uncle Sams Cider (11/12/2021) (Blue)</v>
      </c>
      <c r="H1581" s="19"/>
    </row>
    <row r="1582">
      <c r="A1582" s="9"/>
      <c r="B1582" s="15"/>
      <c r="C1582" s="9">
        <f>IFERROR(__xludf.DUMMYFUNCTION("""COMPUTED_VALUE"""),44589.0752967592)</f>
        <v>44589.0753</v>
      </c>
      <c r="D1582" s="15">
        <f>IFERROR(__xludf.DUMMYFUNCTION("""COMPUTED_VALUE"""),1.001)</f>
        <v>1.001</v>
      </c>
      <c r="E1582" s="16">
        <f>IFERROR(__xludf.DUMMYFUNCTION("""COMPUTED_VALUE"""),63.0)</f>
        <v>63</v>
      </c>
      <c r="F1582" s="19" t="str">
        <f>IFERROR(__xludf.DUMMYFUNCTION("""COMPUTED_VALUE"""),"BLUE")</f>
        <v>BLUE</v>
      </c>
      <c r="G1582" s="20" t="str">
        <f>IFERROR(__xludf.DUMMYFUNCTION("""COMPUTED_VALUE"""),"Uncle Sams Cider (11/12/2021) (Blue)")</f>
        <v>Uncle Sams Cider (11/12/2021) (Blue)</v>
      </c>
      <c r="H1582" s="19"/>
    </row>
    <row r="1583">
      <c r="A1583" s="9"/>
      <c r="B1583" s="15"/>
      <c r="C1583" s="9">
        <f>IFERROR(__xludf.DUMMYFUNCTION("""COMPUTED_VALUE"""),44589.0648737268)</f>
        <v>44589.06487</v>
      </c>
      <c r="D1583" s="15">
        <f>IFERROR(__xludf.DUMMYFUNCTION("""COMPUTED_VALUE"""),1.001)</f>
        <v>1.001</v>
      </c>
      <c r="E1583" s="16">
        <f>IFERROR(__xludf.DUMMYFUNCTION("""COMPUTED_VALUE"""),63.0)</f>
        <v>63</v>
      </c>
      <c r="F1583" s="19" t="str">
        <f>IFERROR(__xludf.DUMMYFUNCTION("""COMPUTED_VALUE"""),"BLUE")</f>
        <v>BLUE</v>
      </c>
      <c r="G1583" s="20" t="str">
        <f>IFERROR(__xludf.DUMMYFUNCTION("""COMPUTED_VALUE"""),"Uncle Sams Cider (11/12/2021) (Blue)")</f>
        <v>Uncle Sams Cider (11/12/2021) (Blue)</v>
      </c>
      <c r="H1583" s="19"/>
    </row>
    <row r="1584">
      <c r="A1584" s="9"/>
      <c r="B1584" s="15"/>
      <c r="C1584" s="9">
        <f>IFERROR(__xludf.DUMMYFUNCTION("""COMPUTED_VALUE"""),44589.0544514699)</f>
        <v>44589.05445</v>
      </c>
      <c r="D1584" s="15">
        <f>IFERROR(__xludf.DUMMYFUNCTION("""COMPUTED_VALUE"""),1.0)</f>
        <v>1</v>
      </c>
      <c r="E1584" s="16">
        <f>IFERROR(__xludf.DUMMYFUNCTION("""COMPUTED_VALUE"""),63.0)</f>
        <v>63</v>
      </c>
      <c r="F1584" s="19" t="str">
        <f>IFERROR(__xludf.DUMMYFUNCTION("""COMPUTED_VALUE"""),"BLUE")</f>
        <v>BLUE</v>
      </c>
      <c r="G1584" s="20" t="str">
        <f>IFERROR(__xludf.DUMMYFUNCTION("""COMPUTED_VALUE"""),"Uncle Sams Cider (11/12/2021) (Blue)")</f>
        <v>Uncle Sams Cider (11/12/2021) (Blue)</v>
      </c>
      <c r="H1584" s="19"/>
    </row>
    <row r="1585">
      <c r="A1585" s="9"/>
      <c r="B1585" s="15"/>
      <c r="C1585" s="9">
        <f>IFERROR(__xludf.DUMMYFUNCTION("""COMPUTED_VALUE"""),44589.0440302893)</f>
        <v>44589.04403</v>
      </c>
      <c r="D1585" s="15">
        <f>IFERROR(__xludf.DUMMYFUNCTION("""COMPUTED_VALUE"""),1.0)</f>
        <v>1</v>
      </c>
      <c r="E1585" s="16">
        <f>IFERROR(__xludf.DUMMYFUNCTION("""COMPUTED_VALUE"""),63.0)</f>
        <v>63</v>
      </c>
      <c r="F1585" s="19" t="str">
        <f>IFERROR(__xludf.DUMMYFUNCTION("""COMPUTED_VALUE"""),"BLUE")</f>
        <v>BLUE</v>
      </c>
      <c r="G1585" s="20" t="str">
        <f>IFERROR(__xludf.DUMMYFUNCTION("""COMPUTED_VALUE"""),"Uncle Sams Cider (11/12/2021) (Blue)")</f>
        <v>Uncle Sams Cider (11/12/2021) (Blue)</v>
      </c>
      <c r="H1585" s="19"/>
    </row>
    <row r="1586">
      <c r="A1586" s="9"/>
      <c r="B1586" s="15"/>
      <c r="C1586" s="9">
        <f>IFERROR(__xludf.DUMMYFUNCTION("""COMPUTED_VALUE"""),44589.0336090625)</f>
        <v>44589.03361</v>
      </c>
      <c r="D1586" s="15">
        <f>IFERROR(__xludf.DUMMYFUNCTION("""COMPUTED_VALUE"""),1.001)</f>
        <v>1.001</v>
      </c>
      <c r="E1586" s="16">
        <f>IFERROR(__xludf.DUMMYFUNCTION("""COMPUTED_VALUE"""),63.0)</f>
        <v>63</v>
      </c>
      <c r="F1586" s="19" t="str">
        <f>IFERROR(__xludf.DUMMYFUNCTION("""COMPUTED_VALUE"""),"BLUE")</f>
        <v>BLUE</v>
      </c>
      <c r="G1586" s="20" t="str">
        <f>IFERROR(__xludf.DUMMYFUNCTION("""COMPUTED_VALUE"""),"Uncle Sams Cider (11/12/2021) (Blue)")</f>
        <v>Uncle Sams Cider (11/12/2021) (Blue)</v>
      </c>
      <c r="H1586" s="19"/>
    </row>
    <row r="1587">
      <c r="A1587" s="9"/>
      <c r="B1587" s="15"/>
      <c r="C1587" s="9">
        <f>IFERROR(__xludf.DUMMYFUNCTION("""COMPUTED_VALUE"""),44589.0231765625)</f>
        <v>44589.02318</v>
      </c>
      <c r="D1587" s="15">
        <f>IFERROR(__xludf.DUMMYFUNCTION("""COMPUTED_VALUE"""),1.0)</f>
        <v>1</v>
      </c>
      <c r="E1587" s="16">
        <f>IFERROR(__xludf.DUMMYFUNCTION("""COMPUTED_VALUE"""),63.0)</f>
        <v>63</v>
      </c>
      <c r="F1587" s="19" t="str">
        <f>IFERROR(__xludf.DUMMYFUNCTION("""COMPUTED_VALUE"""),"BLUE")</f>
        <v>BLUE</v>
      </c>
      <c r="G1587" s="20" t="str">
        <f>IFERROR(__xludf.DUMMYFUNCTION("""COMPUTED_VALUE"""),"Uncle Sams Cider (11/12/2021) (Blue)")</f>
        <v>Uncle Sams Cider (11/12/2021) (Blue)</v>
      </c>
      <c r="H1587" s="19"/>
    </row>
    <row r="1588">
      <c r="A1588" s="9"/>
      <c r="B1588" s="15"/>
      <c r="C1588" s="9">
        <f>IFERROR(__xludf.DUMMYFUNCTION("""COMPUTED_VALUE"""),44589.0127438888)</f>
        <v>44589.01274</v>
      </c>
      <c r="D1588" s="15">
        <f>IFERROR(__xludf.DUMMYFUNCTION("""COMPUTED_VALUE"""),1.001)</f>
        <v>1.001</v>
      </c>
      <c r="E1588" s="16">
        <f>IFERROR(__xludf.DUMMYFUNCTION("""COMPUTED_VALUE"""),63.0)</f>
        <v>63</v>
      </c>
      <c r="F1588" s="19" t="str">
        <f>IFERROR(__xludf.DUMMYFUNCTION("""COMPUTED_VALUE"""),"BLUE")</f>
        <v>BLUE</v>
      </c>
      <c r="G1588" s="20" t="str">
        <f>IFERROR(__xludf.DUMMYFUNCTION("""COMPUTED_VALUE"""),"Uncle Sams Cider (11/12/2021) (Blue)")</f>
        <v>Uncle Sams Cider (11/12/2021) (Blue)</v>
      </c>
      <c r="H1588" s="19"/>
    </row>
    <row r="1589">
      <c r="A1589" s="9"/>
      <c r="B1589" s="15"/>
      <c r="C1589" s="9">
        <f>IFERROR(__xludf.DUMMYFUNCTION("""COMPUTED_VALUE"""),44589.002321655)</f>
        <v>44589.00232</v>
      </c>
      <c r="D1589" s="15">
        <f>IFERROR(__xludf.DUMMYFUNCTION("""COMPUTED_VALUE"""),1.0)</f>
        <v>1</v>
      </c>
      <c r="E1589" s="16">
        <f>IFERROR(__xludf.DUMMYFUNCTION("""COMPUTED_VALUE"""),63.0)</f>
        <v>63</v>
      </c>
      <c r="F1589" s="19" t="str">
        <f>IFERROR(__xludf.DUMMYFUNCTION("""COMPUTED_VALUE"""),"BLUE")</f>
        <v>BLUE</v>
      </c>
      <c r="G1589" s="20" t="str">
        <f>IFERROR(__xludf.DUMMYFUNCTION("""COMPUTED_VALUE"""),"Uncle Sams Cider (11/12/2021) (Blue)")</f>
        <v>Uncle Sams Cider (11/12/2021) (Blue)</v>
      </c>
      <c r="H1589" s="19"/>
    </row>
    <row r="1590">
      <c r="A1590" s="9"/>
      <c r="B1590" s="15"/>
      <c r="C1590" s="9">
        <f>IFERROR(__xludf.DUMMYFUNCTION("""COMPUTED_VALUE"""),44588.9919010648)</f>
        <v>44588.9919</v>
      </c>
      <c r="D1590" s="15">
        <f>IFERROR(__xludf.DUMMYFUNCTION("""COMPUTED_VALUE"""),1.001)</f>
        <v>1.001</v>
      </c>
      <c r="E1590" s="16">
        <f>IFERROR(__xludf.DUMMYFUNCTION("""COMPUTED_VALUE"""),63.0)</f>
        <v>63</v>
      </c>
      <c r="F1590" s="19" t="str">
        <f>IFERROR(__xludf.DUMMYFUNCTION("""COMPUTED_VALUE"""),"BLUE")</f>
        <v>BLUE</v>
      </c>
      <c r="G1590" s="20" t="str">
        <f>IFERROR(__xludf.DUMMYFUNCTION("""COMPUTED_VALUE"""),"Uncle Sams Cider (11/12/2021) (Blue)")</f>
        <v>Uncle Sams Cider (11/12/2021) (Blue)</v>
      </c>
      <c r="H1590" s="19"/>
    </row>
    <row r="1591">
      <c r="A1591" s="9"/>
      <c r="B1591" s="15"/>
      <c r="C1591" s="9">
        <f>IFERROR(__xludf.DUMMYFUNCTION("""COMPUTED_VALUE"""),44588.9814665046)</f>
        <v>44588.98147</v>
      </c>
      <c r="D1591" s="15">
        <f>IFERROR(__xludf.DUMMYFUNCTION("""COMPUTED_VALUE"""),1.0)</f>
        <v>1</v>
      </c>
      <c r="E1591" s="16">
        <f>IFERROR(__xludf.DUMMYFUNCTION("""COMPUTED_VALUE"""),63.0)</f>
        <v>63</v>
      </c>
      <c r="F1591" s="19" t="str">
        <f>IFERROR(__xludf.DUMMYFUNCTION("""COMPUTED_VALUE"""),"BLUE")</f>
        <v>BLUE</v>
      </c>
      <c r="G1591" s="20" t="str">
        <f>IFERROR(__xludf.DUMMYFUNCTION("""COMPUTED_VALUE"""),"Uncle Sams Cider (11/12/2021) (Blue)")</f>
        <v>Uncle Sams Cider (11/12/2021) (Blue)</v>
      </c>
      <c r="H1591" s="19"/>
    </row>
    <row r="1592">
      <c r="A1592" s="9"/>
      <c r="B1592" s="15"/>
      <c r="C1592" s="9">
        <f>IFERROR(__xludf.DUMMYFUNCTION("""COMPUTED_VALUE"""),44588.9710468287)</f>
        <v>44588.97105</v>
      </c>
      <c r="D1592" s="15">
        <f>IFERROR(__xludf.DUMMYFUNCTION("""COMPUTED_VALUE"""),1.0)</f>
        <v>1</v>
      </c>
      <c r="E1592" s="16">
        <f>IFERROR(__xludf.DUMMYFUNCTION("""COMPUTED_VALUE"""),63.0)</f>
        <v>63</v>
      </c>
      <c r="F1592" s="19" t="str">
        <f>IFERROR(__xludf.DUMMYFUNCTION("""COMPUTED_VALUE"""),"BLUE")</f>
        <v>BLUE</v>
      </c>
      <c r="G1592" s="20" t="str">
        <f>IFERROR(__xludf.DUMMYFUNCTION("""COMPUTED_VALUE"""),"Uncle Sams Cider (11/12/2021) (Blue)")</f>
        <v>Uncle Sams Cider (11/12/2021) (Blue)</v>
      </c>
      <c r="H1592" s="19"/>
    </row>
    <row r="1593">
      <c r="A1593" s="9"/>
      <c r="B1593" s="15"/>
      <c r="C1593" s="9">
        <f>IFERROR(__xludf.DUMMYFUNCTION("""COMPUTED_VALUE"""),44588.9606265393)</f>
        <v>44588.96063</v>
      </c>
      <c r="D1593" s="15">
        <f>IFERROR(__xludf.DUMMYFUNCTION("""COMPUTED_VALUE"""),1.001)</f>
        <v>1.001</v>
      </c>
      <c r="E1593" s="16">
        <f>IFERROR(__xludf.DUMMYFUNCTION("""COMPUTED_VALUE"""),63.0)</f>
        <v>63</v>
      </c>
      <c r="F1593" s="19" t="str">
        <f>IFERROR(__xludf.DUMMYFUNCTION("""COMPUTED_VALUE"""),"BLUE")</f>
        <v>BLUE</v>
      </c>
      <c r="G1593" s="20" t="str">
        <f>IFERROR(__xludf.DUMMYFUNCTION("""COMPUTED_VALUE"""),"Uncle Sams Cider (11/12/2021) (Blue)")</f>
        <v>Uncle Sams Cider (11/12/2021) (Blue)</v>
      </c>
      <c r="H1593" s="19"/>
    </row>
    <row r="1594">
      <c r="A1594" s="9"/>
      <c r="B1594" s="15"/>
      <c r="C1594" s="9">
        <f>IFERROR(__xludf.DUMMYFUNCTION("""COMPUTED_VALUE"""),44588.9501938425)</f>
        <v>44588.95019</v>
      </c>
      <c r="D1594" s="15">
        <f>IFERROR(__xludf.DUMMYFUNCTION("""COMPUTED_VALUE"""),1.0)</f>
        <v>1</v>
      </c>
      <c r="E1594" s="16">
        <f>IFERROR(__xludf.DUMMYFUNCTION("""COMPUTED_VALUE"""),63.0)</f>
        <v>63</v>
      </c>
      <c r="F1594" s="19" t="str">
        <f>IFERROR(__xludf.DUMMYFUNCTION("""COMPUTED_VALUE"""),"BLUE")</f>
        <v>BLUE</v>
      </c>
      <c r="G1594" s="20" t="str">
        <f>IFERROR(__xludf.DUMMYFUNCTION("""COMPUTED_VALUE"""),"Uncle Sams Cider (11/12/2021) (Blue)")</f>
        <v>Uncle Sams Cider (11/12/2021) (Blue)</v>
      </c>
      <c r="H1594" s="19"/>
    </row>
    <row r="1595">
      <c r="A1595" s="9"/>
      <c r="B1595" s="15"/>
      <c r="C1595" s="9">
        <f>IFERROR(__xludf.DUMMYFUNCTION("""COMPUTED_VALUE"""),44588.939749537)</f>
        <v>44588.93975</v>
      </c>
      <c r="D1595" s="15">
        <f>IFERROR(__xludf.DUMMYFUNCTION("""COMPUTED_VALUE"""),1.001)</f>
        <v>1.001</v>
      </c>
      <c r="E1595" s="16">
        <f>IFERROR(__xludf.DUMMYFUNCTION("""COMPUTED_VALUE"""),63.0)</f>
        <v>63</v>
      </c>
      <c r="F1595" s="19" t="str">
        <f>IFERROR(__xludf.DUMMYFUNCTION("""COMPUTED_VALUE"""),"BLUE")</f>
        <v>BLUE</v>
      </c>
      <c r="G1595" s="20" t="str">
        <f>IFERROR(__xludf.DUMMYFUNCTION("""COMPUTED_VALUE"""),"Uncle Sams Cider (11/12/2021) (Blue)")</f>
        <v>Uncle Sams Cider (11/12/2021) (Blue)</v>
      </c>
      <c r="H1595" s="19"/>
    </row>
    <row r="1596">
      <c r="A1596" s="9"/>
      <c r="B1596" s="15"/>
      <c r="C1596" s="9">
        <f>IFERROR(__xludf.DUMMYFUNCTION("""COMPUTED_VALUE"""),44588.9293284953)</f>
        <v>44588.92933</v>
      </c>
      <c r="D1596" s="15">
        <f>IFERROR(__xludf.DUMMYFUNCTION("""COMPUTED_VALUE"""),1.0)</f>
        <v>1</v>
      </c>
      <c r="E1596" s="16">
        <f>IFERROR(__xludf.DUMMYFUNCTION("""COMPUTED_VALUE"""),63.0)</f>
        <v>63</v>
      </c>
      <c r="F1596" s="19" t="str">
        <f>IFERROR(__xludf.DUMMYFUNCTION("""COMPUTED_VALUE"""),"BLUE")</f>
        <v>BLUE</v>
      </c>
      <c r="G1596" s="20" t="str">
        <f>IFERROR(__xludf.DUMMYFUNCTION("""COMPUTED_VALUE"""),"Uncle Sams Cider (11/12/2021) (Blue)")</f>
        <v>Uncle Sams Cider (11/12/2021) (Blue)</v>
      </c>
      <c r="H1596" s="19"/>
    </row>
    <row r="1597">
      <c r="A1597" s="9"/>
      <c r="B1597" s="15"/>
      <c r="C1597" s="9">
        <f>IFERROR(__xludf.DUMMYFUNCTION("""COMPUTED_VALUE"""),44588.9189075925)</f>
        <v>44588.91891</v>
      </c>
      <c r="D1597" s="15">
        <f>IFERROR(__xludf.DUMMYFUNCTION("""COMPUTED_VALUE"""),1.001)</f>
        <v>1.001</v>
      </c>
      <c r="E1597" s="16">
        <f>IFERROR(__xludf.DUMMYFUNCTION("""COMPUTED_VALUE"""),63.0)</f>
        <v>63</v>
      </c>
      <c r="F1597" s="19" t="str">
        <f>IFERROR(__xludf.DUMMYFUNCTION("""COMPUTED_VALUE"""),"BLUE")</f>
        <v>BLUE</v>
      </c>
      <c r="G1597" s="20" t="str">
        <f>IFERROR(__xludf.DUMMYFUNCTION("""COMPUTED_VALUE"""),"Uncle Sams Cider (11/12/2021) (Blue)")</f>
        <v>Uncle Sams Cider (11/12/2021) (Blue)</v>
      </c>
      <c r="H1597" s="19"/>
    </row>
    <row r="1598">
      <c r="A1598" s="9"/>
      <c r="B1598" s="15"/>
      <c r="C1598" s="9">
        <f>IFERROR(__xludf.DUMMYFUNCTION("""COMPUTED_VALUE"""),44588.9084876504)</f>
        <v>44588.90849</v>
      </c>
      <c r="D1598" s="15">
        <f>IFERROR(__xludf.DUMMYFUNCTION("""COMPUTED_VALUE"""),1.001)</f>
        <v>1.001</v>
      </c>
      <c r="E1598" s="16">
        <f>IFERROR(__xludf.DUMMYFUNCTION("""COMPUTED_VALUE"""),63.0)</f>
        <v>63</v>
      </c>
      <c r="F1598" s="19" t="str">
        <f>IFERROR(__xludf.DUMMYFUNCTION("""COMPUTED_VALUE"""),"BLUE")</f>
        <v>BLUE</v>
      </c>
      <c r="G1598" s="20" t="str">
        <f>IFERROR(__xludf.DUMMYFUNCTION("""COMPUTED_VALUE"""),"Uncle Sams Cider (11/12/2021) (Blue)")</f>
        <v>Uncle Sams Cider (11/12/2021) (Blue)</v>
      </c>
      <c r="H1598" s="19"/>
    </row>
    <row r="1599">
      <c r="A1599" s="9"/>
      <c r="B1599" s="15"/>
      <c r="C1599" s="9">
        <f>IFERROR(__xludf.DUMMYFUNCTION("""COMPUTED_VALUE"""),44588.8980656712)</f>
        <v>44588.89807</v>
      </c>
      <c r="D1599" s="15">
        <f>IFERROR(__xludf.DUMMYFUNCTION("""COMPUTED_VALUE"""),1.001)</f>
        <v>1.001</v>
      </c>
      <c r="E1599" s="16">
        <f>IFERROR(__xludf.DUMMYFUNCTION("""COMPUTED_VALUE"""),63.0)</f>
        <v>63</v>
      </c>
      <c r="F1599" s="19" t="str">
        <f>IFERROR(__xludf.DUMMYFUNCTION("""COMPUTED_VALUE"""),"BLUE")</f>
        <v>BLUE</v>
      </c>
      <c r="G1599" s="20" t="str">
        <f>IFERROR(__xludf.DUMMYFUNCTION("""COMPUTED_VALUE"""),"Uncle Sams Cider (11/12/2021) (Blue)")</f>
        <v>Uncle Sams Cider (11/12/2021) (Blue)</v>
      </c>
      <c r="H1599" s="19"/>
    </row>
    <row r="1600">
      <c r="A1600" s="9"/>
      <c r="B1600" s="15"/>
      <c r="C1600" s="9">
        <f>IFERROR(__xludf.DUMMYFUNCTION("""COMPUTED_VALUE"""),44588.8876455555)</f>
        <v>44588.88765</v>
      </c>
      <c r="D1600" s="15">
        <f>IFERROR(__xludf.DUMMYFUNCTION("""COMPUTED_VALUE"""),1.0)</f>
        <v>1</v>
      </c>
      <c r="E1600" s="16">
        <f>IFERROR(__xludf.DUMMYFUNCTION("""COMPUTED_VALUE"""),63.0)</f>
        <v>63</v>
      </c>
      <c r="F1600" s="19" t="str">
        <f>IFERROR(__xludf.DUMMYFUNCTION("""COMPUTED_VALUE"""),"BLUE")</f>
        <v>BLUE</v>
      </c>
      <c r="G1600" s="20" t="str">
        <f>IFERROR(__xludf.DUMMYFUNCTION("""COMPUTED_VALUE"""),"Uncle Sams Cider (11/12/2021) (Blue)")</f>
        <v>Uncle Sams Cider (11/12/2021) (Blue)</v>
      </c>
      <c r="H1600" s="19"/>
    </row>
    <row r="1601">
      <c r="A1601" s="9"/>
      <c r="B1601" s="15"/>
      <c r="C1601" s="9">
        <f>IFERROR(__xludf.DUMMYFUNCTION("""COMPUTED_VALUE"""),44588.8772242708)</f>
        <v>44588.87722</v>
      </c>
      <c r="D1601" s="15">
        <f>IFERROR(__xludf.DUMMYFUNCTION("""COMPUTED_VALUE"""),1.001)</f>
        <v>1.001</v>
      </c>
      <c r="E1601" s="16">
        <f>IFERROR(__xludf.DUMMYFUNCTION("""COMPUTED_VALUE"""),63.0)</f>
        <v>63</v>
      </c>
      <c r="F1601" s="19" t="str">
        <f>IFERROR(__xludf.DUMMYFUNCTION("""COMPUTED_VALUE"""),"BLUE")</f>
        <v>BLUE</v>
      </c>
      <c r="G1601" s="20" t="str">
        <f>IFERROR(__xludf.DUMMYFUNCTION("""COMPUTED_VALUE"""),"Uncle Sams Cider (11/12/2021) (Blue)")</f>
        <v>Uncle Sams Cider (11/12/2021) (Blue)</v>
      </c>
      <c r="H1601" s="19"/>
    </row>
    <row r="1602">
      <c r="A1602" s="9"/>
      <c r="B1602" s="15"/>
      <c r="C1602" s="9">
        <f>IFERROR(__xludf.DUMMYFUNCTION("""COMPUTED_VALUE"""),44588.8667920833)</f>
        <v>44588.86679</v>
      </c>
      <c r="D1602" s="15">
        <f>IFERROR(__xludf.DUMMYFUNCTION("""COMPUTED_VALUE"""),1.0)</f>
        <v>1</v>
      </c>
      <c r="E1602" s="16">
        <f>IFERROR(__xludf.DUMMYFUNCTION("""COMPUTED_VALUE"""),63.0)</f>
        <v>63</v>
      </c>
      <c r="F1602" s="19" t="str">
        <f>IFERROR(__xludf.DUMMYFUNCTION("""COMPUTED_VALUE"""),"BLUE")</f>
        <v>BLUE</v>
      </c>
      <c r="G1602" s="20" t="str">
        <f>IFERROR(__xludf.DUMMYFUNCTION("""COMPUTED_VALUE"""),"Uncle Sams Cider (11/12/2021) (Blue)")</f>
        <v>Uncle Sams Cider (11/12/2021) (Blue)</v>
      </c>
      <c r="H1602" s="19"/>
    </row>
    <row r="1603">
      <c r="A1603" s="9"/>
      <c r="B1603" s="15"/>
      <c r="C1603" s="9">
        <f>IFERROR(__xludf.DUMMYFUNCTION("""COMPUTED_VALUE"""),44588.8563705439)</f>
        <v>44588.85637</v>
      </c>
      <c r="D1603" s="15">
        <f>IFERROR(__xludf.DUMMYFUNCTION("""COMPUTED_VALUE"""),1.001)</f>
        <v>1.001</v>
      </c>
      <c r="E1603" s="16">
        <f>IFERROR(__xludf.DUMMYFUNCTION("""COMPUTED_VALUE"""),63.0)</f>
        <v>63</v>
      </c>
      <c r="F1603" s="19" t="str">
        <f>IFERROR(__xludf.DUMMYFUNCTION("""COMPUTED_VALUE"""),"BLUE")</f>
        <v>BLUE</v>
      </c>
      <c r="G1603" s="20" t="str">
        <f>IFERROR(__xludf.DUMMYFUNCTION("""COMPUTED_VALUE"""),"Uncle Sams Cider (11/12/2021) (Blue)")</f>
        <v>Uncle Sams Cider (11/12/2021) (Blue)</v>
      </c>
      <c r="H1603" s="19"/>
    </row>
    <row r="1604">
      <c r="A1604" s="9"/>
      <c r="B1604" s="15"/>
      <c r="C1604" s="9">
        <f>IFERROR(__xludf.DUMMYFUNCTION("""COMPUTED_VALUE"""),44588.8459487962)</f>
        <v>44588.84595</v>
      </c>
      <c r="D1604" s="15">
        <f>IFERROR(__xludf.DUMMYFUNCTION("""COMPUTED_VALUE"""),1.001)</f>
        <v>1.001</v>
      </c>
      <c r="E1604" s="16">
        <f>IFERROR(__xludf.DUMMYFUNCTION("""COMPUTED_VALUE"""),63.0)</f>
        <v>63</v>
      </c>
      <c r="F1604" s="19" t="str">
        <f>IFERROR(__xludf.DUMMYFUNCTION("""COMPUTED_VALUE"""),"BLUE")</f>
        <v>BLUE</v>
      </c>
      <c r="G1604" s="20" t="str">
        <f>IFERROR(__xludf.DUMMYFUNCTION("""COMPUTED_VALUE"""),"Uncle Sams Cider (11/12/2021) (Blue)")</f>
        <v>Uncle Sams Cider (11/12/2021) (Blue)</v>
      </c>
      <c r="H1604" s="19"/>
    </row>
    <row r="1605">
      <c r="A1605" s="9"/>
      <c r="B1605" s="15"/>
      <c r="C1605" s="9">
        <f>IFERROR(__xludf.DUMMYFUNCTION("""COMPUTED_VALUE"""),44588.8355272453)</f>
        <v>44588.83553</v>
      </c>
      <c r="D1605" s="15">
        <f>IFERROR(__xludf.DUMMYFUNCTION("""COMPUTED_VALUE"""),1.0)</f>
        <v>1</v>
      </c>
      <c r="E1605" s="16">
        <f>IFERROR(__xludf.DUMMYFUNCTION("""COMPUTED_VALUE"""),63.0)</f>
        <v>63</v>
      </c>
      <c r="F1605" s="19" t="str">
        <f>IFERROR(__xludf.DUMMYFUNCTION("""COMPUTED_VALUE"""),"BLUE")</f>
        <v>BLUE</v>
      </c>
      <c r="G1605" s="20" t="str">
        <f>IFERROR(__xludf.DUMMYFUNCTION("""COMPUTED_VALUE"""),"Uncle Sams Cider (11/12/2021) (Blue)")</f>
        <v>Uncle Sams Cider (11/12/2021) (Blue)</v>
      </c>
      <c r="H1605" s="19"/>
    </row>
    <row r="1606">
      <c r="A1606" s="9"/>
      <c r="B1606" s="15"/>
      <c r="C1606" s="9">
        <f>IFERROR(__xludf.DUMMYFUNCTION("""COMPUTED_VALUE"""),44588.8251064583)</f>
        <v>44588.82511</v>
      </c>
      <c r="D1606" s="15">
        <f>IFERROR(__xludf.DUMMYFUNCTION("""COMPUTED_VALUE"""),1.0)</f>
        <v>1</v>
      </c>
      <c r="E1606" s="16">
        <f>IFERROR(__xludf.DUMMYFUNCTION("""COMPUTED_VALUE"""),64.0)</f>
        <v>64</v>
      </c>
      <c r="F1606" s="19" t="str">
        <f>IFERROR(__xludf.DUMMYFUNCTION("""COMPUTED_VALUE"""),"BLUE")</f>
        <v>BLUE</v>
      </c>
      <c r="G1606" s="20" t="str">
        <f>IFERROR(__xludf.DUMMYFUNCTION("""COMPUTED_VALUE"""),"Uncle Sams Cider (11/12/2021) (Blue)")</f>
        <v>Uncle Sams Cider (11/12/2021) (Blue)</v>
      </c>
      <c r="H1606" s="19"/>
    </row>
    <row r="1607">
      <c r="A1607" s="9"/>
      <c r="B1607" s="15"/>
      <c r="C1607" s="9">
        <f>IFERROR(__xludf.DUMMYFUNCTION("""COMPUTED_VALUE"""),44588.8146840277)</f>
        <v>44588.81468</v>
      </c>
      <c r="D1607" s="15">
        <f>IFERROR(__xludf.DUMMYFUNCTION("""COMPUTED_VALUE"""),1.0)</f>
        <v>1</v>
      </c>
      <c r="E1607" s="16">
        <f>IFERROR(__xludf.DUMMYFUNCTION("""COMPUTED_VALUE"""),64.0)</f>
        <v>64</v>
      </c>
      <c r="F1607" s="19" t="str">
        <f>IFERROR(__xludf.DUMMYFUNCTION("""COMPUTED_VALUE"""),"BLUE")</f>
        <v>BLUE</v>
      </c>
      <c r="G1607" s="20" t="str">
        <f>IFERROR(__xludf.DUMMYFUNCTION("""COMPUTED_VALUE"""),"Uncle Sams Cider (11/12/2021) (Blue)")</f>
        <v>Uncle Sams Cider (11/12/2021) (Blue)</v>
      </c>
      <c r="H1607" s="19"/>
    </row>
    <row r="1608">
      <c r="A1608" s="9"/>
      <c r="B1608" s="15"/>
      <c r="C1608" s="9">
        <f>IFERROR(__xludf.DUMMYFUNCTION("""COMPUTED_VALUE"""),44588.8042648842)</f>
        <v>44588.80426</v>
      </c>
      <c r="D1608" s="15">
        <f>IFERROR(__xludf.DUMMYFUNCTION("""COMPUTED_VALUE"""),1.0)</f>
        <v>1</v>
      </c>
      <c r="E1608" s="16">
        <f>IFERROR(__xludf.DUMMYFUNCTION("""COMPUTED_VALUE"""),64.0)</f>
        <v>64</v>
      </c>
      <c r="F1608" s="19" t="str">
        <f>IFERROR(__xludf.DUMMYFUNCTION("""COMPUTED_VALUE"""),"BLUE")</f>
        <v>BLUE</v>
      </c>
      <c r="G1608" s="20" t="str">
        <f>IFERROR(__xludf.DUMMYFUNCTION("""COMPUTED_VALUE"""),"Uncle Sams Cider (11/12/2021) (Blue)")</f>
        <v>Uncle Sams Cider (11/12/2021) (Blue)</v>
      </c>
      <c r="H1608" s="19"/>
    </row>
    <row r="1609">
      <c r="A1609" s="9"/>
      <c r="B1609" s="15"/>
      <c r="C1609" s="9">
        <f>IFERROR(__xludf.DUMMYFUNCTION("""COMPUTED_VALUE"""),44588.7938440046)</f>
        <v>44588.79384</v>
      </c>
      <c r="D1609" s="15">
        <f>IFERROR(__xludf.DUMMYFUNCTION("""COMPUTED_VALUE"""),1.001)</f>
        <v>1.001</v>
      </c>
      <c r="E1609" s="16">
        <f>IFERROR(__xludf.DUMMYFUNCTION("""COMPUTED_VALUE"""),64.0)</f>
        <v>64</v>
      </c>
      <c r="F1609" s="19" t="str">
        <f>IFERROR(__xludf.DUMMYFUNCTION("""COMPUTED_VALUE"""),"BLUE")</f>
        <v>BLUE</v>
      </c>
      <c r="G1609" s="20" t="str">
        <f>IFERROR(__xludf.DUMMYFUNCTION("""COMPUTED_VALUE"""),"Uncle Sams Cider (11/12/2021) (Blue)")</f>
        <v>Uncle Sams Cider (11/12/2021) (Blue)</v>
      </c>
      <c r="H1609" s="19"/>
    </row>
    <row r="1610">
      <c r="A1610" s="9"/>
      <c r="B1610" s="15"/>
      <c r="C1610" s="9">
        <f>IFERROR(__xludf.DUMMYFUNCTION("""COMPUTED_VALUE"""),44588.7834224884)</f>
        <v>44588.78342</v>
      </c>
      <c r="D1610" s="15">
        <f>IFERROR(__xludf.DUMMYFUNCTION("""COMPUTED_VALUE"""),1.001)</f>
        <v>1.001</v>
      </c>
      <c r="E1610" s="16">
        <f>IFERROR(__xludf.DUMMYFUNCTION("""COMPUTED_VALUE"""),64.0)</f>
        <v>64</v>
      </c>
      <c r="F1610" s="19" t="str">
        <f>IFERROR(__xludf.DUMMYFUNCTION("""COMPUTED_VALUE"""),"BLUE")</f>
        <v>BLUE</v>
      </c>
      <c r="G1610" s="20" t="str">
        <f>IFERROR(__xludf.DUMMYFUNCTION("""COMPUTED_VALUE"""),"Uncle Sams Cider (11/12/2021) (Blue)")</f>
        <v>Uncle Sams Cider (11/12/2021) (Blue)</v>
      </c>
      <c r="H1610" s="19"/>
    </row>
    <row r="1611">
      <c r="A1611" s="9"/>
      <c r="B1611" s="15"/>
      <c r="C1611" s="9">
        <f>IFERROR(__xludf.DUMMYFUNCTION("""COMPUTED_VALUE"""),44588.7730021296)</f>
        <v>44588.773</v>
      </c>
      <c r="D1611" s="15">
        <f>IFERROR(__xludf.DUMMYFUNCTION("""COMPUTED_VALUE"""),1.0)</f>
        <v>1</v>
      </c>
      <c r="E1611" s="16">
        <f>IFERROR(__xludf.DUMMYFUNCTION("""COMPUTED_VALUE"""),64.0)</f>
        <v>64</v>
      </c>
      <c r="F1611" s="19" t="str">
        <f>IFERROR(__xludf.DUMMYFUNCTION("""COMPUTED_VALUE"""),"BLUE")</f>
        <v>BLUE</v>
      </c>
      <c r="G1611" s="20" t="str">
        <f>IFERROR(__xludf.DUMMYFUNCTION("""COMPUTED_VALUE"""),"Uncle Sams Cider (11/12/2021) (Blue)")</f>
        <v>Uncle Sams Cider (11/12/2021) (Blue)</v>
      </c>
      <c r="H1611" s="19"/>
    </row>
    <row r="1612">
      <c r="A1612" s="9"/>
      <c r="B1612" s="15"/>
      <c r="C1612" s="9">
        <f>IFERROR(__xludf.DUMMYFUNCTION("""COMPUTED_VALUE"""),44588.7625823726)</f>
        <v>44588.76258</v>
      </c>
      <c r="D1612" s="15">
        <f>IFERROR(__xludf.DUMMYFUNCTION("""COMPUTED_VALUE"""),1.0)</f>
        <v>1</v>
      </c>
      <c r="E1612" s="16">
        <f>IFERROR(__xludf.DUMMYFUNCTION("""COMPUTED_VALUE"""),64.0)</f>
        <v>64</v>
      </c>
      <c r="F1612" s="19" t="str">
        <f>IFERROR(__xludf.DUMMYFUNCTION("""COMPUTED_VALUE"""),"BLUE")</f>
        <v>BLUE</v>
      </c>
      <c r="G1612" s="20" t="str">
        <f>IFERROR(__xludf.DUMMYFUNCTION("""COMPUTED_VALUE"""),"Uncle Sams Cider (11/12/2021) (Blue)")</f>
        <v>Uncle Sams Cider (11/12/2021) (Blue)</v>
      </c>
      <c r="H1612" s="19"/>
    </row>
    <row r="1613">
      <c r="A1613" s="9"/>
      <c r="B1613" s="15"/>
      <c r="C1613" s="9">
        <f>IFERROR(__xludf.DUMMYFUNCTION("""COMPUTED_VALUE"""),44588.7521498032)</f>
        <v>44588.75215</v>
      </c>
      <c r="D1613" s="15">
        <f>IFERROR(__xludf.DUMMYFUNCTION("""COMPUTED_VALUE"""),1.0)</f>
        <v>1</v>
      </c>
      <c r="E1613" s="16">
        <f>IFERROR(__xludf.DUMMYFUNCTION("""COMPUTED_VALUE"""),64.0)</f>
        <v>64</v>
      </c>
      <c r="F1613" s="19" t="str">
        <f>IFERROR(__xludf.DUMMYFUNCTION("""COMPUTED_VALUE"""),"BLUE")</f>
        <v>BLUE</v>
      </c>
      <c r="G1613" s="20" t="str">
        <f>IFERROR(__xludf.DUMMYFUNCTION("""COMPUTED_VALUE"""),"Uncle Sams Cider (11/12/2021) (Blue)")</f>
        <v>Uncle Sams Cider (11/12/2021) (Blue)</v>
      </c>
      <c r="H1613" s="19"/>
    </row>
    <row r="1614">
      <c r="A1614" s="9"/>
      <c r="B1614" s="15"/>
      <c r="C1614" s="9">
        <f>IFERROR(__xludf.DUMMYFUNCTION("""COMPUTED_VALUE"""),44588.7417280092)</f>
        <v>44588.74173</v>
      </c>
      <c r="D1614" s="15">
        <f>IFERROR(__xludf.DUMMYFUNCTION("""COMPUTED_VALUE"""),1.001)</f>
        <v>1.001</v>
      </c>
      <c r="E1614" s="16">
        <f>IFERROR(__xludf.DUMMYFUNCTION("""COMPUTED_VALUE"""),64.0)</f>
        <v>64</v>
      </c>
      <c r="F1614" s="19" t="str">
        <f>IFERROR(__xludf.DUMMYFUNCTION("""COMPUTED_VALUE"""),"BLUE")</f>
        <v>BLUE</v>
      </c>
      <c r="G1614" s="20" t="str">
        <f>IFERROR(__xludf.DUMMYFUNCTION("""COMPUTED_VALUE"""),"Uncle Sams Cider (11/12/2021) (Blue)")</f>
        <v>Uncle Sams Cider (11/12/2021) (Blue)</v>
      </c>
      <c r="H1614" s="19"/>
    </row>
    <row r="1615">
      <c r="A1615" s="9"/>
      <c r="B1615" s="15"/>
      <c r="C1615" s="9">
        <f>IFERROR(__xludf.DUMMYFUNCTION("""COMPUTED_VALUE"""),44588.7313077314)</f>
        <v>44588.73131</v>
      </c>
      <c r="D1615" s="15">
        <f>IFERROR(__xludf.DUMMYFUNCTION("""COMPUTED_VALUE"""),1.001)</f>
        <v>1.001</v>
      </c>
      <c r="E1615" s="16">
        <f>IFERROR(__xludf.DUMMYFUNCTION("""COMPUTED_VALUE"""),64.0)</f>
        <v>64</v>
      </c>
      <c r="F1615" s="19" t="str">
        <f>IFERROR(__xludf.DUMMYFUNCTION("""COMPUTED_VALUE"""),"BLUE")</f>
        <v>BLUE</v>
      </c>
      <c r="G1615" s="20" t="str">
        <f>IFERROR(__xludf.DUMMYFUNCTION("""COMPUTED_VALUE"""),"Uncle Sams Cider (11/12/2021) (Blue)")</f>
        <v>Uncle Sams Cider (11/12/2021) (Blue)</v>
      </c>
      <c r="H1615" s="19"/>
    </row>
    <row r="1616">
      <c r="A1616" s="9"/>
      <c r="B1616" s="15"/>
      <c r="C1616" s="9">
        <f>IFERROR(__xludf.DUMMYFUNCTION("""COMPUTED_VALUE"""),44588.7208874652)</f>
        <v>44588.72089</v>
      </c>
      <c r="D1616" s="15">
        <f>IFERROR(__xludf.DUMMYFUNCTION("""COMPUTED_VALUE"""),1.0)</f>
        <v>1</v>
      </c>
      <c r="E1616" s="16">
        <f>IFERROR(__xludf.DUMMYFUNCTION("""COMPUTED_VALUE"""),64.0)</f>
        <v>64</v>
      </c>
      <c r="F1616" s="19" t="str">
        <f>IFERROR(__xludf.DUMMYFUNCTION("""COMPUTED_VALUE"""),"BLUE")</f>
        <v>BLUE</v>
      </c>
      <c r="G1616" s="20" t="str">
        <f>IFERROR(__xludf.DUMMYFUNCTION("""COMPUTED_VALUE"""),"Uncle Sams Cider (11/12/2021) (Blue)")</f>
        <v>Uncle Sams Cider (11/12/2021) (Blue)</v>
      </c>
      <c r="H1616" s="19"/>
    </row>
    <row r="1617">
      <c r="A1617" s="9"/>
      <c r="B1617" s="15"/>
      <c r="C1617" s="9">
        <f>IFERROR(__xludf.DUMMYFUNCTION("""COMPUTED_VALUE"""),44588.7104662037)</f>
        <v>44588.71047</v>
      </c>
      <c r="D1617" s="15">
        <f>IFERROR(__xludf.DUMMYFUNCTION("""COMPUTED_VALUE"""),1.0)</f>
        <v>1</v>
      </c>
      <c r="E1617" s="16">
        <f>IFERROR(__xludf.DUMMYFUNCTION("""COMPUTED_VALUE"""),64.0)</f>
        <v>64</v>
      </c>
      <c r="F1617" s="19" t="str">
        <f>IFERROR(__xludf.DUMMYFUNCTION("""COMPUTED_VALUE"""),"BLUE")</f>
        <v>BLUE</v>
      </c>
      <c r="G1617" s="20" t="str">
        <f>IFERROR(__xludf.DUMMYFUNCTION("""COMPUTED_VALUE"""),"Uncle Sams Cider (11/12/2021) (Blue)")</f>
        <v>Uncle Sams Cider (11/12/2021) (Blue)</v>
      </c>
      <c r="H1617" s="19"/>
    </row>
    <row r="1618">
      <c r="A1618" s="9"/>
      <c r="B1618" s="15"/>
      <c r="C1618" s="9">
        <f>IFERROR(__xludf.DUMMYFUNCTION("""COMPUTED_VALUE"""),44588.7000446296)</f>
        <v>44588.70004</v>
      </c>
      <c r="D1618" s="15">
        <f>IFERROR(__xludf.DUMMYFUNCTION("""COMPUTED_VALUE"""),1.0)</f>
        <v>1</v>
      </c>
      <c r="E1618" s="16">
        <f>IFERROR(__xludf.DUMMYFUNCTION("""COMPUTED_VALUE"""),64.0)</f>
        <v>64</v>
      </c>
      <c r="F1618" s="19" t="str">
        <f>IFERROR(__xludf.DUMMYFUNCTION("""COMPUTED_VALUE"""),"BLUE")</f>
        <v>BLUE</v>
      </c>
      <c r="G1618" s="20" t="str">
        <f>IFERROR(__xludf.DUMMYFUNCTION("""COMPUTED_VALUE"""),"Uncle Sams Cider (11/12/2021) (Blue)")</f>
        <v>Uncle Sams Cider (11/12/2021) (Blue)</v>
      </c>
      <c r="H1618" s="19"/>
    </row>
    <row r="1619">
      <c r="A1619" s="9"/>
      <c r="B1619" s="15"/>
      <c r="C1619" s="9">
        <f>IFERROR(__xludf.DUMMYFUNCTION("""COMPUTED_VALUE"""),44588.6896237037)</f>
        <v>44588.68962</v>
      </c>
      <c r="D1619" s="15">
        <f>IFERROR(__xludf.DUMMYFUNCTION("""COMPUTED_VALUE"""),1.0)</f>
        <v>1</v>
      </c>
      <c r="E1619" s="16">
        <f>IFERROR(__xludf.DUMMYFUNCTION("""COMPUTED_VALUE"""),64.0)</f>
        <v>64</v>
      </c>
      <c r="F1619" s="19" t="str">
        <f>IFERROR(__xludf.DUMMYFUNCTION("""COMPUTED_VALUE"""),"BLUE")</f>
        <v>BLUE</v>
      </c>
      <c r="G1619" s="20" t="str">
        <f>IFERROR(__xludf.DUMMYFUNCTION("""COMPUTED_VALUE"""),"Uncle Sams Cider (11/12/2021) (Blue)")</f>
        <v>Uncle Sams Cider (11/12/2021) (Blue)</v>
      </c>
      <c r="H1619" s="19"/>
    </row>
    <row r="1620">
      <c r="A1620" s="9"/>
      <c r="B1620" s="15"/>
      <c r="C1620" s="9">
        <f>IFERROR(__xludf.DUMMYFUNCTION("""COMPUTED_VALUE"""),44588.6792022685)</f>
        <v>44588.6792</v>
      </c>
      <c r="D1620" s="15">
        <f>IFERROR(__xludf.DUMMYFUNCTION("""COMPUTED_VALUE"""),1.001)</f>
        <v>1.001</v>
      </c>
      <c r="E1620" s="16">
        <f>IFERROR(__xludf.DUMMYFUNCTION("""COMPUTED_VALUE"""),64.0)</f>
        <v>64</v>
      </c>
      <c r="F1620" s="19" t="str">
        <f>IFERROR(__xludf.DUMMYFUNCTION("""COMPUTED_VALUE"""),"BLUE")</f>
        <v>BLUE</v>
      </c>
      <c r="G1620" s="20" t="str">
        <f>IFERROR(__xludf.DUMMYFUNCTION("""COMPUTED_VALUE"""),"Uncle Sams Cider (11/12/2021) (Blue)")</f>
        <v>Uncle Sams Cider (11/12/2021) (Blue)</v>
      </c>
      <c r="H1620" s="19"/>
    </row>
    <row r="1621">
      <c r="A1621" s="9"/>
      <c r="B1621" s="15"/>
      <c r="C1621" s="9">
        <f>IFERROR(__xludf.DUMMYFUNCTION("""COMPUTED_VALUE"""),44588.6687804398)</f>
        <v>44588.66878</v>
      </c>
      <c r="D1621" s="15">
        <f>IFERROR(__xludf.DUMMYFUNCTION("""COMPUTED_VALUE"""),1.0)</f>
        <v>1</v>
      </c>
      <c r="E1621" s="16">
        <f>IFERROR(__xludf.DUMMYFUNCTION("""COMPUTED_VALUE"""),64.0)</f>
        <v>64</v>
      </c>
      <c r="F1621" s="19" t="str">
        <f>IFERROR(__xludf.DUMMYFUNCTION("""COMPUTED_VALUE"""),"BLUE")</f>
        <v>BLUE</v>
      </c>
      <c r="G1621" s="20" t="str">
        <f>IFERROR(__xludf.DUMMYFUNCTION("""COMPUTED_VALUE"""),"Uncle Sams Cider (11/12/2021) (Blue)")</f>
        <v>Uncle Sams Cider (11/12/2021) (Blue)</v>
      </c>
      <c r="H1621" s="19"/>
    </row>
    <row r="1622">
      <c r="A1622" s="9"/>
      <c r="B1622" s="15"/>
      <c r="C1622" s="9">
        <f>IFERROR(__xludf.DUMMYFUNCTION("""COMPUTED_VALUE"""),44588.6583580208)</f>
        <v>44588.65836</v>
      </c>
      <c r="D1622" s="15">
        <f>IFERROR(__xludf.DUMMYFUNCTION("""COMPUTED_VALUE"""),1.001)</f>
        <v>1.001</v>
      </c>
      <c r="E1622" s="16">
        <f>IFERROR(__xludf.DUMMYFUNCTION("""COMPUTED_VALUE"""),64.0)</f>
        <v>64</v>
      </c>
      <c r="F1622" s="19" t="str">
        <f>IFERROR(__xludf.DUMMYFUNCTION("""COMPUTED_VALUE"""),"BLUE")</f>
        <v>BLUE</v>
      </c>
      <c r="G1622" s="20" t="str">
        <f>IFERROR(__xludf.DUMMYFUNCTION("""COMPUTED_VALUE"""),"Uncle Sams Cider (11/12/2021) (Blue)")</f>
        <v>Uncle Sams Cider (11/12/2021) (Blue)</v>
      </c>
      <c r="H1622" s="19"/>
    </row>
    <row r="1623">
      <c r="A1623" s="9"/>
      <c r="B1623" s="15"/>
      <c r="C1623" s="9">
        <f>IFERROR(__xludf.DUMMYFUNCTION("""COMPUTED_VALUE"""),44588.6479371064)</f>
        <v>44588.64794</v>
      </c>
      <c r="D1623" s="15">
        <f>IFERROR(__xludf.DUMMYFUNCTION("""COMPUTED_VALUE"""),1.0)</f>
        <v>1</v>
      </c>
      <c r="E1623" s="16">
        <f>IFERROR(__xludf.DUMMYFUNCTION("""COMPUTED_VALUE"""),64.0)</f>
        <v>64</v>
      </c>
      <c r="F1623" s="19" t="str">
        <f>IFERROR(__xludf.DUMMYFUNCTION("""COMPUTED_VALUE"""),"BLUE")</f>
        <v>BLUE</v>
      </c>
      <c r="G1623" s="20" t="str">
        <f>IFERROR(__xludf.DUMMYFUNCTION("""COMPUTED_VALUE"""),"Uncle Sams Cider (11/12/2021) (Blue)")</f>
        <v>Uncle Sams Cider (11/12/2021) (Blue)</v>
      </c>
      <c r="H1623" s="19"/>
    </row>
    <row r="1624">
      <c r="A1624" s="9"/>
      <c r="B1624" s="15"/>
      <c r="C1624" s="9">
        <f>IFERROR(__xludf.DUMMYFUNCTION("""COMPUTED_VALUE"""),44588.637471331)</f>
        <v>44588.63747</v>
      </c>
      <c r="D1624" s="15">
        <f>IFERROR(__xludf.DUMMYFUNCTION("""COMPUTED_VALUE"""),1.0)</f>
        <v>1</v>
      </c>
      <c r="E1624" s="16">
        <f>IFERROR(__xludf.DUMMYFUNCTION("""COMPUTED_VALUE"""),64.0)</f>
        <v>64</v>
      </c>
      <c r="F1624" s="19" t="str">
        <f>IFERROR(__xludf.DUMMYFUNCTION("""COMPUTED_VALUE"""),"BLUE")</f>
        <v>BLUE</v>
      </c>
      <c r="G1624" s="20" t="str">
        <f>IFERROR(__xludf.DUMMYFUNCTION("""COMPUTED_VALUE"""),"Uncle Sams Cider (11/12/2021) (Blue)")</f>
        <v>Uncle Sams Cider (11/12/2021) (Blue)</v>
      </c>
      <c r="H1624" s="19"/>
    </row>
    <row r="1625">
      <c r="A1625" s="9"/>
      <c r="B1625" s="15"/>
      <c r="C1625" s="9">
        <f>IFERROR(__xludf.DUMMYFUNCTION("""COMPUTED_VALUE"""),44588.6270509953)</f>
        <v>44588.62705</v>
      </c>
      <c r="D1625" s="15">
        <f>IFERROR(__xludf.DUMMYFUNCTION("""COMPUTED_VALUE"""),1.001)</f>
        <v>1.001</v>
      </c>
      <c r="E1625" s="16">
        <f>IFERROR(__xludf.DUMMYFUNCTION("""COMPUTED_VALUE"""),64.0)</f>
        <v>64</v>
      </c>
      <c r="F1625" s="19" t="str">
        <f>IFERROR(__xludf.DUMMYFUNCTION("""COMPUTED_VALUE"""),"BLUE")</f>
        <v>BLUE</v>
      </c>
      <c r="G1625" s="20" t="str">
        <f>IFERROR(__xludf.DUMMYFUNCTION("""COMPUTED_VALUE"""),"Uncle Sams Cider (11/12/2021) (Blue)")</f>
        <v>Uncle Sams Cider (11/12/2021) (Blue)</v>
      </c>
      <c r="H1625" s="19"/>
    </row>
    <row r="1626">
      <c r="A1626" s="9"/>
      <c r="B1626" s="15"/>
      <c r="C1626" s="9">
        <f>IFERROR(__xludf.DUMMYFUNCTION("""COMPUTED_VALUE"""),44588.616630868)</f>
        <v>44588.61663</v>
      </c>
      <c r="D1626" s="15">
        <f>IFERROR(__xludf.DUMMYFUNCTION("""COMPUTED_VALUE"""),1.0)</f>
        <v>1</v>
      </c>
      <c r="E1626" s="16">
        <f>IFERROR(__xludf.DUMMYFUNCTION("""COMPUTED_VALUE"""),64.0)</f>
        <v>64</v>
      </c>
      <c r="F1626" s="19" t="str">
        <f>IFERROR(__xludf.DUMMYFUNCTION("""COMPUTED_VALUE"""),"BLUE")</f>
        <v>BLUE</v>
      </c>
      <c r="G1626" s="20" t="str">
        <f>IFERROR(__xludf.DUMMYFUNCTION("""COMPUTED_VALUE"""),"Uncle Sams Cider (11/12/2021) (Blue)")</f>
        <v>Uncle Sams Cider (11/12/2021) (Blue)</v>
      </c>
      <c r="H1626" s="19"/>
    </row>
    <row r="1627">
      <c r="A1627" s="9"/>
      <c r="B1627" s="15"/>
      <c r="C1627" s="9">
        <f>IFERROR(__xludf.DUMMYFUNCTION("""COMPUTED_VALUE"""),44588.6061979629)</f>
        <v>44588.6062</v>
      </c>
      <c r="D1627" s="15">
        <f>IFERROR(__xludf.DUMMYFUNCTION("""COMPUTED_VALUE"""),1.001)</f>
        <v>1.001</v>
      </c>
      <c r="E1627" s="16">
        <f>IFERROR(__xludf.DUMMYFUNCTION("""COMPUTED_VALUE"""),64.0)</f>
        <v>64</v>
      </c>
      <c r="F1627" s="19" t="str">
        <f>IFERROR(__xludf.DUMMYFUNCTION("""COMPUTED_VALUE"""),"BLUE")</f>
        <v>BLUE</v>
      </c>
      <c r="G1627" s="20" t="str">
        <f>IFERROR(__xludf.DUMMYFUNCTION("""COMPUTED_VALUE"""),"Uncle Sams Cider (11/12/2021) (Blue)")</f>
        <v>Uncle Sams Cider (11/12/2021) (Blue)</v>
      </c>
      <c r="H1627" s="19"/>
    </row>
    <row r="1628">
      <c r="A1628" s="9"/>
      <c r="B1628" s="15"/>
      <c r="C1628" s="9">
        <f>IFERROR(__xludf.DUMMYFUNCTION("""COMPUTED_VALUE"""),44588.5957751851)</f>
        <v>44588.59578</v>
      </c>
      <c r="D1628" s="15">
        <f>IFERROR(__xludf.DUMMYFUNCTION("""COMPUTED_VALUE"""),1.001)</f>
        <v>1.001</v>
      </c>
      <c r="E1628" s="16">
        <f>IFERROR(__xludf.DUMMYFUNCTION("""COMPUTED_VALUE"""),64.0)</f>
        <v>64</v>
      </c>
      <c r="F1628" s="19" t="str">
        <f>IFERROR(__xludf.DUMMYFUNCTION("""COMPUTED_VALUE"""),"BLUE")</f>
        <v>BLUE</v>
      </c>
      <c r="G1628" s="20" t="str">
        <f>IFERROR(__xludf.DUMMYFUNCTION("""COMPUTED_VALUE"""),"Uncle Sams Cider (11/12/2021) (Blue)")</f>
        <v>Uncle Sams Cider (11/12/2021) (Blue)</v>
      </c>
      <c r="H1628" s="19"/>
    </row>
    <row r="1629">
      <c r="A1629" s="9"/>
      <c r="B1629" s="15"/>
      <c r="C1629" s="9">
        <f>IFERROR(__xludf.DUMMYFUNCTION("""COMPUTED_VALUE"""),44588.585355162)</f>
        <v>44588.58536</v>
      </c>
      <c r="D1629" s="15">
        <f>IFERROR(__xludf.DUMMYFUNCTION("""COMPUTED_VALUE"""),1.0)</f>
        <v>1</v>
      </c>
      <c r="E1629" s="16">
        <f>IFERROR(__xludf.DUMMYFUNCTION("""COMPUTED_VALUE"""),64.0)</f>
        <v>64</v>
      </c>
      <c r="F1629" s="19" t="str">
        <f>IFERROR(__xludf.DUMMYFUNCTION("""COMPUTED_VALUE"""),"BLUE")</f>
        <v>BLUE</v>
      </c>
      <c r="G1629" s="20" t="str">
        <f>IFERROR(__xludf.DUMMYFUNCTION("""COMPUTED_VALUE"""),"Uncle Sams Cider (11/12/2021) (Blue)")</f>
        <v>Uncle Sams Cider (11/12/2021) (Blue)</v>
      </c>
      <c r="H1629" s="19"/>
    </row>
    <row r="1630">
      <c r="A1630" s="9"/>
      <c r="B1630" s="15"/>
      <c r="C1630" s="9">
        <f>IFERROR(__xludf.DUMMYFUNCTION("""COMPUTED_VALUE"""),44588.5749337499)</f>
        <v>44588.57493</v>
      </c>
      <c r="D1630" s="15">
        <f>IFERROR(__xludf.DUMMYFUNCTION("""COMPUTED_VALUE"""),1.0)</f>
        <v>1</v>
      </c>
      <c r="E1630" s="16">
        <f>IFERROR(__xludf.DUMMYFUNCTION("""COMPUTED_VALUE"""),64.0)</f>
        <v>64</v>
      </c>
      <c r="F1630" s="19" t="str">
        <f>IFERROR(__xludf.DUMMYFUNCTION("""COMPUTED_VALUE"""),"BLUE")</f>
        <v>BLUE</v>
      </c>
      <c r="G1630" s="20" t="str">
        <f>IFERROR(__xludf.DUMMYFUNCTION("""COMPUTED_VALUE"""),"Uncle Sams Cider (11/12/2021) (Blue)")</f>
        <v>Uncle Sams Cider (11/12/2021) (Blue)</v>
      </c>
      <c r="H1630" s="19"/>
    </row>
    <row r="1631">
      <c r="A1631" s="9"/>
      <c r="B1631" s="15"/>
      <c r="C1631" s="9">
        <f>IFERROR(__xludf.DUMMYFUNCTION("""COMPUTED_VALUE"""),44588.5645124884)</f>
        <v>44588.56451</v>
      </c>
      <c r="D1631" s="15">
        <f>IFERROR(__xludf.DUMMYFUNCTION("""COMPUTED_VALUE"""),1.0)</f>
        <v>1</v>
      </c>
      <c r="E1631" s="16">
        <f>IFERROR(__xludf.DUMMYFUNCTION("""COMPUTED_VALUE"""),64.0)</f>
        <v>64</v>
      </c>
      <c r="F1631" s="19" t="str">
        <f>IFERROR(__xludf.DUMMYFUNCTION("""COMPUTED_VALUE"""),"BLUE")</f>
        <v>BLUE</v>
      </c>
      <c r="G1631" s="20" t="str">
        <f>IFERROR(__xludf.DUMMYFUNCTION("""COMPUTED_VALUE"""),"Uncle Sams Cider (11/12/2021) (Blue)")</f>
        <v>Uncle Sams Cider (11/12/2021) (Blue)</v>
      </c>
      <c r="H1631" s="19"/>
    </row>
    <row r="1632">
      <c r="A1632" s="9"/>
      <c r="B1632" s="15"/>
      <c r="C1632" s="9">
        <f>IFERROR(__xludf.DUMMYFUNCTION("""COMPUTED_VALUE"""),44588.5540916666)</f>
        <v>44588.55409</v>
      </c>
      <c r="D1632" s="15">
        <f>IFERROR(__xludf.DUMMYFUNCTION("""COMPUTED_VALUE"""),1.001)</f>
        <v>1.001</v>
      </c>
      <c r="E1632" s="16">
        <f>IFERROR(__xludf.DUMMYFUNCTION("""COMPUTED_VALUE"""),64.0)</f>
        <v>64</v>
      </c>
      <c r="F1632" s="19" t="str">
        <f>IFERROR(__xludf.DUMMYFUNCTION("""COMPUTED_VALUE"""),"BLUE")</f>
        <v>BLUE</v>
      </c>
      <c r="G1632" s="20" t="str">
        <f>IFERROR(__xludf.DUMMYFUNCTION("""COMPUTED_VALUE"""),"Uncle Sams Cider (11/12/2021) (Blue)")</f>
        <v>Uncle Sams Cider (11/12/2021) (Blue)</v>
      </c>
      <c r="H1632" s="19"/>
    </row>
    <row r="1633">
      <c r="A1633" s="9"/>
      <c r="B1633" s="15"/>
      <c r="C1633" s="9">
        <f>IFERROR(__xludf.DUMMYFUNCTION("""COMPUTED_VALUE"""),44588.5436712615)</f>
        <v>44588.54367</v>
      </c>
      <c r="D1633" s="15">
        <f>IFERROR(__xludf.DUMMYFUNCTION("""COMPUTED_VALUE"""),1.001)</f>
        <v>1.001</v>
      </c>
      <c r="E1633" s="16">
        <f>IFERROR(__xludf.DUMMYFUNCTION("""COMPUTED_VALUE"""),64.0)</f>
        <v>64</v>
      </c>
      <c r="F1633" s="19" t="str">
        <f>IFERROR(__xludf.DUMMYFUNCTION("""COMPUTED_VALUE"""),"BLUE")</f>
        <v>BLUE</v>
      </c>
      <c r="G1633" s="20" t="str">
        <f>IFERROR(__xludf.DUMMYFUNCTION("""COMPUTED_VALUE"""),"Uncle Sams Cider (11/12/2021) (Blue)")</f>
        <v>Uncle Sams Cider (11/12/2021) (Blue)</v>
      </c>
      <c r="H1633" s="19"/>
    </row>
    <row r="1634">
      <c r="A1634" s="9"/>
      <c r="B1634" s="15"/>
      <c r="C1634" s="9">
        <f>IFERROR(__xludf.DUMMYFUNCTION("""COMPUTED_VALUE"""),44588.5332389699)</f>
        <v>44588.53324</v>
      </c>
      <c r="D1634" s="15">
        <f>IFERROR(__xludf.DUMMYFUNCTION("""COMPUTED_VALUE"""),1.0)</f>
        <v>1</v>
      </c>
      <c r="E1634" s="16">
        <f>IFERROR(__xludf.DUMMYFUNCTION("""COMPUTED_VALUE"""),64.0)</f>
        <v>64</v>
      </c>
      <c r="F1634" s="19" t="str">
        <f>IFERROR(__xludf.DUMMYFUNCTION("""COMPUTED_VALUE"""),"BLUE")</f>
        <v>BLUE</v>
      </c>
      <c r="G1634" s="20" t="str">
        <f>IFERROR(__xludf.DUMMYFUNCTION("""COMPUTED_VALUE"""),"Uncle Sams Cider (11/12/2021) (Blue)")</f>
        <v>Uncle Sams Cider (11/12/2021) (Blue)</v>
      </c>
      <c r="H1634" s="19"/>
    </row>
    <row r="1635">
      <c r="A1635" s="9"/>
      <c r="B1635" s="15"/>
      <c r="C1635" s="9">
        <f>IFERROR(__xludf.DUMMYFUNCTION("""COMPUTED_VALUE"""),44588.522807743)</f>
        <v>44588.52281</v>
      </c>
      <c r="D1635" s="15">
        <f>IFERROR(__xludf.DUMMYFUNCTION("""COMPUTED_VALUE"""),1.0)</f>
        <v>1</v>
      </c>
      <c r="E1635" s="16">
        <f>IFERROR(__xludf.DUMMYFUNCTION("""COMPUTED_VALUE"""),65.0)</f>
        <v>65</v>
      </c>
      <c r="F1635" s="19" t="str">
        <f>IFERROR(__xludf.DUMMYFUNCTION("""COMPUTED_VALUE"""),"BLUE")</f>
        <v>BLUE</v>
      </c>
      <c r="G1635" s="20" t="str">
        <f>IFERROR(__xludf.DUMMYFUNCTION("""COMPUTED_VALUE"""),"Uncle Sams Cider (11/12/2021) (Blue)")</f>
        <v>Uncle Sams Cider (11/12/2021) (Blue)</v>
      </c>
      <c r="H1635" s="19"/>
    </row>
    <row r="1636">
      <c r="A1636" s="9"/>
      <c r="B1636" s="15"/>
      <c r="C1636" s="9">
        <f>IFERROR(__xludf.DUMMYFUNCTION("""COMPUTED_VALUE"""),44588.5123757754)</f>
        <v>44588.51238</v>
      </c>
      <c r="D1636" s="15">
        <f>IFERROR(__xludf.DUMMYFUNCTION("""COMPUTED_VALUE"""),1.001)</f>
        <v>1.001</v>
      </c>
      <c r="E1636" s="16">
        <f>IFERROR(__xludf.DUMMYFUNCTION("""COMPUTED_VALUE"""),65.0)</f>
        <v>65</v>
      </c>
      <c r="F1636" s="19" t="str">
        <f>IFERROR(__xludf.DUMMYFUNCTION("""COMPUTED_VALUE"""),"BLUE")</f>
        <v>BLUE</v>
      </c>
      <c r="G1636" s="20" t="str">
        <f>IFERROR(__xludf.DUMMYFUNCTION("""COMPUTED_VALUE"""),"Uncle Sams Cider (11/12/2021) (Blue)")</f>
        <v>Uncle Sams Cider (11/12/2021) (Blue)</v>
      </c>
      <c r="H1636" s="19"/>
    </row>
    <row r="1637">
      <c r="A1637" s="9"/>
      <c r="B1637" s="15"/>
      <c r="C1637" s="9">
        <f>IFERROR(__xludf.DUMMYFUNCTION("""COMPUTED_VALUE"""),44588.5019526851)</f>
        <v>44588.50195</v>
      </c>
      <c r="D1637" s="15">
        <f>IFERROR(__xludf.DUMMYFUNCTION("""COMPUTED_VALUE"""),1.001)</f>
        <v>1.001</v>
      </c>
      <c r="E1637" s="16">
        <f>IFERROR(__xludf.DUMMYFUNCTION("""COMPUTED_VALUE"""),65.0)</f>
        <v>65</v>
      </c>
      <c r="F1637" s="19" t="str">
        <f>IFERROR(__xludf.DUMMYFUNCTION("""COMPUTED_VALUE"""),"BLUE")</f>
        <v>BLUE</v>
      </c>
      <c r="G1637" s="20" t="str">
        <f>IFERROR(__xludf.DUMMYFUNCTION("""COMPUTED_VALUE"""),"Uncle Sams Cider (11/12/2021) (Blue)")</f>
        <v>Uncle Sams Cider (11/12/2021) (Blue)</v>
      </c>
      <c r="H1637" s="19"/>
    </row>
    <row r="1638">
      <c r="A1638" s="9"/>
      <c r="B1638" s="15"/>
      <c r="C1638" s="9">
        <f>IFERROR(__xludf.DUMMYFUNCTION("""COMPUTED_VALUE"""),44588.4915315972)</f>
        <v>44588.49153</v>
      </c>
      <c r="D1638" s="15">
        <f>IFERROR(__xludf.DUMMYFUNCTION("""COMPUTED_VALUE"""),1.0)</f>
        <v>1</v>
      </c>
      <c r="E1638" s="16">
        <f>IFERROR(__xludf.DUMMYFUNCTION("""COMPUTED_VALUE"""),65.0)</f>
        <v>65</v>
      </c>
      <c r="F1638" s="19" t="str">
        <f>IFERROR(__xludf.DUMMYFUNCTION("""COMPUTED_VALUE"""),"BLUE")</f>
        <v>BLUE</v>
      </c>
      <c r="G1638" s="20" t="str">
        <f>IFERROR(__xludf.DUMMYFUNCTION("""COMPUTED_VALUE"""),"Uncle Sams Cider (11/12/2021) (Blue)")</f>
        <v>Uncle Sams Cider (11/12/2021) (Blue)</v>
      </c>
      <c r="H1638" s="19"/>
    </row>
    <row r="1639">
      <c r="A1639" s="9"/>
      <c r="B1639" s="15"/>
      <c r="C1639" s="9">
        <f>IFERROR(__xludf.DUMMYFUNCTION("""COMPUTED_VALUE"""),44588.4811102083)</f>
        <v>44588.48111</v>
      </c>
      <c r="D1639" s="15">
        <f>IFERROR(__xludf.DUMMYFUNCTION("""COMPUTED_VALUE"""),1.001)</f>
        <v>1.001</v>
      </c>
      <c r="E1639" s="16">
        <f>IFERROR(__xludf.DUMMYFUNCTION("""COMPUTED_VALUE"""),65.0)</f>
        <v>65</v>
      </c>
      <c r="F1639" s="19" t="str">
        <f>IFERROR(__xludf.DUMMYFUNCTION("""COMPUTED_VALUE"""),"BLUE")</f>
        <v>BLUE</v>
      </c>
      <c r="G1639" s="20" t="str">
        <f>IFERROR(__xludf.DUMMYFUNCTION("""COMPUTED_VALUE"""),"Uncle Sams Cider (11/12/2021) (Blue)")</f>
        <v>Uncle Sams Cider (11/12/2021) (Blue)</v>
      </c>
      <c r="H1639" s="19"/>
    </row>
    <row r="1640">
      <c r="A1640" s="9"/>
      <c r="B1640" s="15"/>
      <c r="C1640" s="9">
        <f>IFERROR(__xludf.DUMMYFUNCTION("""COMPUTED_VALUE"""),44588.4706898263)</f>
        <v>44588.47069</v>
      </c>
      <c r="D1640" s="15">
        <f>IFERROR(__xludf.DUMMYFUNCTION("""COMPUTED_VALUE"""),1.0)</f>
        <v>1</v>
      </c>
      <c r="E1640" s="16">
        <f>IFERROR(__xludf.DUMMYFUNCTION("""COMPUTED_VALUE"""),65.0)</f>
        <v>65</v>
      </c>
      <c r="F1640" s="19" t="str">
        <f>IFERROR(__xludf.DUMMYFUNCTION("""COMPUTED_VALUE"""),"BLUE")</f>
        <v>BLUE</v>
      </c>
      <c r="G1640" s="20" t="str">
        <f>IFERROR(__xludf.DUMMYFUNCTION("""COMPUTED_VALUE"""),"Uncle Sams Cider (11/12/2021) (Blue)")</f>
        <v>Uncle Sams Cider (11/12/2021) (Blue)</v>
      </c>
      <c r="H1640" s="19"/>
    </row>
    <row r="1641">
      <c r="A1641" s="9"/>
      <c r="B1641" s="15"/>
      <c r="C1641" s="9">
        <f>IFERROR(__xludf.DUMMYFUNCTION("""COMPUTED_VALUE"""),44588.4602720833)</f>
        <v>44588.46027</v>
      </c>
      <c r="D1641" s="15">
        <f>IFERROR(__xludf.DUMMYFUNCTION("""COMPUTED_VALUE"""),1.001)</f>
        <v>1.001</v>
      </c>
      <c r="E1641" s="16">
        <f>IFERROR(__xludf.DUMMYFUNCTION("""COMPUTED_VALUE"""),65.0)</f>
        <v>65</v>
      </c>
      <c r="F1641" s="19" t="str">
        <f>IFERROR(__xludf.DUMMYFUNCTION("""COMPUTED_VALUE"""),"BLUE")</f>
        <v>BLUE</v>
      </c>
      <c r="G1641" s="20" t="str">
        <f>IFERROR(__xludf.DUMMYFUNCTION("""COMPUTED_VALUE"""),"Uncle Sams Cider (11/12/2021) (Blue)")</f>
        <v>Uncle Sams Cider (11/12/2021) (Blue)</v>
      </c>
      <c r="H1641" s="19"/>
    </row>
    <row r="1642">
      <c r="A1642" s="9"/>
      <c r="B1642" s="15"/>
      <c r="C1642" s="9">
        <f>IFERROR(__xludf.DUMMYFUNCTION("""COMPUTED_VALUE"""),44588.4498507638)</f>
        <v>44588.44985</v>
      </c>
      <c r="D1642" s="15">
        <f>IFERROR(__xludf.DUMMYFUNCTION("""COMPUTED_VALUE"""),1.0)</f>
        <v>1</v>
      </c>
      <c r="E1642" s="16">
        <f>IFERROR(__xludf.DUMMYFUNCTION("""COMPUTED_VALUE"""),65.0)</f>
        <v>65</v>
      </c>
      <c r="F1642" s="19" t="str">
        <f>IFERROR(__xludf.DUMMYFUNCTION("""COMPUTED_VALUE"""),"BLUE")</f>
        <v>BLUE</v>
      </c>
      <c r="G1642" s="20" t="str">
        <f>IFERROR(__xludf.DUMMYFUNCTION("""COMPUTED_VALUE"""),"Uncle Sams Cider (11/12/2021) (Blue)")</f>
        <v>Uncle Sams Cider (11/12/2021) (Blue)</v>
      </c>
      <c r="H1642" s="19"/>
    </row>
    <row r="1643">
      <c r="A1643" s="9"/>
      <c r="B1643" s="15"/>
      <c r="C1643" s="9">
        <f>IFERROR(__xludf.DUMMYFUNCTION("""COMPUTED_VALUE"""),44588.4394293981)</f>
        <v>44588.43943</v>
      </c>
      <c r="D1643" s="15">
        <f>IFERROR(__xludf.DUMMYFUNCTION("""COMPUTED_VALUE"""),1.001)</f>
        <v>1.001</v>
      </c>
      <c r="E1643" s="16">
        <f>IFERROR(__xludf.DUMMYFUNCTION("""COMPUTED_VALUE"""),65.0)</f>
        <v>65</v>
      </c>
      <c r="F1643" s="19" t="str">
        <f>IFERROR(__xludf.DUMMYFUNCTION("""COMPUTED_VALUE"""),"BLUE")</f>
        <v>BLUE</v>
      </c>
      <c r="G1643" s="20" t="str">
        <f>IFERROR(__xludf.DUMMYFUNCTION("""COMPUTED_VALUE"""),"Uncle Sams Cider (11/12/2021) (Blue)")</f>
        <v>Uncle Sams Cider (11/12/2021) (Blue)</v>
      </c>
      <c r="H1643" s="19"/>
    </row>
    <row r="1644">
      <c r="A1644" s="9"/>
      <c r="B1644" s="15"/>
      <c r="C1644" s="9">
        <f>IFERROR(__xludf.DUMMYFUNCTION("""COMPUTED_VALUE"""),44588.4289955208)</f>
        <v>44588.429</v>
      </c>
      <c r="D1644" s="15">
        <f>IFERROR(__xludf.DUMMYFUNCTION("""COMPUTED_VALUE"""),1.001)</f>
        <v>1.001</v>
      </c>
      <c r="E1644" s="16">
        <f>IFERROR(__xludf.DUMMYFUNCTION("""COMPUTED_VALUE"""),65.0)</f>
        <v>65</v>
      </c>
      <c r="F1644" s="19" t="str">
        <f>IFERROR(__xludf.DUMMYFUNCTION("""COMPUTED_VALUE"""),"BLUE")</f>
        <v>BLUE</v>
      </c>
      <c r="G1644" s="20" t="str">
        <f>IFERROR(__xludf.DUMMYFUNCTION("""COMPUTED_VALUE"""),"Uncle Sams Cider (11/12/2021) (Blue)")</f>
        <v>Uncle Sams Cider (11/12/2021) (Blue)</v>
      </c>
      <c r="H1644" s="19"/>
    </row>
    <row r="1645">
      <c r="A1645" s="9"/>
      <c r="B1645" s="15"/>
      <c r="C1645" s="9">
        <f>IFERROR(__xludf.DUMMYFUNCTION("""COMPUTED_VALUE"""),44588.4185744907)</f>
        <v>44588.41857</v>
      </c>
      <c r="D1645" s="15">
        <f>IFERROR(__xludf.DUMMYFUNCTION("""COMPUTED_VALUE"""),1.001)</f>
        <v>1.001</v>
      </c>
      <c r="E1645" s="16">
        <f>IFERROR(__xludf.DUMMYFUNCTION("""COMPUTED_VALUE"""),65.0)</f>
        <v>65</v>
      </c>
      <c r="F1645" s="19" t="str">
        <f>IFERROR(__xludf.DUMMYFUNCTION("""COMPUTED_VALUE"""),"BLUE")</f>
        <v>BLUE</v>
      </c>
      <c r="G1645" s="20" t="str">
        <f>IFERROR(__xludf.DUMMYFUNCTION("""COMPUTED_VALUE"""),"Uncle Sams Cider (11/12/2021) (Blue)")</f>
        <v>Uncle Sams Cider (11/12/2021) (Blue)</v>
      </c>
      <c r="H1645" s="19"/>
    </row>
    <row r="1646">
      <c r="A1646" s="9"/>
      <c r="B1646" s="15"/>
      <c r="C1646" s="9">
        <f>IFERROR(__xludf.DUMMYFUNCTION("""COMPUTED_VALUE"""),44588.4081536574)</f>
        <v>44588.40815</v>
      </c>
      <c r="D1646" s="15">
        <f>IFERROR(__xludf.DUMMYFUNCTION("""COMPUTED_VALUE"""),1.0)</f>
        <v>1</v>
      </c>
      <c r="E1646" s="16">
        <f>IFERROR(__xludf.DUMMYFUNCTION("""COMPUTED_VALUE"""),65.0)</f>
        <v>65</v>
      </c>
      <c r="F1646" s="19" t="str">
        <f>IFERROR(__xludf.DUMMYFUNCTION("""COMPUTED_VALUE"""),"BLUE")</f>
        <v>BLUE</v>
      </c>
      <c r="G1646" s="20" t="str">
        <f>IFERROR(__xludf.DUMMYFUNCTION("""COMPUTED_VALUE"""),"Uncle Sams Cider (11/12/2021) (Blue)")</f>
        <v>Uncle Sams Cider (11/12/2021) (Blue)</v>
      </c>
      <c r="H1646" s="19"/>
    </row>
    <row r="1647">
      <c r="A1647" s="9"/>
      <c r="B1647" s="15"/>
      <c r="C1647" s="9">
        <f>IFERROR(__xludf.DUMMYFUNCTION("""COMPUTED_VALUE"""),44588.3977318518)</f>
        <v>44588.39773</v>
      </c>
      <c r="D1647" s="15">
        <f>IFERROR(__xludf.DUMMYFUNCTION("""COMPUTED_VALUE"""),1.001)</f>
        <v>1.001</v>
      </c>
      <c r="E1647" s="16">
        <f>IFERROR(__xludf.DUMMYFUNCTION("""COMPUTED_VALUE"""),65.0)</f>
        <v>65</v>
      </c>
      <c r="F1647" s="19" t="str">
        <f>IFERROR(__xludf.DUMMYFUNCTION("""COMPUTED_VALUE"""),"BLUE")</f>
        <v>BLUE</v>
      </c>
      <c r="G1647" s="20" t="str">
        <f>IFERROR(__xludf.DUMMYFUNCTION("""COMPUTED_VALUE"""),"Uncle Sams Cider (11/12/2021) (Blue)")</f>
        <v>Uncle Sams Cider (11/12/2021) (Blue)</v>
      </c>
      <c r="H1647" s="19"/>
    </row>
    <row r="1648">
      <c r="A1648" s="9"/>
      <c r="B1648" s="15"/>
      <c r="C1648" s="9">
        <f>IFERROR(__xludf.DUMMYFUNCTION("""COMPUTED_VALUE"""),44588.387299618)</f>
        <v>44588.3873</v>
      </c>
      <c r="D1648" s="15">
        <f>IFERROR(__xludf.DUMMYFUNCTION("""COMPUTED_VALUE"""),1.0)</f>
        <v>1</v>
      </c>
      <c r="E1648" s="16">
        <f>IFERROR(__xludf.DUMMYFUNCTION("""COMPUTED_VALUE"""),65.0)</f>
        <v>65</v>
      </c>
      <c r="F1648" s="19" t="str">
        <f>IFERROR(__xludf.DUMMYFUNCTION("""COMPUTED_VALUE"""),"BLUE")</f>
        <v>BLUE</v>
      </c>
      <c r="G1648" s="20" t="str">
        <f>IFERROR(__xludf.DUMMYFUNCTION("""COMPUTED_VALUE"""),"Uncle Sams Cider (11/12/2021) (Blue)")</f>
        <v>Uncle Sams Cider (11/12/2021) (Blue)</v>
      </c>
      <c r="H1648" s="19"/>
    </row>
    <row r="1649">
      <c r="A1649" s="9"/>
      <c r="B1649" s="15"/>
      <c r="C1649" s="9">
        <f>IFERROR(__xludf.DUMMYFUNCTION("""COMPUTED_VALUE"""),44588.3768797685)</f>
        <v>44588.37688</v>
      </c>
      <c r="D1649" s="15">
        <f>IFERROR(__xludf.DUMMYFUNCTION("""COMPUTED_VALUE"""),1.001)</f>
        <v>1.001</v>
      </c>
      <c r="E1649" s="16">
        <f>IFERROR(__xludf.DUMMYFUNCTION("""COMPUTED_VALUE"""),65.0)</f>
        <v>65</v>
      </c>
      <c r="F1649" s="19" t="str">
        <f>IFERROR(__xludf.DUMMYFUNCTION("""COMPUTED_VALUE"""),"BLUE")</f>
        <v>BLUE</v>
      </c>
      <c r="G1649" s="20" t="str">
        <f>IFERROR(__xludf.DUMMYFUNCTION("""COMPUTED_VALUE"""),"Uncle Sams Cider (11/12/2021) (Blue)")</f>
        <v>Uncle Sams Cider (11/12/2021) (Blue)</v>
      </c>
      <c r="H1649" s="19"/>
    </row>
    <row r="1650">
      <c r="A1650" s="9"/>
      <c r="B1650" s="15"/>
      <c r="C1650" s="9">
        <f>IFERROR(__xludf.DUMMYFUNCTION("""COMPUTED_VALUE"""),44588.3664591898)</f>
        <v>44588.36646</v>
      </c>
      <c r="D1650" s="15">
        <f>IFERROR(__xludf.DUMMYFUNCTION("""COMPUTED_VALUE"""),1.0)</f>
        <v>1</v>
      </c>
      <c r="E1650" s="16">
        <f>IFERROR(__xludf.DUMMYFUNCTION("""COMPUTED_VALUE"""),65.0)</f>
        <v>65</v>
      </c>
      <c r="F1650" s="19" t="str">
        <f>IFERROR(__xludf.DUMMYFUNCTION("""COMPUTED_VALUE"""),"BLUE")</f>
        <v>BLUE</v>
      </c>
      <c r="G1650" s="20" t="str">
        <f>IFERROR(__xludf.DUMMYFUNCTION("""COMPUTED_VALUE"""),"Uncle Sams Cider (11/12/2021) (Blue)")</f>
        <v>Uncle Sams Cider (11/12/2021) (Blue)</v>
      </c>
      <c r="H1650" s="19"/>
    </row>
    <row r="1651">
      <c r="A1651" s="9"/>
      <c r="B1651" s="15"/>
      <c r="C1651" s="9">
        <f>IFERROR(__xludf.DUMMYFUNCTION("""COMPUTED_VALUE"""),44588.3560382291)</f>
        <v>44588.35604</v>
      </c>
      <c r="D1651" s="15">
        <f>IFERROR(__xludf.DUMMYFUNCTION("""COMPUTED_VALUE"""),1.0)</f>
        <v>1</v>
      </c>
      <c r="E1651" s="16">
        <f>IFERROR(__xludf.DUMMYFUNCTION("""COMPUTED_VALUE"""),65.0)</f>
        <v>65</v>
      </c>
      <c r="F1651" s="19" t="str">
        <f>IFERROR(__xludf.DUMMYFUNCTION("""COMPUTED_VALUE"""),"BLUE")</f>
        <v>BLUE</v>
      </c>
      <c r="G1651" s="20" t="str">
        <f>IFERROR(__xludf.DUMMYFUNCTION("""COMPUTED_VALUE"""),"Uncle Sams Cider (11/12/2021) (Blue)")</f>
        <v>Uncle Sams Cider (11/12/2021) (Blue)</v>
      </c>
      <c r="H1651" s="19"/>
    </row>
    <row r="1652">
      <c r="A1652" s="9"/>
      <c r="B1652" s="15"/>
      <c r="C1652" s="9">
        <f>IFERROR(__xludf.DUMMYFUNCTION("""COMPUTED_VALUE"""),44588.3455938888)</f>
        <v>44588.34559</v>
      </c>
      <c r="D1652" s="15">
        <f>IFERROR(__xludf.DUMMYFUNCTION("""COMPUTED_VALUE"""),1.0)</f>
        <v>1</v>
      </c>
      <c r="E1652" s="16">
        <f>IFERROR(__xludf.DUMMYFUNCTION("""COMPUTED_VALUE"""),65.0)</f>
        <v>65</v>
      </c>
      <c r="F1652" s="19" t="str">
        <f>IFERROR(__xludf.DUMMYFUNCTION("""COMPUTED_VALUE"""),"BLUE")</f>
        <v>BLUE</v>
      </c>
      <c r="G1652" s="20" t="str">
        <f>IFERROR(__xludf.DUMMYFUNCTION("""COMPUTED_VALUE"""),"Uncle Sams Cider (11/12/2021) (Blue)")</f>
        <v>Uncle Sams Cider (11/12/2021) (Blue)</v>
      </c>
      <c r="H1652" s="19"/>
    </row>
    <row r="1653">
      <c r="A1653" s="9"/>
      <c r="B1653" s="15"/>
      <c r="C1653" s="9">
        <f>IFERROR(__xludf.DUMMYFUNCTION("""COMPUTED_VALUE"""),44588.3351709606)</f>
        <v>44588.33517</v>
      </c>
      <c r="D1653" s="15">
        <f>IFERROR(__xludf.DUMMYFUNCTION("""COMPUTED_VALUE"""),1.001)</f>
        <v>1.001</v>
      </c>
      <c r="E1653" s="16">
        <f>IFERROR(__xludf.DUMMYFUNCTION("""COMPUTED_VALUE"""),65.0)</f>
        <v>65</v>
      </c>
      <c r="F1653" s="19" t="str">
        <f>IFERROR(__xludf.DUMMYFUNCTION("""COMPUTED_VALUE"""),"BLUE")</f>
        <v>BLUE</v>
      </c>
      <c r="G1653" s="20" t="str">
        <f>IFERROR(__xludf.DUMMYFUNCTION("""COMPUTED_VALUE"""),"Uncle Sams Cider (11/12/2021) (Blue)")</f>
        <v>Uncle Sams Cider (11/12/2021) (Blue)</v>
      </c>
      <c r="H1653" s="19"/>
    </row>
    <row r="1654">
      <c r="A1654" s="9"/>
      <c r="B1654" s="15"/>
      <c r="C1654" s="9">
        <f>IFERROR(__xludf.DUMMYFUNCTION("""COMPUTED_VALUE"""),44588.3247381134)</f>
        <v>44588.32474</v>
      </c>
      <c r="D1654" s="15">
        <f>IFERROR(__xludf.DUMMYFUNCTION("""COMPUTED_VALUE"""),1.001)</f>
        <v>1.001</v>
      </c>
      <c r="E1654" s="16">
        <f>IFERROR(__xludf.DUMMYFUNCTION("""COMPUTED_VALUE"""),65.0)</f>
        <v>65</v>
      </c>
      <c r="F1654" s="19" t="str">
        <f>IFERROR(__xludf.DUMMYFUNCTION("""COMPUTED_VALUE"""),"BLUE")</f>
        <v>BLUE</v>
      </c>
      <c r="G1654" s="20" t="str">
        <f>IFERROR(__xludf.DUMMYFUNCTION("""COMPUTED_VALUE"""),"Uncle Sams Cider (11/12/2021) (Blue)")</f>
        <v>Uncle Sams Cider (11/12/2021) (Blue)</v>
      </c>
      <c r="H1654" s="19"/>
    </row>
    <row r="1655">
      <c r="A1655" s="9"/>
      <c r="B1655" s="15"/>
      <c r="C1655" s="9">
        <f>IFERROR(__xludf.DUMMYFUNCTION("""COMPUTED_VALUE"""),44588.3143164236)</f>
        <v>44588.31432</v>
      </c>
      <c r="D1655" s="15">
        <f>IFERROR(__xludf.DUMMYFUNCTION("""COMPUTED_VALUE"""),1.0)</f>
        <v>1</v>
      </c>
      <c r="E1655" s="16">
        <f>IFERROR(__xludf.DUMMYFUNCTION("""COMPUTED_VALUE"""),65.0)</f>
        <v>65</v>
      </c>
      <c r="F1655" s="19" t="str">
        <f>IFERROR(__xludf.DUMMYFUNCTION("""COMPUTED_VALUE"""),"BLUE")</f>
        <v>BLUE</v>
      </c>
      <c r="G1655" s="20" t="str">
        <f>IFERROR(__xludf.DUMMYFUNCTION("""COMPUTED_VALUE"""),"Uncle Sams Cider (11/12/2021) (Blue)")</f>
        <v>Uncle Sams Cider (11/12/2021) (Blue)</v>
      </c>
      <c r="H1655" s="19"/>
    </row>
    <row r="1656">
      <c r="A1656" s="9"/>
      <c r="B1656" s="15"/>
      <c r="C1656" s="9">
        <f>IFERROR(__xludf.DUMMYFUNCTION("""COMPUTED_VALUE"""),44588.3038940856)</f>
        <v>44588.30389</v>
      </c>
      <c r="D1656" s="15">
        <f>IFERROR(__xludf.DUMMYFUNCTION("""COMPUTED_VALUE"""),1.0)</f>
        <v>1</v>
      </c>
      <c r="E1656" s="16">
        <f>IFERROR(__xludf.DUMMYFUNCTION("""COMPUTED_VALUE"""),65.0)</f>
        <v>65</v>
      </c>
      <c r="F1656" s="19" t="str">
        <f>IFERROR(__xludf.DUMMYFUNCTION("""COMPUTED_VALUE"""),"BLUE")</f>
        <v>BLUE</v>
      </c>
      <c r="G1656" s="20" t="str">
        <f>IFERROR(__xludf.DUMMYFUNCTION("""COMPUTED_VALUE"""),"Uncle Sams Cider (11/12/2021) (Blue)")</f>
        <v>Uncle Sams Cider (11/12/2021) (Blue)</v>
      </c>
      <c r="H1656" s="19"/>
    </row>
    <row r="1657">
      <c r="A1657" s="9"/>
      <c r="B1657" s="15"/>
      <c r="C1657" s="9">
        <f>IFERROR(__xludf.DUMMYFUNCTION("""COMPUTED_VALUE"""),44588.2934740625)</f>
        <v>44588.29347</v>
      </c>
      <c r="D1657" s="15">
        <f>IFERROR(__xludf.DUMMYFUNCTION("""COMPUTED_VALUE"""),1.0)</f>
        <v>1</v>
      </c>
      <c r="E1657" s="16">
        <f>IFERROR(__xludf.DUMMYFUNCTION("""COMPUTED_VALUE"""),65.0)</f>
        <v>65</v>
      </c>
      <c r="F1657" s="19" t="str">
        <f>IFERROR(__xludf.DUMMYFUNCTION("""COMPUTED_VALUE"""),"BLUE")</f>
        <v>BLUE</v>
      </c>
      <c r="G1657" s="20" t="str">
        <f>IFERROR(__xludf.DUMMYFUNCTION("""COMPUTED_VALUE"""),"Uncle Sams Cider (11/12/2021) (Blue)")</f>
        <v>Uncle Sams Cider (11/12/2021) (Blue)</v>
      </c>
      <c r="H1657" s="19"/>
    </row>
    <row r="1658">
      <c r="A1658" s="9"/>
      <c r="B1658" s="15"/>
      <c r="C1658" s="9">
        <f>IFERROR(__xludf.DUMMYFUNCTION("""COMPUTED_VALUE"""),44588.2830531712)</f>
        <v>44588.28305</v>
      </c>
      <c r="D1658" s="15">
        <f>IFERROR(__xludf.DUMMYFUNCTION("""COMPUTED_VALUE"""),1.0)</f>
        <v>1</v>
      </c>
      <c r="E1658" s="16">
        <f>IFERROR(__xludf.DUMMYFUNCTION("""COMPUTED_VALUE"""),65.0)</f>
        <v>65</v>
      </c>
      <c r="F1658" s="19" t="str">
        <f>IFERROR(__xludf.DUMMYFUNCTION("""COMPUTED_VALUE"""),"BLUE")</f>
        <v>BLUE</v>
      </c>
      <c r="G1658" s="20" t="str">
        <f>IFERROR(__xludf.DUMMYFUNCTION("""COMPUTED_VALUE"""),"Uncle Sams Cider (11/12/2021) (Blue)")</f>
        <v>Uncle Sams Cider (11/12/2021) (Blue)</v>
      </c>
      <c r="H1658" s="19"/>
    </row>
    <row r="1659">
      <c r="A1659" s="9"/>
      <c r="B1659" s="15"/>
      <c r="C1659" s="9">
        <f>IFERROR(__xludf.DUMMYFUNCTION("""COMPUTED_VALUE"""),44588.2726312615)</f>
        <v>44588.27263</v>
      </c>
      <c r="D1659" s="15">
        <f>IFERROR(__xludf.DUMMYFUNCTION("""COMPUTED_VALUE"""),1.0)</f>
        <v>1</v>
      </c>
      <c r="E1659" s="16">
        <f>IFERROR(__xludf.DUMMYFUNCTION("""COMPUTED_VALUE"""),65.0)</f>
        <v>65</v>
      </c>
      <c r="F1659" s="19" t="str">
        <f>IFERROR(__xludf.DUMMYFUNCTION("""COMPUTED_VALUE"""),"BLUE")</f>
        <v>BLUE</v>
      </c>
      <c r="G1659" s="20" t="str">
        <f>IFERROR(__xludf.DUMMYFUNCTION("""COMPUTED_VALUE"""),"Uncle Sams Cider (11/12/2021) (Blue)")</f>
        <v>Uncle Sams Cider (11/12/2021) (Blue)</v>
      </c>
      <c r="H1659" s="19"/>
    </row>
    <row r="1660">
      <c r="A1660" s="9"/>
      <c r="B1660" s="15"/>
      <c r="C1660" s="9">
        <f>IFERROR(__xludf.DUMMYFUNCTION("""COMPUTED_VALUE"""),44588.2622106828)</f>
        <v>44588.26221</v>
      </c>
      <c r="D1660" s="15">
        <f>IFERROR(__xludf.DUMMYFUNCTION("""COMPUTED_VALUE"""),1.0)</f>
        <v>1</v>
      </c>
      <c r="E1660" s="16">
        <f>IFERROR(__xludf.DUMMYFUNCTION("""COMPUTED_VALUE"""),65.0)</f>
        <v>65</v>
      </c>
      <c r="F1660" s="19" t="str">
        <f>IFERROR(__xludf.DUMMYFUNCTION("""COMPUTED_VALUE"""),"BLUE")</f>
        <v>BLUE</v>
      </c>
      <c r="G1660" s="20" t="str">
        <f>IFERROR(__xludf.DUMMYFUNCTION("""COMPUTED_VALUE"""),"Uncle Sams Cider (11/12/2021) (Blue)")</f>
        <v>Uncle Sams Cider (11/12/2021) (Blue)</v>
      </c>
      <c r="H1660" s="19"/>
    </row>
    <row r="1661">
      <c r="A1661" s="9"/>
      <c r="B1661" s="15"/>
      <c r="C1661" s="9">
        <f>IFERROR(__xludf.DUMMYFUNCTION("""COMPUTED_VALUE"""),44588.2517899652)</f>
        <v>44588.25179</v>
      </c>
      <c r="D1661" s="15">
        <f>IFERROR(__xludf.DUMMYFUNCTION("""COMPUTED_VALUE"""),1.001)</f>
        <v>1.001</v>
      </c>
      <c r="E1661" s="16">
        <f>IFERROR(__xludf.DUMMYFUNCTION("""COMPUTED_VALUE"""),66.0)</f>
        <v>66</v>
      </c>
      <c r="F1661" s="19" t="str">
        <f>IFERROR(__xludf.DUMMYFUNCTION("""COMPUTED_VALUE"""),"BLUE")</f>
        <v>BLUE</v>
      </c>
      <c r="G1661" s="20" t="str">
        <f>IFERROR(__xludf.DUMMYFUNCTION("""COMPUTED_VALUE"""),"Uncle Sams Cider (11/12/2021) (Blue)")</f>
        <v>Uncle Sams Cider (11/12/2021) (Blue)</v>
      </c>
      <c r="H1661" s="19"/>
    </row>
    <row r="1662">
      <c r="A1662" s="9"/>
      <c r="B1662" s="15"/>
      <c r="C1662" s="9">
        <f>IFERROR(__xludf.DUMMYFUNCTION("""COMPUTED_VALUE"""),44588.2413695023)</f>
        <v>44588.24137</v>
      </c>
      <c r="D1662" s="15">
        <f>IFERROR(__xludf.DUMMYFUNCTION("""COMPUTED_VALUE"""),1.001)</f>
        <v>1.001</v>
      </c>
      <c r="E1662" s="16">
        <f>IFERROR(__xludf.DUMMYFUNCTION("""COMPUTED_VALUE"""),66.0)</f>
        <v>66</v>
      </c>
      <c r="F1662" s="19" t="str">
        <f>IFERROR(__xludf.DUMMYFUNCTION("""COMPUTED_VALUE"""),"BLUE")</f>
        <v>BLUE</v>
      </c>
      <c r="G1662" s="20" t="str">
        <f>IFERROR(__xludf.DUMMYFUNCTION("""COMPUTED_VALUE"""),"Uncle Sams Cider (11/12/2021) (Blue)")</f>
        <v>Uncle Sams Cider (11/12/2021) (Blue)</v>
      </c>
      <c r="H1662" s="19"/>
    </row>
    <row r="1663">
      <c r="A1663" s="9"/>
      <c r="B1663" s="15"/>
      <c r="C1663" s="9">
        <f>IFERROR(__xludf.DUMMYFUNCTION("""COMPUTED_VALUE"""),44588.2309456365)</f>
        <v>44588.23095</v>
      </c>
      <c r="D1663" s="15">
        <f>IFERROR(__xludf.DUMMYFUNCTION("""COMPUTED_VALUE"""),1.001)</f>
        <v>1.001</v>
      </c>
      <c r="E1663" s="16">
        <f>IFERROR(__xludf.DUMMYFUNCTION("""COMPUTED_VALUE"""),66.0)</f>
        <v>66</v>
      </c>
      <c r="F1663" s="19" t="str">
        <f>IFERROR(__xludf.DUMMYFUNCTION("""COMPUTED_VALUE"""),"BLUE")</f>
        <v>BLUE</v>
      </c>
      <c r="G1663" s="20" t="str">
        <f>IFERROR(__xludf.DUMMYFUNCTION("""COMPUTED_VALUE"""),"Uncle Sams Cider (11/12/2021) (Blue)")</f>
        <v>Uncle Sams Cider (11/12/2021) (Blue)</v>
      </c>
      <c r="H1663" s="19"/>
    </row>
    <row r="1664">
      <c r="A1664" s="9"/>
      <c r="B1664" s="15"/>
      <c r="C1664" s="9">
        <f>IFERROR(__xludf.DUMMYFUNCTION("""COMPUTED_VALUE"""),44588.2205247222)</f>
        <v>44588.22052</v>
      </c>
      <c r="D1664" s="15">
        <f>IFERROR(__xludf.DUMMYFUNCTION("""COMPUTED_VALUE"""),1.0)</f>
        <v>1</v>
      </c>
      <c r="E1664" s="16">
        <f>IFERROR(__xludf.DUMMYFUNCTION("""COMPUTED_VALUE"""),66.0)</f>
        <v>66</v>
      </c>
      <c r="F1664" s="19" t="str">
        <f>IFERROR(__xludf.DUMMYFUNCTION("""COMPUTED_VALUE"""),"BLUE")</f>
        <v>BLUE</v>
      </c>
      <c r="G1664" s="20" t="str">
        <f>IFERROR(__xludf.DUMMYFUNCTION("""COMPUTED_VALUE"""),"Uncle Sams Cider (11/12/2021) (Blue)")</f>
        <v>Uncle Sams Cider (11/12/2021) (Blue)</v>
      </c>
      <c r="H1664" s="19"/>
    </row>
    <row r="1665">
      <c r="A1665" s="9"/>
      <c r="B1665" s="15"/>
      <c r="C1665" s="9">
        <f>IFERROR(__xludf.DUMMYFUNCTION("""COMPUTED_VALUE"""),44588.2101039236)</f>
        <v>44588.2101</v>
      </c>
      <c r="D1665" s="15">
        <f>IFERROR(__xludf.DUMMYFUNCTION("""COMPUTED_VALUE"""),1.0)</f>
        <v>1</v>
      </c>
      <c r="E1665" s="16">
        <f>IFERROR(__xludf.DUMMYFUNCTION("""COMPUTED_VALUE"""),66.0)</f>
        <v>66</v>
      </c>
      <c r="F1665" s="19" t="str">
        <f>IFERROR(__xludf.DUMMYFUNCTION("""COMPUTED_VALUE"""),"BLUE")</f>
        <v>BLUE</v>
      </c>
      <c r="G1665" s="20" t="str">
        <f>IFERROR(__xludf.DUMMYFUNCTION("""COMPUTED_VALUE"""),"Uncle Sams Cider (11/12/2021) (Blue)")</f>
        <v>Uncle Sams Cider (11/12/2021) (Blue)</v>
      </c>
      <c r="H1665" s="19"/>
    </row>
    <row r="1666">
      <c r="A1666" s="9"/>
      <c r="B1666" s="15"/>
      <c r="C1666" s="9">
        <f>IFERROR(__xludf.DUMMYFUNCTION("""COMPUTED_VALUE"""),44588.1996815393)</f>
        <v>44588.19968</v>
      </c>
      <c r="D1666" s="15">
        <f>IFERROR(__xludf.DUMMYFUNCTION("""COMPUTED_VALUE"""),1.0)</f>
        <v>1</v>
      </c>
      <c r="E1666" s="16">
        <f>IFERROR(__xludf.DUMMYFUNCTION("""COMPUTED_VALUE"""),66.0)</f>
        <v>66</v>
      </c>
      <c r="F1666" s="19" t="str">
        <f>IFERROR(__xludf.DUMMYFUNCTION("""COMPUTED_VALUE"""),"BLUE")</f>
        <v>BLUE</v>
      </c>
      <c r="G1666" s="20" t="str">
        <f>IFERROR(__xludf.DUMMYFUNCTION("""COMPUTED_VALUE"""),"Uncle Sams Cider (11/12/2021) (Blue)")</f>
        <v>Uncle Sams Cider (11/12/2021) (Blue)</v>
      </c>
      <c r="H1666" s="19"/>
    </row>
    <row r="1667">
      <c r="A1667" s="9"/>
      <c r="B1667" s="15"/>
      <c r="C1667" s="9">
        <f>IFERROR(__xludf.DUMMYFUNCTION("""COMPUTED_VALUE"""),44588.1892613078)</f>
        <v>44588.18926</v>
      </c>
      <c r="D1667" s="15">
        <f>IFERROR(__xludf.DUMMYFUNCTION("""COMPUTED_VALUE"""),1.0)</f>
        <v>1</v>
      </c>
      <c r="E1667" s="16">
        <f>IFERROR(__xludf.DUMMYFUNCTION("""COMPUTED_VALUE"""),66.0)</f>
        <v>66</v>
      </c>
      <c r="F1667" s="19" t="str">
        <f>IFERROR(__xludf.DUMMYFUNCTION("""COMPUTED_VALUE"""),"BLUE")</f>
        <v>BLUE</v>
      </c>
      <c r="G1667" s="20" t="str">
        <f>IFERROR(__xludf.DUMMYFUNCTION("""COMPUTED_VALUE"""),"Uncle Sams Cider (11/12/2021) (Blue)")</f>
        <v>Uncle Sams Cider (11/12/2021) (Blue)</v>
      </c>
      <c r="H1667" s="19"/>
    </row>
    <row r="1668">
      <c r="A1668" s="9"/>
      <c r="B1668" s="15"/>
      <c r="C1668" s="9">
        <f>IFERROR(__xludf.DUMMYFUNCTION("""COMPUTED_VALUE"""),44588.1788269675)</f>
        <v>44588.17883</v>
      </c>
      <c r="D1668" s="15">
        <f>IFERROR(__xludf.DUMMYFUNCTION("""COMPUTED_VALUE"""),1.0)</f>
        <v>1</v>
      </c>
      <c r="E1668" s="16">
        <f>IFERROR(__xludf.DUMMYFUNCTION("""COMPUTED_VALUE"""),66.0)</f>
        <v>66</v>
      </c>
      <c r="F1668" s="19" t="str">
        <f>IFERROR(__xludf.DUMMYFUNCTION("""COMPUTED_VALUE"""),"BLUE")</f>
        <v>BLUE</v>
      </c>
      <c r="G1668" s="20" t="str">
        <f>IFERROR(__xludf.DUMMYFUNCTION("""COMPUTED_VALUE"""),"Uncle Sams Cider (11/12/2021) (Blue)")</f>
        <v>Uncle Sams Cider (11/12/2021) (Blue)</v>
      </c>
      <c r="H1668" s="19"/>
    </row>
    <row r="1669">
      <c r="A1669" s="9"/>
      <c r="B1669" s="15"/>
      <c r="C1669" s="9">
        <f>IFERROR(__xludf.DUMMYFUNCTION("""COMPUTED_VALUE"""),44588.1683941898)</f>
        <v>44588.16839</v>
      </c>
      <c r="D1669" s="15">
        <f>IFERROR(__xludf.DUMMYFUNCTION("""COMPUTED_VALUE"""),1.0)</f>
        <v>1</v>
      </c>
      <c r="E1669" s="16">
        <f>IFERROR(__xludf.DUMMYFUNCTION("""COMPUTED_VALUE"""),66.0)</f>
        <v>66</v>
      </c>
      <c r="F1669" s="19" t="str">
        <f>IFERROR(__xludf.DUMMYFUNCTION("""COMPUTED_VALUE"""),"BLUE")</f>
        <v>BLUE</v>
      </c>
      <c r="G1669" s="20" t="str">
        <f>IFERROR(__xludf.DUMMYFUNCTION("""COMPUTED_VALUE"""),"Uncle Sams Cider (11/12/2021) (Blue)")</f>
        <v>Uncle Sams Cider (11/12/2021) (Blue)</v>
      </c>
      <c r="H1669" s="19"/>
    </row>
    <row r="1670">
      <c r="A1670" s="9"/>
      <c r="B1670" s="15"/>
      <c r="C1670" s="9">
        <f>IFERROR(__xludf.DUMMYFUNCTION("""COMPUTED_VALUE"""),44588.1579733796)</f>
        <v>44588.15797</v>
      </c>
      <c r="D1670" s="15">
        <f>IFERROR(__xludf.DUMMYFUNCTION("""COMPUTED_VALUE"""),1.0)</f>
        <v>1</v>
      </c>
      <c r="E1670" s="16">
        <f>IFERROR(__xludf.DUMMYFUNCTION("""COMPUTED_VALUE"""),66.0)</f>
        <v>66</v>
      </c>
      <c r="F1670" s="19" t="str">
        <f>IFERROR(__xludf.DUMMYFUNCTION("""COMPUTED_VALUE"""),"BLUE")</f>
        <v>BLUE</v>
      </c>
      <c r="G1670" s="20" t="str">
        <f>IFERROR(__xludf.DUMMYFUNCTION("""COMPUTED_VALUE"""),"Uncle Sams Cider (11/12/2021) (Blue)")</f>
        <v>Uncle Sams Cider (11/12/2021) (Blue)</v>
      </c>
      <c r="H1670" s="19"/>
    </row>
    <row r="1671">
      <c r="A1671" s="9"/>
      <c r="B1671" s="15"/>
      <c r="C1671" s="9">
        <f>IFERROR(__xludf.DUMMYFUNCTION("""COMPUTED_VALUE"""),44588.1475397338)</f>
        <v>44588.14754</v>
      </c>
      <c r="D1671" s="15">
        <f>IFERROR(__xludf.DUMMYFUNCTION("""COMPUTED_VALUE"""),1.0)</f>
        <v>1</v>
      </c>
      <c r="E1671" s="16">
        <f>IFERROR(__xludf.DUMMYFUNCTION("""COMPUTED_VALUE"""),66.0)</f>
        <v>66</v>
      </c>
      <c r="F1671" s="19" t="str">
        <f>IFERROR(__xludf.DUMMYFUNCTION("""COMPUTED_VALUE"""),"BLUE")</f>
        <v>BLUE</v>
      </c>
      <c r="G1671" s="20" t="str">
        <f>IFERROR(__xludf.DUMMYFUNCTION("""COMPUTED_VALUE"""),"Uncle Sams Cider (11/12/2021) (Blue)")</f>
        <v>Uncle Sams Cider (11/12/2021) (Blue)</v>
      </c>
      <c r="H1671" s="19"/>
    </row>
    <row r="1672">
      <c r="A1672" s="9"/>
      <c r="B1672" s="15"/>
      <c r="C1672" s="9">
        <f>IFERROR(__xludf.DUMMYFUNCTION("""COMPUTED_VALUE"""),44588.137108449)</f>
        <v>44588.13711</v>
      </c>
      <c r="D1672" s="15">
        <f>IFERROR(__xludf.DUMMYFUNCTION("""COMPUTED_VALUE"""),1.001)</f>
        <v>1.001</v>
      </c>
      <c r="E1672" s="16">
        <f>IFERROR(__xludf.DUMMYFUNCTION("""COMPUTED_VALUE"""),66.0)</f>
        <v>66</v>
      </c>
      <c r="F1672" s="19" t="str">
        <f>IFERROR(__xludf.DUMMYFUNCTION("""COMPUTED_VALUE"""),"BLUE")</f>
        <v>BLUE</v>
      </c>
      <c r="G1672" s="20" t="str">
        <f>IFERROR(__xludf.DUMMYFUNCTION("""COMPUTED_VALUE"""),"Uncle Sams Cider (11/12/2021) (Blue)")</f>
        <v>Uncle Sams Cider (11/12/2021) (Blue)</v>
      </c>
      <c r="H1672" s="19"/>
    </row>
    <row r="1673">
      <c r="A1673" s="9"/>
      <c r="B1673" s="15"/>
      <c r="C1673" s="9">
        <f>IFERROR(__xludf.DUMMYFUNCTION("""COMPUTED_VALUE"""),44588.1266879629)</f>
        <v>44588.12669</v>
      </c>
      <c r="D1673" s="15">
        <f>IFERROR(__xludf.DUMMYFUNCTION("""COMPUTED_VALUE"""),1.0)</f>
        <v>1</v>
      </c>
      <c r="E1673" s="16">
        <f>IFERROR(__xludf.DUMMYFUNCTION("""COMPUTED_VALUE"""),66.0)</f>
        <v>66</v>
      </c>
      <c r="F1673" s="19" t="str">
        <f>IFERROR(__xludf.DUMMYFUNCTION("""COMPUTED_VALUE"""),"BLUE")</f>
        <v>BLUE</v>
      </c>
      <c r="G1673" s="20" t="str">
        <f>IFERROR(__xludf.DUMMYFUNCTION("""COMPUTED_VALUE"""),"Uncle Sams Cider (11/12/2021) (Blue)")</f>
        <v>Uncle Sams Cider (11/12/2021) (Blue)</v>
      </c>
      <c r="H1673" s="19"/>
    </row>
    <row r="1674">
      <c r="A1674" s="9"/>
      <c r="B1674" s="15"/>
      <c r="C1674" s="9">
        <f>IFERROR(__xludf.DUMMYFUNCTION("""COMPUTED_VALUE"""),44588.1162685995)</f>
        <v>44588.11627</v>
      </c>
      <c r="D1674" s="15">
        <f>IFERROR(__xludf.DUMMYFUNCTION("""COMPUTED_VALUE"""),1.0)</f>
        <v>1</v>
      </c>
      <c r="E1674" s="16">
        <f>IFERROR(__xludf.DUMMYFUNCTION("""COMPUTED_VALUE"""),66.0)</f>
        <v>66</v>
      </c>
      <c r="F1674" s="19" t="str">
        <f>IFERROR(__xludf.DUMMYFUNCTION("""COMPUTED_VALUE"""),"BLUE")</f>
        <v>BLUE</v>
      </c>
      <c r="G1674" s="20" t="str">
        <f>IFERROR(__xludf.DUMMYFUNCTION("""COMPUTED_VALUE"""),"Uncle Sams Cider (11/12/2021) (Blue)")</f>
        <v>Uncle Sams Cider (11/12/2021) (Blue)</v>
      </c>
      <c r="H1674" s="19"/>
    </row>
    <row r="1675">
      <c r="A1675" s="9"/>
      <c r="B1675" s="15"/>
      <c r="C1675" s="9">
        <f>IFERROR(__xludf.DUMMYFUNCTION("""COMPUTED_VALUE"""),44588.105847662)</f>
        <v>44588.10585</v>
      </c>
      <c r="D1675" s="15">
        <f>IFERROR(__xludf.DUMMYFUNCTION("""COMPUTED_VALUE"""),1.0)</f>
        <v>1</v>
      </c>
      <c r="E1675" s="16">
        <f>IFERROR(__xludf.DUMMYFUNCTION("""COMPUTED_VALUE"""),66.0)</f>
        <v>66</v>
      </c>
      <c r="F1675" s="19" t="str">
        <f>IFERROR(__xludf.DUMMYFUNCTION("""COMPUTED_VALUE"""),"BLUE")</f>
        <v>BLUE</v>
      </c>
      <c r="G1675" s="20" t="str">
        <f>IFERROR(__xludf.DUMMYFUNCTION("""COMPUTED_VALUE"""),"Uncle Sams Cider (11/12/2021) (Blue)")</f>
        <v>Uncle Sams Cider (11/12/2021) (Blue)</v>
      </c>
      <c r="H1675" s="19"/>
    </row>
    <row r="1676">
      <c r="A1676" s="9"/>
      <c r="B1676" s="15"/>
      <c r="C1676" s="9">
        <f>IFERROR(__xludf.DUMMYFUNCTION("""COMPUTED_VALUE"""),44588.0954269212)</f>
        <v>44588.09543</v>
      </c>
      <c r="D1676" s="15">
        <f>IFERROR(__xludf.DUMMYFUNCTION("""COMPUTED_VALUE"""),1.0)</f>
        <v>1</v>
      </c>
      <c r="E1676" s="16">
        <f>IFERROR(__xludf.DUMMYFUNCTION("""COMPUTED_VALUE"""),66.0)</f>
        <v>66</v>
      </c>
      <c r="F1676" s="19" t="str">
        <f>IFERROR(__xludf.DUMMYFUNCTION("""COMPUTED_VALUE"""),"BLUE")</f>
        <v>BLUE</v>
      </c>
      <c r="G1676" s="20" t="str">
        <f>IFERROR(__xludf.DUMMYFUNCTION("""COMPUTED_VALUE"""),"Uncle Sams Cider (11/12/2021) (Blue)")</f>
        <v>Uncle Sams Cider (11/12/2021) (Blue)</v>
      </c>
      <c r="H1676" s="19"/>
    </row>
    <row r="1677">
      <c r="A1677" s="9"/>
      <c r="B1677" s="15"/>
      <c r="C1677" s="9">
        <f>IFERROR(__xludf.DUMMYFUNCTION("""COMPUTED_VALUE"""),44588.0850066319)</f>
        <v>44588.08501</v>
      </c>
      <c r="D1677" s="15">
        <f>IFERROR(__xludf.DUMMYFUNCTION("""COMPUTED_VALUE"""),1.0)</f>
        <v>1</v>
      </c>
      <c r="E1677" s="16">
        <f>IFERROR(__xludf.DUMMYFUNCTION("""COMPUTED_VALUE"""),66.0)</f>
        <v>66</v>
      </c>
      <c r="F1677" s="19" t="str">
        <f>IFERROR(__xludf.DUMMYFUNCTION("""COMPUTED_VALUE"""),"BLUE")</f>
        <v>BLUE</v>
      </c>
      <c r="G1677" s="20" t="str">
        <f>IFERROR(__xludf.DUMMYFUNCTION("""COMPUTED_VALUE"""),"Uncle Sams Cider (11/12/2021) (Blue)")</f>
        <v>Uncle Sams Cider (11/12/2021) (Blue)</v>
      </c>
      <c r="H1677" s="19"/>
    </row>
    <row r="1678">
      <c r="A1678" s="9"/>
      <c r="B1678" s="15"/>
      <c r="C1678" s="9">
        <f>IFERROR(__xludf.DUMMYFUNCTION("""COMPUTED_VALUE"""),44588.0745632523)</f>
        <v>44588.07456</v>
      </c>
      <c r="D1678" s="15">
        <f>IFERROR(__xludf.DUMMYFUNCTION("""COMPUTED_VALUE"""),1.0)</f>
        <v>1</v>
      </c>
      <c r="E1678" s="16">
        <f>IFERROR(__xludf.DUMMYFUNCTION("""COMPUTED_VALUE"""),66.0)</f>
        <v>66</v>
      </c>
      <c r="F1678" s="19" t="str">
        <f>IFERROR(__xludf.DUMMYFUNCTION("""COMPUTED_VALUE"""),"BLUE")</f>
        <v>BLUE</v>
      </c>
      <c r="G1678" s="20" t="str">
        <f>IFERROR(__xludf.DUMMYFUNCTION("""COMPUTED_VALUE"""),"Uncle Sams Cider (11/12/2021) (Blue)")</f>
        <v>Uncle Sams Cider (11/12/2021) (Blue)</v>
      </c>
      <c r="H1678" s="19"/>
    </row>
    <row r="1679">
      <c r="A1679" s="9"/>
      <c r="B1679" s="15"/>
      <c r="C1679" s="9">
        <f>IFERROR(__xludf.DUMMYFUNCTION("""COMPUTED_VALUE"""),44588.0641428703)</f>
        <v>44588.06414</v>
      </c>
      <c r="D1679" s="15">
        <f>IFERROR(__xludf.DUMMYFUNCTION("""COMPUTED_VALUE"""),1.0)</f>
        <v>1</v>
      </c>
      <c r="E1679" s="16">
        <f>IFERROR(__xludf.DUMMYFUNCTION("""COMPUTED_VALUE"""),66.0)</f>
        <v>66</v>
      </c>
      <c r="F1679" s="19" t="str">
        <f>IFERROR(__xludf.DUMMYFUNCTION("""COMPUTED_VALUE"""),"BLUE")</f>
        <v>BLUE</v>
      </c>
      <c r="G1679" s="20" t="str">
        <f>IFERROR(__xludf.DUMMYFUNCTION("""COMPUTED_VALUE"""),"Uncle Sams Cider (11/12/2021) (Blue)")</f>
        <v>Uncle Sams Cider (11/12/2021) (Blue)</v>
      </c>
      <c r="H1679" s="19"/>
    </row>
    <row r="1680">
      <c r="A1680" s="9"/>
      <c r="B1680" s="15"/>
      <c r="C1680" s="9">
        <f>IFERROR(__xludf.DUMMYFUNCTION("""COMPUTED_VALUE"""),44588.0537233449)</f>
        <v>44588.05372</v>
      </c>
      <c r="D1680" s="15">
        <f>IFERROR(__xludf.DUMMYFUNCTION("""COMPUTED_VALUE"""),1.0)</f>
        <v>1</v>
      </c>
      <c r="E1680" s="16">
        <f>IFERROR(__xludf.DUMMYFUNCTION("""COMPUTED_VALUE"""),66.0)</f>
        <v>66</v>
      </c>
      <c r="F1680" s="19" t="str">
        <f>IFERROR(__xludf.DUMMYFUNCTION("""COMPUTED_VALUE"""),"BLUE")</f>
        <v>BLUE</v>
      </c>
      <c r="G1680" s="20" t="str">
        <f>IFERROR(__xludf.DUMMYFUNCTION("""COMPUTED_VALUE"""),"Uncle Sams Cider (11/12/2021) (Blue)")</f>
        <v>Uncle Sams Cider (11/12/2021) (Blue)</v>
      </c>
      <c r="H1680" s="19"/>
    </row>
    <row r="1681">
      <c r="A1681" s="9"/>
      <c r="B1681" s="15"/>
      <c r="C1681" s="9">
        <f>IFERROR(__xludf.DUMMYFUNCTION("""COMPUTED_VALUE"""),44588.0433023495)</f>
        <v>44588.0433</v>
      </c>
      <c r="D1681" s="15">
        <f>IFERROR(__xludf.DUMMYFUNCTION("""COMPUTED_VALUE"""),1.0)</f>
        <v>1</v>
      </c>
      <c r="E1681" s="16">
        <f>IFERROR(__xludf.DUMMYFUNCTION("""COMPUTED_VALUE"""),66.0)</f>
        <v>66</v>
      </c>
      <c r="F1681" s="19" t="str">
        <f>IFERROR(__xludf.DUMMYFUNCTION("""COMPUTED_VALUE"""),"BLUE")</f>
        <v>BLUE</v>
      </c>
      <c r="G1681" s="20" t="str">
        <f>IFERROR(__xludf.DUMMYFUNCTION("""COMPUTED_VALUE"""),"Uncle Sams Cider (11/12/2021) (Blue)")</f>
        <v>Uncle Sams Cider (11/12/2021) (Blue)</v>
      </c>
      <c r="H1681" s="19"/>
    </row>
    <row r="1682">
      <c r="A1682" s="9"/>
      <c r="B1682" s="15"/>
      <c r="C1682" s="9">
        <f>IFERROR(__xludf.DUMMYFUNCTION("""COMPUTED_VALUE"""),44588.0328812615)</f>
        <v>44588.03288</v>
      </c>
      <c r="D1682" s="15">
        <f>IFERROR(__xludf.DUMMYFUNCTION("""COMPUTED_VALUE"""),1.0)</f>
        <v>1</v>
      </c>
      <c r="E1682" s="16">
        <f>IFERROR(__xludf.DUMMYFUNCTION("""COMPUTED_VALUE"""),66.0)</f>
        <v>66</v>
      </c>
      <c r="F1682" s="19" t="str">
        <f>IFERROR(__xludf.DUMMYFUNCTION("""COMPUTED_VALUE"""),"BLUE")</f>
        <v>BLUE</v>
      </c>
      <c r="G1682" s="20" t="str">
        <f>IFERROR(__xludf.DUMMYFUNCTION("""COMPUTED_VALUE"""),"Uncle Sams Cider (11/12/2021) (Blue)")</f>
        <v>Uncle Sams Cider (11/12/2021) (Blue)</v>
      </c>
      <c r="H1682" s="19"/>
    </row>
    <row r="1683">
      <c r="A1683" s="9"/>
      <c r="B1683" s="15"/>
      <c r="C1683" s="9">
        <f>IFERROR(__xludf.DUMMYFUNCTION("""COMPUTED_VALUE"""),44588.0224603935)</f>
        <v>44588.02246</v>
      </c>
      <c r="D1683" s="15">
        <f>IFERROR(__xludf.DUMMYFUNCTION("""COMPUTED_VALUE"""),1.0)</f>
        <v>1</v>
      </c>
      <c r="E1683" s="16">
        <f>IFERROR(__xludf.DUMMYFUNCTION("""COMPUTED_VALUE"""),66.0)</f>
        <v>66</v>
      </c>
      <c r="F1683" s="19" t="str">
        <f>IFERROR(__xludf.DUMMYFUNCTION("""COMPUTED_VALUE"""),"BLUE")</f>
        <v>BLUE</v>
      </c>
      <c r="G1683" s="20" t="str">
        <f>IFERROR(__xludf.DUMMYFUNCTION("""COMPUTED_VALUE"""),"Uncle Sams Cider (11/12/2021) (Blue)")</f>
        <v>Uncle Sams Cider (11/12/2021) (Blue)</v>
      </c>
      <c r="H1683" s="19"/>
    </row>
    <row r="1684">
      <c r="A1684" s="9"/>
      <c r="B1684" s="15"/>
      <c r="C1684" s="9">
        <f>IFERROR(__xludf.DUMMYFUNCTION("""COMPUTED_VALUE"""),44588.0120378703)</f>
        <v>44588.01204</v>
      </c>
      <c r="D1684" s="15">
        <f>IFERROR(__xludf.DUMMYFUNCTION("""COMPUTED_VALUE"""),1.0)</f>
        <v>1</v>
      </c>
      <c r="E1684" s="16">
        <f>IFERROR(__xludf.DUMMYFUNCTION("""COMPUTED_VALUE"""),66.0)</f>
        <v>66</v>
      </c>
      <c r="F1684" s="19" t="str">
        <f>IFERROR(__xludf.DUMMYFUNCTION("""COMPUTED_VALUE"""),"BLUE")</f>
        <v>BLUE</v>
      </c>
      <c r="G1684" s="20" t="str">
        <f>IFERROR(__xludf.DUMMYFUNCTION("""COMPUTED_VALUE"""),"Uncle Sams Cider (11/12/2021) (Blue)")</f>
        <v>Uncle Sams Cider (11/12/2021) (Blue)</v>
      </c>
      <c r="H1684" s="19"/>
    </row>
    <row r="1685">
      <c r="A1685" s="9"/>
      <c r="B1685" s="15"/>
      <c r="C1685" s="9">
        <f>IFERROR(__xludf.DUMMYFUNCTION("""COMPUTED_VALUE"""),44588.0016155902)</f>
        <v>44588.00162</v>
      </c>
      <c r="D1685" s="15">
        <f>IFERROR(__xludf.DUMMYFUNCTION("""COMPUTED_VALUE"""),1.0)</f>
        <v>1</v>
      </c>
      <c r="E1685" s="16">
        <f>IFERROR(__xludf.DUMMYFUNCTION("""COMPUTED_VALUE"""),67.0)</f>
        <v>67</v>
      </c>
      <c r="F1685" s="19" t="str">
        <f>IFERROR(__xludf.DUMMYFUNCTION("""COMPUTED_VALUE"""),"BLUE")</f>
        <v>BLUE</v>
      </c>
      <c r="G1685" s="20" t="str">
        <f>IFERROR(__xludf.DUMMYFUNCTION("""COMPUTED_VALUE"""),"Uncle Sams Cider (11/12/2021) (Blue)")</f>
        <v>Uncle Sams Cider (11/12/2021) (Blue)</v>
      </c>
      <c r="H1685" s="19"/>
    </row>
    <row r="1686">
      <c r="A1686" s="9"/>
      <c r="B1686" s="15"/>
      <c r="C1686" s="9">
        <f>IFERROR(__xludf.DUMMYFUNCTION("""COMPUTED_VALUE"""),44587.991194537)</f>
        <v>44587.99119</v>
      </c>
      <c r="D1686" s="15">
        <f>IFERROR(__xludf.DUMMYFUNCTION("""COMPUTED_VALUE"""),1.001)</f>
        <v>1.001</v>
      </c>
      <c r="E1686" s="16">
        <f>IFERROR(__xludf.DUMMYFUNCTION("""COMPUTED_VALUE"""),67.0)</f>
        <v>67</v>
      </c>
      <c r="F1686" s="19" t="str">
        <f>IFERROR(__xludf.DUMMYFUNCTION("""COMPUTED_VALUE"""),"BLUE")</f>
        <v>BLUE</v>
      </c>
      <c r="G1686" s="20" t="str">
        <f>IFERROR(__xludf.DUMMYFUNCTION("""COMPUTED_VALUE"""),"Uncle Sams Cider (11/12/2021) (Blue)")</f>
        <v>Uncle Sams Cider (11/12/2021) (Blue)</v>
      </c>
      <c r="H1686" s="19"/>
    </row>
    <row r="1687">
      <c r="A1687" s="9"/>
      <c r="B1687" s="15"/>
      <c r="C1687" s="9">
        <f>IFERROR(__xludf.DUMMYFUNCTION("""COMPUTED_VALUE"""),44587.9807727777)</f>
        <v>44587.98077</v>
      </c>
      <c r="D1687" s="15">
        <f>IFERROR(__xludf.DUMMYFUNCTION("""COMPUTED_VALUE"""),1.0)</f>
        <v>1</v>
      </c>
      <c r="E1687" s="16">
        <f>IFERROR(__xludf.DUMMYFUNCTION("""COMPUTED_VALUE"""),67.0)</f>
        <v>67</v>
      </c>
      <c r="F1687" s="19" t="str">
        <f>IFERROR(__xludf.DUMMYFUNCTION("""COMPUTED_VALUE"""),"BLUE")</f>
        <v>BLUE</v>
      </c>
      <c r="G1687" s="20" t="str">
        <f>IFERROR(__xludf.DUMMYFUNCTION("""COMPUTED_VALUE"""),"Uncle Sams Cider (11/12/2021) (Blue)")</f>
        <v>Uncle Sams Cider (11/12/2021) (Blue)</v>
      </c>
      <c r="H1687" s="19"/>
    </row>
    <row r="1688">
      <c r="A1688" s="9"/>
      <c r="B1688" s="15"/>
      <c r="C1688" s="9">
        <f>IFERROR(__xludf.DUMMYFUNCTION("""COMPUTED_VALUE"""),44587.9703519907)</f>
        <v>44587.97035</v>
      </c>
      <c r="D1688" s="15">
        <f>IFERROR(__xludf.DUMMYFUNCTION("""COMPUTED_VALUE"""),1.0)</f>
        <v>1</v>
      </c>
      <c r="E1688" s="16">
        <f>IFERROR(__xludf.DUMMYFUNCTION("""COMPUTED_VALUE"""),67.0)</f>
        <v>67</v>
      </c>
      <c r="F1688" s="19" t="str">
        <f>IFERROR(__xludf.DUMMYFUNCTION("""COMPUTED_VALUE"""),"BLUE")</f>
        <v>BLUE</v>
      </c>
      <c r="G1688" s="20" t="str">
        <f>IFERROR(__xludf.DUMMYFUNCTION("""COMPUTED_VALUE"""),"Uncle Sams Cider (11/12/2021) (Blue)")</f>
        <v>Uncle Sams Cider (11/12/2021) (Blue)</v>
      </c>
      <c r="H1688" s="19"/>
    </row>
    <row r="1689">
      <c r="A1689" s="9"/>
      <c r="B1689" s="15"/>
      <c r="C1689" s="9">
        <f>IFERROR(__xludf.DUMMYFUNCTION("""COMPUTED_VALUE"""),44587.9599323032)</f>
        <v>44587.95993</v>
      </c>
      <c r="D1689" s="15">
        <f>IFERROR(__xludf.DUMMYFUNCTION("""COMPUTED_VALUE"""),1.001)</f>
        <v>1.001</v>
      </c>
      <c r="E1689" s="16">
        <f>IFERROR(__xludf.DUMMYFUNCTION("""COMPUTED_VALUE"""),67.0)</f>
        <v>67</v>
      </c>
      <c r="F1689" s="19" t="str">
        <f>IFERROR(__xludf.DUMMYFUNCTION("""COMPUTED_VALUE"""),"BLUE")</f>
        <v>BLUE</v>
      </c>
      <c r="G1689" s="20" t="str">
        <f>IFERROR(__xludf.DUMMYFUNCTION("""COMPUTED_VALUE"""),"Uncle Sams Cider (11/12/2021) (Blue)")</f>
        <v>Uncle Sams Cider (11/12/2021) (Blue)</v>
      </c>
      <c r="H1689" s="19"/>
    </row>
    <row r="1690">
      <c r="A1690" s="9"/>
      <c r="B1690" s="15"/>
      <c r="C1690" s="9">
        <f>IFERROR(__xludf.DUMMYFUNCTION("""COMPUTED_VALUE"""),44587.9495115046)</f>
        <v>44587.94951</v>
      </c>
      <c r="D1690" s="15">
        <f>IFERROR(__xludf.DUMMYFUNCTION("""COMPUTED_VALUE"""),1.0)</f>
        <v>1</v>
      </c>
      <c r="E1690" s="16">
        <f>IFERROR(__xludf.DUMMYFUNCTION("""COMPUTED_VALUE"""),67.0)</f>
        <v>67</v>
      </c>
      <c r="F1690" s="19" t="str">
        <f>IFERROR(__xludf.DUMMYFUNCTION("""COMPUTED_VALUE"""),"BLUE")</f>
        <v>BLUE</v>
      </c>
      <c r="G1690" s="20" t="str">
        <f>IFERROR(__xludf.DUMMYFUNCTION("""COMPUTED_VALUE"""),"Uncle Sams Cider (11/12/2021) (Blue)")</f>
        <v>Uncle Sams Cider (11/12/2021) (Blue)</v>
      </c>
      <c r="H1690" s="19"/>
    </row>
    <row r="1691">
      <c r="A1691" s="9"/>
      <c r="B1691" s="15"/>
      <c r="C1691" s="9">
        <f>IFERROR(__xludf.DUMMYFUNCTION("""COMPUTED_VALUE"""),44587.9390782291)</f>
        <v>44587.93908</v>
      </c>
      <c r="D1691" s="15">
        <f>IFERROR(__xludf.DUMMYFUNCTION("""COMPUTED_VALUE"""),1.0)</f>
        <v>1</v>
      </c>
      <c r="E1691" s="16">
        <f>IFERROR(__xludf.DUMMYFUNCTION("""COMPUTED_VALUE"""),67.0)</f>
        <v>67</v>
      </c>
      <c r="F1691" s="19" t="str">
        <f>IFERROR(__xludf.DUMMYFUNCTION("""COMPUTED_VALUE"""),"BLUE")</f>
        <v>BLUE</v>
      </c>
      <c r="G1691" s="20" t="str">
        <f>IFERROR(__xludf.DUMMYFUNCTION("""COMPUTED_VALUE"""),"Uncle Sams Cider (11/12/2021) (Blue)")</f>
        <v>Uncle Sams Cider (11/12/2021) (Blue)</v>
      </c>
      <c r="H1691" s="19"/>
    </row>
    <row r="1692">
      <c r="A1692" s="9"/>
      <c r="B1692" s="15"/>
      <c r="C1692" s="9">
        <f>IFERROR(__xludf.DUMMYFUNCTION("""COMPUTED_VALUE"""),44587.9286566898)</f>
        <v>44587.92866</v>
      </c>
      <c r="D1692" s="15">
        <f>IFERROR(__xludf.DUMMYFUNCTION("""COMPUTED_VALUE"""),1.0)</f>
        <v>1</v>
      </c>
      <c r="E1692" s="16">
        <f>IFERROR(__xludf.DUMMYFUNCTION("""COMPUTED_VALUE"""),67.0)</f>
        <v>67</v>
      </c>
      <c r="F1692" s="19" t="str">
        <f>IFERROR(__xludf.DUMMYFUNCTION("""COMPUTED_VALUE"""),"BLUE")</f>
        <v>BLUE</v>
      </c>
      <c r="G1692" s="20" t="str">
        <f>IFERROR(__xludf.DUMMYFUNCTION("""COMPUTED_VALUE"""),"Uncle Sams Cider (11/12/2021) (Blue)")</f>
        <v>Uncle Sams Cider (11/12/2021) (Blue)</v>
      </c>
      <c r="H1692" s="19"/>
    </row>
    <row r="1693">
      <c r="A1693" s="9"/>
      <c r="B1693" s="15"/>
      <c r="C1693" s="9">
        <f>IFERROR(__xludf.DUMMYFUNCTION("""COMPUTED_VALUE"""),44587.9182358564)</f>
        <v>44587.91824</v>
      </c>
      <c r="D1693" s="15">
        <f>IFERROR(__xludf.DUMMYFUNCTION("""COMPUTED_VALUE"""),1.0)</f>
        <v>1</v>
      </c>
      <c r="E1693" s="16">
        <f>IFERROR(__xludf.DUMMYFUNCTION("""COMPUTED_VALUE"""),67.0)</f>
        <v>67</v>
      </c>
      <c r="F1693" s="19" t="str">
        <f>IFERROR(__xludf.DUMMYFUNCTION("""COMPUTED_VALUE"""),"BLUE")</f>
        <v>BLUE</v>
      </c>
      <c r="G1693" s="20" t="str">
        <f>IFERROR(__xludf.DUMMYFUNCTION("""COMPUTED_VALUE"""),"Uncle Sams Cider (11/12/2021) (Blue)")</f>
        <v>Uncle Sams Cider (11/12/2021) (Blue)</v>
      </c>
      <c r="H1693" s="19"/>
    </row>
    <row r="1694">
      <c r="A1694" s="9"/>
      <c r="B1694" s="15"/>
      <c r="C1694" s="9">
        <f>IFERROR(__xludf.DUMMYFUNCTION("""COMPUTED_VALUE"""),44587.9078165277)</f>
        <v>44587.90782</v>
      </c>
      <c r="D1694" s="15">
        <f>IFERROR(__xludf.DUMMYFUNCTION("""COMPUTED_VALUE"""),1.0)</f>
        <v>1</v>
      </c>
      <c r="E1694" s="16">
        <f>IFERROR(__xludf.DUMMYFUNCTION("""COMPUTED_VALUE"""),67.0)</f>
        <v>67</v>
      </c>
      <c r="F1694" s="19" t="str">
        <f>IFERROR(__xludf.DUMMYFUNCTION("""COMPUTED_VALUE"""),"BLUE")</f>
        <v>BLUE</v>
      </c>
      <c r="G1694" s="20" t="str">
        <f>IFERROR(__xludf.DUMMYFUNCTION("""COMPUTED_VALUE"""),"Uncle Sams Cider (11/12/2021) (Blue)")</f>
        <v>Uncle Sams Cider (11/12/2021) (Blue)</v>
      </c>
      <c r="H1694" s="19"/>
    </row>
    <row r="1695">
      <c r="A1695" s="9"/>
      <c r="B1695" s="15"/>
      <c r="C1695" s="9">
        <f>IFERROR(__xludf.DUMMYFUNCTION("""COMPUTED_VALUE"""),44587.8973947222)</f>
        <v>44587.89739</v>
      </c>
      <c r="D1695" s="15">
        <f>IFERROR(__xludf.DUMMYFUNCTION("""COMPUTED_VALUE"""),1.0)</f>
        <v>1</v>
      </c>
      <c r="E1695" s="16">
        <f>IFERROR(__xludf.DUMMYFUNCTION("""COMPUTED_VALUE"""),67.0)</f>
        <v>67</v>
      </c>
      <c r="F1695" s="19" t="str">
        <f>IFERROR(__xludf.DUMMYFUNCTION("""COMPUTED_VALUE"""),"BLUE")</f>
        <v>BLUE</v>
      </c>
      <c r="G1695" s="20" t="str">
        <f>IFERROR(__xludf.DUMMYFUNCTION("""COMPUTED_VALUE"""),"Uncle Sams Cider (11/12/2021) (Blue)")</f>
        <v>Uncle Sams Cider (11/12/2021) (Blue)</v>
      </c>
      <c r="H1695" s="19"/>
    </row>
    <row r="1696">
      <c r="A1696" s="9"/>
      <c r="B1696" s="15"/>
      <c r="C1696" s="9">
        <f>IFERROR(__xludf.DUMMYFUNCTION("""COMPUTED_VALUE"""),44587.8869753472)</f>
        <v>44587.88698</v>
      </c>
      <c r="D1696" s="15">
        <f>IFERROR(__xludf.DUMMYFUNCTION("""COMPUTED_VALUE"""),1.0)</f>
        <v>1</v>
      </c>
      <c r="E1696" s="16">
        <f>IFERROR(__xludf.DUMMYFUNCTION("""COMPUTED_VALUE"""),67.0)</f>
        <v>67</v>
      </c>
      <c r="F1696" s="19" t="str">
        <f>IFERROR(__xludf.DUMMYFUNCTION("""COMPUTED_VALUE"""),"BLUE")</f>
        <v>BLUE</v>
      </c>
      <c r="G1696" s="20" t="str">
        <f>IFERROR(__xludf.DUMMYFUNCTION("""COMPUTED_VALUE"""),"Uncle Sams Cider (11/12/2021) (Blue)")</f>
        <v>Uncle Sams Cider (11/12/2021) (Blue)</v>
      </c>
      <c r="H1696" s="19"/>
    </row>
    <row r="1697">
      <c r="A1697" s="9"/>
      <c r="B1697" s="15"/>
      <c r="C1697" s="9">
        <f>IFERROR(__xludf.DUMMYFUNCTION("""COMPUTED_VALUE"""),44587.8765541898)</f>
        <v>44587.87655</v>
      </c>
      <c r="D1697" s="15">
        <f>IFERROR(__xludf.DUMMYFUNCTION("""COMPUTED_VALUE"""),1.0)</f>
        <v>1</v>
      </c>
      <c r="E1697" s="16">
        <f>IFERROR(__xludf.DUMMYFUNCTION("""COMPUTED_VALUE"""),67.0)</f>
        <v>67</v>
      </c>
      <c r="F1697" s="19" t="str">
        <f>IFERROR(__xludf.DUMMYFUNCTION("""COMPUTED_VALUE"""),"BLUE")</f>
        <v>BLUE</v>
      </c>
      <c r="G1697" s="20" t="str">
        <f>IFERROR(__xludf.DUMMYFUNCTION("""COMPUTED_VALUE"""),"Uncle Sams Cider (11/12/2021) (Blue)")</f>
        <v>Uncle Sams Cider (11/12/2021) (Blue)</v>
      </c>
      <c r="H1697" s="19"/>
    </row>
    <row r="1698">
      <c r="A1698" s="9"/>
      <c r="B1698" s="15"/>
      <c r="C1698" s="9">
        <f>IFERROR(__xludf.DUMMYFUNCTION("""COMPUTED_VALUE"""),44587.8661337962)</f>
        <v>44587.86613</v>
      </c>
      <c r="D1698" s="15">
        <f>IFERROR(__xludf.DUMMYFUNCTION("""COMPUTED_VALUE"""),1.0)</f>
        <v>1</v>
      </c>
      <c r="E1698" s="16">
        <f>IFERROR(__xludf.DUMMYFUNCTION("""COMPUTED_VALUE"""),67.0)</f>
        <v>67</v>
      </c>
      <c r="F1698" s="19" t="str">
        <f>IFERROR(__xludf.DUMMYFUNCTION("""COMPUTED_VALUE"""),"BLUE")</f>
        <v>BLUE</v>
      </c>
      <c r="G1698" s="20" t="str">
        <f>IFERROR(__xludf.DUMMYFUNCTION("""COMPUTED_VALUE"""),"Uncle Sams Cider (11/12/2021) (Blue)")</f>
        <v>Uncle Sams Cider (11/12/2021) (Blue)</v>
      </c>
      <c r="H1698" s="19"/>
    </row>
    <row r="1699">
      <c r="A1699" s="9"/>
      <c r="B1699" s="15"/>
      <c r="C1699" s="9">
        <f>IFERROR(__xludf.DUMMYFUNCTION("""COMPUTED_VALUE"""),44587.8557117129)</f>
        <v>44587.85571</v>
      </c>
      <c r="D1699" s="15">
        <f>IFERROR(__xludf.DUMMYFUNCTION("""COMPUTED_VALUE"""),1.0)</f>
        <v>1</v>
      </c>
      <c r="E1699" s="16">
        <f>IFERROR(__xludf.DUMMYFUNCTION("""COMPUTED_VALUE"""),67.0)</f>
        <v>67</v>
      </c>
      <c r="F1699" s="19" t="str">
        <f>IFERROR(__xludf.DUMMYFUNCTION("""COMPUTED_VALUE"""),"BLUE")</f>
        <v>BLUE</v>
      </c>
      <c r="G1699" s="20" t="str">
        <f>IFERROR(__xludf.DUMMYFUNCTION("""COMPUTED_VALUE"""),"Uncle Sams Cider (11/12/2021) (Blue)")</f>
        <v>Uncle Sams Cider (11/12/2021) (Blue)</v>
      </c>
      <c r="H1699" s="19"/>
    </row>
    <row r="1700">
      <c r="A1700" s="9"/>
      <c r="B1700" s="15"/>
      <c r="C1700" s="9">
        <f>IFERROR(__xludf.DUMMYFUNCTION("""COMPUTED_VALUE"""),44587.8452894444)</f>
        <v>44587.84529</v>
      </c>
      <c r="D1700" s="15">
        <f>IFERROR(__xludf.DUMMYFUNCTION("""COMPUTED_VALUE"""),1.0)</f>
        <v>1</v>
      </c>
      <c r="E1700" s="16">
        <f>IFERROR(__xludf.DUMMYFUNCTION("""COMPUTED_VALUE"""),67.0)</f>
        <v>67</v>
      </c>
      <c r="F1700" s="19" t="str">
        <f>IFERROR(__xludf.DUMMYFUNCTION("""COMPUTED_VALUE"""),"BLUE")</f>
        <v>BLUE</v>
      </c>
      <c r="G1700" s="20" t="str">
        <f>IFERROR(__xludf.DUMMYFUNCTION("""COMPUTED_VALUE"""),"Uncle Sams Cider (11/12/2021) (Blue)")</f>
        <v>Uncle Sams Cider (11/12/2021) (Blue)</v>
      </c>
      <c r="H1700" s="19"/>
    </row>
    <row r="1701">
      <c r="A1701" s="9"/>
      <c r="B1701" s="15"/>
      <c r="C1701" s="9">
        <f>IFERROR(__xludf.DUMMYFUNCTION("""COMPUTED_VALUE"""),44587.834867662)</f>
        <v>44587.83487</v>
      </c>
      <c r="D1701" s="15">
        <f>IFERROR(__xludf.DUMMYFUNCTION("""COMPUTED_VALUE"""),1.001)</f>
        <v>1.001</v>
      </c>
      <c r="E1701" s="16">
        <f>IFERROR(__xludf.DUMMYFUNCTION("""COMPUTED_VALUE"""),67.0)</f>
        <v>67</v>
      </c>
      <c r="F1701" s="19" t="str">
        <f>IFERROR(__xludf.DUMMYFUNCTION("""COMPUTED_VALUE"""),"BLUE")</f>
        <v>BLUE</v>
      </c>
      <c r="G1701" s="20" t="str">
        <f>IFERROR(__xludf.DUMMYFUNCTION("""COMPUTED_VALUE"""),"Uncle Sams Cider (11/12/2021) (Blue)")</f>
        <v>Uncle Sams Cider (11/12/2021) (Blue)</v>
      </c>
      <c r="H1701" s="19"/>
    </row>
    <row r="1702">
      <c r="A1702" s="9"/>
      <c r="B1702" s="15"/>
      <c r="C1702" s="9">
        <f>IFERROR(__xludf.DUMMYFUNCTION("""COMPUTED_VALUE"""),44587.8244449189)</f>
        <v>44587.82444</v>
      </c>
      <c r="D1702" s="15">
        <f>IFERROR(__xludf.DUMMYFUNCTION("""COMPUTED_VALUE"""),1.0)</f>
        <v>1</v>
      </c>
      <c r="E1702" s="16">
        <f>IFERROR(__xludf.DUMMYFUNCTION("""COMPUTED_VALUE"""),67.0)</f>
        <v>67</v>
      </c>
      <c r="F1702" s="19" t="str">
        <f>IFERROR(__xludf.DUMMYFUNCTION("""COMPUTED_VALUE"""),"BLUE")</f>
        <v>BLUE</v>
      </c>
      <c r="G1702" s="20" t="str">
        <f>IFERROR(__xludf.DUMMYFUNCTION("""COMPUTED_VALUE"""),"Uncle Sams Cider (11/12/2021) (Blue)")</f>
        <v>Uncle Sams Cider (11/12/2021) (Blue)</v>
      </c>
      <c r="H1702" s="19"/>
    </row>
    <row r="1703">
      <c r="A1703" s="9"/>
      <c r="B1703" s="15"/>
      <c r="C1703" s="9">
        <f>IFERROR(__xludf.DUMMYFUNCTION("""COMPUTED_VALUE"""),44587.8140252546)</f>
        <v>44587.81403</v>
      </c>
      <c r="D1703" s="15">
        <f>IFERROR(__xludf.DUMMYFUNCTION("""COMPUTED_VALUE"""),1.0)</f>
        <v>1</v>
      </c>
      <c r="E1703" s="16">
        <f>IFERROR(__xludf.DUMMYFUNCTION("""COMPUTED_VALUE"""),67.0)</f>
        <v>67</v>
      </c>
      <c r="F1703" s="19" t="str">
        <f>IFERROR(__xludf.DUMMYFUNCTION("""COMPUTED_VALUE"""),"BLUE")</f>
        <v>BLUE</v>
      </c>
      <c r="G1703" s="20" t="str">
        <f>IFERROR(__xludf.DUMMYFUNCTION("""COMPUTED_VALUE"""),"Uncle Sams Cider (11/12/2021) (Blue)")</f>
        <v>Uncle Sams Cider (11/12/2021) (Blue)</v>
      </c>
      <c r="H1703" s="19"/>
    </row>
    <row r="1704">
      <c r="A1704" s="9"/>
      <c r="B1704" s="15"/>
      <c r="C1704" s="9">
        <f>IFERROR(__xludf.DUMMYFUNCTION("""COMPUTED_VALUE"""),44587.8036031018)</f>
        <v>44587.8036</v>
      </c>
      <c r="D1704" s="15">
        <f>IFERROR(__xludf.DUMMYFUNCTION("""COMPUTED_VALUE"""),1.0)</f>
        <v>1</v>
      </c>
      <c r="E1704" s="16">
        <f>IFERROR(__xludf.DUMMYFUNCTION("""COMPUTED_VALUE"""),67.0)</f>
        <v>67</v>
      </c>
      <c r="F1704" s="19" t="str">
        <f>IFERROR(__xludf.DUMMYFUNCTION("""COMPUTED_VALUE"""),"BLUE")</f>
        <v>BLUE</v>
      </c>
      <c r="G1704" s="20" t="str">
        <f>IFERROR(__xludf.DUMMYFUNCTION("""COMPUTED_VALUE"""),"Uncle Sams Cider (11/12/2021) (Blue)")</f>
        <v>Uncle Sams Cider (11/12/2021) (Blue)</v>
      </c>
      <c r="H1704" s="19"/>
    </row>
    <row r="1705">
      <c r="A1705" s="9"/>
      <c r="B1705" s="15"/>
      <c r="C1705" s="9">
        <f>IFERROR(__xludf.DUMMYFUNCTION("""COMPUTED_VALUE"""),44587.793183831)</f>
        <v>44587.79318</v>
      </c>
      <c r="D1705" s="15">
        <f>IFERROR(__xludf.DUMMYFUNCTION("""COMPUTED_VALUE"""),1.0)</f>
        <v>1</v>
      </c>
      <c r="E1705" s="16">
        <f>IFERROR(__xludf.DUMMYFUNCTION("""COMPUTED_VALUE"""),67.0)</f>
        <v>67</v>
      </c>
      <c r="F1705" s="19" t="str">
        <f>IFERROR(__xludf.DUMMYFUNCTION("""COMPUTED_VALUE"""),"BLUE")</f>
        <v>BLUE</v>
      </c>
      <c r="G1705" s="20" t="str">
        <f>IFERROR(__xludf.DUMMYFUNCTION("""COMPUTED_VALUE"""),"Uncle Sams Cider (11/12/2021) (Blue)")</f>
        <v>Uncle Sams Cider (11/12/2021) (Blue)</v>
      </c>
      <c r="H1705" s="19"/>
    </row>
    <row r="1706">
      <c r="A1706" s="9"/>
      <c r="B1706" s="15"/>
      <c r="C1706" s="9">
        <f>IFERROR(__xludf.DUMMYFUNCTION("""COMPUTED_VALUE"""),44587.7827632407)</f>
        <v>44587.78276</v>
      </c>
      <c r="D1706" s="15">
        <f>IFERROR(__xludf.DUMMYFUNCTION("""COMPUTED_VALUE"""),1.0)</f>
        <v>1</v>
      </c>
      <c r="E1706" s="16">
        <f>IFERROR(__xludf.DUMMYFUNCTION("""COMPUTED_VALUE"""),67.0)</f>
        <v>67</v>
      </c>
      <c r="F1706" s="19" t="str">
        <f>IFERROR(__xludf.DUMMYFUNCTION("""COMPUTED_VALUE"""),"BLUE")</f>
        <v>BLUE</v>
      </c>
      <c r="G1706" s="20" t="str">
        <f>IFERROR(__xludf.DUMMYFUNCTION("""COMPUTED_VALUE"""),"Uncle Sams Cider (11/12/2021) (Blue)")</f>
        <v>Uncle Sams Cider (11/12/2021) (Blue)</v>
      </c>
      <c r="H1706" s="19"/>
    </row>
    <row r="1707">
      <c r="A1707" s="9"/>
      <c r="B1707" s="15"/>
      <c r="C1707" s="9">
        <f>IFERROR(__xludf.DUMMYFUNCTION("""COMPUTED_VALUE"""),44587.7723418518)</f>
        <v>44587.77234</v>
      </c>
      <c r="D1707" s="15">
        <f>IFERROR(__xludf.DUMMYFUNCTION("""COMPUTED_VALUE"""),1.0)</f>
        <v>1</v>
      </c>
      <c r="E1707" s="16">
        <f>IFERROR(__xludf.DUMMYFUNCTION("""COMPUTED_VALUE"""),67.0)</f>
        <v>67</v>
      </c>
      <c r="F1707" s="19" t="str">
        <f>IFERROR(__xludf.DUMMYFUNCTION("""COMPUTED_VALUE"""),"BLUE")</f>
        <v>BLUE</v>
      </c>
      <c r="G1707" s="20" t="str">
        <f>IFERROR(__xludf.DUMMYFUNCTION("""COMPUTED_VALUE"""),"Uncle Sams Cider (11/12/2021) (Blue)")</f>
        <v>Uncle Sams Cider (11/12/2021) (Blue)</v>
      </c>
      <c r="H1707" s="19"/>
    </row>
    <row r="1708">
      <c r="A1708" s="9"/>
      <c r="B1708" s="15"/>
      <c r="C1708" s="9">
        <f>IFERROR(__xludf.DUMMYFUNCTION("""COMPUTED_VALUE"""),44587.7619094444)</f>
        <v>44587.76191</v>
      </c>
      <c r="D1708" s="15">
        <f>IFERROR(__xludf.DUMMYFUNCTION("""COMPUTED_VALUE"""),1.0)</f>
        <v>1</v>
      </c>
      <c r="E1708" s="16">
        <f>IFERROR(__xludf.DUMMYFUNCTION("""COMPUTED_VALUE"""),67.0)</f>
        <v>67</v>
      </c>
      <c r="F1708" s="19" t="str">
        <f>IFERROR(__xludf.DUMMYFUNCTION("""COMPUTED_VALUE"""),"BLUE")</f>
        <v>BLUE</v>
      </c>
      <c r="G1708" s="20" t="str">
        <f>IFERROR(__xludf.DUMMYFUNCTION("""COMPUTED_VALUE"""),"Uncle Sams Cider (11/12/2021) (Blue)")</f>
        <v>Uncle Sams Cider (11/12/2021) (Blue)</v>
      </c>
      <c r="H1708" s="19"/>
    </row>
    <row r="1709">
      <c r="A1709" s="9"/>
      <c r="B1709" s="15"/>
      <c r="C1709" s="9">
        <f>IFERROR(__xludf.DUMMYFUNCTION("""COMPUTED_VALUE"""),44587.7514881481)</f>
        <v>44587.75149</v>
      </c>
      <c r="D1709" s="15">
        <f>IFERROR(__xludf.DUMMYFUNCTION("""COMPUTED_VALUE"""),1.0)</f>
        <v>1</v>
      </c>
      <c r="E1709" s="16">
        <f>IFERROR(__xludf.DUMMYFUNCTION("""COMPUTED_VALUE"""),67.0)</f>
        <v>67</v>
      </c>
      <c r="F1709" s="19" t="str">
        <f>IFERROR(__xludf.DUMMYFUNCTION("""COMPUTED_VALUE"""),"BLUE")</f>
        <v>BLUE</v>
      </c>
      <c r="G1709" s="20" t="str">
        <f>IFERROR(__xludf.DUMMYFUNCTION("""COMPUTED_VALUE"""),"Uncle Sams Cider (11/12/2021) (Blue)")</f>
        <v>Uncle Sams Cider (11/12/2021) (Blue)</v>
      </c>
      <c r="H1709" s="19"/>
    </row>
    <row r="1710">
      <c r="A1710" s="9"/>
      <c r="B1710" s="15"/>
      <c r="C1710" s="9">
        <f>IFERROR(__xludf.DUMMYFUNCTION("""COMPUTED_VALUE"""),44587.7410673958)</f>
        <v>44587.74107</v>
      </c>
      <c r="D1710" s="15">
        <f>IFERROR(__xludf.DUMMYFUNCTION("""COMPUTED_VALUE"""),1.0)</f>
        <v>1</v>
      </c>
      <c r="E1710" s="16">
        <f>IFERROR(__xludf.DUMMYFUNCTION("""COMPUTED_VALUE"""),68.0)</f>
        <v>68</v>
      </c>
      <c r="F1710" s="19" t="str">
        <f>IFERROR(__xludf.DUMMYFUNCTION("""COMPUTED_VALUE"""),"BLUE")</f>
        <v>BLUE</v>
      </c>
      <c r="G1710" s="20" t="str">
        <f>IFERROR(__xludf.DUMMYFUNCTION("""COMPUTED_VALUE"""),"Uncle Sams Cider (11/12/2021) (Blue)")</f>
        <v>Uncle Sams Cider (11/12/2021) (Blue)</v>
      </c>
      <c r="H1710" s="19"/>
    </row>
    <row r="1711">
      <c r="A1711" s="9"/>
      <c r="B1711" s="15"/>
      <c r="C1711" s="9">
        <f>IFERROR(__xludf.DUMMYFUNCTION("""COMPUTED_VALUE"""),44587.7306468865)</f>
        <v>44587.73065</v>
      </c>
      <c r="D1711" s="15">
        <f>IFERROR(__xludf.DUMMYFUNCTION("""COMPUTED_VALUE"""),1.0)</f>
        <v>1</v>
      </c>
      <c r="E1711" s="16">
        <f>IFERROR(__xludf.DUMMYFUNCTION("""COMPUTED_VALUE"""),68.0)</f>
        <v>68</v>
      </c>
      <c r="F1711" s="19" t="str">
        <f>IFERROR(__xludf.DUMMYFUNCTION("""COMPUTED_VALUE"""),"BLUE")</f>
        <v>BLUE</v>
      </c>
      <c r="G1711" s="20" t="str">
        <f>IFERROR(__xludf.DUMMYFUNCTION("""COMPUTED_VALUE"""),"Uncle Sams Cider (11/12/2021) (Blue)")</f>
        <v>Uncle Sams Cider (11/12/2021) (Blue)</v>
      </c>
      <c r="H1711" s="19"/>
    </row>
    <row r="1712">
      <c r="A1712" s="9"/>
      <c r="B1712" s="15"/>
      <c r="C1712" s="9">
        <f>IFERROR(__xludf.DUMMYFUNCTION("""COMPUTED_VALUE"""),44587.720215162)</f>
        <v>44587.72022</v>
      </c>
      <c r="D1712" s="15">
        <f>IFERROR(__xludf.DUMMYFUNCTION("""COMPUTED_VALUE"""),1.0)</f>
        <v>1</v>
      </c>
      <c r="E1712" s="16">
        <f>IFERROR(__xludf.DUMMYFUNCTION("""COMPUTED_VALUE"""),68.0)</f>
        <v>68</v>
      </c>
      <c r="F1712" s="19" t="str">
        <f>IFERROR(__xludf.DUMMYFUNCTION("""COMPUTED_VALUE"""),"BLUE")</f>
        <v>BLUE</v>
      </c>
      <c r="G1712" s="20" t="str">
        <f>IFERROR(__xludf.DUMMYFUNCTION("""COMPUTED_VALUE"""),"Uncle Sams Cider (11/12/2021) (Blue)")</f>
        <v>Uncle Sams Cider (11/12/2021) (Blue)</v>
      </c>
      <c r="H1712" s="19"/>
    </row>
    <row r="1713">
      <c r="A1713" s="9"/>
      <c r="B1713" s="15"/>
      <c r="C1713" s="9">
        <f>IFERROR(__xludf.DUMMYFUNCTION("""COMPUTED_VALUE"""),44587.7097936921)</f>
        <v>44587.70979</v>
      </c>
      <c r="D1713" s="15">
        <f>IFERROR(__xludf.DUMMYFUNCTION("""COMPUTED_VALUE"""),1.0)</f>
        <v>1</v>
      </c>
      <c r="E1713" s="16">
        <f>IFERROR(__xludf.DUMMYFUNCTION("""COMPUTED_VALUE"""),68.0)</f>
        <v>68</v>
      </c>
      <c r="F1713" s="19" t="str">
        <f>IFERROR(__xludf.DUMMYFUNCTION("""COMPUTED_VALUE"""),"BLUE")</f>
        <v>BLUE</v>
      </c>
      <c r="G1713" s="20" t="str">
        <f>IFERROR(__xludf.DUMMYFUNCTION("""COMPUTED_VALUE"""),"Uncle Sams Cider (11/12/2021) (Blue)")</f>
        <v>Uncle Sams Cider (11/12/2021) (Blue)</v>
      </c>
      <c r="H1713" s="19"/>
    </row>
    <row r="1714">
      <c r="A1714" s="9"/>
      <c r="B1714" s="15"/>
      <c r="C1714" s="9">
        <f>IFERROR(__xludf.DUMMYFUNCTION("""COMPUTED_VALUE"""),44587.6993707523)</f>
        <v>44587.69937</v>
      </c>
      <c r="D1714" s="15">
        <f>IFERROR(__xludf.DUMMYFUNCTION("""COMPUTED_VALUE"""),1.0)</f>
        <v>1</v>
      </c>
      <c r="E1714" s="16">
        <f>IFERROR(__xludf.DUMMYFUNCTION("""COMPUTED_VALUE"""),67.0)</f>
        <v>67</v>
      </c>
      <c r="F1714" s="19" t="str">
        <f>IFERROR(__xludf.DUMMYFUNCTION("""COMPUTED_VALUE"""),"BLUE")</f>
        <v>BLUE</v>
      </c>
      <c r="G1714" s="20" t="str">
        <f>IFERROR(__xludf.DUMMYFUNCTION("""COMPUTED_VALUE"""),"Uncle Sams Cider (11/12/2021) (Blue)")</f>
        <v>Uncle Sams Cider (11/12/2021) (Blue)</v>
      </c>
      <c r="H1714" s="19"/>
    </row>
    <row r="1715">
      <c r="A1715" s="9"/>
      <c r="B1715" s="15"/>
      <c r="C1715" s="9">
        <f>IFERROR(__xludf.DUMMYFUNCTION("""COMPUTED_VALUE"""),44587.6889377893)</f>
        <v>44587.68894</v>
      </c>
      <c r="D1715" s="15">
        <f>IFERROR(__xludf.DUMMYFUNCTION("""COMPUTED_VALUE"""),1.0)</f>
        <v>1</v>
      </c>
      <c r="E1715" s="16">
        <f>IFERROR(__xludf.DUMMYFUNCTION("""COMPUTED_VALUE"""),67.0)</f>
        <v>67</v>
      </c>
      <c r="F1715" s="19" t="str">
        <f>IFERROR(__xludf.DUMMYFUNCTION("""COMPUTED_VALUE"""),"BLUE")</f>
        <v>BLUE</v>
      </c>
      <c r="G1715" s="20" t="str">
        <f>IFERROR(__xludf.DUMMYFUNCTION("""COMPUTED_VALUE"""),"Uncle Sams Cider (11/12/2021) (Blue)")</f>
        <v>Uncle Sams Cider (11/12/2021) (Blue)</v>
      </c>
      <c r="H1715" s="19"/>
    </row>
    <row r="1716">
      <c r="A1716" s="9"/>
      <c r="B1716" s="15"/>
      <c r="C1716" s="9">
        <f>IFERROR(__xludf.DUMMYFUNCTION("""COMPUTED_VALUE"""),44587.678516493)</f>
        <v>44587.67852</v>
      </c>
      <c r="D1716" s="15">
        <f>IFERROR(__xludf.DUMMYFUNCTION("""COMPUTED_VALUE"""),1.0)</f>
        <v>1</v>
      </c>
      <c r="E1716" s="16">
        <f>IFERROR(__xludf.DUMMYFUNCTION("""COMPUTED_VALUE"""),66.0)</f>
        <v>66</v>
      </c>
      <c r="F1716" s="19" t="str">
        <f>IFERROR(__xludf.DUMMYFUNCTION("""COMPUTED_VALUE"""),"BLUE")</f>
        <v>BLUE</v>
      </c>
      <c r="G1716" s="20" t="str">
        <f>IFERROR(__xludf.DUMMYFUNCTION("""COMPUTED_VALUE"""),"Uncle Sams Cider (11/12/2021) (Blue)")</f>
        <v>Uncle Sams Cider (11/12/2021) (Blue)</v>
      </c>
      <c r="H1716" s="19"/>
    </row>
    <row r="1717">
      <c r="A1717" s="9"/>
      <c r="B1717" s="15"/>
      <c r="C1717" s="9">
        <f>IFERROR(__xludf.DUMMYFUNCTION("""COMPUTED_VALUE"""),44587.6680860763)</f>
        <v>44587.66809</v>
      </c>
      <c r="D1717" s="15">
        <f>IFERROR(__xludf.DUMMYFUNCTION("""COMPUTED_VALUE"""),1.0)</f>
        <v>1</v>
      </c>
      <c r="E1717" s="16">
        <f>IFERROR(__xludf.DUMMYFUNCTION("""COMPUTED_VALUE"""),66.0)</f>
        <v>66</v>
      </c>
      <c r="F1717" s="19" t="str">
        <f>IFERROR(__xludf.DUMMYFUNCTION("""COMPUTED_VALUE"""),"BLUE")</f>
        <v>BLUE</v>
      </c>
      <c r="G1717" s="20" t="str">
        <f>IFERROR(__xludf.DUMMYFUNCTION("""COMPUTED_VALUE"""),"Uncle Sams Cider (11/12/2021) (Blue)")</f>
        <v>Uncle Sams Cider (11/12/2021) (Blue)</v>
      </c>
      <c r="H1717" s="19"/>
    </row>
    <row r="1718">
      <c r="A1718" s="9"/>
      <c r="B1718" s="15"/>
      <c r="C1718" s="9">
        <f>IFERROR(__xludf.DUMMYFUNCTION("""COMPUTED_VALUE"""),44587.65765353)</f>
        <v>44587.65765</v>
      </c>
      <c r="D1718" s="15">
        <f>IFERROR(__xludf.DUMMYFUNCTION("""COMPUTED_VALUE"""),1.001)</f>
        <v>1.001</v>
      </c>
      <c r="E1718" s="16">
        <f>IFERROR(__xludf.DUMMYFUNCTION("""COMPUTED_VALUE"""),66.0)</f>
        <v>66</v>
      </c>
      <c r="F1718" s="19" t="str">
        <f>IFERROR(__xludf.DUMMYFUNCTION("""COMPUTED_VALUE"""),"BLUE")</f>
        <v>BLUE</v>
      </c>
      <c r="G1718" s="20" t="str">
        <f>IFERROR(__xludf.DUMMYFUNCTION("""COMPUTED_VALUE"""),"Uncle Sams Cider (11/12/2021) (Blue)")</f>
        <v>Uncle Sams Cider (11/12/2021) (Blue)</v>
      </c>
      <c r="H1718" s="19"/>
    </row>
    <row r="1719">
      <c r="A1719" s="9"/>
      <c r="B1719" s="15"/>
      <c r="C1719" s="9">
        <f>IFERROR(__xludf.DUMMYFUNCTION("""COMPUTED_VALUE"""),44587.6472197916)</f>
        <v>44587.64722</v>
      </c>
      <c r="D1719" s="15">
        <f>IFERROR(__xludf.DUMMYFUNCTION("""COMPUTED_VALUE"""),1.001)</f>
        <v>1.001</v>
      </c>
      <c r="E1719" s="16">
        <f>IFERROR(__xludf.DUMMYFUNCTION("""COMPUTED_VALUE"""),65.0)</f>
        <v>65</v>
      </c>
      <c r="F1719" s="19" t="str">
        <f>IFERROR(__xludf.DUMMYFUNCTION("""COMPUTED_VALUE"""),"BLUE")</f>
        <v>BLUE</v>
      </c>
      <c r="G1719" s="20" t="str">
        <f>IFERROR(__xludf.DUMMYFUNCTION("""COMPUTED_VALUE"""),"Uncle Sams Cider (11/12/2021) (Blue)")</f>
        <v>Uncle Sams Cider (11/12/2021) (Blue)</v>
      </c>
      <c r="H1719" s="19"/>
    </row>
    <row r="1720">
      <c r="A1720" s="9"/>
      <c r="B1720" s="15"/>
      <c r="C1720" s="9">
        <f>IFERROR(__xludf.DUMMYFUNCTION("""COMPUTED_VALUE"""),44587.6367987731)</f>
        <v>44587.6368</v>
      </c>
      <c r="D1720" s="15">
        <f>IFERROR(__xludf.DUMMYFUNCTION("""COMPUTED_VALUE"""),1.0)</f>
        <v>1</v>
      </c>
      <c r="E1720" s="16">
        <f>IFERROR(__xludf.DUMMYFUNCTION("""COMPUTED_VALUE"""),65.0)</f>
        <v>65</v>
      </c>
      <c r="F1720" s="19" t="str">
        <f>IFERROR(__xludf.DUMMYFUNCTION("""COMPUTED_VALUE"""),"BLUE")</f>
        <v>BLUE</v>
      </c>
      <c r="G1720" s="20" t="str">
        <f>IFERROR(__xludf.DUMMYFUNCTION("""COMPUTED_VALUE"""),"Uncle Sams Cider (11/12/2021) (Blue)")</f>
        <v>Uncle Sams Cider (11/12/2021) (Blue)</v>
      </c>
      <c r="H1720" s="19"/>
    </row>
    <row r="1721">
      <c r="A1721" s="9"/>
      <c r="B1721" s="15"/>
      <c r="C1721" s="9">
        <f>IFERROR(__xludf.DUMMYFUNCTION("""COMPUTED_VALUE"""),44587.6263762499)</f>
        <v>44587.62638</v>
      </c>
      <c r="D1721" s="15">
        <f>IFERROR(__xludf.DUMMYFUNCTION("""COMPUTED_VALUE"""),1.001)</f>
        <v>1.001</v>
      </c>
      <c r="E1721" s="16">
        <f>IFERROR(__xludf.DUMMYFUNCTION("""COMPUTED_VALUE"""),64.0)</f>
        <v>64</v>
      </c>
      <c r="F1721" s="19" t="str">
        <f>IFERROR(__xludf.DUMMYFUNCTION("""COMPUTED_VALUE"""),"BLUE")</f>
        <v>BLUE</v>
      </c>
      <c r="G1721" s="20" t="str">
        <f>IFERROR(__xludf.DUMMYFUNCTION("""COMPUTED_VALUE"""),"Uncle Sams Cider (11/12/2021) (Blue)")</f>
        <v>Uncle Sams Cider (11/12/2021) (Blue)</v>
      </c>
      <c r="H1721" s="19"/>
    </row>
    <row r="1722">
      <c r="A1722" s="9"/>
      <c r="B1722" s="15"/>
      <c r="C1722" s="9">
        <f>IFERROR(__xludf.DUMMYFUNCTION("""COMPUTED_VALUE"""),44587.6159431365)</f>
        <v>44587.61594</v>
      </c>
      <c r="D1722" s="15">
        <f>IFERROR(__xludf.DUMMYFUNCTION("""COMPUTED_VALUE"""),1.001)</f>
        <v>1.001</v>
      </c>
      <c r="E1722" s="16">
        <f>IFERROR(__xludf.DUMMYFUNCTION("""COMPUTED_VALUE"""),64.0)</f>
        <v>64</v>
      </c>
      <c r="F1722" s="19" t="str">
        <f>IFERROR(__xludf.DUMMYFUNCTION("""COMPUTED_VALUE"""),"BLUE")</f>
        <v>BLUE</v>
      </c>
      <c r="G1722" s="20" t="str">
        <f>IFERROR(__xludf.DUMMYFUNCTION("""COMPUTED_VALUE"""),"Uncle Sams Cider (11/12/2021) (Blue)")</f>
        <v>Uncle Sams Cider (11/12/2021) (Blue)</v>
      </c>
      <c r="H1722" s="19"/>
    </row>
    <row r="1723">
      <c r="A1723" s="9"/>
      <c r="B1723" s="15"/>
      <c r="C1723" s="9">
        <f>IFERROR(__xludf.DUMMYFUNCTION("""COMPUTED_VALUE"""),44587.6055224652)</f>
        <v>44587.60552</v>
      </c>
      <c r="D1723" s="15">
        <f>IFERROR(__xludf.DUMMYFUNCTION("""COMPUTED_VALUE"""),1.001)</f>
        <v>1.001</v>
      </c>
      <c r="E1723" s="16">
        <f>IFERROR(__xludf.DUMMYFUNCTION("""COMPUTED_VALUE"""),63.0)</f>
        <v>63</v>
      </c>
      <c r="F1723" s="19" t="str">
        <f>IFERROR(__xludf.DUMMYFUNCTION("""COMPUTED_VALUE"""),"BLUE")</f>
        <v>BLUE</v>
      </c>
      <c r="G1723" s="20" t="str">
        <f>IFERROR(__xludf.DUMMYFUNCTION("""COMPUTED_VALUE"""),"Uncle Sams Cider (11/12/2021) (Blue)")</f>
        <v>Uncle Sams Cider (11/12/2021) (Blue)</v>
      </c>
      <c r="H1723" s="19"/>
    </row>
    <row r="1724">
      <c r="A1724" s="9"/>
      <c r="B1724" s="15"/>
      <c r="C1724" s="9">
        <f>IFERROR(__xludf.DUMMYFUNCTION("""COMPUTED_VALUE"""),44587.5951017129)</f>
        <v>44587.5951</v>
      </c>
      <c r="D1724" s="15">
        <f>IFERROR(__xludf.DUMMYFUNCTION("""COMPUTED_VALUE"""),1.001)</f>
        <v>1.001</v>
      </c>
      <c r="E1724" s="16">
        <f>IFERROR(__xludf.DUMMYFUNCTION("""COMPUTED_VALUE"""),63.0)</f>
        <v>63</v>
      </c>
      <c r="F1724" s="19" t="str">
        <f>IFERROR(__xludf.DUMMYFUNCTION("""COMPUTED_VALUE"""),"BLUE")</f>
        <v>BLUE</v>
      </c>
      <c r="G1724" s="20" t="str">
        <f>IFERROR(__xludf.DUMMYFUNCTION("""COMPUTED_VALUE"""),"Uncle Sams Cider (11/12/2021) (Blue)")</f>
        <v>Uncle Sams Cider (11/12/2021) (Blue)</v>
      </c>
      <c r="H1724" s="19"/>
    </row>
    <row r="1725">
      <c r="A1725" s="9"/>
      <c r="B1725" s="15"/>
      <c r="C1725" s="9">
        <f>IFERROR(__xludf.DUMMYFUNCTION("""COMPUTED_VALUE"""),44587.5846806828)</f>
        <v>44587.58468</v>
      </c>
      <c r="D1725" s="15">
        <f>IFERROR(__xludf.DUMMYFUNCTION("""COMPUTED_VALUE"""),1.001)</f>
        <v>1.001</v>
      </c>
      <c r="E1725" s="16">
        <f>IFERROR(__xludf.DUMMYFUNCTION("""COMPUTED_VALUE"""),63.0)</f>
        <v>63</v>
      </c>
      <c r="F1725" s="19" t="str">
        <f>IFERROR(__xludf.DUMMYFUNCTION("""COMPUTED_VALUE"""),"BLUE")</f>
        <v>BLUE</v>
      </c>
      <c r="G1725" s="20" t="str">
        <f>IFERROR(__xludf.DUMMYFUNCTION("""COMPUTED_VALUE"""),"Uncle Sams Cider (11/12/2021) (Blue)")</f>
        <v>Uncle Sams Cider (11/12/2021) (Blue)</v>
      </c>
      <c r="H1725" s="19"/>
    </row>
    <row r="1726">
      <c r="A1726" s="9"/>
      <c r="B1726" s="15"/>
      <c r="C1726" s="9">
        <f>IFERROR(__xludf.DUMMYFUNCTION("""COMPUTED_VALUE"""),44587.5742591203)</f>
        <v>44587.57426</v>
      </c>
      <c r="D1726" s="15">
        <f>IFERROR(__xludf.DUMMYFUNCTION("""COMPUTED_VALUE"""),1.001)</f>
        <v>1.001</v>
      </c>
      <c r="E1726" s="16">
        <f>IFERROR(__xludf.DUMMYFUNCTION("""COMPUTED_VALUE"""),62.0)</f>
        <v>62</v>
      </c>
      <c r="F1726" s="19" t="str">
        <f>IFERROR(__xludf.DUMMYFUNCTION("""COMPUTED_VALUE"""),"BLUE")</f>
        <v>BLUE</v>
      </c>
      <c r="G1726" s="20" t="str">
        <f>IFERROR(__xludf.DUMMYFUNCTION("""COMPUTED_VALUE"""),"Uncle Sams Cider (11/12/2021) (Blue)")</f>
        <v>Uncle Sams Cider (11/12/2021) (Blue)</v>
      </c>
      <c r="H1726" s="19"/>
    </row>
    <row r="1727">
      <c r="A1727" s="9"/>
      <c r="B1727" s="15"/>
      <c r="C1727" s="9">
        <f>IFERROR(__xludf.DUMMYFUNCTION("""COMPUTED_VALUE"""),44587.5638383796)</f>
        <v>44587.56384</v>
      </c>
      <c r="D1727" s="15">
        <f>IFERROR(__xludf.DUMMYFUNCTION("""COMPUTED_VALUE"""),1.001)</f>
        <v>1.001</v>
      </c>
      <c r="E1727" s="16">
        <f>IFERROR(__xludf.DUMMYFUNCTION("""COMPUTED_VALUE"""),62.0)</f>
        <v>62</v>
      </c>
      <c r="F1727" s="19" t="str">
        <f>IFERROR(__xludf.DUMMYFUNCTION("""COMPUTED_VALUE"""),"BLUE")</f>
        <v>BLUE</v>
      </c>
      <c r="G1727" s="20" t="str">
        <f>IFERROR(__xludf.DUMMYFUNCTION("""COMPUTED_VALUE"""),"Uncle Sams Cider (11/12/2021) (Blue)")</f>
        <v>Uncle Sams Cider (11/12/2021) (Blue)</v>
      </c>
      <c r="H1727" s="19"/>
    </row>
    <row r="1728">
      <c r="A1728" s="9"/>
      <c r="B1728" s="15"/>
      <c r="C1728" s="9">
        <f>IFERROR(__xludf.DUMMYFUNCTION("""COMPUTED_VALUE"""),44587.5534185879)</f>
        <v>44587.55342</v>
      </c>
      <c r="D1728" s="15">
        <f>IFERROR(__xludf.DUMMYFUNCTION("""COMPUTED_VALUE"""),1.001)</f>
        <v>1.001</v>
      </c>
      <c r="E1728" s="16">
        <f>IFERROR(__xludf.DUMMYFUNCTION("""COMPUTED_VALUE"""),61.0)</f>
        <v>61</v>
      </c>
      <c r="F1728" s="19" t="str">
        <f>IFERROR(__xludf.DUMMYFUNCTION("""COMPUTED_VALUE"""),"BLUE")</f>
        <v>BLUE</v>
      </c>
      <c r="G1728" s="20" t="str">
        <f>IFERROR(__xludf.DUMMYFUNCTION("""COMPUTED_VALUE"""),"Uncle Sams Cider (11/12/2021) (Blue)")</f>
        <v>Uncle Sams Cider (11/12/2021) (Blue)</v>
      </c>
      <c r="H1728" s="19"/>
    </row>
    <row r="1729">
      <c r="A1729" s="9"/>
      <c r="B1729" s="15"/>
      <c r="C1729" s="9">
        <f>IFERROR(__xludf.DUMMYFUNCTION("""COMPUTED_VALUE"""),44587.5429975925)</f>
        <v>44587.543</v>
      </c>
      <c r="D1729" s="15">
        <f>IFERROR(__xludf.DUMMYFUNCTION("""COMPUTED_VALUE"""),1.001)</f>
        <v>1.001</v>
      </c>
      <c r="E1729" s="16">
        <f>IFERROR(__xludf.DUMMYFUNCTION("""COMPUTED_VALUE"""),61.0)</f>
        <v>61</v>
      </c>
      <c r="F1729" s="19" t="str">
        <f>IFERROR(__xludf.DUMMYFUNCTION("""COMPUTED_VALUE"""),"BLUE")</f>
        <v>BLUE</v>
      </c>
      <c r="G1729" s="20" t="str">
        <f>IFERROR(__xludf.DUMMYFUNCTION("""COMPUTED_VALUE"""),"Uncle Sams Cider (11/12/2021) (Blue)")</f>
        <v>Uncle Sams Cider (11/12/2021) (Blue)</v>
      </c>
      <c r="H1729" s="19"/>
    </row>
    <row r="1730">
      <c r="A1730" s="9"/>
      <c r="B1730" s="15"/>
      <c r="C1730" s="9">
        <f>IFERROR(__xludf.DUMMYFUNCTION("""COMPUTED_VALUE"""),44587.5325767708)</f>
        <v>44587.53258</v>
      </c>
      <c r="D1730" s="15">
        <f>IFERROR(__xludf.DUMMYFUNCTION("""COMPUTED_VALUE"""),1.001)</f>
        <v>1.001</v>
      </c>
      <c r="E1730" s="16">
        <f>IFERROR(__xludf.DUMMYFUNCTION("""COMPUTED_VALUE"""),61.0)</f>
        <v>61</v>
      </c>
      <c r="F1730" s="19" t="str">
        <f>IFERROR(__xludf.DUMMYFUNCTION("""COMPUTED_VALUE"""),"BLUE")</f>
        <v>BLUE</v>
      </c>
      <c r="G1730" s="20" t="str">
        <f>IFERROR(__xludf.DUMMYFUNCTION("""COMPUTED_VALUE"""),"Uncle Sams Cider (11/12/2021) (Blue)")</f>
        <v>Uncle Sams Cider (11/12/2021) (Blue)</v>
      </c>
      <c r="H1730" s="19"/>
    </row>
    <row r="1731">
      <c r="A1731" s="9"/>
      <c r="B1731" s="15"/>
      <c r="C1731" s="9">
        <f>IFERROR(__xludf.DUMMYFUNCTION("""COMPUTED_VALUE"""),44587.5221556481)</f>
        <v>44587.52216</v>
      </c>
      <c r="D1731" s="15">
        <f>IFERROR(__xludf.DUMMYFUNCTION("""COMPUTED_VALUE"""),1.001)</f>
        <v>1.001</v>
      </c>
      <c r="E1731" s="16">
        <f>IFERROR(__xludf.DUMMYFUNCTION("""COMPUTED_VALUE"""),61.0)</f>
        <v>61</v>
      </c>
      <c r="F1731" s="19" t="str">
        <f>IFERROR(__xludf.DUMMYFUNCTION("""COMPUTED_VALUE"""),"BLUE")</f>
        <v>BLUE</v>
      </c>
      <c r="G1731" s="20" t="str">
        <f>IFERROR(__xludf.DUMMYFUNCTION("""COMPUTED_VALUE"""),"Uncle Sams Cider (11/12/2021) (Blue)")</f>
        <v>Uncle Sams Cider (11/12/2021) (Blue)</v>
      </c>
      <c r="H1731" s="19"/>
    </row>
    <row r="1732">
      <c r="A1732" s="9"/>
      <c r="B1732" s="15"/>
      <c r="C1732" s="9">
        <f>IFERROR(__xludf.DUMMYFUNCTION("""COMPUTED_VALUE"""),44587.5117338425)</f>
        <v>44587.51173</v>
      </c>
      <c r="D1732" s="15">
        <f>IFERROR(__xludf.DUMMYFUNCTION("""COMPUTED_VALUE"""),1.001)</f>
        <v>1.001</v>
      </c>
      <c r="E1732" s="16">
        <f>IFERROR(__xludf.DUMMYFUNCTION("""COMPUTED_VALUE"""),61.0)</f>
        <v>61</v>
      </c>
      <c r="F1732" s="19" t="str">
        <f>IFERROR(__xludf.DUMMYFUNCTION("""COMPUTED_VALUE"""),"BLUE")</f>
        <v>BLUE</v>
      </c>
      <c r="G1732" s="20" t="str">
        <f>IFERROR(__xludf.DUMMYFUNCTION("""COMPUTED_VALUE"""),"Uncle Sams Cider (11/12/2021) (Blue)")</f>
        <v>Uncle Sams Cider (11/12/2021) (Blue)</v>
      </c>
      <c r="H1732" s="19"/>
    </row>
    <row r="1733">
      <c r="A1733" s="9"/>
      <c r="B1733" s="15"/>
      <c r="C1733" s="9">
        <f>IFERROR(__xludf.DUMMYFUNCTION("""COMPUTED_VALUE"""),44587.5013112152)</f>
        <v>44587.50131</v>
      </c>
      <c r="D1733" s="15">
        <f>IFERROR(__xludf.DUMMYFUNCTION("""COMPUTED_VALUE"""),1.001)</f>
        <v>1.001</v>
      </c>
      <c r="E1733" s="16">
        <f>IFERROR(__xludf.DUMMYFUNCTION("""COMPUTED_VALUE"""),61.0)</f>
        <v>61</v>
      </c>
      <c r="F1733" s="19" t="str">
        <f>IFERROR(__xludf.DUMMYFUNCTION("""COMPUTED_VALUE"""),"BLUE")</f>
        <v>BLUE</v>
      </c>
      <c r="G1733" s="20" t="str">
        <f>IFERROR(__xludf.DUMMYFUNCTION("""COMPUTED_VALUE"""),"Uncle Sams Cider (11/12/2021) (Blue)")</f>
        <v>Uncle Sams Cider (11/12/2021) (Blue)</v>
      </c>
      <c r="H1733" s="19"/>
    </row>
    <row r="1734">
      <c r="A1734" s="9"/>
      <c r="B1734" s="15"/>
      <c r="C1734" s="9">
        <f>IFERROR(__xludf.DUMMYFUNCTION("""COMPUTED_VALUE"""),44587.4908422106)</f>
        <v>44587.49084</v>
      </c>
      <c r="D1734" s="15">
        <f>IFERROR(__xludf.DUMMYFUNCTION("""COMPUTED_VALUE"""),1.001)</f>
        <v>1.001</v>
      </c>
      <c r="E1734" s="16">
        <f>IFERROR(__xludf.DUMMYFUNCTION("""COMPUTED_VALUE"""),61.0)</f>
        <v>61</v>
      </c>
      <c r="F1734" s="19" t="str">
        <f>IFERROR(__xludf.DUMMYFUNCTION("""COMPUTED_VALUE"""),"BLUE")</f>
        <v>BLUE</v>
      </c>
      <c r="G1734" s="20" t="str">
        <f>IFERROR(__xludf.DUMMYFUNCTION("""COMPUTED_VALUE"""),"Uncle Sams Cider (11/12/2021) (Blue)")</f>
        <v>Uncle Sams Cider (11/12/2021) (Blue)</v>
      </c>
      <c r="H1734" s="19"/>
    </row>
    <row r="1735">
      <c r="A1735" s="9"/>
      <c r="B1735" s="15"/>
      <c r="C1735" s="9">
        <f>IFERROR(__xludf.DUMMYFUNCTION("""COMPUTED_VALUE"""),44587.4804209143)</f>
        <v>44587.48042</v>
      </c>
      <c r="D1735" s="15">
        <f>IFERROR(__xludf.DUMMYFUNCTION("""COMPUTED_VALUE"""),1.001)</f>
        <v>1.001</v>
      </c>
      <c r="E1735" s="16">
        <f>IFERROR(__xludf.DUMMYFUNCTION("""COMPUTED_VALUE"""),61.0)</f>
        <v>61</v>
      </c>
      <c r="F1735" s="19" t="str">
        <f>IFERROR(__xludf.DUMMYFUNCTION("""COMPUTED_VALUE"""),"BLUE")</f>
        <v>BLUE</v>
      </c>
      <c r="G1735" s="20" t="str">
        <f>IFERROR(__xludf.DUMMYFUNCTION("""COMPUTED_VALUE"""),"Uncle Sams Cider (11/12/2021) (Blue)")</f>
        <v>Uncle Sams Cider (11/12/2021) (Blue)</v>
      </c>
      <c r="H1735" s="19"/>
    </row>
    <row r="1736">
      <c r="A1736" s="9"/>
      <c r="B1736" s="15"/>
      <c r="C1736" s="9">
        <f>IFERROR(__xludf.DUMMYFUNCTION("""COMPUTED_VALUE"""),44587.4700009722)</f>
        <v>44587.47</v>
      </c>
      <c r="D1736" s="15">
        <f>IFERROR(__xludf.DUMMYFUNCTION("""COMPUTED_VALUE"""),1.001)</f>
        <v>1.001</v>
      </c>
      <c r="E1736" s="16">
        <f>IFERROR(__xludf.DUMMYFUNCTION("""COMPUTED_VALUE"""),61.0)</f>
        <v>61</v>
      </c>
      <c r="F1736" s="19" t="str">
        <f>IFERROR(__xludf.DUMMYFUNCTION("""COMPUTED_VALUE"""),"BLUE")</f>
        <v>BLUE</v>
      </c>
      <c r="G1736" s="20" t="str">
        <f>IFERROR(__xludf.DUMMYFUNCTION("""COMPUTED_VALUE"""),"Uncle Sams Cider (11/12/2021) (Blue)")</f>
        <v>Uncle Sams Cider (11/12/2021) (Blue)</v>
      </c>
      <c r="H1736" s="19"/>
    </row>
    <row r="1737">
      <c r="A1737" s="9"/>
      <c r="B1737" s="15"/>
      <c r="C1737" s="9">
        <f>IFERROR(__xludf.DUMMYFUNCTION("""COMPUTED_VALUE"""),44587.4595786458)</f>
        <v>44587.45958</v>
      </c>
      <c r="D1737" s="15">
        <f>IFERROR(__xludf.DUMMYFUNCTION("""COMPUTED_VALUE"""),1.001)</f>
        <v>1.001</v>
      </c>
      <c r="E1737" s="16">
        <f>IFERROR(__xludf.DUMMYFUNCTION("""COMPUTED_VALUE"""),62.0)</f>
        <v>62</v>
      </c>
      <c r="F1737" s="19" t="str">
        <f>IFERROR(__xludf.DUMMYFUNCTION("""COMPUTED_VALUE"""),"BLUE")</f>
        <v>BLUE</v>
      </c>
      <c r="G1737" s="20" t="str">
        <f>IFERROR(__xludf.DUMMYFUNCTION("""COMPUTED_VALUE"""),"Uncle Sams Cider (11/12/2021) (Blue)")</f>
        <v>Uncle Sams Cider (11/12/2021) (Blue)</v>
      </c>
      <c r="H1737" s="19"/>
    </row>
    <row r="1738">
      <c r="A1738" s="9"/>
      <c r="B1738" s="15"/>
      <c r="C1738" s="9">
        <f>IFERROR(__xludf.DUMMYFUNCTION("""COMPUTED_VALUE"""),44587.4491452314)</f>
        <v>44587.44915</v>
      </c>
      <c r="D1738" s="15">
        <f>IFERROR(__xludf.DUMMYFUNCTION("""COMPUTED_VALUE"""),1.001)</f>
        <v>1.001</v>
      </c>
      <c r="E1738" s="16">
        <f>IFERROR(__xludf.DUMMYFUNCTION("""COMPUTED_VALUE"""),62.0)</f>
        <v>62</v>
      </c>
      <c r="F1738" s="19" t="str">
        <f>IFERROR(__xludf.DUMMYFUNCTION("""COMPUTED_VALUE"""),"BLUE")</f>
        <v>BLUE</v>
      </c>
      <c r="G1738" s="20" t="str">
        <f>IFERROR(__xludf.DUMMYFUNCTION("""COMPUTED_VALUE"""),"Uncle Sams Cider (11/12/2021) (Blue)")</f>
        <v>Uncle Sams Cider (11/12/2021) (Blue)</v>
      </c>
      <c r="H1738" s="19"/>
    </row>
    <row r="1739">
      <c r="A1739" s="9"/>
      <c r="B1739" s="15"/>
      <c r="C1739" s="9">
        <f>IFERROR(__xludf.DUMMYFUNCTION("""COMPUTED_VALUE"""),44587.43871125)</f>
        <v>44587.43871</v>
      </c>
      <c r="D1739" s="15">
        <f>IFERROR(__xludf.DUMMYFUNCTION("""COMPUTED_VALUE"""),1.001)</f>
        <v>1.001</v>
      </c>
      <c r="E1739" s="16">
        <f>IFERROR(__xludf.DUMMYFUNCTION("""COMPUTED_VALUE"""),62.0)</f>
        <v>62</v>
      </c>
      <c r="F1739" s="19" t="str">
        <f>IFERROR(__xludf.DUMMYFUNCTION("""COMPUTED_VALUE"""),"BLUE")</f>
        <v>BLUE</v>
      </c>
      <c r="G1739" s="20" t="str">
        <f>IFERROR(__xludf.DUMMYFUNCTION("""COMPUTED_VALUE"""),"Uncle Sams Cider (11/12/2021) (Blue)")</f>
        <v>Uncle Sams Cider (11/12/2021) (Blue)</v>
      </c>
      <c r="H1739" s="19"/>
    </row>
    <row r="1740">
      <c r="A1740" s="9"/>
      <c r="B1740" s="15"/>
      <c r="C1740" s="9">
        <f>IFERROR(__xludf.DUMMYFUNCTION("""COMPUTED_VALUE"""),44587.4282907175)</f>
        <v>44587.42829</v>
      </c>
      <c r="D1740" s="15">
        <f>IFERROR(__xludf.DUMMYFUNCTION("""COMPUTED_VALUE"""),1.001)</f>
        <v>1.001</v>
      </c>
      <c r="E1740" s="16">
        <f>IFERROR(__xludf.DUMMYFUNCTION("""COMPUTED_VALUE"""),62.0)</f>
        <v>62</v>
      </c>
      <c r="F1740" s="19" t="str">
        <f>IFERROR(__xludf.DUMMYFUNCTION("""COMPUTED_VALUE"""),"BLUE")</f>
        <v>BLUE</v>
      </c>
      <c r="G1740" s="20" t="str">
        <f>IFERROR(__xludf.DUMMYFUNCTION("""COMPUTED_VALUE"""),"Uncle Sams Cider (11/12/2021) (Blue)")</f>
        <v>Uncle Sams Cider (11/12/2021) (Blue)</v>
      </c>
      <c r="H1740" s="19"/>
    </row>
    <row r="1741">
      <c r="A1741" s="9"/>
      <c r="B1741" s="15"/>
      <c r="C1741" s="9">
        <f>IFERROR(__xludf.DUMMYFUNCTION("""COMPUTED_VALUE"""),44587.4178695254)</f>
        <v>44587.41787</v>
      </c>
      <c r="D1741" s="15">
        <f>IFERROR(__xludf.DUMMYFUNCTION("""COMPUTED_VALUE"""),1.001)</f>
        <v>1.001</v>
      </c>
      <c r="E1741" s="16">
        <f>IFERROR(__xludf.DUMMYFUNCTION("""COMPUTED_VALUE"""),62.0)</f>
        <v>62</v>
      </c>
      <c r="F1741" s="19" t="str">
        <f>IFERROR(__xludf.DUMMYFUNCTION("""COMPUTED_VALUE"""),"BLUE")</f>
        <v>BLUE</v>
      </c>
      <c r="G1741" s="20" t="str">
        <f>IFERROR(__xludf.DUMMYFUNCTION("""COMPUTED_VALUE"""),"Uncle Sams Cider (11/12/2021) (Blue)")</f>
        <v>Uncle Sams Cider (11/12/2021) (Blue)</v>
      </c>
      <c r="H1741" s="19"/>
    </row>
    <row r="1742">
      <c r="A1742" s="9"/>
      <c r="B1742" s="15"/>
      <c r="C1742" s="9">
        <f>IFERROR(__xludf.DUMMYFUNCTION("""COMPUTED_VALUE"""),44587.4074479166)</f>
        <v>44587.40745</v>
      </c>
      <c r="D1742" s="15">
        <f>IFERROR(__xludf.DUMMYFUNCTION("""COMPUTED_VALUE"""),1.001)</f>
        <v>1.001</v>
      </c>
      <c r="E1742" s="16">
        <f>IFERROR(__xludf.DUMMYFUNCTION("""COMPUTED_VALUE"""),62.0)</f>
        <v>62</v>
      </c>
      <c r="F1742" s="19" t="str">
        <f>IFERROR(__xludf.DUMMYFUNCTION("""COMPUTED_VALUE"""),"BLUE")</f>
        <v>BLUE</v>
      </c>
      <c r="G1742" s="20" t="str">
        <f>IFERROR(__xludf.DUMMYFUNCTION("""COMPUTED_VALUE"""),"Uncle Sams Cider (11/12/2021) (Blue)")</f>
        <v>Uncle Sams Cider (11/12/2021) (Blue)</v>
      </c>
      <c r="H1742" s="19"/>
    </row>
    <row r="1743">
      <c r="A1743" s="9"/>
      <c r="B1743" s="15"/>
      <c r="C1743" s="9">
        <f>IFERROR(__xludf.DUMMYFUNCTION("""COMPUTED_VALUE"""),44587.3970273148)</f>
        <v>44587.39703</v>
      </c>
      <c r="D1743" s="15">
        <f>IFERROR(__xludf.DUMMYFUNCTION("""COMPUTED_VALUE"""),1.001)</f>
        <v>1.001</v>
      </c>
      <c r="E1743" s="16">
        <f>IFERROR(__xludf.DUMMYFUNCTION("""COMPUTED_VALUE"""),62.0)</f>
        <v>62</v>
      </c>
      <c r="F1743" s="19" t="str">
        <f>IFERROR(__xludf.DUMMYFUNCTION("""COMPUTED_VALUE"""),"BLUE")</f>
        <v>BLUE</v>
      </c>
      <c r="G1743" s="20" t="str">
        <f>IFERROR(__xludf.DUMMYFUNCTION("""COMPUTED_VALUE"""),"Uncle Sams Cider (11/12/2021) (Blue)")</f>
        <v>Uncle Sams Cider (11/12/2021) (Blue)</v>
      </c>
      <c r="H1743" s="19"/>
    </row>
    <row r="1744">
      <c r="A1744" s="9"/>
      <c r="B1744" s="15"/>
      <c r="C1744" s="9">
        <f>IFERROR(__xludf.DUMMYFUNCTION("""COMPUTED_VALUE"""),44587.3865930787)</f>
        <v>44587.38659</v>
      </c>
      <c r="D1744" s="15">
        <f>IFERROR(__xludf.DUMMYFUNCTION("""COMPUTED_VALUE"""),1.001)</f>
        <v>1.001</v>
      </c>
      <c r="E1744" s="16">
        <f>IFERROR(__xludf.DUMMYFUNCTION("""COMPUTED_VALUE"""),62.0)</f>
        <v>62</v>
      </c>
      <c r="F1744" s="19" t="str">
        <f>IFERROR(__xludf.DUMMYFUNCTION("""COMPUTED_VALUE"""),"BLUE")</f>
        <v>BLUE</v>
      </c>
      <c r="G1744" s="20" t="str">
        <f>IFERROR(__xludf.DUMMYFUNCTION("""COMPUTED_VALUE"""),"Uncle Sams Cider (11/12/2021) (Blue)")</f>
        <v>Uncle Sams Cider (11/12/2021) (Blue)</v>
      </c>
      <c r="H1744" s="19"/>
    </row>
    <row r="1745">
      <c r="A1745" s="9"/>
      <c r="B1745" s="15"/>
      <c r="C1745" s="9">
        <f>IFERROR(__xludf.DUMMYFUNCTION("""COMPUTED_VALUE"""),44587.3761735185)</f>
        <v>44587.37617</v>
      </c>
      <c r="D1745" s="15">
        <f>IFERROR(__xludf.DUMMYFUNCTION("""COMPUTED_VALUE"""),1.001)</f>
        <v>1.001</v>
      </c>
      <c r="E1745" s="16">
        <f>IFERROR(__xludf.DUMMYFUNCTION("""COMPUTED_VALUE"""),62.0)</f>
        <v>62</v>
      </c>
      <c r="F1745" s="19" t="str">
        <f>IFERROR(__xludf.DUMMYFUNCTION("""COMPUTED_VALUE"""),"BLUE")</f>
        <v>BLUE</v>
      </c>
      <c r="G1745" s="20" t="str">
        <f>IFERROR(__xludf.DUMMYFUNCTION("""COMPUTED_VALUE"""),"Uncle Sams Cider (11/12/2021) (Blue)")</f>
        <v>Uncle Sams Cider (11/12/2021) (Blue)</v>
      </c>
      <c r="H1745" s="19"/>
    </row>
    <row r="1746">
      <c r="A1746" s="9"/>
      <c r="B1746" s="15"/>
      <c r="C1746" s="9">
        <f>IFERROR(__xludf.DUMMYFUNCTION("""COMPUTED_VALUE"""),44587.3657532638)</f>
        <v>44587.36575</v>
      </c>
      <c r="D1746" s="15">
        <f>IFERROR(__xludf.DUMMYFUNCTION("""COMPUTED_VALUE"""),1.001)</f>
        <v>1.001</v>
      </c>
      <c r="E1746" s="16">
        <f>IFERROR(__xludf.DUMMYFUNCTION("""COMPUTED_VALUE"""),62.0)</f>
        <v>62</v>
      </c>
      <c r="F1746" s="19" t="str">
        <f>IFERROR(__xludf.DUMMYFUNCTION("""COMPUTED_VALUE"""),"BLUE")</f>
        <v>BLUE</v>
      </c>
      <c r="G1746" s="20" t="str">
        <f>IFERROR(__xludf.DUMMYFUNCTION("""COMPUTED_VALUE"""),"Uncle Sams Cider (11/12/2021) (Blue)")</f>
        <v>Uncle Sams Cider (11/12/2021) (Blue)</v>
      </c>
      <c r="H1746" s="19"/>
    </row>
    <row r="1747">
      <c r="A1747" s="9"/>
      <c r="B1747" s="15"/>
      <c r="C1747" s="9">
        <f>IFERROR(__xludf.DUMMYFUNCTION("""COMPUTED_VALUE"""),44587.3553320601)</f>
        <v>44587.35533</v>
      </c>
      <c r="D1747" s="15">
        <f>IFERROR(__xludf.DUMMYFUNCTION("""COMPUTED_VALUE"""),1.001)</f>
        <v>1.001</v>
      </c>
      <c r="E1747" s="16">
        <f>IFERROR(__xludf.DUMMYFUNCTION("""COMPUTED_VALUE"""),62.0)</f>
        <v>62</v>
      </c>
      <c r="F1747" s="19" t="str">
        <f>IFERROR(__xludf.DUMMYFUNCTION("""COMPUTED_VALUE"""),"BLUE")</f>
        <v>BLUE</v>
      </c>
      <c r="G1747" s="20" t="str">
        <f>IFERROR(__xludf.DUMMYFUNCTION("""COMPUTED_VALUE"""),"Uncle Sams Cider (11/12/2021) (Blue)")</f>
        <v>Uncle Sams Cider (11/12/2021) (Blue)</v>
      </c>
      <c r="H1747" s="19"/>
    </row>
    <row r="1748">
      <c r="A1748" s="9"/>
      <c r="B1748" s="15"/>
      <c r="C1748" s="9">
        <f>IFERROR(__xludf.DUMMYFUNCTION("""COMPUTED_VALUE"""),44587.3449118518)</f>
        <v>44587.34491</v>
      </c>
      <c r="D1748" s="15">
        <f>IFERROR(__xludf.DUMMYFUNCTION("""COMPUTED_VALUE"""),1.001)</f>
        <v>1.001</v>
      </c>
      <c r="E1748" s="16">
        <f>IFERROR(__xludf.DUMMYFUNCTION("""COMPUTED_VALUE"""),62.0)</f>
        <v>62</v>
      </c>
      <c r="F1748" s="19" t="str">
        <f>IFERROR(__xludf.DUMMYFUNCTION("""COMPUTED_VALUE"""),"BLUE")</f>
        <v>BLUE</v>
      </c>
      <c r="G1748" s="20" t="str">
        <f>IFERROR(__xludf.DUMMYFUNCTION("""COMPUTED_VALUE"""),"Uncle Sams Cider (11/12/2021) (Blue)")</f>
        <v>Uncle Sams Cider (11/12/2021) (Blue)</v>
      </c>
      <c r="H1748" s="19"/>
    </row>
    <row r="1749">
      <c r="A1749" s="9"/>
      <c r="B1749" s="15"/>
      <c r="C1749" s="9">
        <f>IFERROR(__xludf.DUMMYFUNCTION("""COMPUTED_VALUE"""),44587.3344889236)</f>
        <v>44587.33449</v>
      </c>
      <c r="D1749" s="15">
        <f>IFERROR(__xludf.DUMMYFUNCTION("""COMPUTED_VALUE"""),1.001)</f>
        <v>1.001</v>
      </c>
      <c r="E1749" s="16">
        <f>IFERROR(__xludf.DUMMYFUNCTION("""COMPUTED_VALUE"""),62.0)</f>
        <v>62</v>
      </c>
      <c r="F1749" s="19" t="str">
        <f>IFERROR(__xludf.DUMMYFUNCTION("""COMPUTED_VALUE"""),"BLUE")</f>
        <v>BLUE</v>
      </c>
      <c r="G1749" s="20" t="str">
        <f>IFERROR(__xludf.DUMMYFUNCTION("""COMPUTED_VALUE"""),"Uncle Sams Cider (11/12/2021) (Blue)")</f>
        <v>Uncle Sams Cider (11/12/2021) (Blue)</v>
      </c>
      <c r="H1749" s="19"/>
    </row>
    <row r="1750">
      <c r="A1750" s="9"/>
      <c r="B1750" s="15"/>
      <c r="C1750" s="9">
        <f>IFERROR(__xludf.DUMMYFUNCTION("""COMPUTED_VALUE"""),44587.3240666203)</f>
        <v>44587.32407</v>
      </c>
      <c r="D1750" s="15">
        <f>IFERROR(__xludf.DUMMYFUNCTION("""COMPUTED_VALUE"""),1.001)</f>
        <v>1.001</v>
      </c>
      <c r="E1750" s="16">
        <f>IFERROR(__xludf.DUMMYFUNCTION("""COMPUTED_VALUE"""),62.0)</f>
        <v>62</v>
      </c>
      <c r="F1750" s="19" t="str">
        <f>IFERROR(__xludf.DUMMYFUNCTION("""COMPUTED_VALUE"""),"BLUE")</f>
        <v>BLUE</v>
      </c>
      <c r="G1750" s="20" t="str">
        <f>IFERROR(__xludf.DUMMYFUNCTION("""COMPUTED_VALUE"""),"Uncle Sams Cider (11/12/2021) (Blue)")</f>
        <v>Uncle Sams Cider (11/12/2021) (Blue)</v>
      </c>
      <c r="H1750" s="19"/>
    </row>
    <row r="1751">
      <c r="A1751" s="9"/>
      <c r="B1751" s="15"/>
      <c r="C1751" s="9">
        <f>IFERROR(__xludf.DUMMYFUNCTION("""COMPUTED_VALUE"""),44587.3136451273)</f>
        <v>44587.31365</v>
      </c>
      <c r="D1751" s="15">
        <f>IFERROR(__xludf.DUMMYFUNCTION("""COMPUTED_VALUE"""),1.001)</f>
        <v>1.001</v>
      </c>
      <c r="E1751" s="16">
        <f>IFERROR(__xludf.DUMMYFUNCTION("""COMPUTED_VALUE"""),62.0)</f>
        <v>62</v>
      </c>
      <c r="F1751" s="19" t="str">
        <f>IFERROR(__xludf.DUMMYFUNCTION("""COMPUTED_VALUE"""),"BLUE")</f>
        <v>BLUE</v>
      </c>
      <c r="G1751" s="20" t="str">
        <f>IFERROR(__xludf.DUMMYFUNCTION("""COMPUTED_VALUE"""),"Uncle Sams Cider (11/12/2021) (Blue)")</f>
        <v>Uncle Sams Cider (11/12/2021) (Blue)</v>
      </c>
      <c r="H1751" s="19"/>
    </row>
    <row r="1752">
      <c r="A1752" s="9"/>
      <c r="B1752" s="15"/>
      <c r="C1752" s="9">
        <f>IFERROR(__xludf.DUMMYFUNCTION("""COMPUTED_VALUE"""),44587.3032240162)</f>
        <v>44587.30322</v>
      </c>
      <c r="D1752" s="15">
        <f>IFERROR(__xludf.DUMMYFUNCTION("""COMPUTED_VALUE"""),1.001)</f>
        <v>1.001</v>
      </c>
      <c r="E1752" s="16">
        <f>IFERROR(__xludf.DUMMYFUNCTION("""COMPUTED_VALUE"""),62.0)</f>
        <v>62</v>
      </c>
      <c r="F1752" s="19" t="str">
        <f>IFERROR(__xludf.DUMMYFUNCTION("""COMPUTED_VALUE"""),"BLUE")</f>
        <v>BLUE</v>
      </c>
      <c r="G1752" s="20" t="str">
        <f>IFERROR(__xludf.DUMMYFUNCTION("""COMPUTED_VALUE"""),"Uncle Sams Cider (11/12/2021) (Blue)")</f>
        <v>Uncle Sams Cider (11/12/2021) (Blue)</v>
      </c>
      <c r="H1752" s="19"/>
    </row>
    <row r="1753">
      <c r="A1753" s="9"/>
      <c r="B1753" s="15"/>
      <c r="C1753" s="9">
        <f>IFERROR(__xludf.DUMMYFUNCTION("""COMPUTED_VALUE"""),44587.2928036226)</f>
        <v>44587.2928</v>
      </c>
      <c r="D1753" s="15">
        <f>IFERROR(__xludf.DUMMYFUNCTION("""COMPUTED_VALUE"""),1.001)</f>
        <v>1.001</v>
      </c>
      <c r="E1753" s="16">
        <f>IFERROR(__xludf.DUMMYFUNCTION("""COMPUTED_VALUE"""),62.0)</f>
        <v>62</v>
      </c>
      <c r="F1753" s="19" t="str">
        <f>IFERROR(__xludf.DUMMYFUNCTION("""COMPUTED_VALUE"""),"BLUE")</f>
        <v>BLUE</v>
      </c>
      <c r="G1753" s="20" t="str">
        <f>IFERROR(__xludf.DUMMYFUNCTION("""COMPUTED_VALUE"""),"Uncle Sams Cider (11/12/2021) (Blue)")</f>
        <v>Uncle Sams Cider (11/12/2021) (Blue)</v>
      </c>
      <c r="H1753" s="19"/>
    </row>
    <row r="1754">
      <c r="A1754" s="9"/>
      <c r="B1754" s="15"/>
      <c r="C1754" s="9">
        <f>IFERROR(__xludf.DUMMYFUNCTION("""COMPUTED_VALUE"""),44587.2823717708)</f>
        <v>44587.28237</v>
      </c>
      <c r="D1754" s="15">
        <f>IFERROR(__xludf.DUMMYFUNCTION("""COMPUTED_VALUE"""),1.001)</f>
        <v>1.001</v>
      </c>
      <c r="E1754" s="16">
        <f>IFERROR(__xludf.DUMMYFUNCTION("""COMPUTED_VALUE"""),62.0)</f>
        <v>62</v>
      </c>
      <c r="F1754" s="19" t="str">
        <f>IFERROR(__xludf.DUMMYFUNCTION("""COMPUTED_VALUE"""),"BLUE")</f>
        <v>BLUE</v>
      </c>
      <c r="G1754" s="20" t="str">
        <f>IFERROR(__xludf.DUMMYFUNCTION("""COMPUTED_VALUE"""),"Uncle Sams Cider (11/12/2021) (Blue)")</f>
        <v>Uncle Sams Cider (11/12/2021) (Blue)</v>
      </c>
      <c r="H1754" s="19"/>
    </row>
    <row r="1755">
      <c r="A1755" s="9"/>
      <c r="B1755" s="15"/>
      <c r="C1755" s="9">
        <f>IFERROR(__xludf.DUMMYFUNCTION("""COMPUTED_VALUE"""),44587.2719496064)</f>
        <v>44587.27195</v>
      </c>
      <c r="D1755" s="15">
        <f>IFERROR(__xludf.DUMMYFUNCTION("""COMPUTED_VALUE"""),1.001)</f>
        <v>1.001</v>
      </c>
      <c r="E1755" s="16">
        <f>IFERROR(__xludf.DUMMYFUNCTION("""COMPUTED_VALUE"""),62.0)</f>
        <v>62</v>
      </c>
      <c r="F1755" s="19" t="str">
        <f>IFERROR(__xludf.DUMMYFUNCTION("""COMPUTED_VALUE"""),"BLUE")</f>
        <v>BLUE</v>
      </c>
      <c r="G1755" s="20" t="str">
        <f>IFERROR(__xludf.DUMMYFUNCTION("""COMPUTED_VALUE"""),"Uncle Sams Cider (11/12/2021) (Blue)")</f>
        <v>Uncle Sams Cider (11/12/2021) (Blue)</v>
      </c>
      <c r="H1755" s="19"/>
    </row>
    <row r="1756">
      <c r="A1756" s="9"/>
      <c r="B1756" s="15"/>
      <c r="C1756" s="9">
        <f>IFERROR(__xludf.DUMMYFUNCTION("""COMPUTED_VALUE"""),44587.2615271759)</f>
        <v>44587.26153</v>
      </c>
      <c r="D1756" s="15">
        <f>IFERROR(__xludf.DUMMYFUNCTION("""COMPUTED_VALUE"""),1.001)</f>
        <v>1.001</v>
      </c>
      <c r="E1756" s="16">
        <f>IFERROR(__xludf.DUMMYFUNCTION("""COMPUTED_VALUE"""),62.0)</f>
        <v>62</v>
      </c>
      <c r="F1756" s="19" t="str">
        <f>IFERROR(__xludf.DUMMYFUNCTION("""COMPUTED_VALUE"""),"BLUE")</f>
        <v>BLUE</v>
      </c>
      <c r="G1756" s="20" t="str">
        <f>IFERROR(__xludf.DUMMYFUNCTION("""COMPUTED_VALUE"""),"Uncle Sams Cider (11/12/2021) (Blue)")</f>
        <v>Uncle Sams Cider (11/12/2021) (Blue)</v>
      </c>
      <c r="H1756" s="19"/>
    </row>
    <row r="1757">
      <c r="A1757" s="9"/>
      <c r="B1757" s="15"/>
      <c r="C1757" s="9">
        <f>IFERROR(__xludf.DUMMYFUNCTION("""COMPUTED_VALUE"""),44587.25107125)</f>
        <v>44587.25107</v>
      </c>
      <c r="D1757" s="15">
        <f>IFERROR(__xludf.DUMMYFUNCTION("""COMPUTED_VALUE"""),1.001)</f>
        <v>1.001</v>
      </c>
      <c r="E1757" s="16">
        <f>IFERROR(__xludf.DUMMYFUNCTION("""COMPUTED_VALUE"""),62.0)</f>
        <v>62</v>
      </c>
      <c r="F1757" s="19" t="str">
        <f>IFERROR(__xludf.DUMMYFUNCTION("""COMPUTED_VALUE"""),"BLUE")</f>
        <v>BLUE</v>
      </c>
      <c r="G1757" s="20" t="str">
        <f>IFERROR(__xludf.DUMMYFUNCTION("""COMPUTED_VALUE"""),"Uncle Sams Cider (11/12/2021) (Blue)")</f>
        <v>Uncle Sams Cider (11/12/2021) (Blue)</v>
      </c>
      <c r="H1757" s="19"/>
    </row>
    <row r="1758">
      <c r="A1758" s="9"/>
      <c r="B1758" s="15"/>
      <c r="C1758" s="9">
        <f>IFERROR(__xludf.DUMMYFUNCTION("""COMPUTED_VALUE"""),44587.2406492939)</f>
        <v>44587.24065</v>
      </c>
      <c r="D1758" s="15">
        <f>IFERROR(__xludf.DUMMYFUNCTION("""COMPUTED_VALUE"""),1.001)</f>
        <v>1.001</v>
      </c>
      <c r="E1758" s="16">
        <f>IFERROR(__xludf.DUMMYFUNCTION("""COMPUTED_VALUE"""),62.0)</f>
        <v>62</v>
      </c>
      <c r="F1758" s="19" t="str">
        <f>IFERROR(__xludf.DUMMYFUNCTION("""COMPUTED_VALUE"""),"BLUE")</f>
        <v>BLUE</v>
      </c>
      <c r="G1758" s="20" t="str">
        <f>IFERROR(__xludf.DUMMYFUNCTION("""COMPUTED_VALUE"""),"Uncle Sams Cider (11/12/2021) (Blue)")</f>
        <v>Uncle Sams Cider (11/12/2021) (Blue)</v>
      </c>
      <c r="H1758" s="19"/>
    </row>
    <row r="1759">
      <c r="A1759" s="9"/>
      <c r="B1759" s="15"/>
      <c r="C1759" s="9">
        <f>IFERROR(__xludf.DUMMYFUNCTION("""COMPUTED_VALUE"""),44587.2302162268)</f>
        <v>44587.23022</v>
      </c>
      <c r="D1759" s="15">
        <f>IFERROR(__xludf.DUMMYFUNCTION("""COMPUTED_VALUE"""),1.001)</f>
        <v>1.001</v>
      </c>
      <c r="E1759" s="16">
        <f>IFERROR(__xludf.DUMMYFUNCTION("""COMPUTED_VALUE"""),62.0)</f>
        <v>62</v>
      </c>
      <c r="F1759" s="19" t="str">
        <f>IFERROR(__xludf.DUMMYFUNCTION("""COMPUTED_VALUE"""),"BLUE")</f>
        <v>BLUE</v>
      </c>
      <c r="G1759" s="20" t="str">
        <f>IFERROR(__xludf.DUMMYFUNCTION("""COMPUTED_VALUE"""),"Uncle Sams Cider (11/12/2021) (Blue)")</f>
        <v>Uncle Sams Cider (11/12/2021) (Blue)</v>
      </c>
      <c r="H1759" s="19"/>
    </row>
    <row r="1760">
      <c r="A1760" s="9"/>
      <c r="B1760" s="15"/>
      <c r="C1760" s="9">
        <f>IFERROR(__xludf.DUMMYFUNCTION("""COMPUTED_VALUE"""),44587.219785324)</f>
        <v>44587.21979</v>
      </c>
      <c r="D1760" s="15">
        <f>IFERROR(__xludf.DUMMYFUNCTION("""COMPUTED_VALUE"""),1.001)</f>
        <v>1.001</v>
      </c>
      <c r="E1760" s="16">
        <f>IFERROR(__xludf.DUMMYFUNCTION("""COMPUTED_VALUE"""),62.0)</f>
        <v>62</v>
      </c>
      <c r="F1760" s="19" t="str">
        <f>IFERROR(__xludf.DUMMYFUNCTION("""COMPUTED_VALUE"""),"BLUE")</f>
        <v>BLUE</v>
      </c>
      <c r="G1760" s="20" t="str">
        <f>IFERROR(__xludf.DUMMYFUNCTION("""COMPUTED_VALUE"""),"Uncle Sams Cider (11/12/2021) (Blue)")</f>
        <v>Uncle Sams Cider (11/12/2021) (Blue)</v>
      </c>
      <c r="H1760" s="19"/>
    </row>
    <row r="1761">
      <c r="A1761" s="9"/>
      <c r="B1761" s="15"/>
      <c r="C1761" s="9">
        <f>IFERROR(__xludf.DUMMYFUNCTION("""COMPUTED_VALUE"""),44587.2093643634)</f>
        <v>44587.20936</v>
      </c>
      <c r="D1761" s="15">
        <f>IFERROR(__xludf.DUMMYFUNCTION("""COMPUTED_VALUE"""),1.001)</f>
        <v>1.001</v>
      </c>
      <c r="E1761" s="16">
        <f>IFERROR(__xludf.DUMMYFUNCTION("""COMPUTED_VALUE"""),62.0)</f>
        <v>62</v>
      </c>
      <c r="F1761" s="19" t="str">
        <f>IFERROR(__xludf.DUMMYFUNCTION("""COMPUTED_VALUE"""),"BLUE")</f>
        <v>BLUE</v>
      </c>
      <c r="G1761" s="20" t="str">
        <f>IFERROR(__xludf.DUMMYFUNCTION("""COMPUTED_VALUE"""),"Uncle Sams Cider (11/12/2021) (Blue)")</f>
        <v>Uncle Sams Cider (11/12/2021) (Blue)</v>
      </c>
      <c r="H1761" s="19"/>
    </row>
    <row r="1762">
      <c r="A1762" s="9"/>
      <c r="B1762" s="15"/>
      <c r="C1762" s="9">
        <f>IFERROR(__xludf.DUMMYFUNCTION("""COMPUTED_VALUE"""),44587.1989440393)</f>
        <v>44587.19894</v>
      </c>
      <c r="D1762" s="15">
        <f>IFERROR(__xludf.DUMMYFUNCTION("""COMPUTED_VALUE"""),1.001)</f>
        <v>1.001</v>
      </c>
      <c r="E1762" s="16">
        <f>IFERROR(__xludf.DUMMYFUNCTION("""COMPUTED_VALUE"""),62.0)</f>
        <v>62</v>
      </c>
      <c r="F1762" s="19" t="str">
        <f>IFERROR(__xludf.DUMMYFUNCTION("""COMPUTED_VALUE"""),"BLUE")</f>
        <v>BLUE</v>
      </c>
      <c r="G1762" s="20" t="str">
        <f>IFERROR(__xludf.DUMMYFUNCTION("""COMPUTED_VALUE"""),"Uncle Sams Cider (11/12/2021) (Blue)")</f>
        <v>Uncle Sams Cider (11/12/2021) (Blue)</v>
      </c>
      <c r="H1762" s="19"/>
    </row>
    <row r="1763">
      <c r="A1763" s="9"/>
      <c r="B1763" s="15"/>
      <c r="C1763" s="9">
        <f>IFERROR(__xludf.DUMMYFUNCTION("""COMPUTED_VALUE"""),44587.1885202083)</f>
        <v>44587.18852</v>
      </c>
      <c r="D1763" s="15">
        <f>IFERROR(__xludf.DUMMYFUNCTION("""COMPUTED_VALUE"""),1.001)</f>
        <v>1.001</v>
      </c>
      <c r="E1763" s="16">
        <f>IFERROR(__xludf.DUMMYFUNCTION("""COMPUTED_VALUE"""),62.0)</f>
        <v>62</v>
      </c>
      <c r="F1763" s="19" t="str">
        <f>IFERROR(__xludf.DUMMYFUNCTION("""COMPUTED_VALUE"""),"BLUE")</f>
        <v>BLUE</v>
      </c>
      <c r="G1763" s="20" t="str">
        <f>IFERROR(__xludf.DUMMYFUNCTION("""COMPUTED_VALUE"""),"Uncle Sams Cider (11/12/2021) (Blue)")</f>
        <v>Uncle Sams Cider (11/12/2021) (Blue)</v>
      </c>
      <c r="H1763" s="19"/>
    </row>
    <row r="1764">
      <c r="A1764" s="9"/>
      <c r="B1764" s="15"/>
      <c r="C1764" s="9">
        <f>IFERROR(__xludf.DUMMYFUNCTION("""COMPUTED_VALUE"""),44587.1780865046)</f>
        <v>44587.17809</v>
      </c>
      <c r="D1764" s="15">
        <f>IFERROR(__xludf.DUMMYFUNCTION("""COMPUTED_VALUE"""),1.001)</f>
        <v>1.001</v>
      </c>
      <c r="E1764" s="16">
        <f>IFERROR(__xludf.DUMMYFUNCTION("""COMPUTED_VALUE"""),62.0)</f>
        <v>62</v>
      </c>
      <c r="F1764" s="19" t="str">
        <f>IFERROR(__xludf.DUMMYFUNCTION("""COMPUTED_VALUE"""),"BLUE")</f>
        <v>BLUE</v>
      </c>
      <c r="G1764" s="20" t="str">
        <f>IFERROR(__xludf.DUMMYFUNCTION("""COMPUTED_VALUE"""),"Uncle Sams Cider (11/12/2021) (Blue)")</f>
        <v>Uncle Sams Cider (11/12/2021) (Blue)</v>
      </c>
      <c r="H1764" s="19"/>
    </row>
    <row r="1765">
      <c r="A1765" s="9"/>
      <c r="B1765" s="15"/>
      <c r="C1765" s="9">
        <f>IFERROR(__xludf.DUMMYFUNCTION("""COMPUTED_VALUE"""),44587.1676661111)</f>
        <v>44587.16767</v>
      </c>
      <c r="D1765" s="15">
        <f>IFERROR(__xludf.DUMMYFUNCTION("""COMPUTED_VALUE"""),1.001)</f>
        <v>1.001</v>
      </c>
      <c r="E1765" s="16">
        <f>IFERROR(__xludf.DUMMYFUNCTION("""COMPUTED_VALUE"""),62.0)</f>
        <v>62</v>
      </c>
      <c r="F1765" s="19" t="str">
        <f>IFERROR(__xludf.DUMMYFUNCTION("""COMPUTED_VALUE"""),"BLUE")</f>
        <v>BLUE</v>
      </c>
      <c r="G1765" s="20" t="str">
        <f>IFERROR(__xludf.DUMMYFUNCTION("""COMPUTED_VALUE"""),"Uncle Sams Cider (11/12/2021) (Blue)")</f>
        <v>Uncle Sams Cider (11/12/2021) (Blue)</v>
      </c>
      <c r="H1765" s="19"/>
    </row>
    <row r="1766">
      <c r="A1766" s="9"/>
      <c r="B1766" s="15"/>
      <c r="C1766" s="9">
        <f>IFERROR(__xludf.DUMMYFUNCTION("""COMPUTED_VALUE"""),44587.1572452314)</f>
        <v>44587.15725</v>
      </c>
      <c r="D1766" s="15">
        <f>IFERROR(__xludf.DUMMYFUNCTION("""COMPUTED_VALUE"""),1.001)</f>
        <v>1.001</v>
      </c>
      <c r="E1766" s="16">
        <f>IFERROR(__xludf.DUMMYFUNCTION("""COMPUTED_VALUE"""),62.0)</f>
        <v>62</v>
      </c>
      <c r="F1766" s="19" t="str">
        <f>IFERROR(__xludf.DUMMYFUNCTION("""COMPUTED_VALUE"""),"BLUE")</f>
        <v>BLUE</v>
      </c>
      <c r="G1766" s="20" t="str">
        <f>IFERROR(__xludf.DUMMYFUNCTION("""COMPUTED_VALUE"""),"Uncle Sams Cider (11/12/2021) (Blue)")</f>
        <v>Uncle Sams Cider (11/12/2021) (Blue)</v>
      </c>
      <c r="H1766" s="19"/>
    </row>
    <row r="1767">
      <c r="A1767" s="9"/>
      <c r="B1767" s="15"/>
      <c r="C1767" s="9">
        <f>IFERROR(__xludf.DUMMYFUNCTION("""COMPUTED_VALUE"""),44587.1468114583)</f>
        <v>44587.14681</v>
      </c>
      <c r="D1767" s="15">
        <f>IFERROR(__xludf.DUMMYFUNCTION("""COMPUTED_VALUE"""),1.001)</f>
        <v>1.001</v>
      </c>
      <c r="E1767" s="16">
        <f>IFERROR(__xludf.DUMMYFUNCTION("""COMPUTED_VALUE"""),62.0)</f>
        <v>62</v>
      </c>
      <c r="F1767" s="19" t="str">
        <f>IFERROR(__xludf.DUMMYFUNCTION("""COMPUTED_VALUE"""),"BLUE")</f>
        <v>BLUE</v>
      </c>
      <c r="G1767" s="20" t="str">
        <f>IFERROR(__xludf.DUMMYFUNCTION("""COMPUTED_VALUE"""),"Uncle Sams Cider (11/12/2021) (Blue)")</f>
        <v>Uncle Sams Cider (11/12/2021) (Blue)</v>
      </c>
      <c r="H1767" s="19"/>
    </row>
    <row r="1768">
      <c r="A1768" s="9"/>
      <c r="B1768" s="15"/>
      <c r="C1768" s="9">
        <f>IFERROR(__xludf.DUMMYFUNCTION("""COMPUTED_VALUE"""),44587.1363910069)</f>
        <v>44587.13639</v>
      </c>
      <c r="D1768" s="15">
        <f>IFERROR(__xludf.DUMMYFUNCTION("""COMPUTED_VALUE"""),1.001)</f>
        <v>1.001</v>
      </c>
      <c r="E1768" s="16">
        <f>IFERROR(__xludf.DUMMYFUNCTION("""COMPUTED_VALUE"""),62.0)</f>
        <v>62</v>
      </c>
      <c r="F1768" s="19" t="str">
        <f>IFERROR(__xludf.DUMMYFUNCTION("""COMPUTED_VALUE"""),"BLUE")</f>
        <v>BLUE</v>
      </c>
      <c r="G1768" s="20" t="str">
        <f>IFERROR(__xludf.DUMMYFUNCTION("""COMPUTED_VALUE"""),"Uncle Sams Cider (11/12/2021) (Blue)")</f>
        <v>Uncle Sams Cider (11/12/2021) (Blue)</v>
      </c>
      <c r="H1768" s="19"/>
    </row>
    <row r="1769">
      <c r="A1769" s="9"/>
      <c r="B1769" s="15"/>
      <c r="C1769" s="9">
        <f>IFERROR(__xludf.DUMMYFUNCTION("""COMPUTED_VALUE"""),44587.1259690277)</f>
        <v>44587.12597</v>
      </c>
      <c r="D1769" s="15">
        <f>IFERROR(__xludf.DUMMYFUNCTION("""COMPUTED_VALUE"""),1.001)</f>
        <v>1.001</v>
      </c>
      <c r="E1769" s="16">
        <f>IFERROR(__xludf.DUMMYFUNCTION("""COMPUTED_VALUE"""),62.0)</f>
        <v>62</v>
      </c>
      <c r="F1769" s="19" t="str">
        <f>IFERROR(__xludf.DUMMYFUNCTION("""COMPUTED_VALUE"""),"BLUE")</f>
        <v>BLUE</v>
      </c>
      <c r="G1769" s="20" t="str">
        <f>IFERROR(__xludf.DUMMYFUNCTION("""COMPUTED_VALUE"""),"Uncle Sams Cider (11/12/2021) (Blue)")</f>
        <v>Uncle Sams Cider (11/12/2021) (Blue)</v>
      </c>
      <c r="H1769" s="19"/>
    </row>
    <row r="1770">
      <c r="A1770" s="9"/>
      <c r="B1770" s="15"/>
      <c r="C1770" s="9">
        <f>IFERROR(__xludf.DUMMYFUNCTION("""COMPUTED_VALUE"""),44587.1155484837)</f>
        <v>44587.11555</v>
      </c>
      <c r="D1770" s="15">
        <f>IFERROR(__xludf.DUMMYFUNCTION("""COMPUTED_VALUE"""),1.001)</f>
        <v>1.001</v>
      </c>
      <c r="E1770" s="16">
        <f>IFERROR(__xludf.DUMMYFUNCTION("""COMPUTED_VALUE"""),62.0)</f>
        <v>62</v>
      </c>
      <c r="F1770" s="19" t="str">
        <f>IFERROR(__xludf.DUMMYFUNCTION("""COMPUTED_VALUE"""),"BLUE")</f>
        <v>BLUE</v>
      </c>
      <c r="G1770" s="20" t="str">
        <f>IFERROR(__xludf.DUMMYFUNCTION("""COMPUTED_VALUE"""),"Uncle Sams Cider (11/12/2021) (Blue)")</f>
        <v>Uncle Sams Cider (11/12/2021) (Blue)</v>
      </c>
      <c r="H1770" s="19"/>
    </row>
    <row r="1771">
      <c r="A1771" s="9"/>
      <c r="B1771" s="15"/>
      <c r="C1771" s="9">
        <f>IFERROR(__xludf.DUMMYFUNCTION("""COMPUTED_VALUE"""),44587.1051286342)</f>
        <v>44587.10513</v>
      </c>
      <c r="D1771" s="15">
        <f>IFERROR(__xludf.DUMMYFUNCTION("""COMPUTED_VALUE"""),1.001)</f>
        <v>1.001</v>
      </c>
      <c r="E1771" s="16">
        <f>IFERROR(__xludf.DUMMYFUNCTION("""COMPUTED_VALUE"""),62.0)</f>
        <v>62</v>
      </c>
      <c r="F1771" s="19" t="str">
        <f>IFERROR(__xludf.DUMMYFUNCTION("""COMPUTED_VALUE"""),"BLUE")</f>
        <v>BLUE</v>
      </c>
      <c r="G1771" s="20" t="str">
        <f>IFERROR(__xludf.DUMMYFUNCTION("""COMPUTED_VALUE"""),"Uncle Sams Cider (11/12/2021) (Blue)")</f>
        <v>Uncle Sams Cider (11/12/2021) (Blue)</v>
      </c>
      <c r="H1771" s="19"/>
    </row>
    <row r="1772">
      <c r="A1772" s="9"/>
      <c r="B1772" s="15"/>
      <c r="C1772" s="9">
        <f>IFERROR(__xludf.DUMMYFUNCTION("""COMPUTED_VALUE"""),44587.0946960879)</f>
        <v>44587.0947</v>
      </c>
      <c r="D1772" s="15">
        <f>IFERROR(__xludf.DUMMYFUNCTION("""COMPUTED_VALUE"""),1.001)</f>
        <v>1.001</v>
      </c>
      <c r="E1772" s="16">
        <f>IFERROR(__xludf.DUMMYFUNCTION("""COMPUTED_VALUE"""),62.0)</f>
        <v>62</v>
      </c>
      <c r="F1772" s="19" t="str">
        <f>IFERROR(__xludf.DUMMYFUNCTION("""COMPUTED_VALUE"""),"BLUE")</f>
        <v>BLUE</v>
      </c>
      <c r="G1772" s="20" t="str">
        <f>IFERROR(__xludf.DUMMYFUNCTION("""COMPUTED_VALUE"""),"Uncle Sams Cider (11/12/2021) (Blue)")</f>
        <v>Uncle Sams Cider (11/12/2021) (Blue)</v>
      </c>
      <c r="H1772" s="19"/>
    </row>
    <row r="1773">
      <c r="A1773" s="9"/>
      <c r="B1773" s="15"/>
      <c r="C1773" s="9">
        <f>IFERROR(__xludf.DUMMYFUNCTION("""COMPUTED_VALUE"""),44587.0842737962)</f>
        <v>44587.08427</v>
      </c>
      <c r="D1773" s="15">
        <f>IFERROR(__xludf.DUMMYFUNCTION("""COMPUTED_VALUE"""),1.001)</f>
        <v>1.001</v>
      </c>
      <c r="E1773" s="16">
        <f>IFERROR(__xludf.DUMMYFUNCTION("""COMPUTED_VALUE"""),62.0)</f>
        <v>62</v>
      </c>
      <c r="F1773" s="19" t="str">
        <f>IFERROR(__xludf.DUMMYFUNCTION("""COMPUTED_VALUE"""),"BLUE")</f>
        <v>BLUE</v>
      </c>
      <c r="G1773" s="20" t="str">
        <f>IFERROR(__xludf.DUMMYFUNCTION("""COMPUTED_VALUE"""),"Uncle Sams Cider (11/12/2021) (Blue)")</f>
        <v>Uncle Sams Cider (11/12/2021) (Blue)</v>
      </c>
      <c r="H1773" s="19"/>
    </row>
    <row r="1774">
      <c r="A1774" s="9"/>
      <c r="B1774" s="15"/>
      <c r="C1774" s="9">
        <f>IFERROR(__xludf.DUMMYFUNCTION("""COMPUTED_VALUE"""),44587.0738516435)</f>
        <v>44587.07385</v>
      </c>
      <c r="D1774" s="15">
        <f>IFERROR(__xludf.DUMMYFUNCTION("""COMPUTED_VALUE"""),1.001)</f>
        <v>1.001</v>
      </c>
      <c r="E1774" s="16">
        <f>IFERROR(__xludf.DUMMYFUNCTION("""COMPUTED_VALUE"""),62.0)</f>
        <v>62</v>
      </c>
      <c r="F1774" s="19" t="str">
        <f>IFERROR(__xludf.DUMMYFUNCTION("""COMPUTED_VALUE"""),"BLUE")</f>
        <v>BLUE</v>
      </c>
      <c r="G1774" s="20" t="str">
        <f>IFERROR(__xludf.DUMMYFUNCTION("""COMPUTED_VALUE"""),"Uncle Sams Cider (11/12/2021) (Blue)")</f>
        <v>Uncle Sams Cider (11/12/2021) (Blue)</v>
      </c>
      <c r="H1774" s="19"/>
    </row>
    <row r="1775">
      <c r="A1775" s="9"/>
      <c r="B1775" s="15"/>
      <c r="C1775" s="9">
        <f>IFERROR(__xludf.DUMMYFUNCTION("""COMPUTED_VALUE"""),44587.0634174074)</f>
        <v>44587.06342</v>
      </c>
      <c r="D1775" s="15">
        <f>IFERROR(__xludf.DUMMYFUNCTION("""COMPUTED_VALUE"""),1.001)</f>
        <v>1.001</v>
      </c>
      <c r="E1775" s="16">
        <f>IFERROR(__xludf.DUMMYFUNCTION("""COMPUTED_VALUE"""),62.0)</f>
        <v>62</v>
      </c>
      <c r="F1775" s="19" t="str">
        <f>IFERROR(__xludf.DUMMYFUNCTION("""COMPUTED_VALUE"""),"BLUE")</f>
        <v>BLUE</v>
      </c>
      <c r="G1775" s="20" t="str">
        <f>IFERROR(__xludf.DUMMYFUNCTION("""COMPUTED_VALUE"""),"Uncle Sams Cider (11/12/2021) (Blue)")</f>
        <v>Uncle Sams Cider (11/12/2021) (Blue)</v>
      </c>
      <c r="H1775" s="19"/>
    </row>
    <row r="1776">
      <c r="A1776" s="9"/>
      <c r="B1776" s="15"/>
      <c r="C1776" s="9">
        <f>IFERROR(__xludf.DUMMYFUNCTION("""COMPUTED_VALUE"""),44587.0529974305)</f>
        <v>44587.053</v>
      </c>
      <c r="D1776" s="15">
        <f>IFERROR(__xludf.DUMMYFUNCTION("""COMPUTED_VALUE"""),1.001)</f>
        <v>1.001</v>
      </c>
      <c r="E1776" s="16">
        <f>IFERROR(__xludf.DUMMYFUNCTION("""COMPUTED_VALUE"""),62.0)</f>
        <v>62</v>
      </c>
      <c r="F1776" s="19" t="str">
        <f>IFERROR(__xludf.DUMMYFUNCTION("""COMPUTED_VALUE"""),"BLUE")</f>
        <v>BLUE</v>
      </c>
      <c r="G1776" s="20" t="str">
        <f>IFERROR(__xludf.DUMMYFUNCTION("""COMPUTED_VALUE"""),"Uncle Sams Cider (11/12/2021) (Blue)")</f>
        <v>Uncle Sams Cider (11/12/2021) (Blue)</v>
      </c>
      <c r="H1776" s="19"/>
    </row>
    <row r="1777">
      <c r="A1777" s="9"/>
      <c r="B1777" s="15"/>
      <c r="C1777" s="9">
        <f>IFERROR(__xludf.DUMMYFUNCTION("""COMPUTED_VALUE"""),44587.042576956)</f>
        <v>44587.04258</v>
      </c>
      <c r="D1777" s="15">
        <f>IFERROR(__xludf.DUMMYFUNCTION("""COMPUTED_VALUE"""),1.001)</f>
        <v>1.001</v>
      </c>
      <c r="E1777" s="16">
        <f>IFERROR(__xludf.DUMMYFUNCTION("""COMPUTED_VALUE"""),62.0)</f>
        <v>62</v>
      </c>
      <c r="F1777" s="19" t="str">
        <f>IFERROR(__xludf.DUMMYFUNCTION("""COMPUTED_VALUE"""),"BLUE")</f>
        <v>BLUE</v>
      </c>
      <c r="G1777" s="20" t="str">
        <f>IFERROR(__xludf.DUMMYFUNCTION("""COMPUTED_VALUE"""),"Uncle Sams Cider (11/12/2021) (Blue)")</f>
        <v>Uncle Sams Cider (11/12/2021) (Blue)</v>
      </c>
      <c r="H1777" s="19"/>
    </row>
    <row r="1778">
      <c r="A1778" s="9"/>
      <c r="B1778" s="15"/>
      <c r="C1778" s="9">
        <f>IFERROR(__xludf.DUMMYFUNCTION("""COMPUTED_VALUE"""),44587.0321543402)</f>
        <v>44587.03215</v>
      </c>
      <c r="D1778" s="15">
        <f>IFERROR(__xludf.DUMMYFUNCTION("""COMPUTED_VALUE"""),1.001)</f>
        <v>1.001</v>
      </c>
      <c r="E1778" s="16">
        <f>IFERROR(__xludf.DUMMYFUNCTION("""COMPUTED_VALUE"""),62.0)</f>
        <v>62</v>
      </c>
      <c r="F1778" s="19" t="str">
        <f>IFERROR(__xludf.DUMMYFUNCTION("""COMPUTED_VALUE"""),"BLUE")</f>
        <v>BLUE</v>
      </c>
      <c r="G1778" s="20" t="str">
        <f>IFERROR(__xludf.DUMMYFUNCTION("""COMPUTED_VALUE"""),"Uncle Sams Cider (11/12/2021) (Blue)")</f>
        <v>Uncle Sams Cider (11/12/2021) (Blue)</v>
      </c>
      <c r="H1778" s="19"/>
    </row>
    <row r="1779">
      <c r="A1779" s="9"/>
      <c r="B1779" s="15"/>
      <c r="C1779" s="9">
        <f>IFERROR(__xludf.DUMMYFUNCTION("""COMPUTED_VALUE"""),44587.0217325347)</f>
        <v>44587.02173</v>
      </c>
      <c r="D1779" s="15">
        <f>IFERROR(__xludf.DUMMYFUNCTION("""COMPUTED_VALUE"""),1.001)</f>
        <v>1.001</v>
      </c>
      <c r="E1779" s="16">
        <f>IFERROR(__xludf.DUMMYFUNCTION("""COMPUTED_VALUE"""),62.0)</f>
        <v>62</v>
      </c>
      <c r="F1779" s="19" t="str">
        <f>IFERROR(__xludf.DUMMYFUNCTION("""COMPUTED_VALUE"""),"BLUE")</f>
        <v>BLUE</v>
      </c>
      <c r="G1779" s="20" t="str">
        <f>IFERROR(__xludf.DUMMYFUNCTION("""COMPUTED_VALUE"""),"Uncle Sams Cider (11/12/2021) (Blue)")</f>
        <v>Uncle Sams Cider (11/12/2021) (Blue)</v>
      </c>
      <c r="H1779" s="19"/>
    </row>
    <row r="1780">
      <c r="A1780" s="9"/>
      <c r="B1780" s="15"/>
      <c r="C1780" s="9">
        <f>IFERROR(__xludf.DUMMYFUNCTION("""COMPUTED_VALUE"""),44587.0112997685)</f>
        <v>44587.0113</v>
      </c>
      <c r="D1780" s="15">
        <f>IFERROR(__xludf.DUMMYFUNCTION("""COMPUTED_VALUE"""),1.001)</f>
        <v>1.001</v>
      </c>
      <c r="E1780" s="16">
        <f>IFERROR(__xludf.DUMMYFUNCTION("""COMPUTED_VALUE"""),62.0)</f>
        <v>62</v>
      </c>
      <c r="F1780" s="19" t="str">
        <f>IFERROR(__xludf.DUMMYFUNCTION("""COMPUTED_VALUE"""),"BLUE")</f>
        <v>BLUE</v>
      </c>
      <c r="G1780" s="20" t="str">
        <f>IFERROR(__xludf.DUMMYFUNCTION("""COMPUTED_VALUE"""),"Uncle Sams Cider (11/12/2021) (Blue)")</f>
        <v>Uncle Sams Cider (11/12/2021) (Blue)</v>
      </c>
      <c r="H1780" s="19"/>
    </row>
    <row r="1781">
      <c r="A1781" s="9"/>
      <c r="B1781" s="15"/>
      <c r="C1781" s="9">
        <f>IFERROR(__xludf.DUMMYFUNCTION("""COMPUTED_VALUE"""),44587.0008792939)</f>
        <v>44587.00088</v>
      </c>
      <c r="D1781" s="15">
        <f>IFERROR(__xludf.DUMMYFUNCTION("""COMPUTED_VALUE"""),1.001)</f>
        <v>1.001</v>
      </c>
      <c r="E1781" s="16">
        <f>IFERROR(__xludf.DUMMYFUNCTION("""COMPUTED_VALUE"""),62.0)</f>
        <v>62</v>
      </c>
      <c r="F1781" s="19" t="str">
        <f>IFERROR(__xludf.DUMMYFUNCTION("""COMPUTED_VALUE"""),"BLUE")</f>
        <v>BLUE</v>
      </c>
      <c r="G1781" s="20" t="str">
        <f>IFERROR(__xludf.DUMMYFUNCTION("""COMPUTED_VALUE"""),"Uncle Sams Cider (11/12/2021) (Blue)")</f>
        <v>Uncle Sams Cider (11/12/2021) (Blue)</v>
      </c>
      <c r="H1781" s="19"/>
    </row>
    <row r="1782">
      <c r="A1782" s="9"/>
      <c r="B1782" s="15"/>
      <c r="C1782" s="9">
        <f>IFERROR(__xludf.DUMMYFUNCTION("""COMPUTED_VALUE"""),44586.9904552199)</f>
        <v>44586.99046</v>
      </c>
      <c r="D1782" s="15">
        <f>IFERROR(__xludf.DUMMYFUNCTION("""COMPUTED_VALUE"""),1.001)</f>
        <v>1.001</v>
      </c>
      <c r="E1782" s="16">
        <f>IFERROR(__xludf.DUMMYFUNCTION("""COMPUTED_VALUE"""),62.0)</f>
        <v>62</v>
      </c>
      <c r="F1782" s="19" t="str">
        <f>IFERROR(__xludf.DUMMYFUNCTION("""COMPUTED_VALUE"""),"BLUE")</f>
        <v>BLUE</v>
      </c>
      <c r="G1782" s="20" t="str">
        <f>IFERROR(__xludf.DUMMYFUNCTION("""COMPUTED_VALUE"""),"Uncle Sams Cider (11/12/2021) (Blue)")</f>
        <v>Uncle Sams Cider (11/12/2021) (Blue)</v>
      </c>
      <c r="H1782" s="19"/>
    </row>
    <row r="1783">
      <c r="A1783" s="9"/>
      <c r="B1783" s="15"/>
      <c r="C1783" s="9">
        <f>IFERROR(__xludf.DUMMYFUNCTION("""COMPUTED_VALUE"""),44586.9800349652)</f>
        <v>44586.98003</v>
      </c>
      <c r="D1783" s="15">
        <f>IFERROR(__xludf.DUMMYFUNCTION("""COMPUTED_VALUE"""),1.001)</f>
        <v>1.001</v>
      </c>
      <c r="E1783" s="16">
        <f>IFERROR(__xludf.DUMMYFUNCTION("""COMPUTED_VALUE"""),62.0)</f>
        <v>62</v>
      </c>
      <c r="F1783" s="19" t="str">
        <f>IFERROR(__xludf.DUMMYFUNCTION("""COMPUTED_VALUE"""),"BLUE")</f>
        <v>BLUE</v>
      </c>
      <c r="G1783" s="20" t="str">
        <f>IFERROR(__xludf.DUMMYFUNCTION("""COMPUTED_VALUE"""),"Uncle Sams Cider (11/12/2021) (Blue)")</f>
        <v>Uncle Sams Cider (11/12/2021) (Blue)</v>
      </c>
      <c r="H1783" s="19"/>
    </row>
    <row r="1784">
      <c r="A1784" s="9"/>
      <c r="B1784" s="15"/>
      <c r="C1784" s="9">
        <f>IFERROR(__xludf.DUMMYFUNCTION("""COMPUTED_VALUE"""),44586.969613993)</f>
        <v>44586.96961</v>
      </c>
      <c r="D1784" s="15">
        <f>IFERROR(__xludf.DUMMYFUNCTION("""COMPUTED_VALUE"""),1.001)</f>
        <v>1.001</v>
      </c>
      <c r="E1784" s="16">
        <f>IFERROR(__xludf.DUMMYFUNCTION("""COMPUTED_VALUE"""),62.0)</f>
        <v>62</v>
      </c>
      <c r="F1784" s="19" t="str">
        <f>IFERROR(__xludf.DUMMYFUNCTION("""COMPUTED_VALUE"""),"BLUE")</f>
        <v>BLUE</v>
      </c>
      <c r="G1784" s="20" t="str">
        <f>IFERROR(__xludf.DUMMYFUNCTION("""COMPUTED_VALUE"""),"Uncle Sams Cider (11/12/2021) (Blue)")</f>
        <v>Uncle Sams Cider (11/12/2021) (Blue)</v>
      </c>
      <c r="H1784" s="19"/>
    </row>
    <row r="1785">
      <c r="A1785" s="9"/>
      <c r="B1785" s="15"/>
      <c r="C1785" s="9">
        <f>IFERROR(__xludf.DUMMYFUNCTION("""COMPUTED_VALUE"""),44586.9591807175)</f>
        <v>44586.95918</v>
      </c>
      <c r="D1785" s="15">
        <f>IFERROR(__xludf.DUMMYFUNCTION("""COMPUTED_VALUE"""),1.001)</f>
        <v>1.001</v>
      </c>
      <c r="E1785" s="16">
        <f>IFERROR(__xludf.DUMMYFUNCTION("""COMPUTED_VALUE"""),62.0)</f>
        <v>62</v>
      </c>
      <c r="F1785" s="19" t="str">
        <f>IFERROR(__xludf.DUMMYFUNCTION("""COMPUTED_VALUE"""),"BLUE")</f>
        <v>BLUE</v>
      </c>
      <c r="G1785" s="20" t="str">
        <f>IFERROR(__xludf.DUMMYFUNCTION("""COMPUTED_VALUE"""),"Uncle Sams Cider (11/12/2021) (Blue)")</f>
        <v>Uncle Sams Cider (11/12/2021) (Blue)</v>
      </c>
      <c r="H1785" s="19"/>
    </row>
    <row r="1786">
      <c r="A1786" s="9"/>
      <c r="B1786" s="15"/>
      <c r="C1786" s="9">
        <f>IFERROR(__xludf.DUMMYFUNCTION("""COMPUTED_VALUE"""),44586.9487603009)</f>
        <v>44586.94876</v>
      </c>
      <c r="D1786" s="15">
        <f>IFERROR(__xludf.DUMMYFUNCTION("""COMPUTED_VALUE"""),1.001)</f>
        <v>1.001</v>
      </c>
      <c r="E1786" s="16">
        <f>IFERROR(__xludf.DUMMYFUNCTION("""COMPUTED_VALUE"""),62.0)</f>
        <v>62</v>
      </c>
      <c r="F1786" s="19" t="str">
        <f>IFERROR(__xludf.DUMMYFUNCTION("""COMPUTED_VALUE"""),"BLUE")</f>
        <v>BLUE</v>
      </c>
      <c r="G1786" s="20" t="str">
        <f>IFERROR(__xludf.DUMMYFUNCTION("""COMPUTED_VALUE"""),"Uncle Sams Cider (11/12/2021) (Blue)")</f>
        <v>Uncle Sams Cider (11/12/2021) (Blue)</v>
      </c>
      <c r="H1786" s="19"/>
    </row>
    <row r="1787">
      <c r="A1787" s="9"/>
      <c r="B1787" s="15"/>
      <c r="C1787" s="9">
        <f>IFERROR(__xludf.DUMMYFUNCTION("""COMPUTED_VALUE"""),44586.9383361689)</f>
        <v>44586.93834</v>
      </c>
      <c r="D1787" s="15">
        <f>IFERROR(__xludf.DUMMYFUNCTION("""COMPUTED_VALUE"""),1.001)</f>
        <v>1.001</v>
      </c>
      <c r="E1787" s="16">
        <f>IFERROR(__xludf.DUMMYFUNCTION("""COMPUTED_VALUE"""),62.0)</f>
        <v>62</v>
      </c>
      <c r="F1787" s="19" t="str">
        <f>IFERROR(__xludf.DUMMYFUNCTION("""COMPUTED_VALUE"""),"BLUE")</f>
        <v>BLUE</v>
      </c>
      <c r="G1787" s="20" t="str">
        <f>IFERROR(__xludf.DUMMYFUNCTION("""COMPUTED_VALUE"""),"Uncle Sams Cider (11/12/2021) (Blue)")</f>
        <v>Uncle Sams Cider (11/12/2021) (Blue)</v>
      </c>
      <c r="H1787" s="19"/>
    </row>
    <row r="1788">
      <c r="A1788" s="9"/>
      <c r="B1788" s="15"/>
      <c r="C1788" s="9">
        <f>IFERROR(__xludf.DUMMYFUNCTION("""COMPUTED_VALUE"""),44586.9279136689)</f>
        <v>44586.92791</v>
      </c>
      <c r="D1788" s="15">
        <f>IFERROR(__xludf.DUMMYFUNCTION("""COMPUTED_VALUE"""),1.001)</f>
        <v>1.001</v>
      </c>
      <c r="E1788" s="16">
        <f>IFERROR(__xludf.DUMMYFUNCTION("""COMPUTED_VALUE"""),62.0)</f>
        <v>62</v>
      </c>
      <c r="F1788" s="19" t="str">
        <f>IFERROR(__xludf.DUMMYFUNCTION("""COMPUTED_VALUE"""),"BLUE")</f>
        <v>BLUE</v>
      </c>
      <c r="G1788" s="20" t="str">
        <f>IFERROR(__xludf.DUMMYFUNCTION("""COMPUTED_VALUE"""),"Uncle Sams Cider (11/12/2021) (Blue)")</f>
        <v>Uncle Sams Cider (11/12/2021) (Blue)</v>
      </c>
      <c r="H1788" s="19"/>
    </row>
    <row r="1789">
      <c r="A1789" s="9"/>
      <c r="B1789" s="15"/>
      <c r="C1789" s="9">
        <f>IFERROR(__xludf.DUMMYFUNCTION("""COMPUTED_VALUE"""),44586.9174951157)</f>
        <v>44586.9175</v>
      </c>
      <c r="D1789" s="15">
        <f>IFERROR(__xludf.DUMMYFUNCTION("""COMPUTED_VALUE"""),1.001)</f>
        <v>1.001</v>
      </c>
      <c r="E1789" s="16">
        <f>IFERROR(__xludf.DUMMYFUNCTION("""COMPUTED_VALUE"""),62.0)</f>
        <v>62</v>
      </c>
      <c r="F1789" s="19" t="str">
        <f>IFERROR(__xludf.DUMMYFUNCTION("""COMPUTED_VALUE"""),"BLUE")</f>
        <v>BLUE</v>
      </c>
      <c r="G1789" s="20" t="str">
        <f>IFERROR(__xludf.DUMMYFUNCTION("""COMPUTED_VALUE"""),"Uncle Sams Cider (11/12/2021) (Blue)")</f>
        <v>Uncle Sams Cider (11/12/2021) (Blue)</v>
      </c>
      <c r="H1789" s="19"/>
    </row>
    <row r="1790">
      <c r="A1790" s="9"/>
      <c r="B1790" s="15"/>
      <c r="C1790" s="9">
        <f>IFERROR(__xludf.DUMMYFUNCTION("""COMPUTED_VALUE"""),44586.9070733101)</f>
        <v>44586.90707</v>
      </c>
      <c r="D1790" s="15">
        <f>IFERROR(__xludf.DUMMYFUNCTION("""COMPUTED_VALUE"""),1.001)</f>
        <v>1.001</v>
      </c>
      <c r="E1790" s="16">
        <f>IFERROR(__xludf.DUMMYFUNCTION("""COMPUTED_VALUE"""),62.0)</f>
        <v>62</v>
      </c>
      <c r="F1790" s="19" t="str">
        <f>IFERROR(__xludf.DUMMYFUNCTION("""COMPUTED_VALUE"""),"BLUE")</f>
        <v>BLUE</v>
      </c>
      <c r="G1790" s="20" t="str">
        <f>IFERROR(__xludf.DUMMYFUNCTION("""COMPUTED_VALUE"""),"Uncle Sams Cider (11/12/2021) (Blue)")</f>
        <v>Uncle Sams Cider (11/12/2021) (Blue)</v>
      </c>
      <c r="H1790" s="19"/>
    </row>
    <row r="1791">
      <c r="A1791" s="9"/>
      <c r="B1791" s="15"/>
      <c r="C1791" s="9">
        <f>IFERROR(__xludf.DUMMYFUNCTION("""COMPUTED_VALUE"""),44586.896640405)</f>
        <v>44586.89664</v>
      </c>
      <c r="D1791" s="15">
        <f>IFERROR(__xludf.DUMMYFUNCTION("""COMPUTED_VALUE"""),1.001)</f>
        <v>1.001</v>
      </c>
      <c r="E1791" s="16">
        <f>IFERROR(__xludf.DUMMYFUNCTION("""COMPUTED_VALUE"""),62.0)</f>
        <v>62</v>
      </c>
      <c r="F1791" s="19" t="str">
        <f>IFERROR(__xludf.DUMMYFUNCTION("""COMPUTED_VALUE"""),"BLUE")</f>
        <v>BLUE</v>
      </c>
      <c r="G1791" s="20" t="str">
        <f>IFERROR(__xludf.DUMMYFUNCTION("""COMPUTED_VALUE"""),"Uncle Sams Cider (11/12/2021) (Blue)")</f>
        <v>Uncle Sams Cider (11/12/2021) (Blue)</v>
      </c>
      <c r="H1791" s="19"/>
    </row>
    <row r="1792">
      <c r="A1792" s="9"/>
      <c r="B1792" s="15"/>
      <c r="C1792" s="9">
        <f>IFERROR(__xludf.DUMMYFUNCTION("""COMPUTED_VALUE"""),44586.8862188194)</f>
        <v>44586.88622</v>
      </c>
      <c r="D1792" s="15">
        <f>IFERROR(__xludf.DUMMYFUNCTION("""COMPUTED_VALUE"""),1.001)</f>
        <v>1.001</v>
      </c>
      <c r="E1792" s="16">
        <f>IFERROR(__xludf.DUMMYFUNCTION("""COMPUTED_VALUE"""),63.0)</f>
        <v>63</v>
      </c>
      <c r="F1792" s="19" t="str">
        <f>IFERROR(__xludf.DUMMYFUNCTION("""COMPUTED_VALUE"""),"BLUE")</f>
        <v>BLUE</v>
      </c>
      <c r="G1792" s="20" t="str">
        <f>IFERROR(__xludf.DUMMYFUNCTION("""COMPUTED_VALUE"""),"Uncle Sams Cider (11/12/2021) (Blue)")</f>
        <v>Uncle Sams Cider (11/12/2021) (Blue)</v>
      </c>
      <c r="H1792" s="19"/>
    </row>
    <row r="1793">
      <c r="A1793" s="9"/>
      <c r="B1793" s="15"/>
      <c r="C1793" s="9">
        <f>IFERROR(__xludf.DUMMYFUNCTION("""COMPUTED_VALUE"""),44586.8757987847)</f>
        <v>44586.8758</v>
      </c>
      <c r="D1793" s="15">
        <f>IFERROR(__xludf.DUMMYFUNCTION("""COMPUTED_VALUE"""),1.001)</f>
        <v>1.001</v>
      </c>
      <c r="E1793" s="16">
        <f>IFERROR(__xludf.DUMMYFUNCTION("""COMPUTED_VALUE"""),62.0)</f>
        <v>62</v>
      </c>
      <c r="F1793" s="19" t="str">
        <f>IFERROR(__xludf.DUMMYFUNCTION("""COMPUTED_VALUE"""),"BLUE")</f>
        <v>BLUE</v>
      </c>
      <c r="G1793" s="20" t="str">
        <f>IFERROR(__xludf.DUMMYFUNCTION("""COMPUTED_VALUE"""),"Uncle Sams Cider (11/12/2021) (Blue)")</f>
        <v>Uncle Sams Cider (11/12/2021) (Blue)</v>
      </c>
      <c r="H1793" s="19"/>
    </row>
    <row r="1794">
      <c r="A1794" s="9"/>
      <c r="B1794" s="15"/>
      <c r="C1794" s="9">
        <f>IFERROR(__xludf.DUMMYFUNCTION("""COMPUTED_VALUE"""),44586.8653779745)</f>
        <v>44586.86538</v>
      </c>
      <c r="D1794" s="15">
        <f>IFERROR(__xludf.DUMMYFUNCTION("""COMPUTED_VALUE"""),1.001)</f>
        <v>1.001</v>
      </c>
      <c r="E1794" s="16">
        <f>IFERROR(__xludf.DUMMYFUNCTION("""COMPUTED_VALUE"""),63.0)</f>
        <v>63</v>
      </c>
      <c r="F1794" s="19" t="str">
        <f>IFERROR(__xludf.DUMMYFUNCTION("""COMPUTED_VALUE"""),"BLUE")</f>
        <v>BLUE</v>
      </c>
      <c r="G1794" s="20" t="str">
        <f>IFERROR(__xludf.DUMMYFUNCTION("""COMPUTED_VALUE"""),"Uncle Sams Cider (11/12/2021) (Blue)")</f>
        <v>Uncle Sams Cider (11/12/2021) (Blue)</v>
      </c>
      <c r="H1794" s="19"/>
    </row>
    <row r="1795">
      <c r="A1795" s="9"/>
      <c r="B1795" s="15"/>
      <c r="C1795" s="9">
        <f>IFERROR(__xludf.DUMMYFUNCTION("""COMPUTED_VALUE"""),44586.8549563773)</f>
        <v>44586.85496</v>
      </c>
      <c r="D1795" s="15">
        <f>IFERROR(__xludf.DUMMYFUNCTION("""COMPUTED_VALUE"""),1.001)</f>
        <v>1.001</v>
      </c>
      <c r="E1795" s="16">
        <f>IFERROR(__xludf.DUMMYFUNCTION("""COMPUTED_VALUE"""),63.0)</f>
        <v>63</v>
      </c>
      <c r="F1795" s="19" t="str">
        <f>IFERROR(__xludf.DUMMYFUNCTION("""COMPUTED_VALUE"""),"BLUE")</f>
        <v>BLUE</v>
      </c>
      <c r="G1795" s="20" t="str">
        <f>IFERROR(__xludf.DUMMYFUNCTION("""COMPUTED_VALUE"""),"Uncle Sams Cider (11/12/2021) (Blue)")</f>
        <v>Uncle Sams Cider (11/12/2021) (Blue)</v>
      </c>
      <c r="H1795" s="19"/>
    </row>
    <row r="1796">
      <c r="A1796" s="9"/>
      <c r="B1796" s="15"/>
      <c r="C1796" s="9">
        <f>IFERROR(__xludf.DUMMYFUNCTION("""COMPUTED_VALUE"""),44586.8445249537)</f>
        <v>44586.84452</v>
      </c>
      <c r="D1796" s="15">
        <f>IFERROR(__xludf.DUMMYFUNCTION("""COMPUTED_VALUE"""),1.001)</f>
        <v>1.001</v>
      </c>
      <c r="E1796" s="16">
        <f>IFERROR(__xludf.DUMMYFUNCTION("""COMPUTED_VALUE"""),63.0)</f>
        <v>63</v>
      </c>
      <c r="F1796" s="19" t="str">
        <f>IFERROR(__xludf.DUMMYFUNCTION("""COMPUTED_VALUE"""),"BLUE")</f>
        <v>BLUE</v>
      </c>
      <c r="G1796" s="20" t="str">
        <f>IFERROR(__xludf.DUMMYFUNCTION("""COMPUTED_VALUE"""),"Uncle Sams Cider (11/12/2021) (Blue)")</f>
        <v>Uncle Sams Cider (11/12/2021) (Blue)</v>
      </c>
      <c r="H1796" s="19"/>
    </row>
    <row r="1797">
      <c r="A1797" s="9"/>
      <c r="B1797" s="15"/>
      <c r="C1797" s="9">
        <f>IFERROR(__xludf.DUMMYFUNCTION("""COMPUTED_VALUE"""),44586.8341037731)</f>
        <v>44586.8341</v>
      </c>
      <c r="D1797" s="15">
        <f>IFERROR(__xludf.DUMMYFUNCTION("""COMPUTED_VALUE"""),1.001)</f>
        <v>1.001</v>
      </c>
      <c r="E1797" s="16">
        <f>IFERROR(__xludf.DUMMYFUNCTION("""COMPUTED_VALUE"""),63.0)</f>
        <v>63</v>
      </c>
      <c r="F1797" s="19" t="str">
        <f>IFERROR(__xludf.DUMMYFUNCTION("""COMPUTED_VALUE"""),"BLUE")</f>
        <v>BLUE</v>
      </c>
      <c r="G1797" s="20" t="str">
        <f>IFERROR(__xludf.DUMMYFUNCTION("""COMPUTED_VALUE"""),"Uncle Sams Cider (11/12/2021) (Blue)")</f>
        <v>Uncle Sams Cider (11/12/2021) (Blue)</v>
      </c>
      <c r="H1797" s="19"/>
    </row>
    <row r="1798">
      <c r="A1798" s="9"/>
      <c r="B1798" s="15"/>
      <c r="C1798" s="9">
        <f>IFERROR(__xludf.DUMMYFUNCTION("""COMPUTED_VALUE"""),44586.823680243)</f>
        <v>44586.82368</v>
      </c>
      <c r="D1798" s="15">
        <f>IFERROR(__xludf.DUMMYFUNCTION("""COMPUTED_VALUE"""),1.001)</f>
        <v>1.001</v>
      </c>
      <c r="E1798" s="16">
        <f>IFERROR(__xludf.DUMMYFUNCTION("""COMPUTED_VALUE"""),63.0)</f>
        <v>63</v>
      </c>
      <c r="F1798" s="19" t="str">
        <f>IFERROR(__xludf.DUMMYFUNCTION("""COMPUTED_VALUE"""),"BLUE")</f>
        <v>BLUE</v>
      </c>
      <c r="G1798" s="20" t="str">
        <f>IFERROR(__xludf.DUMMYFUNCTION("""COMPUTED_VALUE"""),"Uncle Sams Cider (11/12/2021) (Blue)")</f>
        <v>Uncle Sams Cider (11/12/2021) (Blue)</v>
      </c>
      <c r="H1798" s="19"/>
    </row>
    <row r="1799">
      <c r="A1799" s="9"/>
      <c r="B1799" s="15"/>
      <c r="C1799" s="9">
        <f>IFERROR(__xludf.DUMMYFUNCTION("""COMPUTED_VALUE"""),44586.8132590856)</f>
        <v>44586.81326</v>
      </c>
      <c r="D1799" s="15">
        <f>IFERROR(__xludf.DUMMYFUNCTION("""COMPUTED_VALUE"""),1.001)</f>
        <v>1.001</v>
      </c>
      <c r="E1799" s="16">
        <f>IFERROR(__xludf.DUMMYFUNCTION("""COMPUTED_VALUE"""),63.0)</f>
        <v>63</v>
      </c>
      <c r="F1799" s="19" t="str">
        <f>IFERROR(__xludf.DUMMYFUNCTION("""COMPUTED_VALUE"""),"BLUE")</f>
        <v>BLUE</v>
      </c>
      <c r="G1799" s="20" t="str">
        <f>IFERROR(__xludf.DUMMYFUNCTION("""COMPUTED_VALUE"""),"Uncle Sams Cider (11/12/2021) (Blue)")</f>
        <v>Uncle Sams Cider (11/12/2021) (Blue)</v>
      </c>
      <c r="H1799" s="19"/>
    </row>
    <row r="1800">
      <c r="A1800" s="9"/>
      <c r="B1800" s="15"/>
      <c r="C1800" s="9">
        <f>IFERROR(__xludf.DUMMYFUNCTION("""COMPUTED_VALUE"""),44586.8028384259)</f>
        <v>44586.80284</v>
      </c>
      <c r="D1800" s="15">
        <f>IFERROR(__xludf.DUMMYFUNCTION("""COMPUTED_VALUE"""),1.001)</f>
        <v>1.001</v>
      </c>
      <c r="E1800" s="16">
        <f>IFERROR(__xludf.DUMMYFUNCTION("""COMPUTED_VALUE"""),63.0)</f>
        <v>63</v>
      </c>
      <c r="F1800" s="19" t="str">
        <f>IFERROR(__xludf.DUMMYFUNCTION("""COMPUTED_VALUE"""),"BLUE")</f>
        <v>BLUE</v>
      </c>
      <c r="G1800" s="20" t="str">
        <f>IFERROR(__xludf.DUMMYFUNCTION("""COMPUTED_VALUE"""),"Uncle Sams Cider (11/12/2021) (Blue)")</f>
        <v>Uncle Sams Cider (11/12/2021) (Blue)</v>
      </c>
      <c r="H1800" s="19"/>
    </row>
    <row r="1801">
      <c r="A1801" s="9"/>
      <c r="B1801" s="15"/>
      <c r="C1801" s="9">
        <f>IFERROR(__xludf.DUMMYFUNCTION("""COMPUTED_VALUE"""),44586.7924160763)</f>
        <v>44586.79242</v>
      </c>
      <c r="D1801" s="15">
        <f>IFERROR(__xludf.DUMMYFUNCTION("""COMPUTED_VALUE"""),1.001)</f>
        <v>1.001</v>
      </c>
      <c r="E1801" s="16">
        <f>IFERROR(__xludf.DUMMYFUNCTION("""COMPUTED_VALUE"""),63.0)</f>
        <v>63</v>
      </c>
      <c r="F1801" s="19" t="str">
        <f>IFERROR(__xludf.DUMMYFUNCTION("""COMPUTED_VALUE"""),"BLUE")</f>
        <v>BLUE</v>
      </c>
      <c r="G1801" s="20" t="str">
        <f>IFERROR(__xludf.DUMMYFUNCTION("""COMPUTED_VALUE"""),"Uncle Sams Cider (11/12/2021) (Blue)")</f>
        <v>Uncle Sams Cider (11/12/2021) (Blue)</v>
      </c>
      <c r="H1801" s="19"/>
    </row>
    <row r="1802">
      <c r="A1802" s="9"/>
      <c r="B1802" s="15"/>
      <c r="C1802" s="9">
        <f>IFERROR(__xludf.DUMMYFUNCTION("""COMPUTED_VALUE"""),44586.7819952546)</f>
        <v>44586.782</v>
      </c>
      <c r="D1802" s="15">
        <f>IFERROR(__xludf.DUMMYFUNCTION("""COMPUTED_VALUE"""),1.001)</f>
        <v>1.001</v>
      </c>
      <c r="E1802" s="16">
        <f>IFERROR(__xludf.DUMMYFUNCTION("""COMPUTED_VALUE"""),63.0)</f>
        <v>63</v>
      </c>
      <c r="F1802" s="19" t="str">
        <f>IFERROR(__xludf.DUMMYFUNCTION("""COMPUTED_VALUE"""),"BLUE")</f>
        <v>BLUE</v>
      </c>
      <c r="G1802" s="20" t="str">
        <f>IFERROR(__xludf.DUMMYFUNCTION("""COMPUTED_VALUE"""),"Uncle Sams Cider (11/12/2021) (Blue)")</f>
        <v>Uncle Sams Cider (11/12/2021) (Blue)</v>
      </c>
      <c r="H1802" s="19"/>
    </row>
    <row r="1803">
      <c r="A1803" s="9"/>
      <c r="B1803" s="15"/>
      <c r="C1803" s="9">
        <f>IFERROR(__xludf.DUMMYFUNCTION("""COMPUTED_VALUE"""),44586.7715758796)</f>
        <v>44586.77158</v>
      </c>
      <c r="D1803" s="15">
        <f>IFERROR(__xludf.DUMMYFUNCTION("""COMPUTED_VALUE"""),1.001)</f>
        <v>1.001</v>
      </c>
      <c r="E1803" s="16">
        <f>IFERROR(__xludf.DUMMYFUNCTION("""COMPUTED_VALUE"""),63.0)</f>
        <v>63</v>
      </c>
      <c r="F1803" s="19" t="str">
        <f>IFERROR(__xludf.DUMMYFUNCTION("""COMPUTED_VALUE"""),"BLUE")</f>
        <v>BLUE</v>
      </c>
      <c r="G1803" s="20" t="str">
        <f>IFERROR(__xludf.DUMMYFUNCTION("""COMPUTED_VALUE"""),"Uncle Sams Cider (11/12/2021) (Blue)")</f>
        <v>Uncle Sams Cider (11/12/2021) (Blue)</v>
      </c>
      <c r="H1803" s="19"/>
    </row>
    <row r="1804">
      <c r="A1804" s="9"/>
      <c r="B1804" s="15"/>
      <c r="C1804" s="9">
        <f>IFERROR(__xludf.DUMMYFUNCTION("""COMPUTED_VALUE"""),44586.7611558217)</f>
        <v>44586.76116</v>
      </c>
      <c r="D1804" s="15">
        <f>IFERROR(__xludf.DUMMYFUNCTION("""COMPUTED_VALUE"""),1.001)</f>
        <v>1.001</v>
      </c>
      <c r="E1804" s="16">
        <f>IFERROR(__xludf.DUMMYFUNCTION("""COMPUTED_VALUE"""),63.0)</f>
        <v>63</v>
      </c>
      <c r="F1804" s="19" t="str">
        <f>IFERROR(__xludf.DUMMYFUNCTION("""COMPUTED_VALUE"""),"BLUE")</f>
        <v>BLUE</v>
      </c>
      <c r="G1804" s="20" t="str">
        <f>IFERROR(__xludf.DUMMYFUNCTION("""COMPUTED_VALUE"""),"Uncle Sams Cider (11/12/2021) (Blue)")</f>
        <v>Uncle Sams Cider (11/12/2021) (Blue)</v>
      </c>
      <c r="H1804" s="19"/>
    </row>
    <row r="1805">
      <c r="A1805" s="9"/>
      <c r="B1805" s="15"/>
      <c r="C1805" s="9">
        <f>IFERROR(__xludf.DUMMYFUNCTION("""COMPUTED_VALUE"""),44586.7507330555)</f>
        <v>44586.75073</v>
      </c>
      <c r="D1805" s="15">
        <f>IFERROR(__xludf.DUMMYFUNCTION("""COMPUTED_VALUE"""),1.001)</f>
        <v>1.001</v>
      </c>
      <c r="E1805" s="16">
        <f>IFERROR(__xludf.DUMMYFUNCTION("""COMPUTED_VALUE"""),63.0)</f>
        <v>63</v>
      </c>
      <c r="F1805" s="19" t="str">
        <f>IFERROR(__xludf.DUMMYFUNCTION("""COMPUTED_VALUE"""),"BLUE")</f>
        <v>BLUE</v>
      </c>
      <c r="G1805" s="20" t="str">
        <f>IFERROR(__xludf.DUMMYFUNCTION("""COMPUTED_VALUE"""),"Uncle Sams Cider (11/12/2021) (Blue)")</f>
        <v>Uncle Sams Cider (11/12/2021) (Blue)</v>
      </c>
      <c r="H1805" s="19"/>
    </row>
    <row r="1806">
      <c r="A1806" s="9"/>
      <c r="B1806" s="15"/>
      <c r="C1806" s="9">
        <f>IFERROR(__xludf.DUMMYFUNCTION("""COMPUTED_VALUE"""),44586.7402993171)</f>
        <v>44586.7403</v>
      </c>
      <c r="D1806" s="15">
        <f>IFERROR(__xludf.DUMMYFUNCTION("""COMPUTED_VALUE"""),1.001)</f>
        <v>1.001</v>
      </c>
      <c r="E1806" s="16">
        <f>IFERROR(__xludf.DUMMYFUNCTION("""COMPUTED_VALUE"""),63.0)</f>
        <v>63</v>
      </c>
      <c r="F1806" s="19" t="str">
        <f>IFERROR(__xludf.DUMMYFUNCTION("""COMPUTED_VALUE"""),"BLUE")</f>
        <v>BLUE</v>
      </c>
      <c r="G1806" s="20" t="str">
        <f>IFERROR(__xludf.DUMMYFUNCTION("""COMPUTED_VALUE"""),"Uncle Sams Cider (11/12/2021) (Blue)")</f>
        <v>Uncle Sams Cider (11/12/2021) (Blue)</v>
      </c>
      <c r="H1806" s="19"/>
    </row>
    <row r="1807">
      <c r="A1807" s="9"/>
      <c r="B1807" s="15"/>
      <c r="C1807" s="9">
        <f>IFERROR(__xludf.DUMMYFUNCTION("""COMPUTED_VALUE"""),44586.7298792824)</f>
        <v>44586.72988</v>
      </c>
      <c r="D1807" s="15">
        <f>IFERROR(__xludf.DUMMYFUNCTION("""COMPUTED_VALUE"""),1.001)</f>
        <v>1.001</v>
      </c>
      <c r="E1807" s="16">
        <f>IFERROR(__xludf.DUMMYFUNCTION("""COMPUTED_VALUE"""),63.0)</f>
        <v>63</v>
      </c>
      <c r="F1807" s="19" t="str">
        <f>IFERROR(__xludf.DUMMYFUNCTION("""COMPUTED_VALUE"""),"BLUE")</f>
        <v>BLUE</v>
      </c>
      <c r="G1807" s="20" t="str">
        <f>IFERROR(__xludf.DUMMYFUNCTION("""COMPUTED_VALUE"""),"Uncle Sams Cider (11/12/2021) (Blue)")</f>
        <v>Uncle Sams Cider (11/12/2021) (Blue)</v>
      </c>
      <c r="H1807" s="19"/>
    </row>
    <row r="1808">
      <c r="A1808" s="9"/>
      <c r="B1808" s="15"/>
      <c r="C1808" s="9">
        <f>IFERROR(__xludf.DUMMYFUNCTION("""COMPUTED_VALUE"""),44586.7194575578)</f>
        <v>44586.71946</v>
      </c>
      <c r="D1808" s="15">
        <f>IFERROR(__xludf.DUMMYFUNCTION("""COMPUTED_VALUE"""),1.001)</f>
        <v>1.001</v>
      </c>
      <c r="E1808" s="16">
        <f>IFERROR(__xludf.DUMMYFUNCTION("""COMPUTED_VALUE"""),63.0)</f>
        <v>63</v>
      </c>
      <c r="F1808" s="19" t="str">
        <f>IFERROR(__xludf.DUMMYFUNCTION("""COMPUTED_VALUE"""),"BLUE")</f>
        <v>BLUE</v>
      </c>
      <c r="G1808" s="20" t="str">
        <f>IFERROR(__xludf.DUMMYFUNCTION("""COMPUTED_VALUE"""),"Uncle Sams Cider (11/12/2021) (Blue)")</f>
        <v>Uncle Sams Cider (11/12/2021) (Blue)</v>
      </c>
      <c r="H1808" s="19"/>
    </row>
    <row r="1809">
      <c r="A1809" s="9"/>
      <c r="B1809" s="15"/>
      <c r="C1809" s="9">
        <f>IFERROR(__xludf.DUMMYFUNCTION("""COMPUTED_VALUE"""),44586.7090379745)</f>
        <v>44586.70904</v>
      </c>
      <c r="D1809" s="15">
        <f>IFERROR(__xludf.DUMMYFUNCTION("""COMPUTED_VALUE"""),1.001)</f>
        <v>1.001</v>
      </c>
      <c r="E1809" s="16">
        <f>IFERROR(__xludf.DUMMYFUNCTION("""COMPUTED_VALUE"""),63.0)</f>
        <v>63</v>
      </c>
      <c r="F1809" s="19" t="str">
        <f>IFERROR(__xludf.DUMMYFUNCTION("""COMPUTED_VALUE"""),"BLUE")</f>
        <v>BLUE</v>
      </c>
      <c r="G1809" s="20" t="str">
        <f>IFERROR(__xludf.DUMMYFUNCTION("""COMPUTED_VALUE"""),"Uncle Sams Cider (11/12/2021) (Blue)")</f>
        <v>Uncle Sams Cider (11/12/2021) (Blue)</v>
      </c>
      <c r="H1809" s="19"/>
    </row>
    <row r="1810">
      <c r="A1810" s="9"/>
      <c r="B1810" s="15"/>
      <c r="C1810" s="9">
        <f>IFERROR(__xludf.DUMMYFUNCTION("""COMPUTED_VALUE"""),44586.6986152662)</f>
        <v>44586.69862</v>
      </c>
      <c r="D1810" s="15">
        <f>IFERROR(__xludf.DUMMYFUNCTION("""COMPUTED_VALUE"""),1.001)</f>
        <v>1.001</v>
      </c>
      <c r="E1810" s="16">
        <f>IFERROR(__xludf.DUMMYFUNCTION("""COMPUTED_VALUE"""),63.0)</f>
        <v>63</v>
      </c>
      <c r="F1810" s="19" t="str">
        <f>IFERROR(__xludf.DUMMYFUNCTION("""COMPUTED_VALUE"""),"BLUE")</f>
        <v>BLUE</v>
      </c>
      <c r="G1810" s="20" t="str">
        <f>IFERROR(__xludf.DUMMYFUNCTION("""COMPUTED_VALUE"""),"Uncle Sams Cider (11/12/2021) (Blue)")</f>
        <v>Uncle Sams Cider (11/12/2021) (Blue)</v>
      </c>
      <c r="H1810" s="19"/>
    </row>
    <row r="1811">
      <c r="A1811" s="9"/>
      <c r="B1811" s="15"/>
      <c r="C1811" s="9">
        <f>IFERROR(__xludf.DUMMYFUNCTION("""COMPUTED_VALUE"""),44586.6881949884)</f>
        <v>44586.68819</v>
      </c>
      <c r="D1811" s="15">
        <f>IFERROR(__xludf.DUMMYFUNCTION("""COMPUTED_VALUE"""),1.001)</f>
        <v>1.001</v>
      </c>
      <c r="E1811" s="16">
        <f>IFERROR(__xludf.DUMMYFUNCTION("""COMPUTED_VALUE"""),63.0)</f>
        <v>63</v>
      </c>
      <c r="F1811" s="19" t="str">
        <f>IFERROR(__xludf.DUMMYFUNCTION("""COMPUTED_VALUE"""),"BLUE")</f>
        <v>BLUE</v>
      </c>
      <c r="G1811" s="20" t="str">
        <f>IFERROR(__xludf.DUMMYFUNCTION("""COMPUTED_VALUE"""),"Uncle Sams Cider (11/12/2021) (Blue)")</f>
        <v>Uncle Sams Cider (11/12/2021) (Blue)</v>
      </c>
      <c r="H1811" s="19"/>
    </row>
    <row r="1812">
      <c r="A1812" s="9"/>
      <c r="B1812" s="15"/>
      <c r="C1812" s="9">
        <f>IFERROR(__xludf.DUMMYFUNCTION("""COMPUTED_VALUE"""),44586.677773831)</f>
        <v>44586.67777</v>
      </c>
      <c r="D1812" s="15">
        <f>IFERROR(__xludf.DUMMYFUNCTION("""COMPUTED_VALUE"""),1.001)</f>
        <v>1.001</v>
      </c>
      <c r="E1812" s="16">
        <f>IFERROR(__xludf.DUMMYFUNCTION("""COMPUTED_VALUE"""),63.0)</f>
        <v>63</v>
      </c>
      <c r="F1812" s="19" t="str">
        <f>IFERROR(__xludf.DUMMYFUNCTION("""COMPUTED_VALUE"""),"BLUE")</f>
        <v>BLUE</v>
      </c>
      <c r="G1812" s="20" t="str">
        <f>IFERROR(__xludf.DUMMYFUNCTION("""COMPUTED_VALUE"""),"Uncle Sams Cider (11/12/2021) (Blue)")</f>
        <v>Uncle Sams Cider (11/12/2021) (Blue)</v>
      </c>
      <c r="H1812" s="19"/>
    </row>
    <row r="1813">
      <c r="A1813" s="9"/>
      <c r="B1813" s="15"/>
      <c r="C1813" s="9">
        <f>IFERROR(__xludf.DUMMYFUNCTION("""COMPUTED_VALUE"""),44586.6673529629)</f>
        <v>44586.66735</v>
      </c>
      <c r="D1813" s="15">
        <f>IFERROR(__xludf.DUMMYFUNCTION("""COMPUTED_VALUE"""),1.001)</f>
        <v>1.001</v>
      </c>
      <c r="E1813" s="16">
        <f>IFERROR(__xludf.DUMMYFUNCTION("""COMPUTED_VALUE"""),63.0)</f>
        <v>63</v>
      </c>
      <c r="F1813" s="19" t="str">
        <f>IFERROR(__xludf.DUMMYFUNCTION("""COMPUTED_VALUE"""),"BLUE")</f>
        <v>BLUE</v>
      </c>
      <c r="G1813" s="20" t="str">
        <f>IFERROR(__xludf.DUMMYFUNCTION("""COMPUTED_VALUE"""),"Uncle Sams Cider (11/12/2021) (Blue)")</f>
        <v>Uncle Sams Cider (11/12/2021) (Blue)</v>
      </c>
      <c r="H1813" s="19"/>
    </row>
    <row r="1814">
      <c r="A1814" s="9"/>
      <c r="B1814" s="15"/>
      <c r="C1814" s="9">
        <f>IFERROR(__xludf.DUMMYFUNCTION("""COMPUTED_VALUE"""),44586.6569212384)</f>
        <v>44586.65692</v>
      </c>
      <c r="D1814" s="15">
        <f>IFERROR(__xludf.DUMMYFUNCTION("""COMPUTED_VALUE"""),1.001)</f>
        <v>1.001</v>
      </c>
      <c r="E1814" s="16">
        <f>IFERROR(__xludf.DUMMYFUNCTION("""COMPUTED_VALUE"""),63.0)</f>
        <v>63</v>
      </c>
      <c r="F1814" s="19" t="str">
        <f>IFERROR(__xludf.DUMMYFUNCTION("""COMPUTED_VALUE"""),"BLUE")</f>
        <v>BLUE</v>
      </c>
      <c r="G1814" s="20" t="str">
        <f>IFERROR(__xludf.DUMMYFUNCTION("""COMPUTED_VALUE"""),"Uncle Sams Cider (11/12/2021) (Blue)")</f>
        <v>Uncle Sams Cider (11/12/2021) (Blue)</v>
      </c>
      <c r="H1814" s="19"/>
    </row>
    <row r="1815">
      <c r="A1815" s="9"/>
      <c r="B1815" s="15"/>
      <c r="C1815" s="9">
        <f>IFERROR(__xludf.DUMMYFUNCTION("""COMPUTED_VALUE"""),44586.6464999074)</f>
        <v>44586.6465</v>
      </c>
      <c r="D1815" s="15">
        <f>IFERROR(__xludf.DUMMYFUNCTION("""COMPUTED_VALUE"""),1.001)</f>
        <v>1.001</v>
      </c>
      <c r="E1815" s="16">
        <f>IFERROR(__xludf.DUMMYFUNCTION("""COMPUTED_VALUE"""),63.0)</f>
        <v>63</v>
      </c>
      <c r="F1815" s="19" t="str">
        <f>IFERROR(__xludf.DUMMYFUNCTION("""COMPUTED_VALUE"""),"BLUE")</f>
        <v>BLUE</v>
      </c>
      <c r="G1815" s="20" t="str">
        <f>IFERROR(__xludf.DUMMYFUNCTION("""COMPUTED_VALUE"""),"Uncle Sams Cider (11/12/2021) (Blue)")</f>
        <v>Uncle Sams Cider (11/12/2021) (Blue)</v>
      </c>
      <c r="H1815" s="19"/>
    </row>
    <row r="1816">
      <c r="A1816" s="9"/>
      <c r="B1816" s="15"/>
      <c r="C1816" s="9">
        <f>IFERROR(__xludf.DUMMYFUNCTION("""COMPUTED_VALUE"""),44586.6360789583)</f>
        <v>44586.63608</v>
      </c>
      <c r="D1816" s="15">
        <f>IFERROR(__xludf.DUMMYFUNCTION("""COMPUTED_VALUE"""),1.001)</f>
        <v>1.001</v>
      </c>
      <c r="E1816" s="16">
        <f>IFERROR(__xludf.DUMMYFUNCTION("""COMPUTED_VALUE"""),63.0)</f>
        <v>63</v>
      </c>
      <c r="F1816" s="19" t="str">
        <f>IFERROR(__xludf.DUMMYFUNCTION("""COMPUTED_VALUE"""),"BLUE")</f>
        <v>BLUE</v>
      </c>
      <c r="G1816" s="20" t="str">
        <f>IFERROR(__xludf.DUMMYFUNCTION("""COMPUTED_VALUE"""),"Uncle Sams Cider (11/12/2021) (Blue)")</f>
        <v>Uncle Sams Cider (11/12/2021) (Blue)</v>
      </c>
      <c r="H1816" s="19"/>
    </row>
    <row r="1817">
      <c r="A1817" s="9"/>
      <c r="B1817" s="15"/>
      <c r="C1817" s="9">
        <f>IFERROR(__xludf.DUMMYFUNCTION("""COMPUTED_VALUE"""),44586.6256574884)</f>
        <v>44586.62566</v>
      </c>
      <c r="D1817" s="15">
        <f>IFERROR(__xludf.DUMMYFUNCTION("""COMPUTED_VALUE"""),1.001)</f>
        <v>1.001</v>
      </c>
      <c r="E1817" s="16">
        <f>IFERROR(__xludf.DUMMYFUNCTION("""COMPUTED_VALUE"""),63.0)</f>
        <v>63</v>
      </c>
      <c r="F1817" s="19" t="str">
        <f>IFERROR(__xludf.DUMMYFUNCTION("""COMPUTED_VALUE"""),"BLUE")</f>
        <v>BLUE</v>
      </c>
      <c r="G1817" s="20" t="str">
        <f>IFERROR(__xludf.DUMMYFUNCTION("""COMPUTED_VALUE"""),"Uncle Sams Cider (11/12/2021) (Blue)")</f>
        <v>Uncle Sams Cider (11/12/2021) (Blue)</v>
      </c>
      <c r="H1817" s="19"/>
    </row>
    <row r="1818">
      <c r="A1818" s="9"/>
      <c r="B1818" s="15"/>
      <c r="C1818" s="9">
        <f>IFERROR(__xludf.DUMMYFUNCTION("""COMPUTED_VALUE"""),44586.6152249074)</f>
        <v>44586.61522</v>
      </c>
      <c r="D1818" s="15">
        <f>IFERROR(__xludf.DUMMYFUNCTION("""COMPUTED_VALUE"""),1.001)</f>
        <v>1.001</v>
      </c>
      <c r="E1818" s="16">
        <f>IFERROR(__xludf.DUMMYFUNCTION("""COMPUTED_VALUE"""),63.0)</f>
        <v>63</v>
      </c>
      <c r="F1818" s="19" t="str">
        <f>IFERROR(__xludf.DUMMYFUNCTION("""COMPUTED_VALUE"""),"BLUE")</f>
        <v>BLUE</v>
      </c>
      <c r="G1818" s="20" t="str">
        <f>IFERROR(__xludf.DUMMYFUNCTION("""COMPUTED_VALUE"""),"Uncle Sams Cider (11/12/2021) (Blue)")</f>
        <v>Uncle Sams Cider (11/12/2021) (Blue)</v>
      </c>
      <c r="H1818" s="19"/>
    </row>
    <row r="1819">
      <c r="A1819" s="9"/>
      <c r="B1819" s="15"/>
      <c r="C1819" s="9">
        <f>IFERROR(__xludf.DUMMYFUNCTION("""COMPUTED_VALUE"""),44586.6047928703)</f>
        <v>44586.60479</v>
      </c>
      <c r="D1819" s="15">
        <f>IFERROR(__xludf.DUMMYFUNCTION("""COMPUTED_VALUE"""),1.001)</f>
        <v>1.001</v>
      </c>
      <c r="E1819" s="16">
        <f>IFERROR(__xludf.DUMMYFUNCTION("""COMPUTED_VALUE"""),63.0)</f>
        <v>63</v>
      </c>
      <c r="F1819" s="19" t="str">
        <f>IFERROR(__xludf.DUMMYFUNCTION("""COMPUTED_VALUE"""),"BLUE")</f>
        <v>BLUE</v>
      </c>
      <c r="G1819" s="20" t="str">
        <f>IFERROR(__xludf.DUMMYFUNCTION("""COMPUTED_VALUE"""),"Uncle Sams Cider (11/12/2021) (Blue)")</f>
        <v>Uncle Sams Cider (11/12/2021) (Blue)</v>
      </c>
      <c r="H1819" s="19"/>
    </row>
    <row r="1820">
      <c r="A1820" s="9"/>
      <c r="B1820" s="15"/>
      <c r="C1820" s="9">
        <f>IFERROR(__xludf.DUMMYFUNCTION("""COMPUTED_VALUE"""),44586.5943727083)</f>
        <v>44586.59437</v>
      </c>
      <c r="D1820" s="15">
        <f>IFERROR(__xludf.DUMMYFUNCTION("""COMPUTED_VALUE"""),1.001)</f>
        <v>1.001</v>
      </c>
      <c r="E1820" s="16">
        <f>IFERROR(__xludf.DUMMYFUNCTION("""COMPUTED_VALUE"""),63.0)</f>
        <v>63</v>
      </c>
      <c r="F1820" s="19" t="str">
        <f>IFERROR(__xludf.DUMMYFUNCTION("""COMPUTED_VALUE"""),"BLUE")</f>
        <v>BLUE</v>
      </c>
      <c r="G1820" s="20" t="str">
        <f>IFERROR(__xludf.DUMMYFUNCTION("""COMPUTED_VALUE"""),"Uncle Sams Cider (11/12/2021) (Blue)")</f>
        <v>Uncle Sams Cider (11/12/2021) (Blue)</v>
      </c>
      <c r="H1820" s="19"/>
    </row>
    <row r="1821">
      <c r="A1821" s="9"/>
      <c r="B1821" s="15"/>
      <c r="C1821" s="9">
        <f>IFERROR(__xludf.DUMMYFUNCTION("""COMPUTED_VALUE"""),44586.5839512847)</f>
        <v>44586.58395</v>
      </c>
      <c r="D1821" s="15">
        <f>IFERROR(__xludf.DUMMYFUNCTION("""COMPUTED_VALUE"""),1.001)</f>
        <v>1.001</v>
      </c>
      <c r="E1821" s="16">
        <f>IFERROR(__xludf.DUMMYFUNCTION("""COMPUTED_VALUE"""),63.0)</f>
        <v>63</v>
      </c>
      <c r="F1821" s="19" t="str">
        <f>IFERROR(__xludf.DUMMYFUNCTION("""COMPUTED_VALUE"""),"BLUE")</f>
        <v>BLUE</v>
      </c>
      <c r="G1821" s="20" t="str">
        <f>IFERROR(__xludf.DUMMYFUNCTION("""COMPUTED_VALUE"""),"Uncle Sams Cider (11/12/2021) (Blue)")</f>
        <v>Uncle Sams Cider (11/12/2021) (Blue)</v>
      </c>
      <c r="H1821" s="19"/>
    </row>
    <row r="1822">
      <c r="A1822" s="9"/>
      <c r="B1822" s="15"/>
      <c r="C1822" s="9">
        <f>IFERROR(__xludf.DUMMYFUNCTION("""COMPUTED_VALUE"""),44586.5735294675)</f>
        <v>44586.57353</v>
      </c>
      <c r="D1822" s="15">
        <f>IFERROR(__xludf.DUMMYFUNCTION("""COMPUTED_VALUE"""),1.001)</f>
        <v>1.001</v>
      </c>
      <c r="E1822" s="16">
        <f>IFERROR(__xludf.DUMMYFUNCTION("""COMPUTED_VALUE"""),63.0)</f>
        <v>63</v>
      </c>
      <c r="F1822" s="19" t="str">
        <f>IFERROR(__xludf.DUMMYFUNCTION("""COMPUTED_VALUE"""),"BLUE")</f>
        <v>BLUE</v>
      </c>
      <c r="G1822" s="20" t="str">
        <f>IFERROR(__xludf.DUMMYFUNCTION("""COMPUTED_VALUE"""),"Uncle Sams Cider (11/12/2021) (Blue)")</f>
        <v>Uncle Sams Cider (11/12/2021) (Blue)</v>
      </c>
      <c r="H1822" s="19"/>
    </row>
    <row r="1823">
      <c r="A1823" s="9"/>
      <c r="B1823" s="15"/>
      <c r="C1823" s="9">
        <f>IFERROR(__xludf.DUMMYFUNCTION("""COMPUTED_VALUE"""),44586.563107662)</f>
        <v>44586.56311</v>
      </c>
      <c r="D1823" s="15">
        <f>IFERROR(__xludf.DUMMYFUNCTION("""COMPUTED_VALUE"""),1.001)</f>
        <v>1.001</v>
      </c>
      <c r="E1823" s="16">
        <f>IFERROR(__xludf.DUMMYFUNCTION("""COMPUTED_VALUE"""),63.0)</f>
        <v>63</v>
      </c>
      <c r="F1823" s="19" t="str">
        <f>IFERROR(__xludf.DUMMYFUNCTION("""COMPUTED_VALUE"""),"BLUE")</f>
        <v>BLUE</v>
      </c>
      <c r="G1823" s="20" t="str">
        <f>IFERROR(__xludf.DUMMYFUNCTION("""COMPUTED_VALUE"""),"Uncle Sams Cider (11/12/2021) (Blue)")</f>
        <v>Uncle Sams Cider (11/12/2021) (Blue)</v>
      </c>
      <c r="H1823" s="19"/>
    </row>
    <row r="1824">
      <c r="A1824" s="9"/>
      <c r="B1824" s="15"/>
      <c r="C1824" s="9">
        <f>IFERROR(__xludf.DUMMYFUNCTION("""COMPUTED_VALUE"""),44586.5526852893)</f>
        <v>44586.55269</v>
      </c>
      <c r="D1824" s="15">
        <f>IFERROR(__xludf.DUMMYFUNCTION("""COMPUTED_VALUE"""),1.001)</f>
        <v>1.001</v>
      </c>
      <c r="E1824" s="16">
        <f>IFERROR(__xludf.DUMMYFUNCTION("""COMPUTED_VALUE"""),63.0)</f>
        <v>63</v>
      </c>
      <c r="F1824" s="19" t="str">
        <f>IFERROR(__xludf.DUMMYFUNCTION("""COMPUTED_VALUE"""),"BLUE")</f>
        <v>BLUE</v>
      </c>
      <c r="G1824" s="20" t="str">
        <f>IFERROR(__xludf.DUMMYFUNCTION("""COMPUTED_VALUE"""),"Uncle Sams Cider (11/12/2021) (Blue)")</f>
        <v>Uncle Sams Cider (11/12/2021) (Blue)</v>
      </c>
      <c r="H1824" s="19"/>
    </row>
    <row r="1825">
      <c r="A1825" s="9"/>
      <c r="B1825" s="15"/>
      <c r="C1825" s="9">
        <f>IFERROR(__xludf.DUMMYFUNCTION("""COMPUTED_VALUE"""),44586.542265162)</f>
        <v>44586.54227</v>
      </c>
      <c r="D1825" s="15">
        <f>IFERROR(__xludf.DUMMYFUNCTION("""COMPUTED_VALUE"""),1.001)</f>
        <v>1.001</v>
      </c>
      <c r="E1825" s="16">
        <f>IFERROR(__xludf.DUMMYFUNCTION("""COMPUTED_VALUE"""),63.0)</f>
        <v>63</v>
      </c>
      <c r="F1825" s="19" t="str">
        <f>IFERROR(__xludf.DUMMYFUNCTION("""COMPUTED_VALUE"""),"BLUE")</f>
        <v>BLUE</v>
      </c>
      <c r="G1825" s="20" t="str">
        <f>IFERROR(__xludf.DUMMYFUNCTION("""COMPUTED_VALUE"""),"Uncle Sams Cider (11/12/2021) (Blue)")</f>
        <v>Uncle Sams Cider (11/12/2021) (Blue)</v>
      </c>
      <c r="H1825" s="19"/>
    </row>
    <row r="1826">
      <c r="A1826" s="9"/>
      <c r="B1826" s="15"/>
      <c r="C1826" s="9">
        <f>IFERROR(__xludf.DUMMYFUNCTION("""COMPUTED_VALUE"""),44586.5318315509)</f>
        <v>44586.53183</v>
      </c>
      <c r="D1826" s="15">
        <f>IFERROR(__xludf.DUMMYFUNCTION("""COMPUTED_VALUE"""),1.001)</f>
        <v>1.001</v>
      </c>
      <c r="E1826" s="16">
        <f>IFERROR(__xludf.DUMMYFUNCTION("""COMPUTED_VALUE"""),63.0)</f>
        <v>63</v>
      </c>
      <c r="F1826" s="19" t="str">
        <f>IFERROR(__xludf.DUMMYFUNCTION("""COMPUTED_VALUE"""),"BLUE")</f>
        <v>BLUE</v>
      </c>
      <c r="G1826" s="20" t="str">
        <f>IFERROR(__xludf.DUMMYFUNCTION("""COMPUTED_VALUE"""),"Uncle Sams Cider (11/12/2021) (Blue)")</f>
        <v>Uncle Sams Cider (11/12/2021) (Blue)</v>
      </c>
      <c r="H1826" s="19"/>
    </row>
    <row r="1827">
      <c r="A1827" s="9"/>
      <c r="B1827" s="15"/>
      <c r="C1827" s="9">
        <f>IFERROR(__xludf.DUMMYFUNCTION("""COMPUTED_VALUE"""),44586.521409375)</f>
        <v>44586.52141</v>
      </c>
      <c r="D1827" s="15">
        <f>IFERROR(__xludf.DUMMYFUNCTION("""COMPUTED_VALUE"""),1.001)</f>
        <v>1.001</v>
      </c>
      <c r="E1827" s="16">
        <f>IFERROR(__xludf.DUMMYFUNCTION("""COMPUTED_VALUE"""),63.0)</f>
        <v>63</v>
      </c>
      <c r="F1827" s="19" t="str">
        <f>IFERROR(__xludf.DUMMYFUNCTION("""COMPUTED_VALUE"""),"BLUE")</f>
        <v>BLUE</v>
      </c>
      <c r="G1827" s="20" t="str">
        <f>IFERROR(__xludf.DUMMYFUNCTION("""COMPUTED_VALUE"""),"Uncle Sams Cider (11/12/2021) (Blue)")</f>
        <v>Uncle Sams Cider (11/12/2021) (Blue)</v>
      </c>
      <c r="H1827" s="19"/>
    </row>
    <row r="1828">
      <c r="A1828" s="9"/>
      <c r="B1828" s="15"/>
      <c r="C1828" s="9">
        <f>IFERROR(__xludf.DUMMYFUNCTION("""COMPUTED_VALUE"""),44586.5109776388)</f>
        <v>44586.51098</v>
      </c>
      <c r="D1828" s="15">
        <f>IFERROR(__xludf.DUMMYFUNCTION("""COMPUTED_VALUE"""),1.001)</f>
        <v>1.001</v>
      </c>
      <c r="E1828" s="16">
        <f>IFERROR(__xludf.DUMMYFUNCTION("""COMPUTED_VALUE"""),63.0)</f>
        <v>63</v>
      </c>
      <c r="F1828" s="19" t="str">
        <f>IFERROR(__xludf.DUMMYFUNCTION("""COMPUTED_VALUE"""),"BLUE")</f>
        <v>BLUE</v>
      </c>
      <c r="G1828" s="20" t="str">
        <f>IFERROR(__xludf.DUMMYFUNCTION("""COMPUTED_VALUE"""),"Uncle Sams Cider (11/12/2021) (Blue)")</f>
        <v>Uncle Sams Cider (11/12/2021) (Blue)</v>
      </c>
      <c r="H1828" s="19"/>
    </row>
    <row r="1829">
      <c r="A1829" s="9"/>
      <c r="B1829" s="15"/>
      <c r="C1829" s="9">
        <f>IFERROR(__xludf.DUMMYFUNCTION("""COMPUTED_VALUE"""),44586.5005456365)</f>
        <v>44586.50055</v>
      </c>
      <c r="D1829" s="15">
        <f>IFERROR(__xludf.DUMMYFUNCTION("""COMPUTED_VALUE"""),1.001)</f>
        <v>1.001</v>
      </c>
      <c r="E1829" s="16">
        <f>IFERROR(__xludf.DUMMYFUNCTION("""COMPUTED_VALUE"""),64.0)</f>
        <v>64</v>
      </c>
      <c r="F1829" s="19" t="str">
        <f>IFERROR(__xludf.DUMMYFUNCTION("""COMPUTED_VALUE"""),"BLUE")</f>
        <v>BLUE</v>
      </c>
      <c r="G1829" s="20" t="str">
        <f>IFERROR(__xludf.DUMMYFUNCTION("""COMPUTED_VALUE"""),"Uncle Sams Cider (11/12/2021) (Blue)")</f>
        <v>Uncle Sams Cider (11/12/2021) (Blue)</v>
      </c>
      <c r="H1829" s="19"/>
    </row>
    <row r="1830">
      <c r="A1830" s="9"/>
      <c r="B1830" s="15"/>
      <c r="C1830" s="9">
        <f>IFERROR(__xludf.DUMMYFUNCTION("""COMPUTED_VALUE"""),44586.4901218865)</f>
        <v>44586.49012</v>
      </c>
      <c r="D1830" s="15">
        <f>IFERROR(__xludf.DUMMYFUNCTION("""COMPUTED_VALUE"""),1.001)</f>
        <v>1.001</v>
      </c>
      <c r="E1830" s="16">
        <f>IFERROR(__xludf.DUMMYFUNCTION("""COMPUTED_VALUE"""),64.0)</f>
        <v>64</v>
      </c>
      <c r="F1830" s="19" t="str">
        <f>IFERROR(__xludf.DUMMYFUNCTION("""COMPUTED_VALUE"""),"BLUE")</f>
        <v>BLUE</v>
      </c>
      <c r="G1830" s="20" t="str">
        <f>IFERROR(__xludf.DUMMYFUNCTION("""COMPUTED_VALUE"""),"Uncle Sams Cider (11/12/2021) (Blue)")</f>
        <v>Uncle Sams Cider (11/12/2021) (Blue)</v>
      </c>
      <c r="H1830" s="19"/>
    </row>
    <row r="1831">
      <c r="A1831" s="9"/>
      <c r="B1831" s="15"/>
      <c r="C1831" s="9">
        <f>IFERROR(__xludf.DUMMYFUNCTION("""COMPUTED_VALUE"""),44586.4796902662)</f>
        <v>44586.47969</v>
      </c>
      <c r="D1831" s="15">
        <f>IFERROR(__xludf.DUMMYFUNCTION("""COMPUTED_VALUE"""),1.001)</f>
        <v>1.001</v>
      </c>
      <c r="E1831" s="16">
        <f>IFERROR(__xludf.DUMMYFUNCTION("""COMPUTED_VALUE"""),64.0)</f>
        <v>64</v>
      </c>
      <c r="F1831" s="19" t="str">
        <f>IFERROR(__xludf.DUMMYFUNCTION("""COMPUTED_VALUE"""),"BLUE")</f>
        <v>BLUE</v>
      </c>
      <c r="G1831" s="20" t="str">
        <f>IFERROR(__xludf.DUMMYFUNCTION("""COMPUTED_VALUE"""),"Uncle Sams Cider (11/12/2021) (Blue)")</f>
        <v>Uncle Sams Cider (11/12/2021) (Blue)</v>
      </c>
      <c r="H1831" s="19"/>
    </row>
    <row r="1832">
      <c r="A1832" s="9"/>
      <c r="B1832" s="15"/>
      <c r="C1832" s="9">
        <f>IFERROR(__xludf.DUMMYFUNCTION("""COMPUTED_VALUE"""),44586.4692679282)</f>
        <v>44586.46927</v>
      </c>
      <c r="D1832" s="15">
        <f>IFERROR(__xludf.DUMMYFUNCTION("""COMPUTED_VALUE"""),1.001)</f>
        <v>1.001</v>
      </c>
      <c r="E1832" s="16">
        <f>IFERROR(__xludf.DUMMYFUNCTION("""COMPUTED_VALUE"""),64.0)</f>
        <v>64</v>
      </c>
      <c r="F1832" s="19" t="str">
        <f>IFERROR(__xludf.DUMMYFUNCTION("""COMPUTED_VALUE"""),"BLUE")</f>
        <v>BLUE</v>
      </c>
      <c r="G1832" s="20" t="str">
        <f>IFERROR(__xludf.DUMMYFUNCTION("""COMPUTED_VALUE"""),"Uncle Sams Cider (11/12/2021) (Blue)")</f>
        <v>Uncle Sams Cider (11/12/2021) (Blue)</v>
      </c>
      <c r="H1832" s="19"/>
    </row>
    <row r="1833">
      <c r="A1833" s="9"/>
      <c r="B1833" s="15"/>
      <c r="C1833" s="9">
        <f>IFERROR(__xludf.DUMMYFUNCTION("""COMPUTED_VALUE"""),44586.4588467592)</f>
        <v>44586.45885</v>
      </c>
      <c r="D1833" s="15">
        <f>IFERROR(__xludf.DUMMYFUNCTION("""COMPUTED_VALUE"""),1.001)</f>
        <v>1.001</v>
      </c>
      <c r="E1833" s="16">
        <f>IFERROR(__xludf.DUMMYFUNCTION("""COMPUTED_VALUE"""),64.0)</f>
        <v>64</v>
      </c>
      <c r="F1833" s="19" t="str">
        <f>IFERROR(__xludf.DUMMYFUNCTION("""COMPUTED_VALUE"""),"BLUE")</f>
        <v>BLUE</v>
      </c>
      <c r="G1833" s="20" t="str">
        <f>IFERROR(__xludf.DUMMYFUNCTION("""COMPUTED_VALUE"""),"Uncle Sams Cider (11/12/2021) (Blue)")</f>
        <v>Uncle Sams Cider (11/12/2021) (Blue)</v>
      </c>
      <c r="H1833" s="19"/>
    </row>
    <row r="1834">
      <c r="A1834" s="9"/>
      <c r="B1834" s="15"/>
      <c r="C1834" s="9">
        <f>IFERROR(__xludf.DUMMYFUNCTION("""COMPUTED_VALUE"""),44586.4484040625)</f>
        <v>44586.4484</v>
      </c>
      <c r="D1834" s="15">
        <f>IFERROR(__xludf.DUMMYFUNCTION("""COMPUTED_VALUE"""),1.001)</f>
        <v>1.001</v>
      </c>
      <c r="E1834" s="16">
        <f>IFERROR(__xludf.DUMMYFUNCTION("""COMPUTED_VALUE"""),64.0)</f>
        <v>64</v>
      </c>
      <c r="F1834" s="19" t="str">
        <f>IFERROR(__xludf.DUMMYFUNCTION("""COMPUTED_VALUE"""),"BLUE")</f>
        <v>BLUE</v>
      </c>
      <c r="G1834" s="20" t="str">
        <f>IFERROR(__xludf.DUMMYFUNCTION("""COMPUTED_VALUE"""),"Uncle Sams Cider (11/12/2021) (Blue)")</f>
        <v>Uncle Sams Cider (11/12/2021) (Blue)</v>
      </c>
      <c r="H1834" s="19"/>
    </row>
    <row r="1835">
      <c r="A1835" s="9"/>
      <c r="B1835" s="15"/>
      <c r="C1835" s="9">
        <f>IFERROR(__xludf.DUMMYFUNCTION("""COMPUTED_VALUE"""),44586.4379814583)</f>
        <v>44586.43798</v>
      </c>
      <c r="D1835" s="15">
        <f>IFERROR(__xludf.DUMMYFUNCTION("""COMPUTED_VALUE"""),1.001)</f>
        <v>1.001</v>
      </c>
      <c r="E1835" s="16">
        <f>IFERROR(__xludf.DUMMYFUNCTION("""COMPUTED_VALUE"""),64.0)</f>
        <v>64</v>
      </c>
      <c r="F1835" s="19" t="str">
        <f>IFERROR(__xludf.DUMMYFUNCTION("""COMPUTED_VALUE"""),"BLUE")</f>
        <v>BLUE</v>
      </c>
      <c r="G1835" s="20" t="str">
        <f>IFERROR(__xludf.DUMMYFUNCTION("""COMPUTED_VALUE"""),"Uncle Sams Cider (11/12/2021) (Blue)")</f>
        <v>Uncle Sams Cider (11/12/2021) (Blue)</v>
      </c>
      <c r="H1835" s="19"/>
    </row>
    <row r="1836">
      <c r="A1836" s="9"/>
      <c r="B1836" s="15"/>
      <c r="C1836" s="9">
        <f>IFERROR(__xludf.DUMMYFUNCTION("""COMPUTED_VALUE"""),44586.427560787)</f>
        <v>44586.42756</v>
      </c>
      <c r="D1836" s="15">
        <f>IFERROR(__xludf.DUMMYFUNCTION("""COMPUTED_VALUE"""),1.001)</f>
        <v>1.001</v>
      </c>
      <c r="E1836" s="16">
        <f>IFERROR(__xludf.DUMMYFUNCTION("""COMPUTED_VALUE"""),64.0)</f>
        <v>64</v>
      </c>
      <c r="F1836" s="19" t="str">
        <f>IFERROR(__xludf.DUMMYFUNCTION("""COMPUTED_VALUE"""),"BLUE")</f>
        <v>BLUE</v>
      </c>
      <c r="G1836" s="20" t="str">
        <f>IFERROR(__xludf.DUMMYFUNCTION("""COMPUTED_VALUE"""),"Uncle Sams Cider (11/12/2021) (Blue)")</f>
        <v>Uncle Sams Cider (11/12/2021) (Blue)</v>
      </c>
      <c r="H1836" s="19"/>
    </row>
    <row r="1837">
      <c r="A1837" s="9"/>
      <c r="B1837" s="15"/>
      <c r="C1837" s="9">
        <f>IFERROR(__xludf.DUMMYFUNCTION("""COMPUTED_VALUE"""),44586.4171404861)</f>
        <v>44586.41714</v>
      </c>
      <c r="D1837" s="15">
        <f>IFERROR(__xludf.DUMMYFUNCTION("""COMPUTED_VALUE"""),1.001)</f>
        <v>1.001</v>
      </c>
      <c r="E1837" s="16">
        <f>IFERROR(__xludf.DUMMYFUNCTION("""COMPUTED_VALUE"""),64.0)</f>
        <v>64</v>
      </c>
      <c r="F1837" s="19" t="str">
        <f>IFERROR(__xludf.DUMMYFUNCTION("""COMPUTED_VALUE"""),"BLUE")</f>
        <v>BLUE</v>
      </c>
      <c r="G1837" s="20" t="str">
        <f>IFERROR(__xludf.DUMMYFUNCTION("""COMPUTED_VALUE"""),"Uncle Sams Cider (11/12/2021) (Blue)")</f>
        <v>Uncle Sams Cider (11/12/2021) (Blue)</v>
      </c>
      <c r="H1837" s="19"/>
    </row>
    <row r="1838">
      <c r="A1838" s="9"/>
      <c r="B1838" s="15"/>
      <c r="C1838" s="9">
        <f>IFERROR(__xludf.DUMMYFUNCTION("""COMPUTED_VALUE"""),44586.4067201157)</f>
        <v>44586.40672</v>
      </c>
      <c r="D1838" s="15">
        <f>IFERROR(__xludf.DUMMYFUNCTION("""COMPUTED_VALUE"""),1.001)</f>
        <v>1.001</v>
      </c>
      <c r="E1838" s="16">
        <f>IFERROR(__xludf.DUMMYFUNCTION("""COMPUTED_VALUE"""),64.0)</f>
        <v>64</v>
      </c>
      <c r="F1838" s="19" t="str">
        <f>IFERROR(__xludf.DUMMYFUNCTION("""COMPUTED_VALUE"""),"BLUE")</f>
        <v>BLUE</v>
      </c>
      <c r="G1838" s="20" t="str">
        <f>IFERROR(__xludf.DUMMYFUNCTION("""COMPUTED_VALUE"""),"Uncle Sams Cider (11/12/2021) (Blue)")</f>
        <v>Uncle Sams Cider (11/12/2021) (Blue)</v>
      </c>
      <c r="H1838" s="19"/>
    </row>
    <row r="1839">
      <c r="A1839" s="9"/>
      <c r="B1839" s="15"/>
      <c r="C1839" s="9">
        <f>IFERROR(__xludf.DUMMYFUNCTION("""COMPUTED_VALUE"""),44586.3962995254)</f>
        <v>44586.3963</v>
      </c>
      <c r="D1839" s="15">
        <f>IFERROR(__xludf.DUMMYFUNCTION("""COMPUTED_VALUE"""),1.001)</f>
        <v>1.001</v>
      </c>
      <c r="E1839" s="16">
        <f>IFERROR(__xludf.DUMMYFUNCTION("""COMPUTED_VALUE"""),64.0)</f>
        <v>64</v>
      </c>
      <c r="F1839" s="19" t="str">
        <f>IFERROR(__xludf.DUMMYFUNCTION("""COMPUTED_VALUE"""),"BLUE")</f>
        <v>BLUE</v>
      </c>
      <c r="G1839" s="20" t="str">
        <f>IFERROR(__xludf.DUMMYFUNCTION("""COMPUTED_VALUE"""),"Uncle Sams Cider (11/12/2021) (Blue)")</f>
        <v>Uncle Sams Cider (11/12/2021) (Blue)</v>
      </c>
      <c r="H1839" s="19"/>
    </row>
    <row r="1840">
      <c r="A1840" s="9"/>
      <c r="B1840" s="15"/>
      <c r="C1840" s="9">
        <f>IFERROR(__xludf.DUMMYFUNCTION("""COMPUTED_VALUE"""),44586.385878993)</f>
        <v>44586.38588</v>
      </c>
      <c r="D1840" s="15">
        <f>IFERROR(__xludf.DUMMYFUNCTION("""COMPUTED_VALUE"""),1.001)</f>
        <v>1.001</v>
      </c>
      <c r="E1840" s="16">
        <f>IFERROR(__xludf.DUMMYFUNCTION("""COMPUTED_VALUE"""),64.0)</f>
        <v>64</v>
      </c>
      <c r="F1840" s="19" t="str">
        <f>IFERROR(__xludf.DUMMYFUNCTION("""COMPUTED_VALUE"""),"BLUE")</f>
        <v>BLUE</v>
      </c>
      <c r="G1840" s="20" t="str">
        <f>IFERROR(__xludf.DUMMYFUNCTION("""COMPUTED_VALUE"""),"Uncle Sams Cider (11/12/2021) (Blue)")</f>
        <v>Uncle Sams Cider (11/12/2021) (Blue)</v>
      </c>
      <c r="H1840" s="19"/>
    </row>
    <row r="1841">
      <c r="A1841" s="9"/>
      <c r="B1841" s="15"/>
      <c r="C1841" s="9">
        <f>IFERROR(__xludf.DUMMYFUNCTION("""COMPUTED_VALUE"""),44586.3754561574)</f>
        <v>44586.37546</v>
      </c>
      <c r="D1841" s="15">
        <f>IFERROR(__xludf.DUMMYFUNCTION("""COMPUTED_VALUE"""),1.001)</f>
        <v>1.001</v>
      </c>
      <c r="E1841" s="16">
        <f>IFERROR(__xludf.DUMMYFUNCTION("""COMPUTED_VALUE"""),64.0)</f>
        <v>64</v>
      </c>
      <c r="F1841" s="19" t="str">
        <f>IFERROR(__xludf.DUMMYFUNCTION("""COMPUTED_VALUE"""),"BLUE")</f>
        <v>BLUE</v>
      </c>
      <c r="G1841" s="20" t="str">
        <f>IFERROR(__xludf.DUMMYFUNCTION("""COMPUTED_VALUE"""),"Uncle Sams Cider (11/12/2021) (Blue)")</f>
        <v>Uncle Sams Cider (11/12/2021) (Blue)</v>
      </c>
      <c r="H1841" s="19"/>
    </row>
    <row r="1842">
      <c r="A1842" s="9"/>
      <c r="B1842" s="15"/>
      <c r="C1842" s="9">
        <f>IFERROR(__xludf.DUMMYFUNCTION("""COMPUTED_VALUE"""),44586.3650345949)</f>
        <v>44586.36503</v>
      </c>
      <c r="D1842" s="15">
        <f>IFERROR(__xludf.DUMMYFUNCTION("""COMPUTED_VALUE"""),1.001)</f>
        <v>1.001</v>
      </c>
      <c r="E1842" s="16">
        <f>IFERROR(__xludf.DUMMYFUNCTION("""COMPUTED_VALUE"""),64.0)</f>
        <v>64</v>
      </c>
      <c r="F1842" s="19" t="str">
        <f>IFERROR(__xludf.DUMMYFUNCTION("""COMPUTED_VALUE"""),"BLUE")</f>
        <v>BLUE</v>
      </c>
      <c r="G1842" s="20" t="str">
        <f>IFERROR(__xludf.DUMMYFUNCTION("""COMPUTED_VALUE"""),"Uncle Sams Cider (11/12/2021) (Blue)")</f>
        <v>Uncle Sams Cider (11/12/2021) (Blue)</v>
      </c>
      <c r="H1842" s="19"/>
    </row>
    <row r="1843">
      <c r="A1843" s="9"/>
      <c r="B1843" s="15"/>
      <c r="C1843" s="9">
        <f>IFERROR(__xludf.DUMMYFUNCTION("""COMPUTED_VALUE"""),44586.3546129166)</f>
        <v>44586.35461</v>
      </c>
      <c r="D1843" s="15">
        <f>IFERROR(__xludf.DUMMYFUNCTION("""COMPUTED_VALUE"""),1.001)</f>
        <v>1.001</v>
      </c>
      <c r="E1843" s="16">
        <f>IFERROR(__xludf.DUMMYFUNCTION("""COMPUTED_VALUE"""),64.0)</f>
        <v>64</v>
      </c>
      <c r="F1843" s="19" t="str">
        <f>IFERROR(__xludf.DUMMYFUNCTION("""COMPUTED_VALUE"""),"BLUE")</f>
        <v>BLUE</v>
      </c>
      <c r="G1843" s="20" t="str">
        <f>IFERROR(__xludf.DUMMYFUNCTION("""COMPUTED_VALUE"""),"Uncle Sams Cider (11/12/2021) (Blue)")</f>
        <v>Uncle Sams Cider (11/12/2021) (Blue)</v>
      </c>
      <c r="H1843" s="19"/>
    </row>
    <row r="1844">
      <c r="A1844" s="9"/>
      <c r="B1844" s="15"/>
      <c r="C1844" s="9">
        <f>IFERROR(__xludf.DUMMYFUNCTION("""COMPUTED_VALUE"""),44586.3441919675)</f>
        <v>44586.34419</v>
      </c>
      <c r="D1844" s="15">
        <f>IFERROR(__xludf.DUMMYFUNCTION("""COMPUTED_VALUE"""),1.001)</f>
        <v>1.001</v>
      </c>
      <c r="E1844" s="16">
        <f>IFERROR(__xludf.DUMMYFUNCTION("""COMPUTED_VALUE"""),64.0)</f>
        <v>64</v>
      </c>
      <c r="F1844" s="19" t="str">
        <f>IFERROR(__xludf.DUMMYFUNCTION("""COMPUTED_VALUE"""),"BLUE")</f>
        <v>BLUE</v>
      </c>
      <c r="G1844" s="20" t="str">
        <f>IFERROR(__xludf.DUMMYFUNCTION("""COMPUTED_VALUE"""),"Uncle Sams Cider (11/12/2021) (Blue)")</f>
        <v>Uncle Sams Cider (11/12/2021) (Blue)</v>
      </c>
      <c r="H1844" s="19"/>
    </row>
    <row r="1845">
      <c r="A1845" s="9"/>
      <c r="B1845" s="15"/>
      <c r="C1845" s="9">
        <f>IFERROR(__xludf.DUMMYFUNCTION("""COMPUTED_VALUE"""),44586.3337692129)</f>
        <v>44586.33377</v>
      </c>
      <c r="D1845" s="15">
        <f>IFERROR(__xludf.DUMMYFUNCTION("""COMPUTED_VALUE"""),1.001)</f>
        <v>1.001</v>
      </c>
      <c r="E1845" s="16">
        <f>IFERROR(__xludf.DUMMYFUNCTION("""COMPUTED_VALUE"""),64.0)</f>
        <v>64</v>
      </c>
      <c r="F1845" s="19" t="str">
        <f>IFERROR(__xludf.DUMMYFUNCTION("""COMPUTED_VALUE"""),"BLUE")</f>
        <v>BLUE</v>
      </c>
      <c r="G1845" s="20" t="str">
        <f>IFERROR(__xludf.DUMMYFUNCTION("""COMPUTED_VALUE"""),"Uncle Sams Cider (11/12/2021) (Blue)")</f>
        <v>Uncle Sams Cider (11/12/2021) (Blue)</v>
      </c>
      <c r="H1845" s="19"/>
    </row>
    <row r="1846">
      <c r="A1846" s="9"/>
      <c r="B1846" s="15"/>
      <c r="C1846" s="9">
        <f>IFERROR(__xludf.DUMMYFUNCTION("""COMPUTED_VALUE"""),44586.3233491319)</f>
        <v>44586.32335</v>
      </c>
      <c r="D1846" s="15">
        <f>IFERROR(__xludf.DUMMYFUNCTION("""COMPUTED_VALUE"""),1.001)</f>
        <v>1.001</v>
      </c>
      <c r="E1846" s="16">
        <f>IFERROR(__xludf.DUMMYFUNCTION("""COMPUTED_VALUE"""),64.0)</f>
        <v>64</v>
      </c>
      <c r="F1846" s="19" t="str">
        <f>IFERROR(__xludf.DUMMYFUNCTION("""COMPUTED_VALUE"""),"BLUE")</f>
        <v>BLUE</v>
      </c>
      <c r="G1846" s="20" t="str">
        <f>IFERROR(__xludf.DUMMYFUNCTION("""COMPUTED_VALUE"""),"Uncle Sams Cider (11/12/2021) (Blue)")</f>
        <v>Uncle Sams Cider (11/12/2021) (Blue)</v>
      </c>
      <c r="H1846" s="19"/>
    </row>
    <row r="1847">
      <c r="A1847" s="9"/>
      <c r="B1847" s="15"/>
      <c r="C1847" s="9">
        <f>IFERROR(__xludf.DUMMYFUNCTION("""COMPUTED_VALUE"""),44586.3129276388)</f>
        <v>44586.31293</v>
      </c>
      <c r="D1847" s="15">
        <f>IFERROR(__xludf.DUMMYFUNCTION("""COMPUTED_VALUE"""),1.001)</f>
        <v>1.001</v>
      </c>
      <c r="E1847" s="16">
        <f>IFERROR(__xludf.DUMMYFUNCTION("""COMPUTED_VALUE"""),64.0)</f>
        <v>64</v>
      </c>
      <c r="F1847" s="19" t="str">
        <f>IFERROR(__xludf.DUMMYFUNCTION("""COMPUTED_VALUE"""),"BLUE")</f>
        <v>BLUE</v>
      </c>
      <c r="G1847" s="20" t="str">
        <f>IFERROR(__xludf.DUMMYFUNCTION("""COMPUTED_VALUE"""),"Uncle Sams Cider (11/12/2021) (Blue)")</f>
        <v>Uncle Sams Cider (11/12/2021) (Blue)</v>
      </c>
      <c r="H1847" s="19"/>
    </row>
    <row r="1848">
      <c r="A1848" s="9"/>
      <c r="B1848" s="15"/>
      <c r="C1848" s="9">
        <f>IFERROR(__xludf.DUMMYFUNCTION("""COMPUTED_VALUE"""),44586.3025065972)</f>
        <v>44586.30251</v>
      </c>
      <c r="D1848" s="15">
        <f>IFERROR(__xludf.DUMMYFUNCTION("""COMPUTED_VALUE"""),1.001)</f>
        <v>1.001</v>
      </c>
      <c r="E1848" s="16">
        <f>IFERROR(__xludf.DUMMYFUNCTION("""COMPUTED_VALUE"""),64.0)</f>
        <v>64</v>
      </c>
      <c r="F1848" s="19" t="str">
        <f>IFERROR(__xludf.DUMMYFUNCTION("""COMPUTED_VALUE"""),"BLUE")</f>
        <v>BLUE</v>
      </c>
      <c r="G1848" s="20" t="str">
        <f>IFERROR(__xludf.DUMMYFUNCTION("""COMPUTED_VALUE"""),"Uncle Sams Cider (11/12/2021) (Blue)")</f>
        <v>Uncle Sams Cider (11/12/2021) (Blue)</v>
      </c>
      <c r="H1848" s="19"/>
    </row>
    <row r="1849">
      <c r="A1849" s="9"/>
      <c r="B1849" s="15"/>
      <c r="C1849" s="9">
        <f>IFERROR(__xludf.DUMMYFUNCTION("""COMPUTED_VALUE"""),44586.292085405)</f>
        <v>44586.29209</v>
      </c>
      <c r="D1849" s="15">
        <f>IFERROR(__xludf.DUMMYFUNCTION("""COMPUTED_VALUE"""),1.001)</f>
        <v>1.001</v>
      </c>
      <c r="E1849" s="16">
        <f>IFERROR(__xludf.DUMMYFUNCTION("""COMPUTED_VALUE"""),64.0)</f>
        <v>64</v>
      </c>
      <c r="F1849" s="19" t="str">
        <f>IFERROR(__xludf.DUMMYFUNCTION("""COMPUTED_VALUE"""),"BLUE")</f>
        <v>BLUE</v>
      </c>
      <c r="G1849" s="20" t="str">
        <f>IFERROR(__xludf.DUMMYFUNCTION("""COMPUTED_VALUE"""),"Uncle Sams Cider (11/12/2021) (Blue)")</f>
        <v>Uncle Sams Cider (11/12/2021) (Blue)</v>
      </c>
      <c r="H1849" s="19"/>
    </row>
    <row r="1850">
      <c r="A1850" s="9"/>
      <c r="B1850" s="15"/>
      <c r="C1850" s="9">
        <f>IFERROR(__xludf.DUMMYFUNCTION("""COMPUTED_VALUE"""),44586.2816630902)</f>
        <v>44586.28166</v>
      </c>
      <c r="D1850" s="15">
        <f>IFERROR(__xludf.DUMMYFUNCTION("""COMPUTED_VALUE"""),1.001)</f>
        <v>1.001</v>
      </c>
      <c r="E1850" s="16">
        <f>IFERROR(__xludf.DUMMYFUNCTION("""COMPUTED_VALUE"""),64.0)</f>
        <v>64</v>
      </c>
      <c r="F1850" s="19" t="str">
        <f>IFERROR(__xludf.DUMMYFUNCTION("""COMPUTED_VALUE"""),"BLUE")</f>
        <v>BLUE</v>
      </c>
      <c r="G1850" s="20" t="str">
        <f>IFERROR(__xludf.DUMMYFUNCTION("""COMPUTED_VALUE"""),"Uncle Sams Cider (11/12/2021) (Blue)")</f>
        <v>Uncle Sams Cider (11/12/2021) (Blue)</v>
      </c>
      <c r="H1850" s="19"/>
    </row>
    <row r="1851">
      <c r="A1851" s="9"/>
      <c r="B1851" s="15"/>
      <c r="C1851" s="9">
        <f>IFERROR(__xludf.DUMMYFUNCTION("""COMPUTED_VALUE"""),44586.2712408217)</f>
        <v>44586.27124</v>
      </c>
      <c r="D1851" s="15">
        <f>IFERROR(__xludf.DUMMYFUNCTION("""COMPUTED_VALUE"""),1.001)</f>
        <v>1.001</v>
      </c>
      <c r="E1851" s="16">
        <f>IFERROR(__xludf.DUMMYFUNCTION("""COMPUTED_VALUE"""),64.0)</f>
        <v>64</v>
      </c>
      <c r="F1851" s="19" t="str">
        <f>IFERROR(__xludf.DUMMYFUNCTION("""COMPUTED_VALUE"""),"BLUE")</f>
        <v>BLUE</v>
      </c>
      <c r="G1851" s="20" t="str">
        <f>IFERROR(__xludf.DUMMYFUNCTION("""COMPUTED_VALUE"""),"Uncle Sams Cider (11/12/2021) (Blue)")</f>
        <v>Uncle Sams Cider (11/12/2021) (Blue)</v>
      </c>
      <c r="H1851" s="19"/>
    </row>
    <row r="1852">
      <c r="A1852" s="9"/>
      <c r="B1852" s="15"/>
      <c r="C1852" s="9">
        <f>IFERROR(__xludf.DUMMYFUNCTION("""COMPUTED_VALUE"""),44586.2608196296)</f>
        <v>44586.26082</v>
      </c>
      <c r="D1852" s="15">
        <f>IFERROR(__xludf.DUMMYFUNCTION("""COMPUTED_VALUE"""),1.001)</f>
        <v>1.001</v>
      </c>
      <c r="E1852" s="16">
        <f>IFERROR(__xludf.DUMMYFUNCTION("""COMPUTED_VALUE"""),64.0)</f>
        <v>64</v>
      </c>
      <c r="F1852" s="19" t="str">
        <f>IFERROR(__xludf.DUMMYFUNCTION("""COMPUTED_VALUE"""),"BLUE")</f>
        <v>BLUE</v>
      </c>
      <c r="G1852" s="20" t="str">
        <f>IFERROR(__xludf.DUMMYFUNCTION("""COMPUTED_VALUE"""),"Uncle Sams Cider (11/12/2021) (Blue)")</f>
        <v>Uncle Sams Cider (11/12/2021) (Blue)</v>
      </c>
      <c r="H1852" s="19"/>
    </row>
    <row r="1853">
      <c r="A1853" s="9"/>
      <c r="B1853" s="15"/>
      <c r="C1853" s="9">
        <f>IFERROR(__xludf.DUMMYFUNCTION("""COMPUTED_VALUE"""),44586.25039853)</f>
        <v>44586.2504</v>
      </c>
      <c r="D1853" s="15">
        <f>IFERROR(__xludf.DUMMYFUNCTION("""COMPUTED_VALUE"""),1.001)</f>
        <v>1.001</v>
      </c>
      <c r="E1853" s="16">
        <f>IFERROR(__xludf.DUMMYFUNCTION("""COMPUTED_VALUE"""),64.0)</f>
        <v>64</v>
      </c>
      <c r="F1853" s="19" t="str">
        <f>IFERROR(__xludf.DUMMYFUNCTION("""COMPUTED_VALUE"""),"BLUE")</f>
        <v>BLUE</v>
      </c>
      <c r="G1853" s="20" t="str">
        <f>IFERROR(__xludf.DUMMYFUNCTION("""COMPUTED_VALUE"""),"Uncle Sams Cider (11/12/2021) (Blue)")</f>
        <v>Uncle Sams Cider (11/12/2021) (Blue)</v>
      </c>
      <c r="H1853" s="19"/>
    </row>
    <row r="1854">
      <c r="A1854" s="9"/>
      <c r="B1854" s="15"/>
      <c r="C1854" s="9">
        <f>IFERROR(__xludf.DUMMYFUNCTION("""COMPUTED_VALUE"""),44586.2399781944)</f>
        <v>44586.23998</v>
      </c>
      <c r="D1854" s="15">
        <f>IFERROR(__xludf.DUMMYFUNCTION("""COMPUTED_VALUE"""),1.001)</f>
        <v>1.001</v>
      </c>
      <c r="E1854" s="16">
        <f>IFERROR(__xludf.DUMMYFUNCTION("""COMPUTED_VALUE"""),64.0)</f>
        <v>64</v>
      </c>
      <c r="F1854" s="19" t="str">
        <f>IFERROR(__xludf.DUMMYFUNCTION("""COMPUTED_VALUE"""),"BLUE")</f>
        <v>BLUE</v>
      </c>
      <c r="G1854" s="20" t="str">
        <f>IFERROR(__xludf.DUMMYFUNCTION("""COMPUTED_VALUE"""),"Uncle Sams Cider (11/12/2021) (Blue)")</f>
        <v>Uncle Sams Cider (11/12/2021) (Blue)</v>
      </c>
      <c r="H1854" s="19"/>
    </row>
    <row r="1855">
      <c r="A1855" s="9"/>
      <c r="B1855" s="15"/>
      <c r="C1855" s="9">
        <f>IFERROR(__xludf.DUMMYFUNCTION("""COMPUTED_VALUE"""),44586.2295571643)</f>
        <v>44586.22956</v>
      </c>
      <c r="D1855" s="15">
        <f>IFERROR(__xludf.DUMMYFUNCTION("""COMPUTED_VALUE"""),1.001)</f>
        <v>1.001</v>
      </c>
      <c r="E1855" s="16">
        <f>IFERROR(__xludf.DUMMYFUNCTION("""COMPUTED_VALUE"""),64.0)</f>
        <v>64</v>
      </c>
      <c r="F1855" s="19" t="str">
        <f>IFERROR(__xludf.DUMMYFUNCTION("""COMPUTED_VALUE"""),"BLUE")</f>
        <v>BLUE</v>
      </c>
      <c r="G1855" s="20" t="str">
        <f>IFERROR(__xludf.DUMMYFUNCTION("""COMPUTED_VALUE"""),"Uncle Sams Cider (11/12/2021) (Blue)")</f>
        <v>Uncle Sams Cider (11/12/2021) (Blue)</v>
      </c>
      <c r="H1855" s="19"/>
    </row>
    <row r="1856">
      <c r="A1856" s="9"/>
      <c r="B1856" s="15"/>
      <c r="C1856" s="9">
        <f>IFERROR(__xludf.DUMMYFUNCTION("""COMPUTED_VALUE"""),44586.2191344444)</f>
        <v>44586.21913</v>
      </c>
      <c r="D1856" s="15">
        <f>IFERROR(__xludf.DUMMYFUNCTION("""COMPUTED_VALUE"""),1.001)</f>
        <v>1.001</v>
      </c>
      <c r="E1856" s="16">
        <f>IFERROR(__xludf.DUMMYFUNCTION("""COMPUTED_VALUE"""),64.0)</f>
        <v>64</v>
      </c>
      <c r="F1856" s="19" t="str">
        <f>IFERROR(__xludf.DUMMYFUNCTION("""COMPUTED_VALUE"""),"BLUE")</f>
        <v>BLUE</v>
      </c>
      <c r="G1856" s="20" t="str">
        <f>IFERROR(__xludf.DUMMYFUNCTION("""COMPUTED_VALUE"""),"Uncle Sams Cider (11/12/2021) (Blue)")</f>
        <v>Uncle Sams Cider (11/12/2021) (Blue)</v>
      </c>
      <c r="H1856" s="19"/>
    </row>
    <row r="1857">
      <c r="A1857" s="9"/>
      <c r="B1857" s="15"/>
      <c r="C1857" s="9">
        <f>IFERROR(__xludf.DUMMYFUNCTION("""COMPUTED_VALUE"""),44586.2087140625)</f>
        <v>44586.20871</v>
      </c>
      <c r="D1857" s="15">
        <f>IFERROR(__xludf.DUMMYFUNCTION("""COMPUTED_VALUE"""),1.001)</f>
        <v>1.001</v>
      </c>
      <c r="E1857" s="16">
        <f>IFERROR(__xludf.DUMMYFUNCTION("""COMPUTED_VALUE"""),64.0)</f>
        <v>64</v>
      </c>
      <c r="F1857" s="19" t="str">
        <f>IFERROR(__xludf.DUMMYFUNCTION("""COMPUTED_VALUE"""),"BLUE")</f>
        <v>BLUE</v>
      </c>
      <c r="G1857" s="20" t="str">
        <f>IFERROR(__xludf.DUMMYFUNCTION("""COMPUTED_VALUE"""),"Uncle Sams Cider (11/12/2021) (Blue)")</f>
        <v>Uncle Sams Cider (11/12/2021) (Blue)</v>
      </c>
      <c r="H1857" s="19"/>
    </row>
    <row r="1858">
      <c r="A1858" s="9"/>
      <c r="B1858" s="15"/>
      <c r="C1858" s="9">
        <f>IFERROR(__xludf.DUMMYFUNCTION("""COMPUTED_VALUE"""),44586.1982926041)</f>
        <v>44586.19829</v>
      </c>
      <c r="D1858" s="15">
        <f>IFERROR(__xludf.DUMMYFUNCTION("""COMPUTED_VALUE"""),1.001)</f>
        <v>1.001</v>
      </c>
      <c r="E1858" s="16">
        <f>IFERROR(__xludf.DUMMYFUNCTION("""COMPUTED_VALUE"""),64.0)</f>
        <v>64</v>
      </c>
      <c r="F1858" s="19" t="str">
        <f>IFERROR(__xludf.DUMMYFUNCTION("""COMPUTED_VALUE"""),"BLUE")</f>
        <v>BLUE</v>
      </c>
      <c r="G1858" s="20" t="str">
        <f>IFERROR(__xludf.DUMMYFUNCTION("""COMPUTED_VALUE"""),"Uncle Sams Cider (11/12/2021) (Blue)")</f>
        <v>Uncle Sams Cider (11/12/2021) (Blue)</v>
      </c>
      <c r="H1858" s="19"/>
    </row>
    <row r="1859">
      <c r="A1859" s="9"/>
      <c r="B1859" s="15"/>
      <c r="C1859" s="9">
        <f>IFERROR(__xludf.DUMMYFUNCTION("""COMPUTED_VALUE"""),44586.1878721296)</f>
        <v>44586.18787</v>
      </c>
      <c r="D1859" s="15">
        <f>IFERROR(__xludf.DUMMYFUNCTION("""COMPUTED_VALUE"""),1.001)</f>
        <v>1.001</v>
      </c>
      <c r="E1859" s="16">
        <f>IFERROR(__xludf.DUMMYFUNCTION("""COMPUTED_VALUE"""),64.0)</f>
        <v>64</v>
      </c>
      <c r="F1859" s="19" t="str">
        <f>IFERROR(__xludf.DUMMYFUNCTION("""COMPUTED_VALUE"""),"BLUE")</f>
        <v>BLUE</v>
      </c>
      <c r="G1859" s="20" t="str">
        <f>IFERROR(__xludf.DUMMYFUNCTION("""COMPUTED_VALUE"""),"Uncle Sams Cider (11/12/2021) (Blue)")</f>
        <v>Uncle Sams Cider (11/12/2021) (Blue)</v>
      </c>
      <c r="H1859" s="19"/>
    </row>
    <row r="1860">
      <c r="A1860" s="9"/>
      <c r="B1860" s="15"/>
      <c r="C1860" s="9">
        <f>IFERROR(__xludf.DUMMYFUNCTION("""COMPUTED_VALUE"""),44586.1774511226)</f>
        <v>44586.17745</v>
      </c>
      <c r="D1860" s="15">
        <f>IFERROR(__xludf.DUMMYFUNCTION("""COMPUTED_VALUE"""),1.001)</f>
        <v>1.001</v>
      </c>
      <c r="E1860" s="16">
        <f>IFERROR(__xludf.DUMMYFUNCTION("""COMPUTED_VALUE"""),64.0)</f>
        <v>64</v>
      </c>
      <c r="F1860" s="19" t="str">
        <f>IFERROR(__xludf.DUMMYFUNCTION("""COMPUTED_VALUE"""),"BLUE")</f>
        <v>BLUE</v>
      </c>
      <c r="G1860" s="20" t="str">
        <f>IFERROR(__xludf.DUMMYFUNCTION("""COMPUTED_VALUE"""),"Uncle Sams Cider (11/12/2021) (Blue)")</f>
        <v>Uncle Sams Cider (11/12/2021) (Blue)</v>
      </c>
      <c r="H1860" s="19"/>
    </row>
    <row r="1861">
      <c r="A1861" s="9"/>
      <c r="B1861" s="15"/>
      <c r="C1861" s="9">
        <f>IFERROR(__xludf.DUMMYFUNCTION("""COMPUTED_VALUE"""),44586.1670174884)</f>
        <v>44586.16702</v>
      </c>
      <c r="D1861" s="15">
        <f>IFERROR(__xludf.DUMMYFUNCTION("""COMPUTED_VALUE"""),1.001)</f>
        <v>1.001</v>
      </c>
      <c r="E1861" s="16">
        <f>IFERROR(__xludf.DUMMYFUNCTION("""COMPUTED_VALUE"""),64.0)</f>
        <v>64</v>
      </c>
      <c r="F1861" s="19" t="str">
        <f>IFERROR(__xludf.DUMMYFUNCTION("""COMPUTED_VALUE"""),"BLUE")</f>
        <v>BLUE</v>
      </c>
      <c r="G1861" s="20" t="str">
        <f>IFERROR(__xludf.DUMMYFUNCTION("""COMPUTED_VALUE"""),"Uncle Sams Cider (11/12/2021) (Blue)")</f>
        <v>Uncle Sams Cider (11/12/2021) (Blue)</v>
      </c>
      <c r="H1861" s="19"/>
    </row>
    <row r="1862">
      <c r="A1862" s="9"/>
      <c r="B1862" s="15"/>
      <c r="C1862" s="9">
        <f>IFERROR(__xludf.DUMMYFUNCTION("""COMPUTED_VALUE"""),44586.1565966087)</f>
        <v>44586.1566</v>
      </c>
      <c r="D1862" s="15">
        <f>IFERROR(__xludf.DUMMYFUNCTION("""COMPUTED_VALUE"""),1.001)</f>
        <v>1.001</v>
      </c>
      <c r="E1862" s="16">
        <f>IFERROR(__xludf.DUMMYFUNCTION("""COMPUTED_VALUE"""),64.0)</f>
        <v>64</v>
      </c>
      <c r="F1862" s="19" t="str">
        <f>IFERROR(__xludf.DUMMYFUNCTION("""COMPUTED_VALUE"""),"BLUE")</f>
        <v>BLUE</v>
      </c>
      <c r="G1862" s="20" t="str">
        <f>IFERROR(__xludf.DUMMYFUNCTION("""COMPUTED_VALUE"""),"Uncle Sams Cider (11/12/2021) (Blue)")</f>
        <v>Uncle Sams Cider (11/12/2021) (Blue)</v>
      </c>
      <c r="H1862" s="19"/>
    </row>
    <row r="1863">
      <c r="A1863" s="9"/>
      <c r="B1863" s="15"/>
      <c r="C1863" s="9">
        <f>IFERROR(__xludf.DUMMYFUNCTION("""COMPUTED_VALUE"""),44586.146175868)</f>
        <v>44586.14618</v>
      </c>
      <c r="D1863" s="15">
        <f>IFERROR(__xludf.DUMMYFUNCTION("""COMPUTED_VALUE"""),1.001)</f>
        <v>1.001</v>
      </c>
      <c r="E1863" s="16">
        <f>IFERROR(__xludf.DUMMYFUNCTION("""COMPUTED_VALUE"""),64.0)</f>
        <v>64</v>
      </c>
      <c r="F1863" s="19" t="str">
        <f>IFERROR(__xludf.DUMMYFUNCTION("""COMPUTED_VALUE"""),"BLUE")</f>
        <v>BLUE</v>
      </c>
      <c r="G1863" s="20" t="str">
        <f>IFERROR(__xludf.DUMMYFUNCTION("""COMPUTED_VALUE"""),"Uncle Sams Cider (11/12/2021) (Blue)")</f>
        <v>Uncle Sams Cider (11/12/2021) (Blue)</v>
      </c>
      <c r="H1863" s="19"/>
    </row>
    <row r="1864">
      <c r="A1864" s="9"/>
      <c r="B1864" s="15"/>
      <c r="C1864" s="9">
        <f>IFERROR(__xludf.DUMMYFUNCTION("""COMPUTED_VALUE"""),44586.1357539236)</f>
        <v>44586.13575</v>
      </c>
      <c r="D1864" s="15">
        <f>IFERROR(__xludf.DUMMYFUNCTION("""COMPUTED_VALUE"""),1.001)</f>
        <v>1.001</v>
      </c>
      <c r="E1864" s="16">
        <f>IFERROR(__xludf.DUMMYFUNCTION("""COMPUTED_VALUE"""),65.0)</f>
        <v>65</v>
      </c>
      <c r="F1864" s="19" t="str">
        <f>IFERROR(__xludf.DUMMYFUNCTION("""COMPUTED_VALUE"""),"BLUE")</f>
        <v>BLUE</v>
      </c>
      <c r="G1864" s="20" t="str">
        <f>IFERROR(__xludf.DUMMYFUNCTION("""COMPUTED_VALUE"""),"Uncle Sams Cider (11/12/2021) (Blue)")</f>
        <v>Uncle Sams Cider (11/12/2021) (Blue)</v>
      </c>
      <c r="H1864" s="19"/>
    </row>
    <row r="1865">
      <c r="A1865" s="9"/>
      <c r="B1865" s="15"/>
      <c r="C1865" s="9">
        <f>IFERROR(__xludf.DUMMYFUNCTION("""COMPUTED_VALUE"""),44586.1253327777)</f>
        <v>44586.12533</v>
      </c>
      <c r="D1865" s="15">
        <f>IFERROR(__xludf.DUMMYFUNCTION("""COMPUTED_VALUE"""),1.001)</f>
        <v>1.001</v>
      </c>
      <c r="E1865" s="16">
        <f>IFERROR(__xludf.DUMMYFUNCTION("""COMPUTED_VALUE"""),65.0)</f>
        <v>65</v>
      </c>
      <c r="F1865" s="19" t="str">
        <f>IFERROR(__xludf.DUMMYFUNCTION("""COMPUTED_VALUE"""),"BLUE")</f>
        <v>BLUE</v>
      </c>
      <c r="G1865" s="20" t="str">
        <f>IFERROR(__xludf.DUMMYFUNCTION("""COMPUTED_VALUE"""),"Uncle Sams Cider (11/12/2021) (Blue)")</f>
        <v>Uncle Sams Cider (11/12/2021) (Blue)</v>
      </c>
      <c r="H1865" s="19"/>
    </row>
    <row r="1866">
      <c r="A1866" s="9"/>
      <c r="B1866" s="15"/>
      <c r="C1866" s="9">
        <f>IFERROR(__xludf.DUMMYFUNCTION("""COMPUTED_VALUE"""),44586.1148998148)</f>
        <v>44586.1149</v>
      </c>
      <c r="D1866" s="15">
        <f>IFERROR(__xludf.DUMMYFUNCTION("""COMPUTED_VALUE"""),1.001)</f>
        <v>1.001</v>
      </c>
      <c r="E1866" s="16">
        <f>IFERROR(__xludf.DUMMYFUNCTION("""COMPUTED_VALUE"""),65.0)</f>
        <v>65</v>
      </c>
      <c r="F1866" s="19" t="str">
        <f>IFERROR(__xludf.DUMMYFUNCTION("""COMPUTED_VALUE"""),"BLUE")</f>
        <v>BLUE</v>
      </c>
      <c r="G1866" s="20" t="str">
        <f>IFERROR(__xludf.DUMMYFUNCTION("""COMPUTED_VALUE"""),"Uncle Sams Cider (11/12/2021) (Blue)")</f>
        <v>Uncle Sams Cider (11/12/2021) (Blue)</v>
      </c>
      <c r="H1866" s="19"/>
    </row>
    <row r="1867">
      <c r="A1867" s="9"/>
      <c r="B1867" s="15"/>
      <c r="C1867" s="9">
        <f>IFERROR(__xludf.DUMMYFUNCTION("""COMPUTED_VALUE"""),44586.1044782175)</f>
        <v>44586.10448</v>
      </c>
      <c r="D1867" s="15">
        <f>IFERROR(__xludf.DUMMYFUNCTION("""COMPUTED_VALUE"""),1.001)</f>
        <v>1.001</v>
      </c>
      <c r="E1867" s="16">
        <f>IFERROR(__xludf.DUMMYFUNCTION("""COMPUTED_VALUE"""),65.0)</f>
        <v>65</v>
      </c>
      <c r="F1867" s="19" t="str">
        <f>IFERROR(__xludf.DUMMYFUNCTION("""COMPUTED_VALUE"""),"BLUE")</f>
        <v>BLUE</v>
      </c>
      <c r="G1867" s="20" t="str">
        <f>IFERROR(__xludf.DUMMYFUNCTION("""COMPUTED_VALUE"""),"Uncle Sams Cider (11/12/2021) (Blue)")</f>
        <v>Uncle Sams Cider (11/12/2021) (Blue)</v>
      </c>
      <c r="H1867" s="19"/>
    </row>
    <row r="1868">
      <c r="A1868" s="9"/>
      <c r="B1868" s="15"/>
      <c r="C1868" s="9">
        <f>IFERROR(__xludf.DUMMYFUNCTION("""COMPUTED_VALUE"""),44586.0940590972)</f>
        <v>44586.09406</v>
      </c>
      <c r="D1868" s="15">
        <f>IFERROR(__xludf.DUMMYFUNCTION("""COMPUTED_VALUE"""),1.001)</f>
        <v>1.001</v>
      </c>
      <c r="E1868" s="16">
        <f>IFERROR(__xludf.DUMMYFUNCTION("""COMPUTED_VALUE"""),65.0)</f>
        <v>65</v>
      </c>
      <c r="F1868" s="19" t="str">
        <f>IFERROR(__xludf.DUMMYFUNCTION("""COMPUTED_VALUE"""),"BLUE")</f>
        <v>BLUE</v>
      </c>
      <c r="G1868" s="20" t="str">
        <f>IFERROR(__xludf.DUMMYFUNCTION("""COMPUTED_VALUE"""),"Uncle Sams Cider (11/12/2021) (Blue)")</f>
        <v>Uncle Sams Cider (11/12/2021) (Blue)</v>
      </c>
      <c r="H1868" s="19"/>
    </row>
    <row r="1869">
      <c r="A1869" s="9"/>
      <c r="B1869" s="15"/>
      <c r="C1869" s="9">
        <f>IFERROR(__xludf.DUMMYFUNCTION("""COMPUTED_VALUE"""),44586.083604537)</f>
        <v>44586.0836</v>
      </c>
      <c r="D1869" s="15">
        <f>IFERROR(__xludf.DUMMYFUNCTION("""COMPUTED_VALUE"""),1.001)</f>
        <v>1.001</v>
      </c>
      <c r="E1869" s="16">
        <f>IFERROR(__xludf.DUMMYFUNCTION("""COMPUTED_VALUE"""),65.0)</f>
        <v>65</v>
      </c>
      <c r="F1869" s="19" t="str">
        <f>IFERROR(__xludf.DUMMYFUNCTION("""COMPUTED_VALUE"""),"BLUE")</f>
        <v>BLUE</v>
      </c>
      <c r="G1869" s="20" t="str">
        <f>IFERROR(__xludf.DUMMYFUNCTION("""COMPUTED_VALUE"""),"Uncle Sams Cider (11/12/2021) (Blue)")</f>
        <v>Uncle Sams Cider (11/12/2021) (Blue)</v>
      </c>
      <c r="H1869" s="19"/>
    </row>
    <row r="1870">
      <c r="A1870" s="9"/>
      <c r="B1870" s="15"/>
      <c r="C1870" s="9">
        <f>IFERROR(__xludf.DUMMYFUNCTION("""COMPUTED_VALUE"""),44586.0731849074)</f>
        <v>44586.07318</v>
      </c>
      <c r="D1870" s="15">
        <f>IFERROR(__xludf.DUMMYFUNCTION("""COMPUTED_VALUE"""),1.001)</f>
        <v>1.001</v>
      </c>
      <c r="E1870" s="16">
        <f>IFERROR(__xludf.DUMMYFUNCTION("""COMPUTED_VALUE"""),65.0)</f>
        <v>65</v>
      </c>
      <c r="F1870" s="19" t="str">
        <f>IFERROR(__xludf.DUMMYFUNCTION("""COMPUTED_VALUE"""),"BLUE")</f>
        <v>BLUE</v>
      </c>
      <c r="G1870" s="20" t="str">
        <f>IFERROR(__xludf.DUMMYFUNCTION("""COMPUTED_VALUE"""),"Uncle Sams Cider (11/12/2021) (Blue)")</f>
        <v>Uncle Sams Cider (11/12/2021) (Blue)</v>
      </c>
      <c r="H1870" s="19"/>
    </row>
    <row r="1871">
      <c r="A1871" s="9"/>
      <c r="B1871" s="15"/>
      <c r="C1871" s="9">
        <f>IFERROR(__xludf.DUMMYFUNCTION("""COMPUTED_VALUE"""),44586.0627656944)</f>
        <v>44586.06277</v>
      </c>
      <c r="D1871" s="15">
        <f>IFERROR(__xludf.DUMMYFUNCTION("""COMPUTED_VALUE"""),1.001)</f>
        <v>1.001</v>
      </c>
      <c r="E1871" s="16">
        <f>IFERROR(__xludf.DUMMYFUNCTION("""COMPUTED_VALUE"""),65.0)</f>
        <v>65</v>
      </c>
      <c r="F1871" s="19" t="str">
        <f>IFERROR(__xludf.DUMMYFUNCTION("""COMPUTED_VALUE"""),"BLUE")</f>
        <v>BLUE</v>
      </c>
      <c r="G1871" s="20" t="str">
        <f>IFERROR(__xludf.DUMMYFUNCTION("""COMPUTED_VALUE"""),"Uncle Sams Cider (11/12/2021) (Blue)")</f>
        <v>Uncle Sams Cider (11/12/2021) (Blue)</v>
      </c>
      <c r="H1871" s="19"/>
    </row>
    <row r="1872">
      <c r="A1872" s="9"/>
      <c r="B1872" s="15"/>
      <c r="C1872" s="9">
        <f>IFERROR(__xludf.DUMMYFUNCTION("""COMPUTED_VALUE"""),44586.052332743)</f>
        <v>44586.05233</v>
      </c>
      <c r="D1872" s="15">
        <f>IFERROR(__xludf.DUMMYFUNCTION("""COMPUTED_VALUE"""),1.001)</f>
        <v>1.001</v>
      </c>
      <c r="E1872" s="16">
        <f>IFERROR(__xludf.DUMMYFUNCTION("""COMPUTED_VALUE"""),65.0)</f>
        <v>65</v>
      </c>
      <c r="F1872" s="19" t="str">
        <f>IFERROR(__xludf.DUMMYFUNCTION("""COMPUTED_VALUE"""),"BLUE")</f>
        <v>BLUE</v>
      </c>
      <c r="G1872" s="20" t="str">
        <f>IFERROR(__xludf.DUMMYFUNCTION("""COMPUTED_VALUE"""),"Uncle Sams Cider (11/12/2021) (Blue)")</f>
        <v>Uncle Sams Cider (11/12/2021) (Blue)</v>
      </c>
      <c r="H1872" s="19"/>
    </row>
    <row r="1873">
      <c r="A1873" s="9"/>
      <c r="B1873" s="15"/>
      <c r="C1873" s="9">
        <f>IFERROR(__xludf.DUMMYFUNCTION("""COMPUTED_VALUE"""),44586.0419109375)</f>
        <v>44586.04191</v>
      </c>
      <c r="D1873" s="15">
        <f>IFERROR(__xludf.DUMMYFUNCTION("""COMPUTED_VALUE"""),1.001)</f>
        <v>1.001</v>
      </c>
      <c r="E1873" s="16">
        <f>IFERROR(__xludf.DUMMYFUNCTION("""COMPUTED_VALUE"""),65.0)</f>
        <v>65</v>
      </c>
      <c r="F1873" s="19" t="str">
        <f>IFERROR(__xludf.DUMMYFUNCTION("""COMPUTED_VALUE"""),"BLUE")</f>
        <v>BLUE</v>
      </c>
      <c r="G1873" s="20" t="str">
        <f>IFERROR(__xludf.DUMMYFUNCTION("""COMPUTED_VALUE"""),"Uncle Sams Cider (11/12/2021) (Blue)")</f>
        <v>Uncle Sams Cider (11/12/2021) (Blue)</v>
      </c>
      <c r="H1873" s="19"/>
    </row>
    <row r="1874">
      <c r="A1874" s="9"/>
      <c r="B1874" s="15"/>
      <c r="C1874" s="9">
        <f>IFERROR(__xludf.DUMMYFUNCTION("""COMPUTED_VALUE"""),44586.0314794791)</f>
        <v>44586.03148</v>
      </c>
      <c r="D1874" s="15">
        <f>IFERROR(__xludf.DUMMYFUNCTION("""COMPUTED_VALUE"""),1.001)</f>
        <v>1.001</v>
      </c>
      <c r="E1874" s="16">
        <f>IFERROR(__xludf.DUMMYFUNCTION("""COMPUTED_VALUE"""),65.0)</f>
        <v>65</v>
      </c>
      <c r="F1874" s="19" t="str">
        <f>IFERROR(__xludf.DUMMYFUNCTION("""COMPUTED_VALUE"""),"BLUE")</f>
        <v>BLUE</v>
      </c>
      <c r="G1874" s="20" t="str">
        <f>IFERROR(__xludf.DUMMYFUNCTION("""COMPUTED_VALUE"""),"Uncle Sams Cider (11/12/2021) (Blue)")</f>
        <v>Uncle Sams Cider (11/12/2021) (Blue)</v>
      </c>
      <c r="H1874" s="19"/>
    </row>
    <row r="1875">
      <c r="A1875" s="9"/>
      <c r="B1875" s="15"/>
      <c r="C1875" s="9">
        <f>IFERROR(__xludf.DUMMYFUNCTION("""COMPUTED_VALUE"""),44586.0210577083)</f>
        <v>44586.02106</v>
      </c>
      <c r="D1875" s="15">
        <f>IFERROR(__xludf.DUMMYFUNCTION("""COMPUTED_VALUE"""),1.001)</f>
        <v>1.001</v>
      </c>
      <c r="E1875" s="16">
        <f>IFERROR(__xludf.DUMMYFUNCTION("""COMPUTED_VALUE"""),65.0)</f>
        <v>65</v>
      </c>
      <c r="F1875" s="19" t="str">
        <f>IFERROR(__xludf.DUMMYFUNCTION("""COMPUTED_VALUE"""),"BLUE")</f>
        <v>BLUE</v>
      </c>
      <c r="G1875" s="20" t="str">
        <f>IFERROR(__xludf.DUMMYFUNCTION("""COMPUTED_VALUE"""),"Uncle Sams Cider (11/12/2021) (Blue)")</f>
        <v>Uncle Sams Cider (11/12/2021) (Blue)</v>
      </c>
      <c r="H1875" s="19"/>
    </row>
    <row r="1876">
      <c r="A1876" s="9"/>
      <c r="B1876" s="15"/>
      <c r="C1876" s="9">
        <f>IFERROR(__xludf.DUMMYFUNCTION("""COMPUTED_VALUE"""),44586.0106236226)</f>
        <v>44586.01062</v>
      </c>
      <c r="D1876" s="15">
        <f>IFERROR(__xludf.DUMMYFUNCTION("""COMPUTED_VALUE"""),1.001)</f>
        <v>1.001</v>
      </c>
      <c r="E1876" s="16">
        <f>IFERROR(__xludf.DUMMYFUNCTION("""COMPUTED_VALUE"""),65.0)</f>
        <v>65</v>
      </c>
      <c r="F1876" s="19" t="str">
        <f>IFERROR(__xludf.DUMMYFUNCTION("""COMPUTED_VALUE"""),"BLUE")</f>
        <v>BLUE</v>
      </c>
      <c r="G1876" s="20" t="str">
        <f>IFERROR(__xludf.DUMMYFUNCTION("""COMPUTED_VALUE"""),"Uncle Sams Cider (11/12/2021) (Blue)")</f>
        <v>Uncle Sams Cider (11/12/2021) (Blue)</v>
      </c>
      <c r="H1876" s="19"/>
    </row>
    <row r="1877">
      <c r="A1877" s="9"/>
      <c r="B1877" s="15"/>
      <c r="C1877" s="9">
        <f>IFERROR(__xludf.DUMMYFUNCTION("""COMPUTED_VALUE"""),44586.0002019444)</f>
        <v>44586.0002</v>
      </c>
      <c r="D1877" s="15">
        <f>IFERROR(__xludf.DUMMYFUNCTION("""COMPUTED_VALUE"""),1.001)</f>
        <v>1.001</v>
      </c>
      <c r="E1877" s="16">
        <f>IFERROR(__xludf.DUMMYFUNCTION("""COMPUTED_VALUE"""),65.0)</f>
        <v>65</v>
      </c>
      <c r="F1877" s="19" t="str">
        <f>IFERROR(__xludf.DUMMYFUNCTION("""COMPUTED_VALUE"""),"BLUE")</f>
        <v>BLUE</v>
      </c>
      <c r="G1877" s="20" t="str">
        <f>IFERROR(__xludf.DUMMYFUNCTION("""COMPUTED_VALUE"""),"Uncle Sams Cider (11/12/2021) (Blue)")</f>
        <v>Uncle Sams Cider (11/12/2021) (Blue)</v>
      </c>
      <c r="H1877" s="19"/>
    </row>
    <row r="1878">
      <c r="A1878" s="9"/>
      <c r="B1878" s="15"/>
      <c r="C1878" s="9">
        <f>IFERROR(__xludf.DUMMYFUNCTION("""COMPUTED_VALUE"""),44585.989780162)</f>
        <v>44585.98978</v>
      </c>
      <c r="D1878" s="15">
        <f>IFERROR(__xludf.DUMMYFUNCTION("""COMPUTED_VALUE"""),1.001)</f>
        <v>1.001</v>
      </c>
      <c r="E1878" s="16">
        <f>IFERROR(__xludf.DUMMYFUNCTION("""COMPUTED_VALUE"""),65.0)</f>
        <v>65</v>
      </c>
      <c r="F1878" s="19" t="str">
        <f>IFERROR(__xludf.DUMMYFUNCTION("""COMPUTED_VALUE"""),"BLUE")</f>
        <v>BLUE</v>
      </c>
      <c r="G1878" s="20" t="str">
        <f>IFERROR(__xludf.DUMMYFUNCTION("""COMPUTED_VALUE"""),"Uncle Sams Cider (11/12/2021) (Blue)")</f>
        <v>Uncle Sams Cider (11/12/2021) (Blue)</v>
      </c>
      <c r="H1878" s="19"/>
    </row>
    <row r="1879">
      <c r="A1879" s="9"/>
      <c r="B1879" s="15"/>
      <c r="C1879" s="9">
        <f>IFERROR(__xludf.DUMMYFUNCTION("""COMPUTED_VALUE"""),44585.979359074)</f>
        <v>44585.97936</v>
      </c>
      <c r="D1879" s="15">
        <f>IFERROR(__xludf.DUMMYFUNCTION("""COMPUTED_VALUE"""),1.001)</f>
        <v>1.001</v>
      </c>
      <c r="E1879" s="16">
        <f>IFERROR(__xludf.DUMMYFUNCTION("""COMPUTED_VALUE"""),65.0)</f>
        <v>65</v>
      </c>
      <c r="F1879" s="19" t="str">
        <f>IFERROR(__xludf.DUMMYFUNCTION("""COMPUTED_VALUE"""),"BLUE")</f>
        <v>BLUE</v>
      </c>
      <c r="G1879" s="20" t="str">
        <f>IFERROR(__xludf.DUMMYFUNCTION("""COMPUTED_VALUE"""),"Uncle Sams Cider (11/12/2021) (Blue)")</f>
        <v>Uncle Sams Cider (11/12/2021) (Blue)</v>
      </c>
      <c r="H1879" s="19"/>
    </row>
    <row r="1880">
      <c r="A1880" s="9"/>
      <c r="B1880" s="15"/>
      <c r="C1880" s="9">
        <f>IFERROR(__xludf.DUMMYFUNCTION("""COMPUTED_VALUE"""),44585.9689377199)</f>
        <v>44585.96894</v>
      </c>
      <c r="D1880" s="15">
        <f>IFERROR(__xludf.DUMMYFUNCTION("""COMPUTED_VALUE"""),1.001)</f>
        <v>1.001</v>
      </c>
      <c r="E1880" s="16">
        <f>IFERROR(__xludf.DUMMYFUNCTION("""COMPUTED_VALUE"""),65.0)</f>
        <v>65</v>
      </c>
      <c r="F1880" s="19" t="str">
        <f>IFERROR(__xludf.DUMMYFUNCTION("""COMPUTED_VALUE"""),"BLUE")</f>
        <v>BLUE</v>
      </c>
      <c r="G1880" s="20" t="str">
        <f>IFERROR(__xludf.DUMMYFUNCTION("""COMPUTED_VALUE"""),"Uncle Sams Cider (11/12/2021) (Blue)")</f>
        <v>Uncle Sams Cider (11/12/2021) (Blue)</v>
      </c>
      <c r="H1880" s="19"/>
    </row>
    <row r="1881">
      <c r="A1881" s="9"/>
      <c r="B1881" s="15"/>
      <c r="C1881" s="9">
        <f>IFERROR(__xludf.DUMMYFUNCTION("""COMPUTED_VALUE"""),44585.9585165277)</f>
        <v>44585.95852</v>
      </c>
      <c r="D1881" s="15">
        <f>IFERROR(__xludf.DUMMYFUNCTION("""COMPUTED_VALUE"""),1.001)</f>
        <v>1.001</v>
      </c>
      <c r="E1881" s="16">
        <f>IFERROR(__xludf.DUMMYFUNCTION("""COMPUTED_VALUE"""),65.0)</f>
        <v>65</v>
      </c>
      <c r="F1881" s="19" t="str">
        <f>IFERROR(__xludf.DUMMYFUNCTION("""COMPUTED_VALUE"""),"BLUE")</f>
        <v>BLUE</v>
      </c>
      <c r="G1881" s="20" t="str">
        <f>IFERROR(__xludf.DUMMYFUNCTION("""COMPUTED_VALUE"""),"Uncle Sams Cider (11/12/2021) (Blue)")</f>
        <v>Uncle Sams Cider (11/12/2021) (Blue)</v>
      </c>
      <c r="H1881" s="19"/>
    </row>
    <row r="1882">
      <c r="A1882" s="9"/>
      <c r="B1882" s="15"/>
      <c r="C1882" s="9">
        <f>IFERROR(__xludf.DUMMYFUNCTION("""COMPUTED_VALUE"""),44585.9480941319)</f>
        <v>44585.94809</v>
      </c>
      <c r="D1882" s="15">
        <f>IFERROR(__xludf.DUMMYFUNCTION("""COMPUTED_VALUE"""),1.001)</f>
        <v>1.001</v>
      </c>
      <c r="E1882" s="16">
        <f>IFERROR(__xludf.DUMMYFUNCTION("""COMPUTED_VALUE"""),65.0)</f>
        <v>65</v>
      </c>
      <c r="F1882" s="19" t="str">
        <f>IFERROR(__xludf.DUMMYFUNCTION("""COMPUTED_VALUE"""),"BLUE")</f>
        <v>BLUE</v>
      </c>
      <c r="G1882" s="20" t="str">
        <f>IFERROR(__xludf.DUMMYFUNCTION("""COMPUTED_VALUE"""),"Uncle Sams Cider (11/12/2021) (Blue)")</f>
        <v>Uncle Sams Cider (11/12/2021) (Blue)</v>
      </c>
      <c r="H1882" s="19"/>
    </row>
    <row r="1883">
      <c r="A1883" s="9"/>
      <c r="B1883" s="15"/>
      <c r="C1883" s="9">
        <f>IFERROR(__xludf.DUMMYFUNCTION("""COMPUTED_VALUE"""),44585.9376740277)</f>
        <v>44585.93767</v>
      </c>
      <c r="D1883" s="15">
        <f>IFERROR(__xludf.DUMMYFUNCTION("""COMPUTED_VALUE"""),1.001)</f>
        <v>1.001</v>
      </c>
      <c r="E1883" s="16">
        <f>IFERROR(__xludf.DUMMYFUNCTION("""COMPUTED_VALUE"""),65.0)</f>
        <v>65</v>
      </c>
      <c r="F1883" s="19" t="str">
        <f>IFERROR(__xludf.DUMMYFUNCTION("""COMPUTED_VALUE"""),"BLUE")</f>
        <v>BLUE</v>
      </c>
      <c r="G1883" s="20" t="str">
        <f>IFERROR(__xludf.DUMMYFUNCTION("""COMPUTED_VALUE"""),"Uncle Sams Cider (11/12/2021) (Blue)")</f>
        <v>Uncle Sams Cider (11/12/2021) (Blue)</v>
      </c>
      <c r="H1883" s="19"/>
    </row>
    <row r="1884">
      <c r="A1884" s="9"/>
      <c r="B1884" s="15"/>
      <c r="C1884" s="9">
        <f>IFERROR(__xludf.DUMMYFUNCTION("""COMPUTED_VALUE"""),44585.9272404629)</f>
        <v>44585.92724</v>
      </c>
      <c r="D1884" s="15">
        <f>IFERROR(__xludf.DUMMYFUNCTION("""COMPUTED_VALUE"""),1.001)</f>
        <v>1.001</v>
      </c>
      <c r="E1884" s="16">
        <f>IFERROR(__xludf.DUMMYFUNCTION("""COMPUTED_VALUE"""),65.0)</f>
        <v>65</v>
      </c>
      <c r="F1884" s="19" t="str">
        <f>IFERROR(__xludf.DUMMYFUNCTION("""COMPUTED_VALUE"""),"BLUE")</f>
        <v>BLUE</v>
      </c>
      <c r="G1884" s="20" t="str">
        <f>IFERROR(__xludf.DUMMYFUNCTION("""COMPUTED_VALUE"""),"Uncle Sams Cider (11/12/2021) (Blue)")</f>
        <v>Uncle Sams Cider (11/12/2021) (Blue)</v>
      </c>
      <c r="H1884" s="19"/>
    </row>
    <row r="1885">
      <c r="A1885" s="9"/>
      <c r="B1885" s="15"/>
      <c r="C1885" s="9">
        <f>IFERROR(__xludf.DUMMYFUNCTION("""COMPUTED_VALUE"""),44585.9167973726)</f>
        <v>44585.9168</v>
      </c>
      <c r="D1885" s="15">
        <f>IFERROR(__xludf.DUMMYFUNCTION("""COMPUTED_VALUE"""),1.001)</f>
        <v>1.001</v>
      </c>
      <c r="E1885" s="16">
        <f>IFERROR(__xludf.DUMMYFUNCTION("""COMPUTED_VALUE"""),65.0)</f>
        <v>65</v>
      </c>
      <c r="F1885" s="19" t="str">
        <f>IFERROR(__xludf.DUMMYFUNCTION("""COMPUTED_VALUE"""),"BLUE")</f>
        <v>BLUE</v>
      </c>
      <c r="G1885" s="20" t="str">
        <f>IFERROR(__xludf.DUMMYFUNCTION("""COMPUTED_VALUE"""),"Uncle Sams Cider (11/12/2021) (Blue)")</f>
        <v>Uncle Sams Cider (11/12/2021) (Blue)</v>
      </c>
      <c r="H1885" s="19"/>
    </row>
    <row r="1886">
      <c r="A1886" s="9"/>
      <c r="B1886" s="15"/>
      <c r="C1886" s="9">
        <f>IFERROR(__xludf.DUMMYFUNCTION("""COMPUTED_VALUE"""),44585.9063756944)</f>
        <v>44585.90638</v>
      </c>
      <c r="D1886" s="15">
        <f>IFERROR(__xludf.DUMMYFUNCTION("""COMPUTED_VALUE"""),1.001)</f>
        <v>1.001</v>
      </c>
      <c r="E1886" s="16">
        <f>IFERROR(__xludf.DUMMYFUNCTION("""COMPUTED_VALUE"""),65.0)</f>
        <v>65</v>
      </c>
      <c r="F1886" s="19" t="str">
        <f>IFERROR(__xludf.DUMMYFUNCTION("""COMPUTED_VALUE"""),"BLUE")</f>
        <v>BLUE</v>
      </c>
      <c r="G1886" s="20" t="str">
        <f>IFERROR(__xludf.DUMMYFUNCTION("""COMPUTED_VALUE"""),"Uncle Sams Cider (11/12/2021) (Blue)")</f>
        <v>Uncle Sams Cider (11/12/2021) (Blue)</v>
      </c>
      <c r="H1886" s="19"/>
    </row>
    <row r="1887">
      <c r="A1887" s="9"/>
      <c r="B1887" s="15"/>
      <c r="C1887" s="9">
        <f>IFERROR(__xludf.DUMMYFUNCTION("""COMPUTED_VALUE"""),44585.895931574)</f>
        <v>44585.89593</v>
      </c>
      <c r="D1887" s="15">
        <f>IFERROR(__xludf.DUMMYFUNCTION("""COMPUTED_VALUE"""),1.001)</f>
        <v>1.001</v>
      </c>
      <c r="E1887" s="16">
        <f>IFERROR(__xludf.DUMMYFUNCTION("""COMPUTED_VALUE"""),65.0)</f>
        <v>65</v>
      </c>
      <c r="F1887" s="19" t="str">
        <f>IFERROR(__xludf.DUMMYFUNCTION("""COMPUTED_VALUE"""),"BLUE")</f>
        <v>BLUE</v>
      </c>
      <c r="G1887" s="20" t="str">
        <f>IFERROR(__xludf.DUMMYFUNCTION("""COMPUTED_VALUE"""),"Uncle Sams Cider (11/12/2021) (Blue)")</f>
        <v>Uncle Sams Cider (11/12/2021) (Blue)</v>
      </c>
      <c r="H1887" s="19"/>
    </row>
    <row r="1888">
      <c r="A1888" s="9"/>
      <c r="B1888" s="15"/>
      <c r="C1888" s="9">
        <f>IFERROR(__xludf.DUMMYFUNCTION("""COMPUTED_VALUE"""),44585.8855117824)</f>
        <v>44585.88551</v>
      </c>
      <c r="D1888" s="15">
        <f>IFERROR(__xludf.DUMMYFUNCTION("""COMPUTED_VALUE"""),1.001)</f>
        <v>1.001</v>
      </c>
      <c r="E1888" s="16">
        <f>IFERROR(__xludf.DUMMYFUNCTION("""COMPUTED_VALUE"""),65.0)</f>
        <v>65</v>
      </c>
      <c r="F1888" s="19" t="str">
        <f>IFERROR(__xludf.DUMMYFUNCTION("""COMPUTED_VALUE"""),"BLUE")</f>
        <v>BLUE</v>
      </c>
      <c r="G1888" s="20" t="str">
        <f>IFERROR(__xludf.DUMMYFUNCTION("""COMPUTED_VALUE"""),"Uncle Sams Cider (11/12/2021) (Blue)")</f>
        <v>Uncle Sams Cider (11/12/2021) (Blue)</v>
      </c>
      <c r="H1888" s="19"/>
    </row>
    <row r="1889">
      <c r="A1889" s="9"/>
      <c r="B1889" s="15"/>
      <c r="C1889" s="9">
        <f>IFERROR(__xludf.DUMMYFUNCTION("""COMPUTED_VALUE"""),44585.8750790972)</f>
        <v>44585.87508</v>
      </c>
      <c r="D1889" s="15">
        <f>IFERROR(__xludf.DUMMYFUNCTION("""COMPUTED_VALUE"""),1.001)</f>
        <v>1.001</v>
      </c>
      <c r="E1889" s="16">
        <f>IFERROR(__xludf.DUMMYFUNCTION("""COMPUTED_VALUE"""),65.0)</f>
        <v>65</v>
      </c>
      <c r="F1889" s="19" t="str">
        <f>IFERROR(__xludf.DUMMYFUNCTION("""COMPUTED_VALUE"""),"BLUE")</f>
        <v>BLUE</v>
      </c>
      <c r="G1889" s="20" t="str">
        <f>IFERROR(__xludf.DUMMYFUNCTION("""COMPUTED_VALUE"""),"Uncle Sams Cider (11/12/2021) (Blue)")</f>
        <v>Uncle Sams Cider (11/12/2021) (Blue)</v>
      </c>
      <c r="H1889" s="19"/>
    </row>
    <row r="1890">
      <c r="A1890" s="9"/>
      <c r="B1890" s="15"/>
      <c r="C1890" s="9">
        <f>IFERROR(__xludf.DUMMYFUNCTION("""COMPUTED_VALUE"""),44585.8646568981)</f>
        <v>44585.86466</v>
      </c>
      <c r="D1890" s="15">
        <f>IFERROR(__xludf.DUMMYFUNCTION("""COMPUTED_VALUE"""),1.001)</f>
        <v>1.001</v>
      </c>
      <c r="E1890" s="16">
        <f>IFERROR(__xludf.DUMMYFUNCTION("""COMPUTED_VALUE"""),65.0)</f>
        <v>65</v>
      </c>
      <c r="F1890" s="19" t="str">
        <f>IFERROR(__xludf.DUMMYFUNCTION("""COMPUTED_VALUE"""),"BLUE")</f>
        <v>BLUE</v>
      </c>
      <c r="G1890" s="20" t="str">
        <f>IFERROR(__xludf.DUMMYFUNCTION("""COMPUTED_VALUE"""),"Uncle Sams Cider (11/12/2021) (Blue)")</f>
        <v>Uncle Sams Cider (11/12/2021) (Blue)</v>
      </c>
      <c r="H1890" s="19"/>
    </row>
    <row r="1891">
      <c r="A1891" s="9"/>
      <c r="B1891" s="15"/>
      <c r="C1891" s="9">
        <f>IFERROR(__xludf.DUMMYFUNCTION("""COMPUTED_VALUE"""),44585.8542354166)</f>
        <v>44585.85424</v>
      </c>
      <c r="D1891" s="15">
        <f>IFERROR(__xludf.DUMMYFUNCTION("""COMPUTED_VALUE"""),1.001)</f>
        <v>1.001</v>
      </c>
      <c r="E1891" s="16">
        <f>IFERROR(__xludf.DUMMYFUNCTION("""COMPUTED_VALUE"""),65.0)</f>
        <v>65</v>
      </c>
      <c r="F1891" s="19" t="str">
        <f>IFERROR(__xludf.DUMMYFUNCTION("""COMPUTED_VALUE"""),"BLUE")</f>
        <v>BLUE</v>
      </c>
      <c r="G1891" s="20" t="str">
        <f>IFERROR(__xludf.DUMMYFUNCTION("""COMPUTED_VALUE"""),"Uncle Sams Cider (11/12/2021) (Blue)")</f>
        <v>Uncle Sams Cider (11/12/2021) (Blue)</v>
      </c>
      <c r="H1891" s="19"/>
    </row>
    <row r="1892">
      <c r="A1892" s="9"/>
      <c r="B1892" s="15"/>
      <c r="C1892" s="9">
        <f>IFERROR(__xludf.DUMMYFUNCTION("""COMPUTED_VALUE"""),44585.8438142013)</f>
        <v>44585.84381</v>
      </c>
      <c r="D1892" s="15">
        <f>IFERROR(__xludf.DUMMYFUNCTION("""COMPUTED_VALUE"""),1.001)</f>
        <v>1.001</v>
      </c>
      <c r="E1892" s="16">
        <f>IFERROR(__xludf.DUMMYFUNCTION("""COMPUTED_VALUE"""),65.0)</f>
        <v>65</v>
      </c>
      <c r="F1892" s="19" t="str">
        <f>IFERROR(__xludf.DUMMYFUNCTION("""COMPUTED_VALUE"""),"BLUE")</f>
        <v>BLUE</v>
      </c>
      <c r="G1892" s="20" t="str">
        <f>IFERROR(__xludf.DUMMYFUNCTION("""COMPUTED_VALUE"""),"Uncle Sams Cider (11/12/2021) (Blue)")</f>
        <v>Uncle Sams Cider (11/12/2021) (Blue)</v>
      </c>
      <c r="H1892" s="19"/>
    </row>
    <row r="1893">
      <c r="A1893" s="9"/>
      <c r="B1893" s="15"/>
      <c r="C1893" s="9">
        <f>IFERROR(__xludf.DUMMYFUNCTION("""COMPUTED_VALUE"""),44585.8333930208)</f>
        <v>44585.83339</v>
      </c>
      <c r="D1893" s="15">
        <f>IFERROR(__xludf.DUMMYFUNCTION("""COMPUTED_VALUE"""),1.001)</f>
        <v>1.001</v>
      </c>
      <c r="E1893" s="16">
        <f>IFERROR(__xludf.DUMMYFUNCTION("""COMPUTED_VALUE"""),66.0)</f>
        <v>66</v>
      </c>
      <c r="F1893" s="19" t="str">
        <f>IFERROR(__xludf.DUMMYFUNCTION("""COMPUTED_VALUE"""),"BLUE")</f>
        <v>BLUE</v>
      </c>
      <c r="G1893" s="20" t="str">
        <f>IFERROR(__xludf.DUMMYFUNCTION("""COMPUTED_VALUE"""),"Uncle Sams Cider (11/12/2021) (Blue)")</f>
        <v>Uncle Sams Cider (11/12/2021) (Blue)</v>
      </c>
      <c r="H1893" s="19"/>
    </row>
    <row r="1894">
      <c r="A1894" s="9"/>
      <c r="B1894" s="15"/>
      <c r="C1894" s="9">
        <f>IFERROR(__xludf.DUMMYFUNCTION("""COMPUTED_VALUE"""),44585.8229739467)</f>
        <v>44585.82297</v>
      </c>
      <c r="D1894" s="15">
        <f>IFERROR(__xludf.DUMMYFUNCTION("""COMPUTED_VALUE"""),1.001)</f>
        <v>1.001</v>
      </c>
      <c r="E1894" s="16">
        <f>IFERROR(__xludf.DUMMYFUNCTION("""COMPUTED_VALUE"""),66.0)</f>
        <v>66</v>
      </c>
      <c r="F1894" s="19" t="str">
        <f>IFERROR(__xludf.DUMMYFUNCTION("""COMPUTED_VALUE"""),"BLUE")</f>
        <v>BLUE</v>
      </c>
      <c r="G1894" s="20" t="str">
        <f>IFERROR(__xludf.DUMMYFUNCTION("""COMPUTED_VALUE"""),"Uncle Sams Cider (11/12/2021) (Blue)")</f>
        <v>Uncle Sams Cider (11/12/2021) (Blue)</v>
      </c>
      <c r="H1894" s="19"/>
    </row>
    <row r="1895">
      <c r="A1895" s="9"/>
      <c r="B1895" s="15"/>
      <c r="C1895" s="9">
        <f>IFERROR(__xludf.DUMMYFUNCTION("""COMPUTED_VALUE"""),44585.8125521412)</f>
        <v>44585.81255</v>
      </c>
      <c r="D1895" s="15">
        <f>IFERROR(__xludf.DUMMYFUNCTION("""COMPUTED_VALUE"""),1.0)</f>
        <v>1</v>
      </c>
      <c r="E1895" s="16">
        <f>IFERROR(__xludf.DUMMYFUNCTION("""COMPUTED_VALUE"""),66.0)</f>
        <v>66</v>
      </c>
      <c r="F1895" s="19" t="str">
        <f>IFERROR(__xludf.DUMMYFUNCTION("""COMPUTED_VALUE"""),"BLUE")</f>
        <v>BLUE</v>
      </c>
      <c r="G1895" s="20" t="str">
        <f>IFERROR(__xludf.DUMMYFUNCTION("""COMPUTED_VALUE"""),"Uncle Sams Cider (11/12/2021) (Blue)")</f>
        <v>Uncle Sams Cider (11/12/2021) (Blue)</v>
      </c>
      <c r="H1895" s="19"/>
    </row>
    <row r="1896">
      <c r="A1896" s="9"/>
      <c r="B1896" s="15"/>
      <c r="C1896" s="9">
        <f>IFERROR(__xludf.DUMMYFUNCTION("""COMPUTED_VALUE"""),44585.8021322222)</f>
        <v>44585.80213</v>
      </c>
      <c r="D1896" s="15">
        <f>IFERROR(__xludf.DUMMYFUNCTION("""COMPUTED_VALUE"""),1.001)</f>
        <v>1.001</v>
      </c>
      <c r="E1896" s="16">
        <f>IFERROR(__xludf.DUMMYFUNCTION("""COMPUTED_VALUE"""),66.0)</f>
        <v>66</v>
      </c>
      <c r="F1896" s="19" t="str">
        <f>IFERROR(__xludf.DUMMYFUNCTION("""COMPUTED_VALUE"""),"BLUE")</f>
        <v>BLUE</v>
      </c>
      <c r="G1896" s="20" t="str">
        <f>IFERROR(__xludf.DUMMYFUNCTION("""COMPUTED_VALUE"""),"Uncle Sams Cider (11/12/2021) (Blue)")</f>
        <v>Uncle Sams Cider (11/12/2021) (Blue)</v>
      </c>
      <c r="H1896" s="19"/>
    </row>
    <row r="1897">
      <c r="A1897" s="9"/>
      <c r="B1897" s="15"/>
      <c r="C1897" s="9">
        <f>IFERROR(__xludf.DUMMYFUNCTION("""COMPUTED_VALUE"""),44585.7917091087)</f>
        <v>44585.79171</v>
      </c>
      <c r="D1897" s="15">
        <f>IFERROR(__xludf.DUMMYFUNCTION("""COMPUTED_VALUE"""),1.001)</f>
        <v>1.001</v>
      </c>
      <c r="E1897" s="16">
        <f>IFERROR(__xludf.DUMMYFUNCTION("""COMPUTED_VALUE"""),66.0)</f>
        <v>66</v>
      </c>
      <c r="F1897" s="19" t="str">
        <f>IFERROR(__xludf.DUMMYFUNCTION("""COMPUTED_VALUE"""),"BLUE")</f>
        <v>BLUE</v>
      </c>
      <c r="G1897" s="20" t="str">
        <f>IFERROR(__xludf.DUMMYFUNCTION("""COMPUTED_VALUE"""),"Uncle Sams Cider (11/12/2021) (Blue)")</f>
        <v>Uncle Sams Cider (11/12/2021) (Blue)</v>
      </c>
      <c r="H1897" s="19"/>
    </row>
    <row r="1898">
      <c r="A1898" s="9"/>
      <c r="B1898" s="15"/>
      <c r="C1898" s="9">
        <f>IFERROR(__xludf.DUMMYFUNCTION("""COMPUTED_VALUE"""),44585.7812877314)</f>
        <v>44585.78129</v>
      </c>
      <c r="D1898" s="15">
        <f>IFERROR(__xludf.DUMMYFUNCTION("""COMPUTED_VALUE"""),1.001)</f>
        <v>1.001</v>
      </c>
      <c r="E1898" s="16">
        <f>IFERROR(__xludf.DUMMYFUNCTION("""COMPUTED_VALUE"""),66.0)</f>
        <v>66</v>
      </c>
      <c r="F1898" s="19" t="str">
        <f>IFERROR(__xludf.DUMMYFUNCTION("""COMPUTED_VALUE"""),"BLUE")</f>
        <v>BLUE</v>
      </c>
      <c r="G1898" s="20" t="str">
        <f>IFERROR(__xludf.DUMMYFUNCTION("""COMPUTED_VALUE"""),"Uncle Sams Cider (11/12/2021) (Blue)")</f>
        <v>Uncle Sams Cider (11/12/2021) (Blue)</v>
      </c>
      <c r="H1898" s="19"/>
    </row>
    <row r="1899">
      <c r="A1899" s="9"/>
      <c r="B1899" s="15"/>
      <c r="C1899" s="9">
        <f>IFERROR(__xludf.DUMMYFUNCTION("""COMPUTED_VALUE"""),44585.7708665972)</f>
        <v>44585.77087</v>
      </c>
      <c r="D1899" s="15">
        <f>IFERROR(__xludf.DUMMYFUNCTION("""COMPUTED_VALUE"""),1.001)</f>
        <v>1.001</v>
      </c>
      <c r="E1899" s="16">
        <f>IFERROR(__xludf.DUMMYFUNCTION("""COMPUTED_VALUE"""),66.0)</f>
        <v>66</v>
      </c>
      <c r="F1899" s="19" t="str">
        <f>IFERROR(__xludf.DUMMYFUNCTION("""COMPUTED_VALUE"""),"BLUE")</f>
        <v>BLUE</v>
      </c>
      <c r="G1899" s="20" t="str">
        <f>IFERROR(__xludf.DUMMYFUNCTION("""COMPUTED_VALUE"""),"Uncle Sams Cider (11/12/2021) (Blue)")</f>
        <v>Uncle Sams Cider (11/12/2021) (Blue)</v>
      </c>
      <c r="H1899" s="19"/>
    </row>
    <row r="1900">
      <c r="A1900" s="9"/>
      <c r="B1900" s="15"/>
      <c r="C1900" s="9">
        <f>IFERROR(__xludf.DUMMYFUNCTION("""COMPUTED_VALUE"""),44585.7604468518)</f>
        <v>44585.76045</v>
      </c>
      <c r="D1900" s="15">
        <f>IFERROR(__xludf.DUMMYFUNCTION("""COMPUTED_VALUE"""),1.001)</f>
        <v>1.001</v>
      </c>
      <c r="E1900" s="16">
        <f>IFERROR(__xludf.DUMMYFUNCTION("""COMPUTED_VALUE"""),66.0)</f>
        <v>66</v>
      </c>
      <c r="F1900" s="19" t="str">
        <f>IFERROR(__xludf.DUMMYFUNCTION("""COMPUTED_VALUE"""),"BLUE")</f>
        <v>BLUE</v>
      </c>
      <c r="G1900" s="20" t="str">
        <f>IFERROR(__xludf.DUMMYFUNCTION("""COMPUTED_VALUE"""),"Uncle Sams Cider (11/12/2021) (Blue)")</f>
        <v>Uncle Sams Cider (11/12/2021) (Blue)</v>
      </c>
      <c r="H1900" s="19"/>
    </row>
    <row r="1901">
      <c r="A1901" s="9"/>
      <c r="B1901" s="15"/>
      <c r="C1901" s="9">
        <f>IFERROR(__xludf.DUMMYFUNCTION("""COMPUTED_VALUE"""),44585.7500266203)</f>
        <v>44585.75003</v>
      </c>
      <c r="D1901" s="15">
        <f>IFERROR(__xludf.DUMMYFUNCTION("""COMPUTED_VALUE"""),1.001)</f>
        <v>1.001</v>
      </c>
      <c r="E1901" s="16">
        <f>IFERROR(__xludf.DUMMYFUNCTION("""COMPUTED_VALUE"""),66.0)</f>
        <v>66</v>
      </c>
      <c r="F1901" s="19" t="str">
        <f>IFERROR(__xludf.DUMMYFUNCTION("""COMPUTED_VALUE"""),"BLUE")</f>
        <v>BLUE</v>
      </c>
      <c r="G1901" s="20" t="str">
        <f>IFERROR(__xludf.DUMMYFUNCTION("""COMPUTED_VALUE"""),"Uncle Sams Cider (11/12/2021) (Blue)")</f>
        <v>Uncle Sams Cider (11/12/2021) (Blue)</v>
      </c>
      <c r="H1901" s="19"/>
    </row>
    <row r="1902">
      <c r="A1902" s="9"/>
      <c r="B1902" s="15"/>
      <c r="C1902" s="9">
        <f>IFERROR(__xludf.DUMMYFUNCTION("""COMPUTED_VALUE"""),44585.7396068634)</f>
        <v>44585.73961</v>
      </c>
      <c r="D1902" s="15">
        <f>IFERROR(__xludf.DUMMYFUNCTION("""COMPUTED_VALUE"""),1.001)</f>
        <v>1.001</v>
      </c>
      <c r="E1902" s="16">
        <f>IFERROR(__xludf.DUMMYFUNCTION("""COMPUTED_VALUE"""),66.0)</f>
        <v>66</v>
      </c>
      <c r="F1902" s="19" t="str">
        <f>IFERROR(__xludf.DUMMYFUNCTION("""COMPUTED_VALUE"""),"BLUE")</f>
        <v>BLUE</v>
      </c>
      <c r="G1902" s="20" t="str">
        <f>IFERROR(__xludf.DUMMYFUNCTION("""COMPUTED_VALUE"""),"Uncle Sams Cider (11/12/2021) (Blue)")</f>
        <v>Uncle Sams Cider (11/12/2021) (Blue)</v>
      </c>
      <c r="H1902" s="19"/>
    </row>
    <row r="1903">
      <c r="A1903" s="9"/>
      <c r="B1903" s="15"/>
      <c r="C1903" s="9">
        <f>IFERROR(__xludf.DUMMYFUNCTION("""COMPUTED_VALUE"""),44585.7291862962)</f>
        <v>44585.72919</v>
      </c>
      <c r="D1903" s="15">
        <f>IFERROR(__xludf.DUMMYFUNCTION("""COMPUTED_VALUE"""),1.001)</f>
        <v>1.001</v>
      </c>
      <c r="E1903" s="16">
        <f>IFERROR(__xludf.DUMMYFUNCTION("""COMPUTED_VALUE"""),66.0)</f>
        <v>66</v>
      </c>
      <c r="F1903" s="19" t="str">
        <f>IFERROR(__xludf.DUMMYFUNCTION("""COMPUTED_VALUE"""),"BLUE")</f>
        <v>BLUE</v>
      </c>
      <c r="G1903" s="20" t="str">
        <f>IFERROR(__xludf.DUMMYFUNCTION("""COMPUTED_VALUE"""),"Uncle Sams Cider (11/12/2021) (Blue)")</f>
        <v>Uncle Sams Cider (11/12/2021) (Blue)</v>
      </c>
      <c r="H1903" s="19"/>
    </row>
    <row r="1904">
      <c r="A1904" s="9"/>
      <c r="B1904" s="15"/>
      <c r="C1904" s="9">
        <f>IFERROR(__xludf.DUMMYFUNCTION("""COMPUTED_VALUE"""),44585.7187648379)</f>
        <v>44585.71876</v>
      </c>
      <c r="D1904" s="15">
        <f>IFERROR(__xludf.DUMMYFUNCTION("""COMPUTED_VALUE"""),1.001)</f>
        <v>1.001</v>
      </c>
      <c r="E1904" s="16">
        <f>IFERROR(__xludf.DUMMYFUNCTION("""COMPUTED_VALUE"""),66.0)</f>
        <v>66</v>
      </c>
      <c r="F1904" s="19" t="str">
        <f>IFERROR(__xludf.DUMMYFUNCTION("""COMPUTED_VALUE"""),"BLUE")</f>
        <v>BLUE</v>
      </c>
      <c r="G1904" s="20" t="str">
        <f>IFERROR(__xludf.DUMMYFUNCTION("""COMPUTED_VALUE"""),"Uncle Sams Cider (11/12/2021) (Blue)")</f>
        <v>Uncle Sams Cider (11/12/2021) (Blue)</v>
      </c>
      <c r="H1904" s="19"/>
    </row>
    <row r="1905">
      <c r="A1905" s="9"/>
      <c r="B1905" s="15"/>
      <c r="C1905" s="9">
        <f>IFERROR(__xludf.DUMMYFUNCTION("""COMPUTED_VALUE"""),44585.7083439814)</f>
        <v>44585.70834</v>
      </c>
      <c r="D1905" s="15">
        <f>IFERROR(__xludf.DUMMYFUNCTION("""COMPUTED_VALUE"""),1.001)</f>
        <v>1.001</v>
      </c>
      <c r="E1905" s="16">
        <f>IFERROR(__xludf.DUMMYFUNCTION("""COMPUTED_VALUE"""),66.0)</f>
        <v>66</v>
      </c>
      <c r="F1905" s="19" t="str">
        <f>IFERROR(__xludf.DUMMYFUNCTION("""COMPUTED_VALUE"""),"BLUE")</f>
        <v>BLUE</v>
      </c>
      <c r="G1905" s="20" t="str">
        <f>IFERROR(__xludf.DUMMYFUNCTION("""COMPUTED_VALUE"""),"Uncle Sams Cider (11/12/2021) (Blue)")</f>
        <v>Uncle Sams Cider (11/12/2021) (Blue)</v>
      </c>
      <c r="H1905" s="19"/>
    </row>
    <row r="1906">
      <c r="A1906" s="9"/>
      <c r="B1906" s="15"/>
      <c r="C1906" s="9">
        <f>IFERROR(__xludf.DUMMYFUNCTION("""COMPUTED_VALUE"""),44585.6979231018)</f>
        <v>44585.69792</v>
      </c>
      <c r="D1906" s="15">
        <f>IFERROR(__xludf.DUMMYFUNCTION("""COMPUTED_VALUE"""),1.001)</f>
        <v>1.001</v>
      </c>
      <c r="E1906" s="16">
        <f>IFERROR(__xludf.DUMMYFUNCTION("""COMPUTED_VALUE"""),66.0)</f>
        <v>66</v>
      </c>
      <c r="F1906" s="19" t="str">
        <f>IFERROR(__xludf.DUMMYFUNCTION("""COMPUTED_VALUE"""),"BLUE")</f>
        <v>BLUE</v>
      </c>
      <c r="G1906" s="20" t="str">
        <f>IFERROR(__xludf.DUMMYFUNCTION("""COMPUTED_VALUE"""),"Uncle Sams Cider (11/12/2021) (Blue)")</f>
        <v>Uncle Sams Cider (11/12/2021) (Blue)</v>
      </c>
      <c r="H1906" s="19"/>
    </row>
    <row r="1907">
      <c r="A1907" s="9"/>
      <c r="B1907" s="15"/>
      <c r="C1907" s="9">
        <f>IFERROR(__xludf.DUMMYFUNCTION("""COMPUTED_VALUE"""),44585.6875018865)</f>
        <v>44585.6875</v>
      </c>
      <c r="D1907" s="15">
        <f>IFERROR(__xludf.DUMMYFUNCTION("""COMPUTED_VALUE"""),1.001)</f>
        <v>1.001</v>
      </c>
      <c r="E1907" s="16">
        <f>IFERROR(__xludf.DUMMYFUNCTION("""COMPUTED_VALUE"""),66.0)</f>
        <v>66</v>
      </c>
      <c r="F1907" s="19" t="str">
        <f>IFERROR(__xludf.DUMMYFUNCTION("""COMPUTED_VALUE"""),"BLUE")</f>
        <v>BLUE</v>
      </c>
      <c r="G1907" s="20" t="str">
        <f>IFERROR(__xludf.DUMMYFUNCTION("""COMPUTED_VALUE"""),"Uncle Sams Cider (11/12/2021) (Blue)")</f>
        <v>Uncle Sams Cider (11/12/2021) (Blue)</v>
      </c>
      <c r="H1907" s="19"/>
    </row>
    <row r="1908">
      <c r="A1908" s="9"/>
      <c r="B1908" s="15"/>
      <c r="C1908" s="9">
        <f>IFERROR(__xludf.DUMMYFUNCTION("""COMPUTED_VALUE"""),44585.6770810763)</f>
        <v>44585.67708</v>
      </c>
      <c r="D1908" s="15">
        <f>IFERROR(__xludf.DUMMYFUNCTION("""COMPUTED_VALUE"""),1.001)</f>
        <v>1.001</v>
      </c>
      <c r="E1908" s="16">
        <f>IFERROR(__xludf.DUMMYFUNCTION("""COMPUTED_VALUE"""),66.0)</f>
        <v>66</v>
      </c>
      <c r="F1908" s="19" t="str">
        <f>IFERROR(__xludf.DUMMYFUNCTION("""COMPUTED_VALUE"""),"BLUE")</f>
        <v>BLUE</v>
      </c>
      <c r="G1908" s="20" t="str">
        <f>IFERROR(__xludf.DUMMYFUNCTION("""COMPUTED_VALUE"""),"Uncle Sams Cider (11/12/2021) (Blue)")</f>
        <v>Uncle Sams Cider (11/12/2021) (Blue)</v>
      </c>
      <c r="H1908" s="19"/>
    </row>
    <row r="1909">
      <c r="A1909" s="9"/>
      <c r="B1909" s="15"/>
      <c r="C1909" s="9">
        <f>IFERROR(__xludf.DUMMYFUNCTION("""COMPUTED_VALUE"""),44585.6666595254)</f>
        <v>44585.66666</v>
      </c>
      <c r="D1909" s="15">
        <f>IFERROR(__xludf.DUMMYFUNCTION("""COMPUTED_VALUE"""),1.001)</f>
        <v>1.001</v>
      </c>
      <c r="E1909" s="16">
        <f>IFERROR(__xludf.DUMMYFUNCTION("""COMPUTED_VALUE"""),66.0)</f>
        <v>66</v>
      </c>
      <c r="F1909" s="19" t="str">
        <f>IFERROR(__xludf.DUMMYFUNCTION("""COMPUTED_VALUE"""),"BLUE")</f>
        <v>BLUE</v>
      </c>
      <c r="G1909" s="20" t="str">
        <f>IFERROR(__xludf.DUMMYFUNCTION("""COMPUTED_VALUE"""),"Uncle Sams Cider (11/12/2021) (Blue)")</f>
        <v>Uncle Sams Cider (11/12/2021) (Blue)</v>
      </c>
      <c r="H1909" s="19"/>
    </row>
    <row r="1910">
      <c r="A1910" s="9"/>
      <c r="B1910" s="15"/>
      <c r="C1910" s="9">
        <f>IFERROR(__xludf.DUMMYFUNCTION("""COMPUTED_VALUE"""),44585.6562377893)</f>
        <v>44585.65624</v>
      </c>
      <c r="D1910" s="15">
        <f>IFERROR(__xludf.DUMMYFUNCTION("""COMPUTED_VALUE"""),1.0)</f>
        <v>1</v>
      </c>
      <c r="E1910" s="16">
        <f>IFERROR(__xludf.DUMMYFUNCTION("""COMPUTED_VALUE"""),66.0)</f>
        <v>66</v>
      </c>
      <c r="F1910" s="19" t="str">
        <f>IFERROR(__xludf.DUMMYFUNCTION("""COMPUTED_VALUE"""),"BLUE")</f>
        <v>BLUE</v>
      </c>
      <c r="G1910" s="20" t="str">
        <f>IFERROR(__xludf.DUMMYFUNCTION("""COMPUTED_VALUE"""),"Uncle Sams Cider (11/12/2021) (Blue)")</f>
        <v>Uncle Sams Cider (11/12/2021) (Blue)</v>
      </c>
      <c r="H1910" s="19"/>
    </row>
    <row r="1911">
      <c r="A1911" s="9"/>
      <c r="B1911" s="15"/>
      <c r="C1911" s="9">
        <f>IFERROR(__xludf.DUMMYFUNCTION("""COMPUTED_VALUE"""),44585.6458168171)</f>
        <v>44585.64582</v>
      </c>
      <c r="D1911" s="15">
        <f>IFERROR(__xludf.DUMMYFUNCTION("""COMPUTED_VALUE"""),1.001)</f>
        <v>1.001</v>
      </c>
      <c r="E1911" s="16">
        <f>IFERROR(__xludf.DUMMYFUNCTION("""COMPUTED_VALUE"""),66.0)</f>
        <v>66</v>
      </c>
      <c r="F1911" s="19" t="str">
        <f>IFERROR(__xludf.DUMMYFUNCTION("""COMPUTED_VALUE"""),"BLUE")</f>
        <v>BLUE</v>
      </c>
      <c r="G1911" s="20" t="str">
        <f>IFERROR(__xludf.DUMMYFUNCTION("""COMPUTED_VALUE"""),"Uncle Sams Cider (11/12/2021) (Blue)")</f>
        <v>Uncle Sams Cider (11/12/2021) (Blue)</v>
      </c>
      <c r="H1911" s="19"/>
    </row>
    <row r="1912">
      <c r="A1912" s="9"/>
      <c r="B1912" s="15"/>
      <c r="C1912" s="9">
        <f>IFERROR(__xludf.DUMMYFUNCTION("""COMPUTED_VALUE"""),44585.6353971412)</f>
        <v>44585.6354</v>
      </c>
      <c r="D1912" s="15">
        <f>IFERROR(__xludf.DUMMYFUNCTION("""COMPUTED_VALUE"""),1.0)</f>
        <v>1</v>
      </c>
      <c r="E1912" s="16">
        <f>IFERROR(__xludf.DUMMYFUNCTION("""COMPUTED_VALUE"""),66.0)</f>
        <v>66</v>
      </c>
      <c r="F1912" s="19" t="str">
        <f>IFERROR(__xludf.DUMMYFUNCTION("""COMPUTED_VALUE"""),"BLUE")</f>
        <v>BLUE</v>
      </c>
      <c r="G1912" s="20" t="str">
        <f>IFERROR(__xludf.DUMMYFUNCTION("""COMPUTED_VALUE"""),"Uncle Sams Cider (11/12/2021) (Blue)")</f>
        <v>Uncle Sams Cider (11/12/2021) (Blue)</v>
      </c>
      <c r="H1912" s="19"/>
    </row>
    <row r="1913">
      <c r="A1913" s="9"/>
      <c r="B1913" s="15"/>
      <c r="C1913" s="9">
        <f>IFERROR(__xludf.DUMMYFUNCTION("""COMPUTED_VALUE"""),44585.6249776273)</f>
        <v>44585.62498</v>
      </c>
      <c r="D1913" s="15">
        <f>IFERROR(__xludf.DUMMYFUNCTION("""COMPUTED_VALUE"""),1.001)</f>
        <v>1.001</v>
      </c>
      <c r="E1913" s="16">
        <f>IFERROR(__xludf.DUMMYFUNCTION("""COMPUTED_VALUE"""),66.0)</f>
        <v>66</v>
      </c>
      <c r="F1913" s="19" t="str">
        <f>IFERROR(__xludf.DUMMYFUNCTION("""COMPUTED_VALUE"""),"BLUE")</f>
        <v>BLUE</v>
      </c>
      <c r="G1913" s="20" t="str">
        <f>IFERROR(__xludf.DUMMYFUNCTION("""COMPUTED_VALUE"""),"Uncle Sams Cider (11/12/2021) (Blue)")</f>
        <v>Uncle Sams Cider (11/12/2021) (Blue)</v>
      </c>
      <c r="H1913" s="19"/>
    </row>
    <row r="1914">
      <c r="A1914" s="9"/>
      <c r="B1914" s="15"/>
      <c r="C1914" s="9">
        <f>IFERROR(__xludf.DUMMYFUNCTION("""COMPUTED_VALUE"""),44585.6145568055)</f>
        <v>44585.61456</v>
      </c>
      <c r="D1914" s="15">
        <f>IFERROR(__xludf.DUMMYFUNCTION("""COMPUTED_VALUE"""),1.001)</f>
        <v>1.001</v>
      </c>
      <c r="E1914" s="16">
        <f>IFERROR(__xludf.DUMMYFUNCTION("""COMPUTED_VALUE"""),66.0)</f>
        <v>66</v>
      </c>
      <c r="F1914" s="19" t="str">
        <f>IFERROR(__xludf.DUMMYFUNCTION("""COMPUTED_VALUE"""),"BLUE")</f>
        <v>BLUE</v>
      </c>
      <c r="G1914" s="20" t="str">
        <f>IFERROR(__xludf.DUMMYFUNCTION("""COMPUTED_VALUE"""),"Uncle Sams Cider (11/12/2021) (Blue)")</f>
        <v>Uncle Sams Cider (11/12/2021) (Blue)</v>
      </c>
      <c r="H1914" s="19"/>
    </row>
    <row r="1915">
      <c r="A1915" s="9"/>
      <c r="B1915" s="15"/>
      <c r="C1915" s="9">
        <f>IFERROR(__xludf.DUMMYFUNCTION("""COMPUTED_VALUE"""),44585.6041348726)</f>
        <v>44585.60413</v>
      </c>
      <c r="D1915" s="15">
        <f>IFERROR(__xludf.DUMMYFUNCTION("""COMPUTED_VALUE"""),1.001)</f>
        <v>1.001</v>
      </c>
      <c r="E1915" s="16">
        <f>IFERROR(__xludf.DUMMYFUNCTION("""COMPUTED_VALUE"""),66.0)</f>
        <v>66</v>
      </c>
      <c r="F1915" s="19" t="str">
        <f>IFERROR(__xludf.DUMMYFUNCTION("""COMPUTED_VALUE"""),"BLUE")</f>
        <v>BLUE</v>
      </c>
      <c r="G1915" s="20" t="str">
        <f>IFERROR(__xludf.DUMMYFUNCTION("""COMPUTED_VALUE"""),"Uncle Sams Cider (11/12/2021) (Blue)")</f>
        <v>Uncle Sams Cider (11/12/2021) (Blue)</v>
      </c>
      <c r="H1915" s="19"/>
    </row>
    <row r="1916">
      <c r="A1916" s="9"/>
      <c r="B1916" s="15"/>
      <c r="C1916" s="9">
        <f>IFERROR(__xludf.DUMMYFUNCTION("""COMPUTED_VALUE"""),44585.5937158564)</f>
        <v>44585.59372</v>
      </c>
      <c r="D1916" s="15">
        <f>IFERROR(__xludf.DUMMYFUNCTION("""COMPUTED_VALUE"""),1.001)</f>
        <v>1.001</v>
      </c>
      <c r="E1916" s="16">
        <f>IFERROR(__xludf.DUMMYFUNCTION("""COMPUTED_VALUE"""),66.0)</f>
        <v>66</v>
      </c>
      <c r="F1916" s="19" t="str">
        <f>IFERROR(__xludf.DUMMYFUNCTION("""COMPUTED_VALUE"""),"BLUE")</f>
        <v>BLUE</v>
      </c>
      <c r="G1916" s="20" t="str">
        <f>IFERROR(__xludf.DUMMYFUNCTION("""COMPUTED_VALUE"""),"Uncle Sams Cider (11/12/2021) (Blue)")</f>
        <v>Uncle Sams Cider (11/12/2021) (Blue)</v>
      </c>
      <c r="H1916" s="19"/>
    </row>
    <row r="1917">
      <c r="A1917" s="9"/>
      <c r="B1917" s="15"/>
      <c r="C1917" s="9">
        <f>IFERROR(__xludf.DUMMYFUNCTION("""COMPUTED_VALUE"""),44585.5832946412)</f>
        <v>44585.58329</v>
      </c>
      <c r="D1917" s="15">
        <f>IFERROR(__xludf.DUMMYFUNCTION("""COMPUTED_VALUE"""),1.001)</f>
        <v>1.001</v>
      </c>
      <c r="E1917" s="16">
        <f>IFERROR(__xludf.DUMMYFUNCTION("""COMPUTED_VALUE"""),67.0)</f>
        <v>67</v>
      </c>
      <c r="F1917" s="19" t="str">
        <f>IFERROR(__xludf.DUMMYFUNCTION("""COMPUTED_VALUE"""),"BLUE")</f>
        <v>BLUE</v>
      </c>
      <c r="G1917" s="20" t="str">
        <f>IFERROR(__xludf.DUMMYFUNCTION("""COMPUTED_VALUE"""),"Uncle Sams Cider (11/12/2021) (Blue)")</f>
        <v>Uncle Sams Cider (11/12/2021) (Blue)</v>
      </c>
      <c r="H1917" s="19"/>
    </row>
    <row r="1918">
      <c r="A1918" s="9"/>
      <c r="B1918" s="15"/>
      <c r="C1918" s="9">
        <f>IFERROR(__xludf.DUMMYFUNCTION("""COMPUTED_VALUE"""),44585.5728749884)</f>
        <v>44585.57287</v>
      </c>
      <c r="D1918" s="15">
        <f>IFERROR(__xludf.DUMMYFUNCTION("""COMPUTED_VALUE"""),1.001)</f>
        <v>1.001</v>
      </c>
      <c r="E1918" s="16">
        <f>IFERROR(__xludf.DUMMYFUNCTION("""COMPUTED_VALUE"""),67.0)</f>
        <v>67</v>
      </c>
      <c r="F1918" s="19" t="str">
        <f>IFERROR(__xludf.DUMMYFUNCTION("""COMPUTED_VALUE"""),"BLUE")</f>
        <v>BLUE</v>
      </c>
      <c r="G1918" s="20" t="str">
        <f>IFERROR(__xludf.DUMMYFUNCTION("""COMPUTED_VALUE"""),"Uncle Sams Cider (11/12/2021) (Blue)")</f>
        <v>Uncle Sams Cider (11/12/2021) (Blue)</v>
      </c>
      <c r="H1918" s="19"/>
    </row>
    <row r="1919">
      <c r="A1919" s="9"/>
      <c r="B1919" s="15"/>
      <c r="C1919" s="9">
        <f>IFERROR(__xludf.DUMMYFUNCTION("""COMPUTED_VALUE"""),44585.562441574)</f>
        <v>44585.56244</v>
      </c>
      <c r="D1919" s="15">
        <f>IFERROR(__xludf.DUMMYFUNCTION("""COMPUTED_VALUE"""),1.001)</f>
        <v>1.001</v>
      </c>
      <c r="E1919" s="16">
        <f>IFERROR(__xludf.DUMMYFUNCTION("""COMPUTED_VALUE"""),67.0)</f>
        <v>67</v>
      </c>
      <c r="F1919" s="19" t="str">
        <f>IFERROR(__xludf.DUMMYFUNCTION("""COMPUTED_VALUE"""),"BLUE")</f>
        <v>BLUE</v>
      </c>
      <c r="G1919" s="20" t="str">
        <f>IFERROR(__xludf.DUMMYFUNCTION("""COMPUTED_VALUE"""),"Uncle Sams Cider (11/12/2021) (Blue)")</f>
        <v>Uncle Sams Cider (11/12/2021) (Blue)</v>
      </c>
      <c r="H1919" s="19"/>
    </row>
    <row r="1920">
      <c r="A1920" s="9"/>
      <c r="B1920" s="15"/>
      <c r="C1920" s="9">
        <f>IFERROR(__xludf.DUMMYFUNCTION("""COMPUTED_VALUE"""),44585.5520085879)</f>
        <v>44585.55201</v>
      </c>
      <c r="D1920" s="15">
        <f>IFERROR(__xludf.DUMMYFUNCTION("""COMPUTED_VALUE"""),1.001)</f>
        <v>1.001</v>
      </c>
      <c r="E1920" s="16">
        <f>IFERROR(__xludf.DUMMYFUNCTION("""COMPUTED_VALUE"""),67.0)</f>
        <v>67</v>
      </c>
      <c r="F1920" s="19" t="str">
        <f>IFERROR(__xludf.DUMMYFUNCTION("""COMPUTED_VALUE"""),"BLUE")</f>
        <v>BLUE</v>
      </c>
      <c r="G1920" s="20" t="str">
        <f>IFERROR(__xludf.DUMMYFUNCTION("""COMPUTED_VALUE"""),"Uncle Sams Cider (11/12/2021) (Blue)")</f>
        <v>Uncle Sams Cider (11/12/2021) (Blue)</v>
      </c>
      <c r="H1920" s="19"/>
    </row>
    <row r="1921">
      <c r="A1921" s="9"/>
      <c r="B1921" s="15"/>
      <c r="C1921" s="9">
        <f>IFERROR(__xludf.DUMMYFUNCTION("""COMPUTED_VALUE"""),44585.5415881481)</f>
        <v>44585.54159</v>
      </c>
      <c r="D1921" s="15">
        <f>IFERROR(__xludf.DUMMYFUNCTION("""COMPUTED_VALUE"""),1.001)</f>
        <v>1.001</v>
      </c>
      <c r="E1921" s="16">
        <f>IFERROR(__xludf.DUMMYFUNCTION("""COMPUTED_VALUE"""),67.0)</f>
        <v>67</v>
      </c>
      <c r="F1921" s="19" t="str">
        <f>IFERROR(__xludf.DUMMYFUNCTION("""COMPUTED_VALUE"""),"BLUE")</f>
        <v>BLUE</v>
      </c>
      <c r="G1921" s="20" t="str">
        <f>IFERROR(__xludf.DUMMYFUNCTION("""COMPUTED_VALUE"""),"Uncle Sams Cider (11/12/2021) (Blue)")</f>
        <v>Uncle Sams Cider (11/12/2021) (Blue)</v>
      </c>
      <c r="H1921" s="19"/>
    </row>
    <row r="1922">
      <c r="A1922" s="9"/>
      <c r="B1922" s="15"/>
      <c r="C1922" s="9">
        <f>IFERROR(__xludf.DUMMYFUNCTION("""COMPUTED_VALUE"""),44585.531154618)</f>
        <v>44585.53115</v>
      </c>
      <c r="D1922" s="15">
        <f>IFERROR(__xludf.DUMMYFUNCTION("""COMPUTED_VALUE"""),1.001)</f>
        <v>1.001</v>
      </c>
      <c r="E1922" s="16">
        <f>IFERROR(__xludf.DUMMYFUNCTION("""COMPUTED_VALUE"""),67.0)</f>
        <v>67</v>
      </c>
      <c r="F1922" s="19" t="str">
        <f>IFERROR(__xludf.DUMMYFUNCTION("""COMPUTED_VALUE"""),"BLUE")</f>
        <v>BLUE</v>
      </c>
      <c r="G1922" s="20" t="str">
        <f>IFERROR(__xludf.DUMMYFUNCTION("""COMPUTED_VALUE"""),"Uncle Sams Cider (11/12/2021) (Blue)")</f>
        <v>Uncle Sams Cider (11/12/2021) (Blue)</v>
      </c>
      <c r="H1922" s="19"/>
    </row>
    <row r="1923">
      <c r="A1923" s="9"/>
      <c r="B1923" s="15"/>
      <c r="C1923" s="9">
        <f>IFERROR(__xludf.DUMMYFUNCTION("""COMPUTED_VALUE"""),44585.5207325)</f>
        <v>44585.52073</v>
      </c>
      <c r="D1923" s="15">
        <f>IFERROR(__xludf.DUMMYFUNCTION("""COMPUTED_VALUE"""),1.001)</f>
        <v>1.001</v>
      </c>
      <c r="E1923" s="16">
        <f>IFERROR(__xludf.DUMMYFUNCTION("""COMPUTED_VALUE"""),67.0)</f>
        <v>67</v>
      </c>
      <c r="F1923" s="19" t="str">
        <f>IFERROR(__xludf.DUMMYFUNCTION("""COMPUTED_VALUE"""),"BLUE")</f>
        <v>BLUE</v>
      </c>
      <c r="G1923" s="20" t="str">
        <f>IFERROR(__xludf.DUMMYFUNCTION("""COMPUTED_VALUE"""),"Uncle Sams Cider (11/12/2021) (Blue)")</f>
        <v>Uncle Sams Cider (11/12/2021) (Blue)</v>
      </c>
      <c r="H1923" s="19"/>
    </row>
    <row r="1924">
      <c r="A1924" s="9"/>
      <c r="B1924" s="15"/>
      <c r="C1924" s="9">
        <f>IFERROR(__xludf.DUMMYFUNCTION("""COMPUTED_VALUE"""),44585.5103099189)</f>
        <v>44585.51031</v>
      </c>
      <c r="D1924" s="15">
        <f>IFERROR(__xludf.DUMMYFUNCTION("""COMPUTED_VALUE"""),1.001)</f>
        <v>1.001</v>
      </c>
      <c r="E1924" s="16">
        <f>IFERROR(__xludf.DUMMYFUNCTION("""COMPUTED_VALUE"""),67.0)</f>
        <v>67</v>
      </c>
      <c r="F1924" s="19" t="str">
        <f>IFERROR(__xludf.DUMMYFUNCTION("""COMPUTED_VALUE"""),"BLUE")</f>
        <v>BLUE</v>
      </c>
      <c r="G1924" s="20" t="str">
        <f>IFERROR(__xludf.DUMMYFUNCTION("""COMPUTED_VALUE"""),"Uncle Sams Cider (11/12/2021) (Blue)")</f>
        <v>Uncle Sams Cider (11/12/2021) (Blue)</v>
      </c>
      <c r="H1924" s="19"/>
    </row>
    <row r="1925">
      <c r="A1925" s="9"/>
      <c r="B1925" s="15"/>
      <c r="C1925" s="9">
        <f>IFERROR(__xludf.DUMMYFUNCTION("""COMPUTED_VALUE"""),44585.4998895601)</f>
        <v>44585.49989</v>
      </c>
      <c r="D1925" s="15">
        <f>IFERROR(__xludf.DUMMYFUNCTION("""COMPUTED_VALUE"""),1.001)</f>
        <v>1.001</v>
      </c>
      <c r="E1925" s="16">
        <f>IFERROR(__xludf.DUMMYFUNCTION("""COMPUTED_VALUE"""),67.0)</f>
        <v>67</v>
      </c>
      <c r="F1925" s="19" t="str">
        <f>IFERROR(__xludf.DUMMYFUNCTION("""COMPUTED_VALUE"""),"BLUE")</f>
        <v>BLUE</v>
      </c>
      <c r="G1925" s="20" t="str">
        <f>IFERROR(__xludf.DUMMYFUNCTION("""COMPUTED_VALUE"""),"Uncle Sams Cider (11/12/2021) (Blue)")</f>
        <v>Uncle Sams Cider (11/12/2021) (Blue)</v>
      </c>
      <c r="H1925" s="19"/>
    </row>
    <row r="1926">
      <c r="A1926" s="9"/>
      <c r="B1926" s="15"/>
      <c r="C1926" s="9">
        <f>IFERROR(__xludf.DUMMYFUNCTION("""COMPUTED_VALUE"""),44585.489456493)</f>
        <v>44585.48946</v>
      </c>
      <c r="D1926" s="15">
        <f>IFERROR(__xludf.DUMMYFUNCTION("""COMPUTED_VALUE"""),1.001)</f>
        <v>1.001</v>
      </c>
      <c r="E1926" s="16">
        <f>IFERROR(__xludf.DUMMYFUNCTION("""COMPUTED_VALUE"""),67.0)</f>
        <v>67</v>
      </c>
      <c r="F1926" s="19" t="str">
        <f>IFERROR(__xludf.DUMMYFUNCTION("""COMPUTED_VALUE"""),"BLUE")</f>
        <v>BLUE</v>
      </c>
      <c r="G1926" s="20" t="str">
        <f>IFERROR(__xludf.DUMMYFUNCTION("""COMPUTED_VALUE"""),"Uncle Sams Cider (11/12/2021) (Blue)")</f>
        <v>Uncle Sams Cider (11/12/2021) (Blue)</v>
      </c>
      <c r="H1926" s="19"/>
    </row>
    <row r="1927">
      <c r="A1927" s="9"/>
      <c r="B1927" s="15"/>
      <c r="C1927" s="9">
        <f>IFERROR(__xludf.DUMMYFUNCTION("""COMPUTED_VALUE"""),44585.4790225462)</f>
        <v>44585.47902</v>
      </c>
      <c r="D1927" s="15">
        <f>IFERROR(__xludf.DUMMYFUNCTION("""COMPUTED_VALUE"""),1.001)</f>
        <v>1.001</v>
      </c>
      <c r="E1927" s="16">
        <f>IFERROR(__xludf.DUMMYFUNCTION("""COMPUTED_VALUE"""),67.0)</f>
        <v>67</v>
      </c>
      <c r="F1927" s="19" t="str">
        <f>IFERROR(__xludf.DUMMYFUNCTION("""COMPUTED_VALUE"""),"BLUE")</f>
        <v>BLUE</v>
      </c>
      <c r="G1927" s="20" t="str">
        <f>IFERROR(__xludf.DUMMYFUNCTION("""COMPUTED_VALUE"""),"Uncle Sams Cider (11/12/2021) (Blue)")</f>
        <v>Uncle Sams Cider (11/12/2021) (Blue)</v>
      </c>
      <c r="H1927" s="19"/>
    </row>
    <row r="1928">
      <c r="A1928" s="9"/>
      <c r="B1928" s="15"/>
      <c r="C1928" s="9">
        <f>IFERROR(__xludf.DUMMYFUNCTION("""COMPUTED_VALUE"""),44585.4686002893)</f>
        <v>44585.4686</v>
      </c>
      <c r="D1928" s="15">
        <f>IFERROR(__xludf.DUMMYFUNCTION("""COMPUTED_VALUE"""),1.001)</f>
        <v>1.001</v>
      </c>
      <c r="E1928" s="16">
        <f>IFERROR(__xludf.DUMMYFUNCTION("""COMPUTED_VALUE"""),67.0)</f>
        <v>67</v>
      </c>
      <c r="F1928" s="19" t="str">
        <f>IFERROR(__xludf.DUMMYFUNCTION("""COMPUTED_VALUE"""),"BLUE")</f>
        <v>BLUE</v>
      </c>
      <c r="G1928" s="20" t="str">
        <f>IFERROR(__xludf.DUMMYFUNCTION("""COMPUTED_VALUE"""),"Uncle Sams Cider (11/12/2021) (Blue)")</f>
        <v>Uncle Sams Cider (11/12/2021) (Blue)</v>
      </c>
      <c r="H1928" s="19"/>
    </row>
    <row r="1929">
      <c r="A1929" s="9"/>
      <c r="B1929" s="15"/>
      <c r="C1929" s="9">
        <f>IFERROR(__xludf.DUMMYFUNCTION("""COMPUTED_VALUE"""),44585.4581803472)</f>
        <v>44585.45818</v>
      </c>
      <c r="D1929" s="15">
        <f>IFERROR(__xludf.DUMMYFUNCTION("""COMPUTED_VALUE"""),1.001)</f>
        <v>1.001</v>
      </c>
      <c r="E1929" s="16">
        <f>IFERROR(__xludf.DUMMYFUNCTION("""COMPUTED_VALUE"""),67.0)</f>
        <v>67</v>
      </c>
      <c r="F1929" s="19" t="str">
        <f>IFERROR(__xludf.DUMMYFUNCTION("""COMPUTED_VALUE"""),"BLUE")</f>
        <v>BLUE</v>
      </c>
      <c r="G1929" s="20" t="str">
        <f>IFERROR(__xludf.DUMMYFUNCTION("""COMPUTED_VALUE"""),"Uncle Sams Cider (11/12/2021) (Blue)")</f>
        <v>Uncle Sams Cider (11/12/2021) (Blue)</v>
      </c>
      <c r="H1929" s="19"/>
    </row>
    <row r="1930">
      <c r="A1930" s="9"/>
      <c r="B1930" s="15"/>
      <c r="C1930" s="9">
        <f>IFERROR(__xludf.DUMMYFUNCTION("""COMPUTED_VALUE"""),44585.44776)</f>
        <v>44585.44776</v>
      </c>
      <c r="D1930" s="15">
        <f>IFERROR(__xludf.DUMMYFUNCTION("""COMPUTED_VALUE"""),1.001)</f>
        <v>1.001</v>
      </c>
      <c r="E1930" s="16">
        <f>IFERROR(__xludf.DUMMYFUNCTION("""COMPUTED_VALUE"""),67.0)</f>
        <v>67</v>
      </c>
      <c r="F1930" s="19" t="str">
        <f>IFERROR(__xludf.DUMMYFUNCTION("""COMPUTED_VALUE"""),"BLUE")</f>
        <v>BLUE</v>
      </c>
      <c r="G1930" s="20" t="str">
        <f>IFERROR(__xludf.DUMMYFUNCTION("""COMPUTED_VALUE"""),"Uncle Sams Cider (11/12/2021) (Blue)")</f>
        <v>Uncle Sams Cider (11/12/2021) (Blue)</v>
      </c>
      <c r="H1930" s="19"/>
    </row>
    <row r="1931">
      <c r="A1931" s="9"/>
      <c r="B1931" s="15"/>
      <c r="C1931" s="9">
        <f>IFERROR(__xludf.DUMMYFUNCTION("""COMPUTED_VALUE"""),44585.4373400231)</f>
        <v>44585.43734</v>
      </c>
      <c r="D1931" s="15">
        <f>IFERROR(__xludf.DUMMYFUNCTION("""COMPUTED_VALUE"""),1.001)</f>
        <v>1.001</v>
      </c>
      <c r="E1931" s="16">
        <f>IFERROR(__xludf.DUMMYFUNCTION("""COMPUTED_VALUE"""),67.0)</f>
        <v>67</v>
      </c>
      <c r="F1931" s="19" t="str">
        <f>IFERROR(__xludf.DUMMYFUNCTION("""COMPUTED_VALUE"""),"BLUE")</f>
        <v>BLUE</v>
      </c>
      <c r="G1931" s="20" t="str">
        <f>IFERROR(__xludf.DUMMYFUNCTION("""COMPUTED_VALUE"""),"Uncle Sams Cider (11/12/2021) (Blue)")</f>
        <v>Uncle Sams Cider (11/12/2021) (Blue)</v>
      </c>
      <c r="H1931" s="19"/>
    </row>
    <row r="1932">
      <c r="A1932" s="9"/>
      <c r="B1932" s="15"/>
      <c r="C1932" s="9">
        <f>IFERROR(__xludf.DUMMYFUNCTION("""COMPUTED_VALUE"""),44585.4269191319)</f>
        <v>44585.42692</v>
      </c>
      <c r="D1932" s="15">
        <f>IFERROR(__xludf.DUMMYFUNCTION("""COMPUTED_VALUE"""),1.001)</f>
        <v>1.001</v>
      </c>
      <c r="E1932" s="16">
        <f>IFERROR(__xludf.DUMMYFUNCTION("""COMPUTED_VALUE"""),67.0)</f>
        <v>67</v>
      </c>
      <c r="F1932" s="19" t="str">
        <f>IFERROR(__xludf.DUMMYFUNCTION("""COMPUTED_VALUE"""),"BLUE")</f>
        <v>BLUE</v>
      </c>
      <c r="G1932" s="20" t="str">
        <f>IFERROR(__xludf.DUMMYFUNCTION("""COMPUTED_VALUE"""),"Uncle Sams Cider (11/12/2021) (Blue)")</f>
        <v>Uncle Sams Cider (11/12/2021) (Blue)</v>
      </c>
      <c r="H1932" s="19"/>
    </row>
    <row r="1933">
      <c r="A1933" s="9"/>
      <c r="B1933" s="15"/>
      <c r="C1933" s="9">
        <f>IFERROR(__xludf.DUMMYFUNCTION("""COMPUTED_VALUE"""),44585.4164985648)</f>
        <v>44585.4165</v>
      </c>
      <c r="D1933" s="15">
        <f>IFERROR(__xludf.DUMMYFUNCTION("""COMPUTED_VALUE"""),1.001)</f>
        <v>1.001</v>
      </c>
      <c r="E1933" s="16">
        <f>IFERROR(__xludf.DUMMYFUNCTION("""COMPUTED_VALUE"""),67.0)</f>
        <v>67</v>
      </c>
      <c r="F1933" s="19" t="str">
        <f>IFERROR(__xludf.DUMMYFUNCTION("""COMPUTED_VALUE"""),"BLUE")</f>
        <v>BLUE</v>
      </c>
      <c r="G1933" s="20" t="str">
        <f>IFERROR(__xludf.DUMMYFUNCTION("""COMPUTED_VALUE"""),"Uncle Sams Cider (11/12/2021) (Blue)")</f>
        <v>Uncle Sams Cider (11/12/2021) (Blue)</v>
      </c>
      <c r="H1933" s="19"/>
    </row>
    <row r="1934">
      <c r="A1934" s="9"/>
      <c r="B1934" s="15"/>
      <c r="C1934" s="9">
        <f>IFERROR(__xludf.DUMMYFUNCTION("""COMPUTED_VALUE"""),44585.4060663888)</f>
        <v>44585.40607</v>
      </c>
      <c r="D1934" s="15">
        <f>IFERROR(__xludf.DUMMYFUNCTION("""COMPUTED_VALUE"""),1.0)</f>
        <v>1</v>
      </c>
      <c r="E1934" s="16">
        <f>IFERROR(__xludf.DUMMYFUNCTION("""COMPUTED_VALUE"""),67.0)</f>
        <v>67</v>
      </c>
      <c r="F1934" s="19" t="str">
        <f>IFERROR(__xludf.DUMMYFUNCTION("""COMPUTED_VALUE"""),"BLUE")</f>
        <v>BLUE</v>
      </c>
      <c r="G1934" s="20" t="str">
        <f>IFERROR(__xludf.DUMMYFUNCTION("""COMPUTED_VALUE"""),"Uncle Sams Cider (11/12/2021) (Blue)")</f>
        <v>Uncle Sams Cider (11/12/2021) (Blue)</v>
      </c>
      <c r="H1934" s="19"/>
    </row>
    <row r="1935">
      <c r="A1935" s="9"/>
      <c r="B1935" s="15"/>
      <c r="C1935" s="9">
        <f>IFERROR(__xludf.DUMMYFUNCTION("""COMPUTED_VALUE"""),44585.3956434027)</f>
        <v>44585.39564</v>
      </c>
      <c r="D1935" s="15">
        <f>IFERROR(__xludf.DUMMYFUNCTION("""COMPUTED_VALUE"""),1.001)</f>
        <v>1.001</v>
      </c>
      <c r="E1935" s="16">
        <f>IFERROR(__xludf.DUMMYFUNCTION("""COMPUTED_VALUE"""),67.0)</f>
        <v>67</v>
      </c>
      <c r="F1935" s="19" t="str">
        <f>IFERROR(__xludf.DUMMYFUNCTION("""COMPUTED_VALUE"""),"BLUE")</f>
        <v>BLUE</v>
      </c>
      <c r="G1935" s="20" t="str">
        <f>IFERROR(__xludf.DUMMYFUNCTION("""COMPUTED_VALUE"""),"Uncle Sams Cider (11/12/2021) (Blue)")</f>
        <v>Uncle Sams Cider (11/12/2021) (Blue)</v>
      </c>
      <c r="H1935" s="19"/>
    </row>
    <row r="1936">
      <c r="A1936" s="9"/>
      <c r="B1936" s="15"/>
      <c r="C1936" s="9">
        <f>IFERROR(__xludf.DUMMYFUNCTION("""COMPUTED_VALUE"""),44585.3851991203)</f>
        <v>44585.3852</v>
      </c>
      <c r="D1936" s="15">
        <f>IFERROR(__xludf.DUMMYFUNCTION("""COMPUTED_VALUE"""),1.0)</f>
        <v>1</v>
      </c>
      <c r="E1936" s="16">
        <f>IFERROR(__xludf.DUMMYFUNCTION("""COMPUTED_VALUE"""),67.0)</f>
        <v>67</v>
      </c>
      <c r="F1936" s="19" t="str">
        <f>IFERROR(__xludf.DUMMYFUNCTION("""COMPUTED_VALUE"""),"BLUE")</f>
        <v>BLUE</v>
      </c>
      <c r="G1936" s="20" t="str">
        <f>IFERROR(__xludf.DUMMYFUNCTION("""COMPUTED_VALUE"""),"Uncle Sams Cider (11/12/2021) (Blue)")</f>
        <v>Uncle Sams Cider (11/12/2021) (Blue)</v>
      </c>
      <c r="H1936" s="19"/>
    </row>
    <row r="1937">
      <c r="A1937" s="9"/>
      <c r="B1937" s="15"/>
      <c r="C1937" s="9">
        <f>IFERROR(__xludf.DUMMYFUNCTION("""COMPUTED_VALUE"""),44585.3747778819)</f>
        <v>44585.37478</v>
      </c>
      <c r="D1937" s="15">
        <f>IFERROR(__xludf.DUMMYFUNCTION("""COMPUTED_VALUE"""),1.0)</f>
        <v>1</v>
      </c>
      <c r="E1937" s="16">
        <f>IFERROR(__xludf.DUMMYFUNCTION("""COMPUTED_VALUE"""),67.0)</f>
        <v>67</v>
      </c>
      <c r="F1937" s="19" t="str">
        <f>IFERROR(__xludf.DUMMYFUNCTION("""COMPUTED_VALUE"""),"BLUE")</f>
        <v>BLUE</v>
      </c>
      <c r="G1937" s="20" t="str">
        <f>IFERROR(__xludf.DUMMYFUNCTION("""COMPUTED_VALUE"""),"Uncle Sams Cider (11/12/2021) (Blue)")</f>
        <v>Uncle Sams Cider (11/12/2021) (Blue)</v>
      </c>
      <c r="H1937" s="19"/>
    </row>
    <row r="1938">
      <c r="A1938" s="9"/>
      <c r="B1938" s="15"/>
      <c r="C1938" s="9">
        <f>IFERROR(__xludf.DUMMYFUNCTION("""COMPUTED_VALUE"""),44585.3643566087)</f>
        <v>44585.36436</v>
      </c>
      <c r="D1938" s="15">
        <f>IFERROR(__xludf.DUMMYFUNCTION("""COMPUTED_VALUE"""),1.0)</f>
        <v>1</v>
      </c>
      <c r="E1938" s="16">
        <f>IFERROR(__xludf.DUMMYFUNCTION("""COMPUTED_VALUE"""),67.0)</f>
        <v>67</v>
      </c>
      <c r="F1938" s="19" t="str">
        <f>IFERROR(__xludf.DUMMYFUNCTION("""COMPUTED_VALUE"""),"BLUE")</f>
        <v>BLUE</v>
      </c>
      <c r="G1938" s="20" t="str">
        <f>IFERROR(__xludf.DUMMYFUNCTION("""COMPUTED_VALUE"""),"Uncle Sams Cider (11/12/2021) (Blue)")</f>
        <v>Uncle Sams Cider (11/12/2021) (Blue)</v>
      </c>
      <c r="H1938" s="19"/>
    </row>
    <row r="1939">
      <c r="A1939" s="9"/>
      <c r="B1939" s="15"/>
      <c r="C1939" s="9">
        <f>IFERROR(__xludf.DUMMYFUNCTION("""COMPUTED_VALUE"""),44585.3539353935)</f>
        <v>44585.35394</v>
      </c>
      <c r="D1939" s="15">
        <f>IFERROR(__xludf.DUMMYFUNCTION("""COMPUTED_VALUE"""),1.0)</f>
        <v>1</v>
      </c>
      <c r="E1939" s="16">
        <f>IFERROR(__xludf.DUMMYFUNCTION("""COMPUTED_VALUE"""),68.0)</f>
        <v>68</v>
      </c>
      <c r="F1939" s="19" t="str">
        <f>IFERROR(__xludf.DUMMYFUNCTION("""COMPUTED_VALUE"""),"BLUE")</f>
        <v>BLUE</v>
      </c>
      <c r="G1939" s="20" t="str">
        <f>IFERROR(__xludf.DUMMYFUNCTION("""COMPUTED_VALUE"""),"Uncle Sams Cider (11/12/2021) (Blue)")</f>
        <v>Uncle Sams Cider (11/12/2021) (Blue)</v>
      </c>
      <c r="H1939" s="19"/>
    </row>
    <row r="1940">
      <c r="A1940" s="9"/>
      <c r="B1940" s="15"/>
      <c r="C1940" s="9">
        <f>IFERROR(__xludf.DUMMYFUNCTION("""COMPUTED_VALUE"""),44585.3435026851)</f>
        <v>44585.3435</v>
      </c>
      <c r="D1940" s="15">
        <f>IFERROR(__xludf.DUMMYFUNCTION("""COMPUTED_VALUE"""),1.001)</f>
        <v>1.001</v>
      </c>
      <c r="E1940" s="16">
        <f>IFERROR(__xludf.DUMMYFUNCTION("""COMPUTED_VALUE"""),67.0)</f>
        <v>67</v>
      </c>
      <c r="F1940" s="19" t="str">
        <f>IFERROR(__xludf.DUMMYFUNCTION("""COMPUTED_VALUE"""),"BLUE")</f>
        <v>BLUE</v>
      </c>
      <c r="G1940" s="20" t="str">
        <f>IFERROR(__xludf.DUMMYFUNCTION("""COMPUTED_VALUE"""),"Uncle Sams Cider (11/12/2021) (Blue)")</f>
        <v>Uncle Sams Cider (11/12/2021) (Blue)</v>
      </c>
      <c r="H1940" s="19"/>
    </row>
    <row r="1941">
      <c r="A1941" s="9"/>
      <c r="B1941" s="15"/>
      <c r="C1941" s="9">
        <f>IFERROR(__xludf.DUMMYFUNCTION("""COMPUTED_VALUE"""),44585.3330817361)</f>
        <v>44585.33308</v>
      </c>
      <c r="D1941" s="15">
        <f>IFERROR(__xludf.DUMMYFUNCTION("""COMPUTED_VALUE"""),1.001)</f>
        <v>1.001</v>
      </c>
      <c r="E1941" s="16">
        <f>IFERROR(__xludf.DUMMYFUNCTION("""COMPUTED_VALUE"""),68.0)</f>
        <v>68</v>
      </c>
      <c r="F1941" s="19" t="str">
        <f>IFERROR(__xludf.DUMMYFUNCTION("""COMPUTED_VALUE"""),"BLUE")</f>
        <v>BLUE</v>
      </c>
      <c r="G1941" s="20" t="str">
        <f>IFERROR(__xludf.DUMMYFUNCTION("""COMPUTED_VALUE"""),"Uncle Sams Cider (11/12/2021) (Blue)")</f>
        <v>Uncle Sams Cider (11/12/2021) (Blue)</v>
      </c>
      <c r="H1941" s="19"/>
    </row>
    <row r="1942">
      <c r="A1942" s="9"/>
      <c r="B1942" s="15"/>
      <c r="C1942" s="9">
        <f>IFERROR(__xludf.DUMMYFUNCTION("""COMPUTED_VALUE"""),44585.322661655)</f>
        <v>44585.32266</v>
      </c>
      <c r="D1942" s="15">
        <f>IFERROR(__xludf.DUMMYFUNCTION("""COMPUTED_VALUE"""),1.0)</f>
        <v>1</v>
      </c>
      <c r="E1942" s="16">
        <f>IFERROR(__xludf.DUMMYFUNCTION("""COMPUTED_VALUE"""),68.0)</f>
        <v>68</v>
      </c>
      <c r="F1942" s="19" t="str">
        <f>IFERROR(__xludf.DUMMYFUNCTION("""COMPUTED_VALUE"""),"BLUE")</f>
        <v>BLUE</v>
      </c>
      <c r="G1942" s="20" t="str">
        <f>IFERROR(__xludf.DUMMYFUNCTION("""COMPUTED_VALUE"""),"Uncle Sams Cider (11/12/2021) (Blue)")</f>
        <v>Uncle Sams Cider (11/12/2021) (Blue)</v>
      </c>
      <c r="H1942" s="19"/>
    </row>
    <row r="1943">
      <c r="A1943" s="9"/>
      <c r="B1943" s="15"/>
      <c r="C1943" s="9">
        <f>IFERROR(__xludf.DUMMYFUNCTION("""COMPUTED_VALUE"""),44585.3122406365)</f>
        <v>44585.31224</v>
      </c>
      <c r="D1943" s="15">
        <f>IFERROR(__xludf.DUMMYFUNCTION("""COMPUTED_VALUE"""),1.001)</f>
        <v>1.001</v>
      </c>
      <c r="E1943" s="16">
        <f>IFERROR(__xludf.DUMMYFUNCTION("""COMPUTED_VALUE"""),68.0)</f>
        <v>68</v>
      </c>
      <c r="F1943" s="19" t="str">
        <f>IFERROR(__xludf.DUMMYFUNCTION("""COMPUTED_VALUE"""),"BLUE")</f>
        <v>BLUE</v>
      </c>
      <c r="G1943" s="20" t="str">
        <f>IFERROR(__xludf.DUMMYFUNCTION("""COMPUTED_VALUE"""),"Uncle Sams Cider (11/12/2021) (Blue)")</f>
        <v>Uncle Sams Cider (11/12/2021) (Blue)</v>
      </c>
      <c r="H1943" s="19"/>
    </row>
    <row r="1944">
      <c r="A1944" s="9"/>
      <c r="B1944" s="15"/>
      <c r="C1944" s="9">
        <f>IFERROR(__xludf.DUMMYFUNCTION("""COMPUTED_VALUE"""),44585.3018193518)</f>
        <v>44585.30182</v>
      </c>
      <c r="D1944" s="15">
        <f>IFERROR(__xludf.DUMMYFUNCTION("""COMPUTED_VALUE"""),1.001)</f>
        <v>1.001</v>
      </c>
      <c r="E1944" s="16">
        <f>IFERROR(__xludf.DUMMYFUNCTION("""COMPUTED_VALUE"""),68.0)</f>
        <v>68</v>
      </c>
      <c r="F1944" s="19" t="str">
        <f>IFERROR(__xludf.DUMMYFUNCTION("""COMPUTED_VALUE"""),"BLUE")</f>
        <v>BLUE</v>
      </c>
      <c r="G1944" s="20" t="str">
        <f>IFERROR(__xludf.DUMMYFUNCTION("""COMPUTED_VALUE"""),"Uncle Sams Cider (11/12/2021) (Blue)")</f>
        <v>Uncle Sams Cider (11/12/2021) (Blue)</v>
      </c>
      <c r="H1944" s="19"/>
    </row>
    <row r="1945">
      <c r="A1945" s="9"/>
      <c r="B1945" s="15"/>
      <c r="C1945" s="9">
        <f>IFERROR(__xludf.DUMMYFUNCTION("""COMPUTED_VALUE"""),44585.2913984837)</f>
        <v>44585.2914</v>
      </c>
      <c r="D1945" s="15">
        <f>IFERROR(__xludf.DUMMYFUNCTION("""COMPUTED_VALUE"""),1.0)</f>
        <v>1</v>
      </c>
      <c r="E1945" s="16">
        <f>IFERROR(__xludf.DUMMYFUNCTION("""COMPUTED_VALUE"""),68.0)</f>
        <v>68</v>
      </c>
      <c r="F1945" s="19" t="str">
        <f>IFERROR(__xludf.DUMMYFUNCTION("""COMPUTED_VALUE"""),"BLUE")</f>
        <v>BLUE</v>
      </c>
      <c r="G1945" s="20" t="str">
        <f>IFERROR(__xludf.DUMMYFUNCTION("""COMPUTED_VALUE"""),"Uncle Sams Cider (11/12/2021) (Blue)")</f>
        <v>Uncle Sams Cider (11/12/2021) (Blue)</v>
      </c>
      <c r="H1945" s="19"/>
    </row>
    <row r="1946">
      <c r="A1946" s="9"/>
      <c r="B1946" s="15"/>
      <c r="C1946" s="9">
        <f>IFERROR(__xludf.DUMMYFUNCTION("""COMPUTED_VALUE"""),44585.280975625)</f>
        <v>44585.28098</v>
      </c>
      <c r="D1946" s="15">
        <f>IFERROR(__xludf.DUMMYFUNCTION("""COMPUTED_VALUE"""),1.001)</f>
        <v>1.001</v>
      </c>
      <c r="E1946" s="16">
        <f>IFERROR(__xludf.DUMMYFUNCTION("""COMPUTED_VALUE"""),68.0)</f>
        <v>68</v>
      </c>
      <c r="F1946" s="19" t="str">
        <f>IFERROR(__xludf.DUMMYFUNCTION("""COMPUTED_VALUE"""),"BLUE")</f>
        <v>BLUE</v>
      </c>
      <c r="G1946" s="20" t="str">
        <f>IFERROR(__xludf.DUMMYFUNCTION("""COMPUTED_VALUE"""),"Uncle Sams Cider (11/12/2021) (Blue)")</f>
        <v>Uncle Sams Cider (11/12/2021) (Blue)</v>
      </c>
      <c r="H1946" s="19"/>
    </row>
    <row r="1947">
      <c r="A1947" s="9"/>
      <c r="B1947" s="15"/>
      <c r="C1947" s="9">
        <f>IFERROR(__xludf.DUMMYFUNCTION("""COMPUTED_VALUE"""),44585.2705563888)</f>
        <v>44585.27056</v>
      </c>
      <c r="D1947" s="15">
        <f>IFERROR(__xludf.DUMMYFUNCTION("""COMPUTED_VALUE"""),1.001)</f>
        <v>1.001</v>
      </c>
      <c r="E1947" s="16">
        <f>IFERROR(__xludf.DUMMYFUNCTION("""COMPUTED_VALUE"""),67.0)</f>
        <v>67</v>
      </c>
      <c r="F1947" s="19" t="str">
        <f>IFERROR(__xludf.DUMMYFUNCTION("""COMPUTED_VALUE"""),"BLUE")</f>
        <v>BLUE</v>
      </c>
      <c r="G1947" s="20" t="str">
        <f>IFERROR(__xludf.DUMMYFUNCTION("""COMPUTED_VALUE"""),"Uncle Sams Cider (11/12/2021) (Blue)")</f>
        <v>Uncle Sams Cider (11/12/2021) (Blue)</v>
      </c>
      <c r="H1947" s="19"/>
    </row>
    <row r="1948">
      <c r="A1948" s="9"/>
      <c r="B1948" s="15"/>
      <c r="C1948" s="9">
        <f>IFERROR(__xludf.DUMMYFUNCTION("""COMPUTED_VALUE"""),44585.2601346064)</f>
        <v>44585.26013</v>
      </c>
      <c r="D1948" s="15">
        <f>IFERROR(__xludf.DUMMYFUNCTION("""COMPUTED_VALUE"""),1.001)</f>
        <v>1.001</v>
      </c>
      <c r="E1948" s="16">
        <f>IFERROR(__xludf.DUMMYFUNCTION("""COMPUTED_VALUE"""),67.0)</f>
        <v>67</v>
      </c>
      <c r="F1948" s="19" t="str">
        <f>IFERROR(__xludf.DUMMYFUNCTION("""COMPUTED_VALUE"""),"BLUE")</f>
        <v>BLUE</v>
      </c>
      <c r="G1948" s="20" t="str">
        <f>IFERROR(__xludf.DUMMYFUNCTION("""COMPUTED_VALUE"""),"Uncle Sams Cider (11/12/2021) (Blue)")</f>
        <v>Uncle Sams Cider (11/12/2021) (Blue)</v>
      </c>
      <c r="H1948" s="19"/>
    </row>
    <row r="1949">
      <c r="A1949" s="9"/>
      <c r="B1949" s="15"/>
      <c r="C1949" s="9">
        <f>IFERROR(__xludf.DUMMYFUNCTION("""COMPUTED_VALUE"""),44585.2497124652)</f>
        <v>44585.24971</v>
      </c>
      <c r="D1949" s="15">
        <f>IFERROR(__xludf.DUMMYFUNCTION("""COMPUTED_VALUE"""),1.001)</f>
        <v>1.001</v>
      </c>
      <c r="E1949" s="16">
        <f>IFERROR(__xludf.DUMMYFUNCTION("""COMPUTED_VALUE"""),66.0)</f>
        <v>66</v>
      </c>
      <c r="F1949" s="19" t="str">
        <f>IFERROR(__xludf.DUMMYFUNCTION("""COMPUTED_VALUE"""),"BLUE")</f>
        <v>BLUE</v>
      </c>
      <c r="G1949" s="20" t="str">
        <f>IFERROR(__xludf.DUMMYFUNCTION("""COMPUTED_VALUE"""),"Uncle Sams Cider (11/12/2021) (Blue)")</f>
        <v>Uncle Sams Cider (11/12/2021) (Blue)</v>
      </c>
      <c r="H1949" s="19"/>
    </row>
    <row r="1950">
      <c r="A1950" s="9"/>
      <c r="B1950" s="15"/>
      <c r="C1950" s="9">
        <f>IFERROR(__xludf.DUMMYFUNCTION("""COMPUTED_VALUE"""),44585.2392926967)</f>
        <v>44585.23929</v>
      </c>
      <c r="D1950" s="15">
        <f>IFERROR(__xludf.DUMMYFUNCTION("""COMPUTED_VALUE"""),1.001)</f>
        <v>1.001</v>
      </c>
      <c r="E1950" s="16">
        <f>IFERROR(__xludf.DUMMYFUNCTION("""COMPUTED_VALUE"""),66.0)</f>
        <v>66</v>
      </c>
      <c r="F1950" s="19" t="str">
        <f>IFERROR(__xludf.DUMMYFUNCTION("""COMPUTED_VALUE"""),"BLUE")</f>
        <v>BLUE</v>
      </c>
      <c r="G1950" s="20" t="str">
        <f>IFERROR(__xludf.DUMMYFUNCTION("""COMPUTED_VALUE"""),"Uncle Sams Cider (11/12/2021) (Blue)")</f>
        <v>Uncle Sams Cider (11/12/2021) (Blue)</v>
      </c>
      <c r="H1950" s="19"/>
    </row>
    <row r="1951">
      <c r="A1951" s="9"/>
      <c r="B1951" s="15"/>
      <c r="C1951" s="9">
        <f>IFERROR(__xludf.DUMMYFUNCTION("""COMPUTED_VALUE"""),44585.228869537)</f>
        <v>44585.22887</v>
      </c>
      <c r="D1951" s="15">
        <f>IFERROR(__xludf.DUMMYFUNCTION("""COMPUTED_VALUE"""),1.001)</f>
        <v>1.001</v>
      </c>
      <c r="E1951" s="16">
        <f>IFERROR(__xludf.DUMMYFUNCTION("""COMPUTED_VALUE"""),65.0)</f>
        <v>65</v>
      </c>
      <c r="F1951" s="19" t="str">
        <f>IFERROR(__xludf.DUMMYFUNCTION("""COMPUTED_VALUE"""),"BLUE")</f>
        <v>BLUE</v>
      </c>
      <c r="G1951" s="20" t="str">
        <f>IFERROR(__xludf.DUMMYFUNCTION("""COMPUTED_VALUE"""),"Uncle Sams Cider (11/12/2021) (Blue)")</f>
        <v>Uncle Sams Cider (11/12/2021) (Blue)</v>
      </c>
      <c r="H1951" s="19"/>
    </row>
    <row r="1952">
      <c r="A1952" s="9"/>
      <c r="B1952" s="15"/>
      <c r="C1952" s="9">
        <f>IFERROR(__xludf.DUMMYFUNCTION("""COMPUTED_VALUE"""),44585.2184502314)</f>
        <v>44585.21845</v>
      </c>
      <c r="D1952" s="15">
        <f>IFERROR(__xludf.DUMMYFUNCTION("""COMPUTED_VALUE"""),1.001)</f>
        <v>1.001</v>
      </c>
      <c r="E1952" s="16">
        <f>IFERROR(__xludf.DUMMYFUNCTION("""COMPUTED_VALUE"""),65.0)</f>
        <v>65</v>
      </c>
      <c r="F1952" s="19" t="str">
        <f>IFERROR(__xludf.DUMMYFUNCTION("""COMPUTED_VALUE"""),"BLUE")</f>
        <v>BLUE</v>
      </c>
      <c r="G1952" s="20" t="str">
        <f>IFERROR(__xludf.DUMMYFUNCTION("""COMPUTED_VALUE"""),"Uncle Sams Cider (11/12/2021) (Blue)")</f>
        <v>Uncle Sams Cider (11/12/2021) (Blue)</v>
      </c>
      <c r="H1952" s="19"/>
    </row>
    <row r="1953">
      <c r="A1953" s="9"/>
      <c r="B1953" s="15"/>
      <c r="C1953" s="9">
        <f>IFERROR(__xludf.DUMMYFUNCTION("""COMPUTED_VALUE"""),44585.2080291898)</f>
        <v>44585.20803</v>
      </c>
      <c r="D1953" s="15">
        <f>IFERROR(__xludf.DUMMYFUNCTION("""COMPUTED_VALUE"""),1.001)</f>
        <v>1.001</v>
      </c>
      <c r="E1953" s="16">
        <f>IFERROR(__xludf.DUMMYFUNCTION("""COMPUTED_VALUE"""),65.0)</f>
        <v>65</v>
      </c>
      <c r="F1953" s="19" t="str">
        <f>IFERROR(__xludf.DUMMYFUNCTION("""COMPUTED_VALUE"""),"BLUE")</f>
        <v>BLUE</v>
      </c>
      <c r="G1953" s="20" t="str">
        <f>IFERROR(__xludf.DUMMYFUNCTION("""COMPUTED_VALUE"""),"Uncle Sams Cider (11/12/2021) (Blue)")</f>
        <v>Uncle Sams Cider (11/12/2021) (Blue)</v>
      </c>
      <c r="H1953" s="19"/>
    </row>
    <row r="1954">
      <c r="A1954" s="9"/>
      <c r="B1954" s="15"/>
      <c r="C1954" s="9">
        <f>IFERROR(__xludf.DUMMYFUNCTION("""COMPUTED_VALUE"""),44585.1976088888)</f>
        <v>44585.19761</v>
      </c>
      <c r="D1954" s="15">
        <f>IFERROR(__xludf.DUMMYFUNCTION("""COMPUTED_VALUE"""),1.001)</f>
        <v>1.001</v>
      </c>
      <c r="E1954" s="16">
        <f>IFERROR(__xludf.DUMMYFUNCTION("""COMPUTED_VALUE"""),64.0)</f>
        <v>64</v>
      </c>
      <c r="F1954" s="19" t="str">
        <f>IFERROR(__xludf.DUMMYFUNCTION("""COMPUTED_VALUE"""),"BLUE")</f>
        <v>BLUE</v>
      </c>
      <c r="G1954" s="20" t="str">
        <f>IFERROR(__xludf.DUMMYFUNCTION("""COMPUTED_VALUE"""),"Uncle Sams Cider (11/12/2021) (Blue)")</f>
        <v>Uncle Sams Cider (11/12/2021) (Blue)</v>
      </c>
      <c r="H1954" s="19"/>
    </row>
    <row r="1955">
      <c r="A1955" s="9"/>
      <c r="B1955" s="15"/>
      <c r="C1955" s="9">
        <f>IFERROR(__xludf.DUMMYFUNCTION("""COMPUTED_VALUE"""),44585.1871889814)</f>
        <v>44585.18719</v>
      </c>
      <c r="D1955" s="15">
        <f>IFERROR(__xludf.DUMMYFUNCTION("""COMPUTED_VALUE"""),1.001)</f>
        <v>1.001</v>
      </c>
      <c r="E1955" s="16">
        <f>IFERROR(__xludf.DUMMYFUNCTION("""COMPUTED_VALUE"""),64.0)</f>
        <v>64</v>
      </c>
      <c r="F1955" s="19" t="str">
        <f>IFERROR(__xludf.DUMMYFUNCTION("""COMPUTED_VALUE"""),"BLUE")</f>
        <v>BLUE</v>
      </c>
      <c r="G1955" s="20" t="str">
        <f>IFERROR(__xludf.DUMMYFUNCTION("""COMPUTED_VALUE"""),"Uncle Sams Cider (11/12/2021) (Blue)")</f>
        <v>Uncle Sams Cider (11/12/2021) (Blue)</v>
      </c>
      <c r="H1955" s="19"/>
    </row>
    <row r="1956">
      <c r="A1956" s="9"/>
      <c r="B1956" s="15"/>
      <c r="C1956" s="9">
        <f>IFERROR(__xludf.DUMMYFUNCTION("""COMPUTED_VALUE"""),44585.176756956)</f>
        <v>44585.17676</v>
      </c>
      <c r="D1956" s="15">
        <f>IFERROR(__xludf.DUMMYFUNCTION("""COMPUTED_VALUE"""),1.001)</f>
        <v>1.001</v>
      </c>
      <c r="E1956" s="16">
        <f>IFERROR(__xludf.DUMMYFUNCTION("""COMPUTED_VALUE"""),63.0)</f>
        <v>63</v>
      </c>
      <c r="F1956" s="19" t="str">
        <f>IFERROR(__xludf.DUMMYFUNCTION("""COMPUTED_VALUE"""),"BLUE")</f>
        <v>BLUE</v>
      </c>
      <c r="G1956" s="20" t="str">
        <f>IFERROR(__xludf.DUMMYFUNCTION("""COMPUTED_VALUE"""),"Uncle Sams Cider (11/12/2021) (Blue)")</f>
        <v>Uncle Sams Cider (11/12/2021) (Blue)</v>
      </c>
      <c r="H1956" s="19"/>
    </row>
    <row r="1957">
      <c r="A1957" s="9"/>
      <c r="B1957" s="15"/>
      <c r="C1957" s="9">
        <f>IFERROR(__xludf.DUMMYFUNCTION("""COMPUTED_VALUE"""),44585.166336331)</f>
        <v>44585.16634</v>
      </c>
      <c r="D1957" s="15">
        <f>IFERROR(__xludf.DUMMYFUNCTION("""COMPUTED_VALUE"""),1.001)</f>
        <v>1.001</v>
      </c>
      <c r="E1957" s="16">
        <f>IFERROR(__xludf.DUMMYFUNCTION("""COMPUTED_VALUE"""),63.0)</f>
        <v>63</v>
      </c>
      <c r="F1957" s="19" t="str">
        <f>IFERROR(__xludf.DUMMYFUNCTION("""COMPUTED_VALUE"""),"BLUE")</f>
        <v>BLUE</v>
      </c>
      <c r="G1957" s="20" t="str">
        <f>IFERROR(__xludf.DUMMYFUNCTION("""COMPUTED_VALUE"""),"Uncle Sams Cider (11/12/2021) (Blue)")</f>
        <v>Uncle Sams Cider (11/12/2021) (Blue)</v>
      </c>
      <c r="H1957" s="19"/>
    </row>
    <row r="1958">
      <c r="A1958" s="9"/>
      <c r="B1958" s="15"/>
      <c r="C1958" s="9">
        <f>IFERROR(__xludf.DUMMYFUNCTION("""COMPUTED_VALUE"""),44585.1559147222)</f>
        <v>44585.15591</v>
      </c>
      <c r="D1958" s="15">
        <f>IFERROR(__xludf.DUMMYFUNCTION("""COMPUTED_VALUE"""),1.001)</f>
        <v>1.001</v>
      </c>
      <c r="E1958" s="16">
        <f>IFERROR(__xludf.DUMMYFUNCTION("""COMPUTED_VALUE"""),62.0)</f>
        <v>62</v>
      </c>
      <c r="F1958" s="19" t="str">
        <f>IFERROR(__xludf.DUMMYFUNCTION("""COMPUTED_VALUE"""),"BLUE")</f>
        <v>BLUE</v>
      </c>
      <c r="G1958" s="20" t="str">
        <f>IFERROR(__xludf.DUMMYFUNCTION("""COMPUTED_VALUE"""),"Uncle Sams Cider (11/12/2021) (Blue)")</f>
        <v>Uncle Sams Cider (11/12/2021) (Blue)</v>
      </c>
      <c r="H1958" s="19"/>
    </row>
    <row r="1959">
      <c r="A1959" s="9"/>
      <c r="B1959" s="15"/>
      <c r="C1959" s="9">
        <f>IFERROR(__xludf.DUMMYFUNCTION("""COMPUTED_VALUE"""),44585.1454817476)</f>
        <v>44585.14548</v>
      </c>
      <c r="D1959" s="15">
        <f>IFERROR(__xludf.DUMMYFUNCTION("""COMPUTED_VALUE"""),1.001)</f>
        <v>1.001</v>
      </c>
      <c r="E1959" s="16">
        <f>IFERROR(__xludf.DUMMYFUNCTION("""COMPUTED_VALUE"""),62.0)</f>
        <v>62</v>
      </c>
      <c r="F1959" s="19" t="str">
        <f>IFERROR(__xludf.DUMMYFUNCTION("""COMPUTED_VALUE"""),"BLUE")</f>
        <v>BLUE</v>
      </c>
      <c r="G1959" s="20" t="str">
        <f>IFERROR(__xludf.DUMMYFUNCTION("""COMPUTED_VALUE"""),"Uncle Sams Cider (11/12/2021) (Blue)")</f>
        <v>Uncle Sams Cider (11/12/2021) (Blue)</v>
      </c>
      <c r="H1959" s="19"/>
    </row>
    <row r="1960">
      <c r="A1960" s="9"/>
      <c r="B1960" s="15"/>
      <c r="C1960" s="9">
        <f>IFERROR(__xludf.DUMMYFUNCTION("""COMPUTED_VALUE"""),44585.1350599884)</f>
        <v>44585.13506</v>
      </c>
      <c r="D1960" s="15">
        <f>IFERROR(__xludf.DUMMYFUNCTION("""COMPUTED_VALUE"""),1.001)</f>
        <v>1.001</v>
      </c>
      <c r="E1960" s="16">
        <f>IFERROR(__xludf.DUMMYFUNCTION("""COMPUTED_VALUE"""),62.0)</f>
        <v>62</v>
      </c>
      <c r="F1960" s="19" t="str">
        <f>IFERROR(__xludf.DUMMYFUNCTION("""COMPUTED_VALUE"""),"BLUE")</f>
        <v>BLUE</v>
      </c>
      <c r="G1960" s="20" t="str">
        <f>IFERROR(__xludf.DUMMYFUNCTION("""COMPUTED_VALUE"""),"Uncle Sams Cider (11/12/2021) (Blue)")</f>
        <v>Uncle Sams Cider (11/12/2021) (Blue)</v>
      </c>
      <c r="H1960" s="19"/>
    </row>
    <row r="1961">
      <c r="A1961" s="9"/>
      <c r="B1961" s="15"/>
      <c r="C1961" s="9">
        <f>IFERROR(__xludf.DUMMYFUNCTION("""COMPUTED_VALUE"""),44585.124640706)</f>
        <v>44585.12464</v>
      </c>
      <c r="D1961" s="15">
        <f>IFERROR(__xludf.DUMMYFUNCTION("""COMPUTED_VALUE"""),1.001)</f>
        <v>1.001</v>
      </c>
      <c r="E1961" s="16">
        <f>IFERROR(__xludf.DUMMYFUNCTION("""COMPUTED_VALUE"""),61.0)</f>
        <v>61</v>
      </c>
      <c r="F1961" s="19" t="str">
        <f>IFERROR(__xludf.DUMMYFUNCTION("""COMPUTED_VALUE"""),"BLUE")</f>
        <v>BLUE</v>
      </c>
      <c r="G1961" s="20" t="str">
        <f>IFERROR(__xludf.DUMMYFUNCTION("""COMPUTED_VALUE"""),"Uncle Sams Cider (11/12/2021) (Blue)")</f>
        <v>Uncle Sams Cider (11/12/2021) (Blue)</v>
      </c>
      <c r="H1961" s="19"/>
    </row>
    <row r="1962">
      <c r="A1962" s="9"/>
      <c r="B1962" s="15"/>
      <c r="C1962" s="9">
        <f>IFERROR(__xludf.DUMMYFUNCTION("""COMPUTED_VALUE"""),44585.1142193287)</f>
        <v>44585.11422</v>
      </c>
      <c r="D1962" s="15">
        <f>IFERROR(__xludf.DUMMYFUNCTION("""COMPUTED_VALUE"""),1.001)</f>
        <v>1.001</v>
      </c>
      <c r="E1962" s="16">
        <f>IFERROR(__xludf.DUMMYFUNCTION("""COMPUTED_VALUE"""),61.0)</f>
        <v>61</v>
      </c>
      <c r="F1962" s="19" t="str">
        <f>IFERROR(__xludf.DUMMYFUNCTION("""COMPUTED_VALUE"""),"BLUE")</f>
        <v>BLUE</v>
      </c>
      <c r="G1962" s="20" t="str">
        <f>IFERROR(__xludf.DUMMYFUNCTION("""COMPUTED_VALUE"""),"Uncle Sams Cider (11/12/2021) (Blue)")</f>
        <v>Uncle Sams Cider (11/12/2021) (Blue)</v>
      </c>
      <c r="H1962" s="19"/>
    </row>
    <row r="1963">
      <c r="A1963" s="9"/>
      <c r="B1963" s="15"/>
      <c r="C1963" s="9">
        <f>IFERROR(__xludf.DUMMYFUNCTION("""COMPUTED_VALUE"""),44585.1037985532)</f>
        <v>44585.1038</v>
      </c>
      <c r="D1963" s="15">
        <f>IFERROR(__xludf.DUMMYFUNCTION("""COMPUTED_VALUE"""),1.001)</f>
        <v>1.001</v>
      </c>
      <c r="E1963" s="16">
        <f>IFERROR(__xludf.DUMMYFUNCTION("""COMPUTED_VALUE"""),61.0)</f>
        <v>61</v>
      </c>
      <c r="F1963" s="19" t="str">
        <f>IFERROR(__xludf.DUMMYFUNCTION("""COMPUTED_VALUE"""),"BLUE")</f>
        <v>BLUE</v>
      </c>
      <c r="G1963" s="20" t="str">
        <f>IFERROR(__xludf.DUMMYFUNCTION("""COMPUTED_VALUE"""),"Uncle Sams Cider (11/12/2021) (Blue)")</f>
        <v>Uncle Sams Cider (11/12/2021) (Blue)</v>
      </c>
      <c r="H1963" s="19"/>
    </row>
    <row r="1964">
      <c r="A1964" s="9"/>
      <c r="B1964" s="15"/>
      <c r="C1964" s="9">
        <f>IFERROR(__xludf.DUMMYFUNCTION("""COMPUTED_VALUE"""),44585.0933789467)</f>
        <v>44585.09338</v>
      </c>
      <c r="D1964" s="15">
        <f>IFERROR(__xludf.DUMMYFUNCTION("""COMPUTED_VALUE"""),1.001)</f>
        <v>1.001</v>
      </c>
      <c r="E1964" s="16">
        <f>IFERROR(__xludf.DUMMYFUNCTION("""COMPUTED_VALUE"""),61.0)</f>
        <v>61</v>
      </c>
      <c r="F1964" s="19" t="str">
        <f>IFERROR(__xludf.DUMMYFUNCTION("""COMPUTED_VALUE"""),"BLUE")</f>
        <v>BLUE</v>
      </c>
      <c r="G1964" s="20" t="str">
        <f>IFERROR(__xludf.DUMMYFUNCTION("""COMPUTED_VALUE"""),"Uncle Sams Cider (11/12/2021) (Blue)")</f>
        <v>Uncle Sams Cider (11/12/2021) (Blue)</v>
      </c>
      <c r="H1964" s="19"/>
    </row>
    <row r="1965">
      <c r="A1965" s="9"/>
      <c r="B1965" s="15"/>
      <c r="C1965" s="9">
        <f>IFERROR(__xludf.DUMMYFUNCTION("""COMPUTED_VALUE"""),44585.0829574189)</f>
        <v>44585.08296</v>
      </c>
      <c r="D1965" s="15">
        <f>IFERROR(__xludf.DUMMYFUNCTION("""COMPUTED_VALUE"""),1.001)</f>
        <v>1.001</v>
      </c>
      <c r="E1965" s="16">
        <f>IFERROR(__xludf.DUMMYFUNCTION("""COMPUTED_VALUE"""),62.0)</f>
        <v>62</v>
      </c>
      <c r="F1965" s="19" t="str">
        <f>IFERROR(__xludf.DUMMYFUNCTION("""COMPUTED_VALUE"""),"BLUE")</f>
        <v>BLUE</v>
      </c>
      <c r="G1965" s="20" t="str">
        <f>IFERROR(__xludf.DUMMYFUNCTION("""COMPUTED_VALUE"""),"Uncle Sams Cider (11/12/2021) (Blue)")</f>
        <v>Uncle Sams Cider (11/12/2021) (Blue)</v>
      </c>
      <c r="H1965" s="19"/>
    </row>
    <row r="1966">
      <c r="A1966" s="9"/>
      <c r="B1966" s="15"/>
      <c r="C1966" s="9">
        <f>IFERROR(__xludf.DUMMYFUNCTION("""COMPUTED_VALUE"""),44585.07253603)</f>
        <v>44585.07254</v>
      </c>
      <c r="D1966" s="15">
        <f>IFERROR(__xludf.DUMMYFUNCTION("""COMPUTED_VALUE"""),1.001)</f>
        <v>1.001</v>
      </c>
      <c r="E1966" s="16">
        <f>IFERROR(__xludf.DUMMYFUNCTION("""COMPUTED_VALUE"""),61.0)</f>
        <v>61</v>
      </c>
      <c r="F1966" s="19" t="str">
        <f>IFERROR(__xludf.DUMMYFUNCTION("""COMPUTED_VALUE"""),"BLUE")</f>
        <v>BLUE</v>
      </c>
      <c r="G1966" s="20" t="str">
        <f>IFERROR(__xludf.DUMMYFUNCTION("""COMPUTED_VALUE"""),"Uncle Sams Cider (11/12/2021) (Blue)")</f>
        <v>Uncle Sams Cider (11/12/2021) (Blue)</v>
      </c>
      <c r="H1966" s="19"/>
    </row>
    <row r="1967">
      <c r="A1967" s="9"/>
      <c r="B1967" s="15"/>
      <c r="C1967" s="9">
        <f>IFERROR(__xludf.DUMMYFUNCTION("""COMPUTED_VALUE"""),44585.0621146296)</f>
        <v>44585.06211</v>
      </c>
      <c r="D1967" s="15">
        <f>IFERROR(__xludf.DUMMYFUNCTION("""COMPUTED_VALUE"""),1.001)</f>
        <v>1.001</v>
      </c>
      <c r="E1967" s="16">
        <f>IFERROR(__xludf.DUMMYFUNCTION("""COMPUTED_VALUE"""),62.0)</f>
        <v>62</v>
      </c>
      <c r="F1967" s="19" t="str">
        <f>IFERROR(__xludf.DUMMYFUNCTION("""COMPUTED_VALUE"""),"BLUE")</f>
        <v>BLUE</v>
      </c>
      <c r="G1967" s="20" t="str">
        <f>IFERROR(__xludf.DUMMYFUNCTION("""COMPUTED_VALUE"""),"Uncle Sams Cider (11/12/2021) (Blue)")</f>
        <v>Uncle Sams Cider (11/12/2021) (Blue)</v>
      </c>
      <c r="H1967" s="19"/>
    </row>
    <row r="1968">
      <c r="A1968" s="9"/>
      <c r="B1968" s="15"/>
      <c r="C1968" s="9">
        <f>IFERROR(__xludf.DUMMYFUNCTION("""COMPUTED_VALUE"""),44585.0516936342)</f>
        <v>44585.05169</v>
      </c>
      <c r="D1968" s="15">
        <f>IFERROR(__xludf.DUMMYFUNCTION("""COMPUTED_VALUE"""),1.002)</f>
        <v>1.002</v>
      </c>
      <c r="E1968" s="16">
        <f>IFERROR(__xludf.DUMMYFUNCTION("""COMPUTED_VALUE"""),62.0)</f>
        <v>62</v>
      </c>
      <c r="F1968" s="19" t="str">
        <f>IFERROR(__xludf.DUMMYFUNCTION("""COMPUTED_VALUE"""),"BLUE")</f>
        <v>BLUE</v>
      </c>
      <c r="G1968" s="20" t="str">
        <f>IFERROR(__xludf.DUMMYFUNCTION("""COMPUTED_VALUE"""),"Uncle Sams Cider (11/12/2021) (Blue)")</f>
        <v>Uncle Sams Cider (11/12/2021) (Blue)</v>
      </c>
      <c r="H1968" s="19"/>
    </row>
    <row r="1969">
      <c r="A1969" s="9"/>
      <c r="B1969" s="15"/>
      <c r="C1969" s="9">
        <f>IFERROR(__xludf.DUMMYFUNCTION("""COMPUTED_VALUE"""),44585.0412723611)</f>
        <v>44585.04127</v>
      </c>
      <c r="D1969" s="15">
        <f>IFERROR(__xludf.DUMMYFUNCTION("""COMPUTED_VALUE"""),1.001)</f>
        <v>1.001</v>
      </c>
      <c r="E1969" s="16">
        <f>IFERROR(__xludf.DUMMYFUNCTION("""COMPUTED_VALUE"""),62.0)</f>
        <v>62</v>
      </c>
      <c r="F1969" s="19" t="str">
        <f>IFERROR(__xludf.DUMMYFUNCTION("""COMPUTED_VALUE"""),"BLUE")</f>
        <v>BLUE</v>
      </c>
      <c r="G1969" s="20" t="str">
        <f>IFERROR(__xludf.DUMMYFUNCTION("""COMPUTED_VALUE"""),"Uncle Sams Cider (11/12/2021) (Blue)")</f>
        <v>Uncle Sams Cider (11/12/2021) (Blue)</v>
      </c>
      <c r="H1969" s="19"/>
    </row>
    <row r="1970">
      <c r="A1970" s="9"/>
      <c r="B1970" s="15"/>
      <c r="C1970" s="9">
        <f>IFERROR(__xludf.DUMMYFUNCTION("""COMPUTED_VALUE"""),44585.0308528009)</f>
        <v>44585.03085</v>
      </c>
      <c r="D1970" s="15">
        <f>IFERROR(__xludf.DUMMYFUNCTION("""COMPUTED_VALUE"""),1.001)</f>
        <v>1.001</v>
      </c>
      <c r="E1970" s="16">
        <f>IFERROR(__xludf.DUMMYFUNCTION("""COMPUTED_VALUE"""),62.0)</f>
        <v>62</v>
      </c>
      <c r="F1970" s="19" t="str">
        <f>IFERROR(__xludf.DUMMYFUNCTION("""COMPUTED_VALUE"""),"BLUE")</f>
        <v>BLUE</v>
      </c>
      <c r="G1970" s="20" t="str">
        <f>IFERROR(__xludf.DUMMYFUNCTION("""COMPUTED_VALUE"""),"Uncle Sams Cider (11/12/2021) (Blue)")</f>
        <v>Uncle Sams Cider (11/12/2021) (Blue)</v>
      </c>
      <c r="H1970" s="19"/>
    </row>
    <row r="1971">
      <c r="A1971" s="9"/>
      <c r="B1971" s="15"/>
      <c r="C1971" s="9">
        <f>IFERROR(__xludf.DUMMYFUNCTION("""COMPUTED_VALUE"""),44585.0204324537)</f>
        <v>44585.02043</v>
      </c>
      <c r="D1971" s="15">
        <f>IFERROR(__xludf.DUMMYFUNCTION("""COMPUTED_VALUE"""),1.001)</f>
        <v>1.001</v>
      </c>
      <c r="E1971" s="16">
        <f>IFERROR(__xludf.DUMMYFUNCTION("""COMPUTED_VALUE"""),62.0)</f>
        <v>62</v>
      </c>
      <c r="F1971" s="19" t="str">
        <f>IFERROR(__xludf.DUMMYFUNCTION("""COMPUTED_VALUE"""),"BLUE")</f>
        <v>BLUE</v>
      </c>
      <c r="G1971" s="20" t="str">
        <f>IFERROR(__xludf.DUMMYFUNCTION("""COMPUTED_VALUE"""),"Uncle Sams Cider (11/12/2021) (Blue)")</f>
        <v>Uncle Sams Cider (11/12/2021) (Blue)</v>
      </c>
      <c r="H1971" s="19"/>
    </row>
    <row r="1972">
      <c r="A1972" s="9"/>
      <c r="B1972" s="15"/>
      <c r="C1972" s="9">
        <f>IFERROR(__xludf.DUMMYFUNCTION("""COMPUTED_VALUE"""),44585.0099997106)</f>
        <v>44585.01</v>
      </c>
      <c r="D1972" s="15">
        <f>IFERROR(__xludf.DUMMYFUNCTION("""COMPUTED_VALUE"""),1.001)</f>
        <v>1.001</v>
      </c>
      <c r="E1972" s="16">
        <f>IFERROR(__xludf.DUMMYFUNCTION("""COMPUTED_VALUE"""),62.0)</f>
        <v>62</v>
      </c>
      <c r="F1972" s="19" t="str">
        <f>IFERROR(__xludf.DUMMYFUNCTION("""COMPUTED_VALUE"""),"BLUE")</f>
        <v>BLUE</v>
      </c>
      <c r="G1972" s="20" t="str">
        <f>IFERROR(__xludf.DUMMYFUNCTION("""COMPUTED_VALUE"""),"Uncle Sams Cider (11/12/2021) (Blue)")</f>
        <v>Uncle Sams Cider (11/12/2021) (Blue)</v>
      </c>
      <c r="H1972" s="19"/>
    </row>
    <row r="1973">
      <c r="A1973" s="9"/>
      <c r="B1973" s="15"/>
      <c r="C1973" s="9">
        <f>IFERROR(__xludf.DUMMYFUNCTION("""COMPUTED_VALUE"""),44584.999577118)</f>
        <v>44584.99958</v>
      </c>
      <c r="D1973" s="15">
        <f>IFERROR(__xludf.DUMMYFUNCTION("""COMPUTED_VALUE"""),1.002)</f>
        <v>1.002</v>
      </c>
      <c r="E1973" s="16">
        <f>IFERROR(__xludf.DUMMYFUNCTION("""COMPUTED_VALUE"""),62.0)</f>
        <v>62</v>
      </c>
      <c r="F1973" s="19" t="str">
        <f>IFERROR(__xludf.DUMMYFUNCTION("""COMPUTED_VALUE"""),"BLUE")</f>
        <v>BLUE</v>
      </c>
      <c r="G1973" s="20" t="str">
        <f>IFERROR(__xludf.DUMMYFUNCTION("""COMPUTED_VALUE"""),"Uncle Sams Cider (11/12/2021) (Blue)")</f>
        <v>Uncle Sams Cider (11/12/2021) (Blue)</v>
      </c>
      <c r="H1973" s="19"/>
    </row>
    <row r="1974">
      <c r="A1974" s="9"/>
      <c r="B1974" s="15"/>
      <c r="C1974" s="9">
        <f>IFERROR(__xludf.DUMMYFUNCTION("""COMPUTED_VALUE"""),44584.9891556828)</f>
        <v>44584.98916</v>
      </c>
      <c r="D1974" s="15">
        <f>IFERROR(__xludf.DUMMYFUNCTION("""COMPUTED_VALUE"""),1.001)</f>
        <v>1.001</v>
      </c>
      <c r="E1974" s="16">
        <f>IFERROR(__xludf.DUMMYFUNCTION("""COMPUTED_VALUE"""),62.0)</f>
        <v>62</v>
      </c>
      <c r="F1974" s="19" t="str">
        <f>IFERROR(__xludf.DUMMYFUNCTION("""COMPUTED_VALUE"""),"BLUE")</f>
        <v>BLUE</v>
      </c>
      <c r="G1974" s="20" t="str">
        <f>IFERROR(__xludf.DUMMYFUNCTION("""COMPUTED_VALUE"""),"Uncle Sams Cider (11/12/2021) (Blue)")</f>
        <v>Uncle Sams Cider (11/12/2021) (Blue)</v>
      </c>
      <c r="H1974" s="19"/>
    </row>
    <row r="1975">
      <c r="A1975" s="9"/>
      <c r="B1975" s="15"/>
      <c r="C1975" s="9">
        <f>IFERROR(__xludf.DUMMYFUNCTION("""COMPUTED_VALUE"""),44584.9787347337)</f>
        <v>44584.97873</v>
      </c>
      <c r="D1975" s="15">
        <f>IFERROR(__xludf.DUMMYFUNCTION("""COMPUTED_VALUE"""),1.001)</f>
        <v>1.001</v>
      </c>
      <c r="E1975" s="16">
        <f>IFERROR(__xludf.DUMMYFUNCTION("""COMPUTED_VALUE"""),62.0)</f>
        <v>62</v>
      </c>
      <c r="F1975" s="19" t="str">
        <f>IFERROR(__xludf.DUMMYFUNCTION("""COMPUTED_VALUE"""),"BLUE")</f>
        <v>BLUE</v>
      </c>
      <c r="G1975" s="20" t="str">
        <f>IFERROR(__xludf.DUMMYFUNCTION("""COMPUTED_VALUE"""),"Uncle Sams Cider (11/12/2021) (Blue)")</f>
        <v>Uncle Sams Cider (11/12/2021) (Blue)</v>
      </c>
      <c r="H1975" s="19"/>
    </row>
    <row r="1976">
      <c r="A1976" s="9"/>
      <c r="B1976" s="15"/>
      <c r="C1976" s="9">
        <f>IFERROR(__xludf.DUMMYFUNCTION("""COMPUTED_VALUE"""),44584.9683022337)</f>
        <v>44584.9683</v>
      </c>
      <c r="D1976" s="15">
        <f>IFERROR(__xludf.DUMMYFUNCTION("""COMPUTED_VALUE"""),1.001)</f>
        <v>1.001</v>
      </c>
      <c r="E1976" s="16">
        <f>IFERROR(__xludf.DUMMYFUNCTION("""COMPUTED_VALUE"""),62.0)</f>
        <v>62</v>
      </c>
      <c r="F1976" s="19" t="str">
        <f>IFERROR(__xludf.DUMMYFUNCTION("""COMPUTED_VALUE"""),"BLUE")</f>
        <v>BLUE</v>
      </c>
      <c r="G1976" s="20" t="str">
        <f>IFERROR(__xludf.DUMMYFUNCTION("""COMPUTED_VALUE"""),"Uncle Sams Cider (11/12/2021) (Blue)")</f>
        <v>Uncle Sams Cider (11/12/2021) (Blue)</v>
      </c>
      <c r="H1976" s="19"/>
    </row>
    <row r="1977">
      <c r="A1977" s="9"/>
      <c r="B1977" s="15"/>
      <c r="C1977" s="9">
        <f>IFERROR(__xludf.DUMMYFUNCTION("""COMPUTED_VALUE"""),44584.9578799537)</f>
        <v>44584.95788</v>
      </c>
      <c r="D1977" s="15">
        <f>IFERROR(__xludf.DUMMYFUNCTION("""COMPUTED_VALUE"""),1.001)</f>
        <v>1.001</v>
      </c>
      <c r="E1977" s="16">
        <f>IFERROR(__xludf.DUMMYFUNCTION("""COMPUTED_VALUE"""),62.0)</f>
        <v>62</v>
      </c>
      <c r="F1977" s="19" t="str">
        <f>IFERROR(__xludf.DUMMYFUNCTION("""COMPUTED_VALUE"""),"BLUE")</f>
        <v>BLUE</v>
      </c>
      <c r="G1977" s="20" t="str">
        <f>IFERROR(__xludf.DUMMYFUNCTION("""COMPUTED_VALUE"""),"Uncle Sams Cider (11/12/2021) (Blue)")</f>
        <v>Uncle Sams Cider (11/12/2021) (Blue)</v>
      </c>
      <c r="H1977" s="19"/>
    </row>
    <row r="1978">
      <c r="A1978" s="9"/>
      <c r="B1978" s="15"/>
      <c r="C1978" s="9">
        <f>IFERROR(__xludf.DUMMYFUNCTION("""COMPUTED_VALUE"""),44584.9474603703)</f>
        <v>44584.94746</v>
      </c>
      <c r="D1978" s="15">
        <f>IFERROR(__xludf.DUMMYFUNCTION("""COMPUTED_VALUE"""),1.001)</f>
        <v>1.001</v>
      </c>
      <c r="E1978" s="16">
        <f>IFERROR(__xludf.DUMMYFUNCTION("""COMPUTED_VALUE"""),62.0)</f>
        <v>62</v>
      </c>
      <c r="F1978" s="19" t="str">
        <f>IFERROR(__xludf.DUMMYFUNCTION("""COMPUTED_VALUE"""),"BLUE")</f>
        <v>BLUE</v>
      </c>
      <c r="G1978" s="20" t="str">
        <f>IFERROR(__xludf.DUMMYFUNCTION("""COMPUTED_VALUE"""),"Uncle Sams Cider (11/12/2021) (Blue)")</f>
        <v>Uncle Sams Cider (11/12/2021) (Blue)</v>
      </c>
      <c r="H1978" s="19"/>
    </row>
    <row r="1979">
      <c r="A1979" s="9"/>
      <c r="B1979" s="15"/>
      <c r="C1979" s="9">
        <f>IFERROR(__xludf.DUMMYFUNCTION("""COMPUTED_VALUE"""),44584.9370380439)</f>
        <v>44584.93704</v>
      </c>
      <c r="D1979" s="15">
        <f>IFERROR(__xludf.DUMMYFUNCTION("""COMPUTED_VALUE"""),1.001)</f>
        <v>1.001</v>
      </c>
      <c r="E1979" s="16">
        <f>IFERROR(__xludf.DUMMYFUNCTION("""COMPUTED_VALUE"""),62.0)</f>
        <v>62</v>
      </c>
      <c r="F1979" s="19" t="str">
        <f>IFERROR(__xludf.DUMMYFUNCTION("""COMPUTED_VALUE"""),"BLUE")</f>
        <v>BLUE</v>
      </c>
      <c r="G1979" s="20" t="str">
        <f>IFERROR(__xludf.DUMMYFUNCTION("""COMPUTED_VALUE"""),"Uncle Sams Cider (11/12/2021) (Blue)")</f>
        <v>Uncle Sams Cider (11/12/2021) (Blue)</v>
      </c>
      <c r="H1979" s="19"/>
    </row>
    <row r="1980">
      <c r="A1980" s="9"/>
      <c r="B1980" s="15"/>
      <c r="C1980" s="9">
        <f>IFERROR(__xludf.DUMMYFUNCTION("""COMPUTED_VALUE"""),44584.9266152083)</f>
        <v>44584.92662</v>
      </c>
      <c r="D1980" s="15">
        <f>IFERROR(__xludf.DUMMYFUNCTION("""COMPUTED_VALUE"""),1.001)</f>
        <v>1.001</v>
      </c>
      <c r="E1980" s="16">
        <f>IFERROR(__xludf.DUMMYFUNCTION("""COMPUTED_VALUE"""),62.0)</f>
        <v>62</v>
      </c>
      <c r="F1980" s="19" t="str">
        <f>IFERROR(__xludf.DUMMYFUNCTION("""COMPUTED_VALUE"""),"BLUE")</f>
        <v>BLUE</v>
      </c>
      <c r="G1980" s="20" t="str">
        <f>IFERROR(__xludf.DUMMYFUNCTION("""COMPUTED_VALUE"""),"Uncle Sams Cider (11/12/2021) (Blue)")</f>
        <v>Uncle Sams Cider (11/12/2021) (Blue)</v>
      </c>
      <c r="H1980" s="19"/>
    </row>
    <row r="1981">
      <c r="A1981" s="9"/>
      <c r="B1981" s="15"/>
      <c r="C1981" s="9">
        <f>IFERROR(__xludf.DUMMYFUNCTION("""COMPUTED_VALUE"""),44584.9161944791)</f>
        <v>44584.91619</v>
      </c>
      <c r="D1981" s="15">
        <f>IFERROR(__xludf.DUMMYFUNCTION("""COMPUTED_VALUE"""),1.001)</f>
        <v>1.001</v>
      </c>
      <c r="E1981" s="16">
        <f>IFERROR(__xludf.DUMMYFUNCTION("""COMPUTED_VALUE"""),62.0)</f>
        <v>62</v>
      </c>
      <c r="F1981" s="19" t="str">
        <f>IFERROR(__xludf.DUMMYFUNCTION("""COMPUTED_VALUE"""),"BLUE")</f>
        <v>BLUE</v>
      </c>
      <c r="G1981" s="20" t="str">
        <f>IFERROR(__xludf.DUMMYFUNCTION("""COMPUTED_VALUE"""),"Uncle Sams Cider (11/12/2021) (Blue)")</f>
        <v>Uncle Sams Cider (11/12/2021) (Blue)</v>
      </c>
      <c r="H1981" s="19"/>
    </row>
    <row r="1982">
      <c r="A1982" s="9"/>
      <c r="B1982" s="15"/>
      <c r="C1982" s="9">
        <f>IFERROR(__xludf.DUMMYFUNCTION("""COMPUTED_VALUE"""),44584.9057725694)</f>
        <v>44584.90577</v>
      </c>
      <c r="D1982" s="15">
        <f>IFERROR(__xludf.DUMMYFUNCTION("""COMPUTED_VALUE"""),1.001)</f>
        <v>1.001</v>
      </c>
      <c r="E1982" s="16">
        <f>IFERROR(__xludf.DUMMYFUNCTION("""COMPUTED_VALUE"""),62.0)</f>
        <v>62</v>
      </c>
      <c r="F1982" s="19" t="str">
        <f>IFERROR(__xludf.DUMMYFUNCTION("""COMPUTED_VALUE"""),"BLUE")</f>
        <v>BLUE</v>
      </c>
      <c r="G1982" s="20" t="str">
        <f>IFERROR(__xludf.DUMMYFUNCTION("""COMPUTED_VALUE"""),"Uncle Sams Cider (11/12/2021) (Blue)")</f>
        <v>Uncle Sams Cider (11/12/2021) (Blue)</v>
      </c>
      <c r="H1982" s="19"/>
    </row>
    <row r="1983">
      <c r="A1983" s="9"/>
      <c r="B1983" s="15"/>
      <c r="C1983" s="9">
        <f>IFERROR(__xludf.DUMMYFUNCTION("""COMPUTED_VALUE"""),44584.895349074)</f>
        <v>44584.89535</v>
      </c>
      <c r="D1983" s="15">
        <f>IFERROR(__xludf.DUMMYFUNCTION("""COMPUTED_VALUE"""),1.001)</f>
        <v>1.001</v>
      </c>
      <c r="E1983" s="16">
        <f>IFERROR(__xludf.DUMMYFUNCTION("""COMPUTED_VALUE"""),62.0)</f>
        <v>62</v>
      </c>
      <c r="F1983" s="19" t="str">
        <f>IFERROR(__xludf.DUMMYFUNCTION("""COMPUTED_VALUE"""),"BLUE")</f>
        <v>BLUE</v>
      </c>
      <c r="G1983" s="20" t="str">
        <f>IFERROR(__xludf.DUMMYFUNCTION("""COMPUTED_VALUE"""),"Uncle Sams Cider (11/12/2021) (Blue)")</f>
        <v>Uncle Sams Cider (11/12/2021) (Blue)</v>
      </c>
      <c r="H1983" s="19"/>
    </row>
    <row r="1984">
      <c r="A1984" s="9"/>
      <c r="B1984" s="15"/>
      <c r="C1984" s="9">
        <f>IFERROR(__xludf.DUMMYFUNCTION("""COMPUTED_VALUE"""),44584.8849274537)</f>
        <v>44584.88493</v>
      </c>
      <c r="D1984" s="15">
        <f>IFERROR(__xludf.DUMMYFUNCTION("""COMPUTED_VALUE"""),1.002)</f>
        <v>1.002</v>
      </c>
      <c r="E1984" s="16">
        <f>IFERROR(__xludf.DUMMYFUNCTION("""COMPUTED_VALUE"""),62.0)</f>
        <v>62</v>
      </c>
      <c r="F1984" s="19" t="str">
        <f>IFERROR(__xludf.DUMMYFUNCTION("""COMPUTED_VALUE"""),"BLUE")</f>
        <v>BLUE</v>
      </c>
      <c r="G1984" s="20" t="str">
        <f>IFERROR(__xludf.DUMMYFUNCTION("""COMPUTED_VALUE"""),"Uncle Sams Cider (11/12/2021) (Blue)")</f>
        <v>Uncle Sams Cider (11/12/2021) (Blue)</v>
      </c>
      <c r="H1984" s="19"/>
    </row>
    <row r="1985">
      <c r="A1985" s="9"/>
      <c r="B1985" s="15"/>
      <c r="C1985" s="9">
        <f>IFERROR(__xludf.DUMMYFUNCTION("""COMPUTED_VALUE"""),44584.8745061342)</f>
        <v>44584.87451</v>
      </c>
      <c r="D1985" s="15">
        <f>IFERROR(__xludf.DUMMYFUNCTION("""COMPUTED_VALUE"""),1.001)</f>
        <v>1.001</v>
      </c>
      <c r="E1985" s="16">
        <f>IFERROR(__xludf.DUMMYFUNCTION("""COMPUTED_VALUE"""),62.0)</f>
        <v>62</v>
      </c>
      <c r="F1985" s="19" t="str">
        <f>IFERROR(__xludf.DUMMYFUNCTION("""COMPUTED_VALUE"""),"BLUE")</f>
        <v>BLUE</v>
      </c>
      <c r="G1985" s="20" t="str">
        <f>IFERROR(__xludf.DUMMYFUNCTION("""COMPUTED_VALUE"""),"Uncle Sams Cider (11/12/2021) (Blue)")</f>
        <v>Uncle Sams Cider (11/12/2021) (Blue)</v>
      </c>
      <c r="H1985" s="19"/>
    </row>
    <row r="1986">
      <c r="A1986" s="9"/>
      <c r="B1986" s="15"/>
      <c r="C1986" s="9">
        <f>IFERROR(__xludf.DUMMYFUNCTION("""COMPUTED_VALUE"""),44584.8640852546)</f>
        <v>44584.86409</v>
      </c>
      <c r="D1986" s="15">
        <f>IFERROR(__xludf.DUMMYFUNCTION("""COMPUTED_VALUE"""),1.001)</f>
        <v>1.001</v>
      </c>
      <c r="E1986" s="16">
        <f>IFERROR(__xludf.DUMMYFUNCTION("""COMPUTED_VALUE"""),62.0)</f>
        <v>62</v>
      </c>
      <c r="F1986" s="19" t="str">
        <f>IFERROR(__xludf.DUMMYFUNCTION("""COMPUTED_VALUE"""),"BLUE")</f>
        <v>BLUE</v>
      </c>
      <c r="G1986" s="20" t="str">
        <f>IFERROR(__xludf.DUMMYFUNCTION("""COMPUTED_VALUE"""),"Uncle Sams Cider (11/12/2021) (Blue)")</f>
        <v>Uncle Sams Cider (11/12/2021) (Blue)</v>
      </c>
      <c r="H1986" s="19"/>
    </row>
    <row r="1987">
      <c r="A1987" s="9"/>
      <c r="B1987" s="15"/>
      <c r="C1987" s="9">
        <f>IFERROR(__xludf.DUMMYFUNCTION("""COMPUTED_VALUE"""),44584.853663206)</f>
        <v>44584.85366</v>
      </c>
      <c r="D1987" s="15">
        <f>IFERROR(__xludf.DUMMYFUNCTION("""COMPUTED_VALUE"""),1.001)</f>
        <v>1.001</v>
      </c>
      <c r="E1987" s="16">
        <f>IFERROR(__xludf.DUMMYFUNCTION("""COMPUTED_VALUE"""),62.0)</f>
        <v>62</v>
      </c>
      <c r="F1987" s="19" t="str">
        <f>IFERROR(__xludf.DUMMYFUNCTION("""COMPUTED_VALUE"""),"BLUE")</f>
        <v>BLUE</v>
      </c>
      <c r="G1987" s="20" t="str">
        <f>IFERROR(__xludf.DUMMYFUNCTION("""COMPUTED_VALUE"""),"Uncle Sams Cider (11/12/2021) (Blue)")</f>
        <v>Uncle Sams Cider (11/12/2021) (Blue)</v>
      </c>
      <c r="H1987" s="19"/>
    </row>
    <row r="1988">
      <c r="A1988" s="9"/>
      <c r="B1988" s="15"/>
      <c r="C1988" s="9">
        <f>IFERROR(__xludf.DUMMYFUNCTION("""COMPUTED_VALUE"""),44584.8432435995)</f>
        <v>44584.84324</v>
      </c>
      <c r="D1988" s="15">
        <f>IFERROR(__xludf.DUMMYFUNCTION("""COMPUTED_VALUE"""),1.001)</f>
        <v>1.001</v>
      </c>
      <c r="E1988" s="16">
        <f>IFERROR(__xludf.DUMMYFUNCTION("""COMPUTED_VALUE"""),62.0)</f>
        <v>62</v>
      </c>
      <c r="F1988" s="19" t="str">
        <f>IFERROR(__xludf.DUMMYFUNCTION("""COMPUTED_VALUE"""),"BLUE")</f>
        <v>BLUE</v>
      </c>
      <c r="G1988" s="20" t="str">
        <f>IFERROR(__xludf.DUMMYFUNCTION("""COMPUTED_VALUE"""),"Uncle Sams Cider (11/12/2021) (Blue)")</f>
        <v>Uncle Sams Cider (11/12/2021) (Blue)</v>
      </c>
      <c r="H1988" s="19"/>
    </row>
    <row r="1989">
      <c r="A1989" s="9"/>
      <c r="B1989" s="15"/>
      <c r="C1989" s="9">
        <f>IFERROR(__xludf.DUMMYFUNCTION("""COMPUTED_VALUE"""),44584.8328224537)</f>
        <v>44584.83282</v>
      </c>
      <c r="D1989" s="15">
        <f>IFERROR(__xludf.DUMMYFUNCTION("""COMPUTED_VALUE"""),1.001)</f>
        <v>1.001</v>
      </c>
      <c r="E1989" s="16">
        <f>IFERROR(__xludf.DUMMYFUNCTION("""COMPUTED_VALUE"""),62.0)</f>
        <v>62</v>
      </c>
      <c r="F1989" s="19" t="str">
        <f>IFERROR(__xludf.DUMMYFUNCTION("""COMPUTED_VALUE"""),"BLUE")</f>
        <v>BLUE</v>
      </c>
      <c r="G1989" s="20" t="str">
        <f>IFERROR(__xludf.DUMMYFUNCTION("""COMPUTED_VALUE"""),"Uncle Sams Cider (11/12/2021) (Blue)")</f>
        <v>Uncle Sams Cider (11/12/2021) (Blue)</v>
      </c>
      <c r="H1989" s="19"/>
    </row>
    <row r="1990">
      <c r="A1990" s="9"/>
      <c r="B1990" s="15"/>
      <c r="C1990" s="9">
        <f>IFERROR(__xludf.DUMMYFUNCTION("""COMPUTED_VALUE"""),44584.8224015277)</f>
        <v>44584.8224</v>
      </c>
      <c r="D1990" s="15">
        <f>IFERROR(__xludf.DUMMYFUNCTION("""COMPUTED_VALUE"""),1.002)</f>
        <v>1.002</v>
      </c>
      <c r="E1990" s="16">
        <f>IFERROR(__xludf.DUMMYFUNCTION("""COMPUTED_VALUE"""),62.0)</f>
        <v>62</v>
      </c>
      <c r="F1990" s="19" t="str">
        <f>IFERROR(__xludf.DUMMYFUNCTION("""COMPUTED_VALUE"""),"BLUE")</f>
        <v>BLUE</v>
      </c>
      <c r="G1990" s="20" t="str">
        <f>IFERROR(__xludf.DUMMYFUNCTION("""COMPUTED_VALUE"""),"Uncle Sams Cider (11/12/2021) (Blue)")</f>
        <v>Uncle Sams Cider (11/12/2021) (Blue)</v>
      </c>
      <c r="H1990" s="19"/>
    </row>
    <row r="1991">
      <c r="A1991" s="9"/>
      <c r="B1991" s="15"/>
      <c r="C1991" s="9">
        <f>IFERROR(__xludf.DUMMYFUNCTION("""COMPUTED_VALUE"""),44584.8119808217)</f>
        <v>44584.81198</v>
      </c>
      <c r="D1991" s="15">
        <f>IFERROR(__xludf.DUMMYFUNCTION("""COMPUTED_VALUE"""),1.001)</f>
        <v>1.001</v>
      </c>
      <c r="E1991" s="16">
        <f>IFERROR(__xludf.DUMMYFUNCTION("""COMPUTED_VALUE"""),62.0)</f>
        <v>62</v>
      </c>
      <c r="F1991" s="19" t="str">
        <f>IFERROR(__xludf.DUMMYFUNCTION("""COMPUTED_VALUE"""),"BLUE")</f>
        <v>BLUE</v>
      </c>
      <c r="G1991" s="20" t="str">
        <f>IFERROR(__xludf.DUMMYFUNCTION("""COMPUTED_VALUE"""),"Uncle Sams Cider (11/12/2021) (Blue)")</f>
        <v>Uncle Sams Cider (11/12/2021) (Blue)</v>
      </c>
      <c r="H1991" s="19"/>
    </row>
    <row r="1992">
      <c r="A1992" s="9"/>
      <c r="B1992" s="15"/>
      <c r="C1992" s="9">
        <f>IFERROR(__xludf.DUMMYFUNCTION("""COMPUTED_VALUE"""),44584.8015600925)</f>
        <v>44584.80156</v>
      </c>
      <c r="D1992" s="15">
        <f>IFERROR(__xludf.DUMMYFUNCTION("""COMPUTED_VALUE"""),1.002)</f>
        <v>1.002</v>
      </c>
      <c r="E1992" s="16">
        <f>IFERROR(__xludf.DUMMYFUNCTION("""COMPUTED_VALUE"""),62.0)</f>
        <v>62</v>
      </c>
      <c r="F1992" s="19" t="str">
        <f>IFERROR(__xludf.DUMMYFUNCTION("""COMPUTED_VALUE"""),"BLUE")</f>
        <v>BLUE</v>
      </c>
      <c r="G1992" s="20" t="str">
        <f>IFERROR(__xludf.DUMMYFUNCTION("""COMPUTED_VALUE"""),"Uncle Sams Cider (11/12/2021) (Blue)")</f>
        <v>Uncle Sams Cider (11/12/2021) (Blue)</v>
      </c>
      <c r="H1992" s="19"/>
    </row>
    <row r="1993">
      <c r="A1993" s="9"/>
      <c r="B1993" s="15"/>
      <c r="C1993" s="9">
        <f>IFERROR(__xludf.DUMMYFUNCTION("""COMPUTED_VALUE"""),44584.7911393865)</f>
        <v>44584.79114</v>
      </c>
      <c r="D1993" s="15">
        <f>IFERROR(__xludf.DUMMYFUNCTION("""COMPUTED_VALUE"""),1.001)</f>
        <v>1.001</v>
      </c>
      <c r="E1993" s="16">
        <f>IFERROR(__xludf.DUMMYFUNCTION("""COMPUTED_VALUE"""),62.0)</f>
        <v>62</v>
      </c>
      <c r="F1993" s="19" t="str">
        <f>IFERROR(__xludf.DUMMYFUNCTION("""COMPUTED_VALUE"""),"BLUE")</f>
        <v>BLUE</v>
      </c>
      <c r="G1993" s="20" t="str">
        <f>IFERROR(__xludf.DUMMYFUNCTION("""COMPUTED_VALUE"""),"Uncle Sams Cider (11/12/2021) (Blue)")</f>
        <v>Uncle Sams Cider (11/12/2021) (Blue)</v>
      </c>
      <c r="H1993" s="19"/>
    </row>
    <row r="1994">
      <c r="A1994" s="9"/>
      <c r="B1994" s="15"/>
      <c r="C1994" s="9">
        <f>IFERROR(__xludf.DUMMYFUNCTION("""COMPUTED_VALUE"""),44584.78071603)</f>
        <v>44584.78072</v>
      </c>
      <c r="D1994" s="15">
        <f>IFERROR(__xludf.DUMMYFUNCTION("""COMPUTED_VALUE"""),1.001)</f>
        <v>1.001</v>
      </c>
      <c r="E1994" s="16">
        <f>IFERROR(__xludf.DUMMYFUNCTION("""COMPUTED_VALUE"""),62.0)</f>
        <v>62</v>
      </c>
      <c r="F1994" s="19" t="str">
        <f>IFERROR(__xludf.DUMMYFUNCTION("""COMPUTED_VALUE"""),"BLUE")</f>
        <v>BLUE</v>
      </c>
      <c r="G1994" s="20" t="str">
        <f>IFERROR(__xludf.DUMMYFUNCTION("""COMPUTED_VALUE"""),"Uncle Sams Cider (11/12/2021) (Blue)")</f>
        <v>Uncle Sams Cider (11/12/2021) (Blue)</v>
      </c>
      <c r="H1994" s="19"/>
    </row>
    <row r="1995">
      <c r="A1995" s="9"/>
      <c r="B1995" s="15"/>
      <c r="C1995" s="9">
        <f>IFERROR(__xludf.DUMMYFUNCTION("""COMPUTED_VALUE"""),44584.7702967361)</f>
        <v>44584.7703</v>
      </c>
      <c r="D1995" s="15">
        <f>IFERROR(__xludf.DUMMYFUNCTION("""COMPUTED_VALUE"""),1.001)</f>
        <v>1.001</v>
      </c>
      <c r="E1995" s="16">
        <f>IFERROR(__xludf.DUMMYFUNCTION("""COMPUTED_VALUE"""),62.0)</f>
        <v>62</v>
      </c>
      <c r="F1995" s="19" t="str">
        <f>IFERROR(__xludf.DUMMYFUNCTION("""COMPUTED_VALUE"""),"BLUE")</f>
        <v>BLUE</v>
      </c>
      <c r="G1995" s="20" t="str">
        <f>IFERROR(__xludf.DUMMYFUNCTION("""COMPUTED_VALUE"""),"Uncle Sams Cider (11/12/2021) (Blue)")</f>
        <v>Uncle Sams Cider (11/12/2021) (Blue)</v>
      </c>
      <c r="H1995" s="19"/>
    </row>
    <row r="1996">
      <c r="A1996" s="9"/>
      <c r="B1996" s="15"/>
      <c r="C1996" s="9">
        <f>IFERROR(__xludf.DUMMYFUNCTION("""COMPUTED_VALUE"""),44584.7598647916)</f>
        <v>44584.75986</v>
      </c>
      <c r="D1996" s="15">
        <f>IFERROR(__xludf.DUMMYFUNCTION("""COMPUTED_VALUE"""),1.001)</f>
        <v>1.001</v>
      </c>
      <c r="E1996" s="16">
        <f>IFERROR(__xludf.DUMMYFUNCTION("""COMPUTED_VALUE"""),62.0)</f>
        <v>62</v>
      </c>
      <c r="F1996" s="19" t="str">
        <f>IFERROR(__xludf.DUMMYFUNCTION("""COMPUTED_VALUE"""),"BLUE")</f>
        <v>BLUE</v>
      </c>
      <c r="G1996" s="20" t="str">
        <f>IFERROR(__xludf.DUMMYFUNCTION("""COMPUTED_VALUE"""),"Uncle Sams Cider (11/12/2021) (Blue)")</f>
        <v>Uncle Sams Cider (11/12/2021) (Blue)</v>
      </c>
      <c r="H1996" s="19"/>
    </row>
    <row r="1997">
      <c r="A1997" s="9"/>
      <c r="B1997" s="15"/>
      <c r="C1997" s="9">
        <f>IFERROR(__xludf.DUMMYFUNCTION("""COMPUTED_VALUE"""),44584.7494445254)</f>
        <v>44584.74944</v>
      </c>
      <c r="D1997" s="15">
        <f>IFERROR(__xludf.DUMMYFUNCTION("""COMPUTED_VALUE"""),1.001)</f>
        <v>1.001</v>
      </c>
      <c r="E1997" s="16">
        <f>IFERROR(__xludf.DUMMYFUNCTION("""COMPUTED_VALUE"""),62.0)</f>
        <v>62</v>
      </c>
      <c r="F1997" s="19" t="str">
        <f>IFERROR(__xludf.DUMMYFUNCTION("""COMPUTED_VALUE"""),"BLUE")</f>
        <v>BLUE</v>
      </c>
      <c r="G1997" s="20" t="str">
        <f>IFERROR(__xludf.DUMMYFUNCTION("""COMPUTED_VALUE"""),"Uncle Sams Cider (11/12/2021) (Blue)")</f>
        <v>Uncle Sams Cider (11/12/2021) (Blue)</v>
      </c>
      <c r="H1997" s="19"/>
    </row>
    <row r="1998">
      <c r="A1998" s="9"/>
      <c r="B1998" s="15"/>
      <c r="C1998" s="9">
        <f>IFERROR(__xludf.DUMMYFUNCTION("""COMPUTED_VALUE"""),44584.7390227546)</f>
        <v>44584.73902</v>
      </c>
      <c r="D1998" s="15">
        <f>IFERROR(__xludf.DUMMYFUNCTION("""COMPUTED_VALUE"""),1.001)</f>
        <v>1.001</v>
      </c>
      <c r="E1998" s="16">
        <f>IFERROR(__xludf.DUMMYFUNCTION("""COMPUTED_VALUE"""),62.0)</f>
        <v>62</v>
      </c>
      <c r="F1998" s="19" t="str">
        <f>IFERROR(__xludf.DUMMYFUNCTION("""COMPUTED_VALUE"""),"BLUE")</f>
        <v>BLUE</v>
      </c>
      <c r="G1998" s="20" t="str">
        <f>IFERROR(__xludf.DUMMYFUNCTION("""COMPUTED_VALUE"""),"Uncle Sams Cider (11/12/2021) (Blue)")</f>
        <v>Uncle Sams Cider (11/12/2021) (Blue)</v>
      </c>
      <c r="H1998" s="19"/>
    </row>
    <row r="1999">
      <c r="A1999" s="9"/>
      <c r="B1999" s="15"/>
      <c r="C1999" s="9">
        <f>IFERROR(__xludf.DUMMYFUNCTION("""COMPUTED_VALUE"""),44584.7286010069)</f>
        <v>44584.7286</v>
      </c>
      <c r="D1999" s="15">
        <f>IFERROR(__xludf.DUMMYFUNCTION("""COMPUTED_VALUE"""),1.001)</f>
        <v>1.001</v>
      </c>
      <c r="E1999" s="16">
        <f>IFERROR(__xludf.DUMMYFUNCTION("""COMPUTED_VALUE"""),62.0)</f>
        <v>62</v>
      </c>
      <c r="F1999" s="19" t="str">
        <f>IFERROR(__xludf.DUMMYFUNCTION("""COMPUTED_VALUE"""),"BLUE")</f>
        <v>BLUE</v>
      </c>
      <c r="G1999" s="20" t="str">
        <f>IFERROR(__xludf.DUMMYFUNCTION("""COMPUTED_VALUE"""),"Uncle Sams Cider (11/12/2021) (Blue)")</f>
        <v>Uncle Sams Cider (11/12/2021) (Blue)</v>
      </c>
      <c r="H1999" s="19"/>
    </row>
    <row r="2000">
      <c r="A2000" s="9"/>
      <c r="B2000" s="15"/>
      <c r="C2000" s="9">
        <f>IFERROR(__xludf.DUMMYFUNCTION("""COMPUTED_VALUE"""),44584.7181799421)</f>
        <v>44584.71818</v>
      </c>
      <c r="D2000" s="15">
        <f>IFERROR(__xludf.DUMMYFUNCTION("""COMPUTED_VALUE"""),1.001)</f>
        <v>1.001</v>
      </c>
      <c r="E2000" s="16">
        <f>IFERROR(__xludf.DUMMYFUNCTION("""COMPUTED_VALUE"""),62.0)</f>
        <v>62</v>
      </c>
      <c r="F2000" s="19" t="str">
        <f>IFERROR(__xludf.DUMMYFUNCTION("""COMPUTED_VALUE"""),"BLUE")</f>
        <v>BLUE</v>
      </c>
      <c r="G2000" s="20" t="str">
        <f>IFERROR(__xludf.DUMMYFUNCTION("""COMPUTED_VALUE"""),"Uncle Sams Cider (11/12/2021) (Blue)")</f>
        <v>Uncle Sams Cider (11/12/2021) (Blue)</v>
      </c>
      <c r="H2000" s="19"/>
    </row>
    <row r="2001">
      <c r="A2001" s="9"/>
      <c r="B2001" s="15"/>
      <c r="C2001" s="9">
        <f>IFERROR(__xludf.DUMMYFUNCTION("""COMPUTED_VALUE"""),44584.7077605902)</f>
        <v>44584.70776</v>
      </c>
      <c r="D2001" s="15">
        <f>IFERROR(__xludf.DUMMYFUNCTION("""COMPUTED_VALUE"""),1.002)</f>
        <v>1.002</v>
      </c>
      <c r="E2001" s="16">
        <f>IFERROR(__xludf.DUMMYFUNCTION("""COMPUTED_VALUE"""),62.0)</f>
        <v>62</v>
      </c>
      <c r="F2001" s="19" t="str">
        <f>IFERROR(__xludf.DUMMYFUNCTION("""COMPUTED_VALUE"""),"BLUE")</f>
        <v>BLUE</v>
      </c>
      <c r="G2001" s="20" t="str">
        <f>IFERROR(__xludf.DUMMYFUNCTION("""COMPUTED_VALUE"""),"Uncle Sams Cider (11/12/2021) (Blue)")</f>
        <v>Uncle Sams Cider (11/12/2021) (Blue)</v>
      </c>
      <c r="H2001" s="19"/>
    </row>
    <row r="2002">
      <c r="A2002" s="9"/>
      <c r="B2002" s="15"/>
      <c r="C2002" s="9">
        <f>IFERROR(__xludf.DUMMYFUNCTION("""COMPUTED_VALUE"""),44584.6973394328)</f>
        <v>44584.69734</v>
      </c>
      <c r="D2002" s="15">
        <f>IFERROR(__xludf.DUMMYFUNCTION("""COMPUTED_VALUE"""),1.001)</f>
        <v>1.001</v>
      </c>
      <c r="E2002" s="16">
        <f>IFERROR(__xludf.DUMMYFUNCTION("""COMPUTED_VALUE"""),62.0)</f>
        <v>62</v>
      </c>
      <c r="F2002" s="19" t="str">
        <f>IFERROR(__xludf.DUMMYFUNCTION("""COMPUTED_VALUE"""),"BLUE")</f>
        <v>BLUE</v>
      </c>
      <c r="G2002" s="20" t="str">
        <f>IFERROR(__xludf.DUMMYFUNCTION("""COMPUTED_VALUE"""),"Uncle Sams Cider (11/12/2021) (Blue)")</f>
        <v>Uncle Sams Cider (11/12/2021) (Blue)</v>
      </c>
      <c r="H2002" s="19"/>
    </row>
    <row r="2003">
      <c r="A2003" s="9"/>
      <c r="B2003" s="15"/>
      <c r="C2003" s="9">
        <f>IFERROR(__xludf.DUMMYFUNCTION("""COMPUTED_VALUE"""),44584.6869165972)</f>
        <v>44584.68692</v>
      </c>
      <c r="D2003" s="15">
        <f>IFERROR(__xludf.DUMMYFUNCTION("""COMPUTED_VALUE"""),1.001)</f>
        <v>1.001</v>
      </c>
      <c r="E2003" s="16">
        <f>IFERROR(__xludf.DUMMYFUNCTION("""COMPUTED_VALUE"""),62.0)</f>
        <v>62</v>
      </c>
      <c r="F2003" s="19" t="str">
        <f>IFERROR(__xludf.DUMMYFUNCTION("""COMPUTED_VALUE"""),"BLUE")</f>
        <v>BLUE</v>
      </c>
      <c r="G2003" s="20" t="str">
        <f>IFERROR(__xludf.DUMMYFUNCTION("""COMPUTED_VALUE"""),"Uncle Sams Cider (11/12/2021) (Blue)")</f>
        <v>Uncle Sams Cider (11/12/2021) (Blue)</v>
      </c>
      <c r="H2003" s="19"/>
    </row>
    <row r="2004">
      <c r="A2004" s="9"/>
      <c r="B2004" s="15"/>
      <c r="C2004" s="9">
        <f>IFERROR(__xludf.DUMMYFUNCTION("""COMPUTED_VALUE"""),44584.6764958564)</f>
        <v>44584.6765</v>
      </c>
      <c r="D2004" s="15">
        <f>IFERROR(__xludf.DUMMYFUNCTION("""COMPUTED_VALUE"""),1.001)</f>
        <v>1.001</v>
      </c>
      <c r="E2004" s="16">
        <f>IFERROR(__xludf.DUMMYFUNCTION("""COMPUTED_VALUE"""),62.0)</f>
        <v>62</v>
      </c>
      <c r="F2004" s="19" t="str">
        <f>IFERROR(__xludf.DUMMYFUNCTION("""COMPUTED_VALUE"""),"BLUE")</f>
        <v>BLUE</v>
      </c>
      <c r="G2004" s="20" t="str">
        <f>IFERROR(__xludf.DUMMYFUNCTION("""COMPUTED_VALUE"""),"Uncle Sams Cider (11/12/2021) (Blue)")</f>
        <v>Uncle Sams Cider (11/12/2021) (Blue)</v>
      </c>
      <c r="H2004" s="19"/>
    </row>
    <row r="2005">
      <c r="A2005" s="9"/>
      <c r="B2005" s="15"/>
      <c r="C2005" s="9">
        <f>IFERROR(__xludf.DUMMYFUNCTION("""COMPUTED_VALUE"""),44584.6660733333)</f>
        <v>44584.66607</v>
      </c>
      <c r="D2005" s="15">
        <f>IFERROR(__xludf.DUMMYFUNCTION("""COMPUTED_VALUE"""),1.001)</f>
        <v>1.001</v>
      </c>
      <c r="E2005" s="16">
        <f>IFERROR(__xludf.DUMMYFUNCTION("""COMPUTED_VALUE"""),62.0)</f>
        <v>62</v>
      </c>
      <c r="F2005" s="19" t="str">
        <f>IFERROR(__xludf.DUMMYFUNCTION("""COMPUTED_VALUE"""),"BLUE")</f>
        <v>BLUE</v>
      </c>
      <c r="G2005" s="20" t="str">
        <f>IFERROR(__xludf.DUMMYFUNCTION("""COMPUTED_VALUE"""),"Uncle Sams Cider (11/12/2021) (Blue)")</f>
        <v>Uncle Sams Cider (11/12/2021) (Blue)</v>
      </c>
      <c r="H2005" s="19"/>
    </row>
    <row r="2006">
      <c r="A2006" s="9"/>
      <c r="B2006" s="15"/>
      <c r="C2006" s="9">
        <f>IFERROR(__xludf.DUMMYFUNCTION("""COMPUTED_VALUE"""),44584.6556520254)</f>
        <v>44584.65565</v>
      </c>
      <c r="D2006" s="15">
        <f>IFERROR(__xludf.DUMMYFUNCTION("""COMPUTED_VALUE"""),1.001)</f>
        <v>1.001</v>
      </c>
      <c r="E2006" s="16">
        <f>IFERROR(__xludf.DUMMYFUNCTION("""COMPUTED_VALUE"""),62.0)</f>
        <v>62</v>
      </c>
      <c r="F2006" s="19" t="str">
        <f>IFERROR(__xludf.DUMMYFUNCTION("""COMPUTED_VALUE"""),"BLUE")</f>
        <v>BLUE</v>
      </c>
      <c r="G2006" s="20" t="str">
        <f>IFERROR(__xludf.DUMMYFUNCTION("""COMPUTED_VALUE"""),"Uncle Sams Cider (11/12/2021) (Blue)")</f>
        <v>Uncle Sams Cider (11/12/2021) (Blue)</v>
      </c>
      <c r="H2006" s="19"/>
    </row>
    <row r="2007">
      <c r="A2007" s="9"/>
      <c r="B2007" s="15"/>
      <c r="C2007" s="9">
        <f>IFERROR(__xludf.DUMMYFUNCTION("""COMPUTED_VALUE"""),44584.6452315393)</f>
        <v>44584.64523</v>
      </c>
      <c r="D2007" s="15">
        <f>IFERROR(__xludf.DUMMYFUNCTION("""COMPUTED_VALUE"""),1.001)</f>
        <v>1.001</v>
      </c>
      <c r="E2007" s="16">
        <f>IFERROR(__xludf.DUMMYFUNCTION("""COMPUTED_VALUE"""),62.0)</f>
        <v>62</v>
      </c>
      <c r="F2007" s="19" t="str">
        <f>IFERROR(__xludf.DUMMYFUNCTION("""COMPUTED_VALUE"""),"BLUE")</f>
        <v>BLUE</v>
      </c>
      <c r="G2007" s="20" t="str">
        <f>IFERROR(__xludf.DUMMYFUNCTION("""COMPUTED_VALUE"""),"Uncle Sams Cider (11/12/2021) (Blue)")</f>
        <v>Uncle Sams Cider (11/12/2021) (Blue)</v>
      </c>
      <c r="H2007" s="19"/>
    </row>
    <row r="2008">
      <c r="A2008" s="9"/>
      <c r="B2008" s="15"/>
      <c r="C2008" s="9">
        <f>IFERROR(__xludf.DUMMYFUNCTION("""COMPUTED_VALUE"""),44584.6348123379)</f>
        <v>44584.63481</v>
      </c>
      <c r="D2008" s="15">
        <f>IFERROR(__xludf.DUMMYFUNCTION("""COMPUTED_VALUE"""),1.001)</f>
        <v>1.001</v>
      </c>
      <c r="E2008" s="16">
        <f>IFERROR(__xludf.DUMMYFUNCTION("""COMPUTED_VALUE"""),62.0)</f>
        <v>62</v>
      </c>
      <c r="F2008" s="19" t="str">
        <f>IFERROR(__xludf.DUMMYFUNCTION("""COMPUTED_VALUE"""),"BLUE")</f>
        <v>BLUE</v>
      </c>
      <c r="G2008" s="20" t="str">
        <f>IFERROR(__xludf.DUMMYFUNCTION("""COMPUTED_VALUE"""),"Uncle Sams Cider (11/12/2021) (Blue)")</f>
        <v>Uncle Sams Cider (11/12/2021) (Blue)</v>
      </c>
      <c r="H2008" s="19"/>
    </row>
    <row r="2009">
      <c r="A2009" s="9"/>
      <c r="B2009" s="15"/>
      <c r="C2009" s="9">
        <f>IFERROR(__xludf.DUMMYFUNCTION("""COMPUTED_VALUE"""),44584.6243792361)</f>
        <v>44584.62438</v>
      </c>
      <c r="D2009" s="15">
        <f>IFERROR(__xludf.DUMMYFUNCTION("""COMPUTED_VALUE"""),1.001)</f>
        <v>1.001</v>
      </c>
      <c r="E2009" s="16">
        <f>IFERROR(__xludf.DUMMYFUNCTION("""COMPUTED_VALUE"""),62.0)</f>
        <v>62</v>
      </c>
      <c r="F2009" s="19" t="str">
        <f>IFERROR(__xludf.DUMMYFUNCTION("""COMPUTED_VALUE"""),"BLUE")</f>
        <v>BLUE</v>
      </c>
      <c r="G2009" s="20" t="str">
        <f>IFERROR(__xludf.DUMMYFUNCTION("""COMPUTED_VALUE"""),"Uncle Sams Cider (11/12/2021) (Blue)")</f>
        <v>Uncle Sams Cider (11/12/2021) (Blue)</v>
      </c>
      <c r="H2009" s="19"/>
    </row>
    <row r="2010">
      <c r="A2010" s="9"/>
      <c r="B2010" s="15"/>
      <c r="C2010" s="9">
        <f>IFERROR(__xludf.DUMMYFUNCTION("""COMPUTED_VALUE"""),44584.6139587615)</f>
        <v>44584.61396</v>
      </c>
      <c r="D2010" s="15">
        <f>IFERROR(__xludf.DUMMYFUNCTION("""COMPUTED_VALUE"""),1.001)</f>
        <v>1.001</v>
      </c>
      <c r="E2010" s="16">
        <f>IFERROR(__xludf.DUMMYFUNCTION("""COMPUTED_VALUE"""),62.0)</f>
        <v>62</v>
      </c>
      <c r="F2010" s="19" t="str">
        <f>IFERROR(__xludf.DUMMYFUNCTION("""COMPUTED_VALUE"""),"BLUE")</f>
        <v>BLUE</v>
      </c>
      <c r="G2010" s="20" t="str">
        <f>IFERROR(__xludf.DUMMYFUNCTION("""COMPUTED_VALUE"""),"Uncle Sams Cider (11/12/2021) (Blue)")</f>
        <v>Uncle Sams Cider (11/12/2021) (Blue)</v>
      </c>
      <c r="H2010" s="19"/>
    </row>
    <row r="2011">
      <c r="A2011" s="9"/>
      <c r="B2011" s="15"/>
      <c r="C2011" s="9">
        <f>IFERROR(__xludf.DUMMYFUNCTION("""COMPUTED_VALUE"""),44584.603537905)</f>
        <v>44584.60354</v>
      </c>
      <c r="D2011" s="15">
        <f>IFERROR(__xludf.DUMMYFUNCTION("""COMPUTED_VALUE"""),1.001)</f>
        <v>1.001</v>
      </c>
      <c r="E2011" s="16">
        <f>IFERROR(__xludf.DUMMYFUNCTION("""COMPUTED_VALUE"""),62.0)</f>
        <v>62</v>
      </c>
      <c r="F2011" s="19" t="str">
        <f>IFERROR(__xludf.DUMMYFUNCTION("""COMPUTED_VALUE"""),"BLUE")</f>
        <v>BLUE</v>
      </c>
      <c r="G2011" s="20" t="str">
        <f>IFERROR(__xludf.DUMMYFUNCTION("""COMPUTED_VALUE"""),"Uncle Sams Cider (11/12/2021) (Blue)")</f>
        <v>Uncle Sams Cider (11/12/2021) (Blue)</v>
      </c>
      <c r="H2011" s="19"/>
    </row>
    <row r="2012">
      <c r="A2012" s="9"/>
      <c r="B2012" s="15"/>
      <c r="C2012" s="9">
        <f>IFERROR(__xludf.DUMMYFUNCTION("""COMPUTED_VALUE"""),44584.5930939583)</f>
        <v>44584.59309</v>
      </c>
      <c r="D2012" s="15">
        <f>IFERROR(__xludf.DUMMYFUNCTION("""COMPUTED_VALUE"""),1.001)</f>
        <v>1.001</v>
      </c>
      <c r="E2012" s="16">
        <f>IFERROR(__xludf.DUMMYFUNCTION("""COMPUTED_VALUE"""),62.0)</f>
        <v>62</v>
      </c>
      <c r="F2012" s="19" t="str">
        <f>IFERROR(__xludf.DUMMYFUNCTION("""COMPUTED_VALUE"""),"BLUE")</f>
        <v>BLUE</v>
      </c>
      <c r="G2012" s="20" t="str">
        <f>IFERROR(__xludf.DUMMYFUNCTION("""COMPUTED_VALUE"""),"Uncle Sams Cider (11/12/2021) (Blue)")</f>
        <v>Uncle Sams Cider (11/12/2021) (Blue)</v>
      </c>
      <c r="H2012" s="19"/>
    </row>
    <row r="2013">
      <c r="A2013" s="9"/>
      <c r="B2013" s="15"/>
      <c r="C2013" s="9">
        <f>IFERROR(__xludf.DUMMYFUNCTION("""COMPUTED_VALUE"""),44584.5826717592)</f>
        <v>44584.58267</v>
      </c>
      <c r="D2013" s="15">
        <f>IFERROR(__xludf.DUMMYFUNCTION("""COMPUTED_VALUE"""),1.001)</f>
        <v>1.001</v>
      </c>
      <c r="E2013" s="16">
        <f>IFERROR(__xludf.DUMMYFUNCTION("""COMPUTED_VALUE"""),62.0)</f>
        <v>62</v>
      </c>
      <c r="F2013" s="19" t="str">
        <f>IFERROR(__xludf.DUMMYFUNCTION("""COMPUTED_VALUE"""),"BLUE")</f>
        <v>BLUE</v>
      </c>
      <c r="G2013" s="20" t="str">
        <f>IFERROR(__xludf.DUMMYFUNCTION("""COMPUTED_VALUE"""),"Uncle Sams Cider (11/12/2021) (Blue)")</f>
        <v>Uncle Sams Cider (11/12/2021) (Blue)</v>
      </c>
      <c r="H2013" s="19"/>
    </row>
    <row r="2014">
      <c r="A2014" s="9"/>
      <c r="B2014" s="15"/>
      <c r="C2014" s="9">
        <f>IFERROR(__xludf.DUMMYFUNCTION("""COMPUTED_VALUE"""),44584.5722515162)</f>
        <v>44584.57225</v>
      </c>
      <c r="D2014" s="15">
        <f>IFERROR(__xludf.DUMMYFUNCTION("""COMPUTED_VALUE"""),1.001)</f>
        <v>1.001</v>
      </c>
      <c r="E2014" s="16">
        <f>IFERROR(__xludf.DUMMYFUNCTION("""COMPUTED_VALUE"""),62.0)</f>
        <v>62</v>
      </c>
      <c r="F2014" s="19" t="str">
        <f>IFERROR(__xludf.DUMMYFUNCTION("""COMPUTED_VALUE"""),"BLUE")</f>
        <v>BLUE</v>
      </c>
      <c r="G2014" s="20" t="str">
        <f>IFERROR(__xludf.DUMMYFUNCTION("""COMPUTED_VALUE"""),"Uncle Sams Cider (11/12/2021) (Blue)")</f>
        <v>Uncle Sams Cider (11/12/2021) (Blue)</v>
      </c>
      <c r="H2014" s="19"/>
    </row>
    <row r="2015">
      <c r="A2015" s="9"/>
      <c r="B2015" s="15"/>
      <c r="C2015" s="9">
        <f>IFERROR(__xludf.DUMMYFUNCTION("""COMPUTED_VALUE"""),44584.561832118)</f>
        <v>44584.56183</v>
      </c>
      <c r="D2015" s="15">
        <f>IFERROR(__xludf.DUMMYFUNCTION("""COMPUTED_VALUE"""),1.001)</f>
        <v>1.001</v>
      </c>
      <c r="E2015" s="16">
        <f>IFERROR(__xludf.DUMMYFUNCTION("""COMPUTED_VALUE"""),62.0)</f>
        <v>62</v>
      </c>
      <c r="F2015" s="19" t="str">
        <f>IFERROR(__xludf.DUMMYFUNCTION("""COMPUTED_VALUE"""),"BLUE")</f>
        <v>BLUE</v>
      </c>
      <c r="G2015" s="20" t="str">
        <f>IFERROR(__xludf.DUMMYFUNCTION("""COMPUTED_VALUE"""),"Uncle Sams Cider (11/12/2021) (Blue)")</f>
        <v>Uncle Sams Cider (11/12/2021) (Blue)</v>
      </c>
      <c r="H2015" s="19"/>
    </row>
    <row r="2016">
      <c r="A2016" s="9"/>
      <c r="B2016" s="15"/>
      <c r="C2016" s="9">
        <f>IFERROR(__xludf.DUMMYFUNCTION("""COMPUTED_VALUE"""),44584.5513517708)</f>
        <v>44584.55135</v>
      </c>
      <c r="D2016" s="15">
        <f>IFERROR(__xludf.DUMMYFUNCTION("""COMPUTED_VALUE"""),1.001)</f>
        <v>1.001</v>
      </c>
      <c r="E2016" s="16">
        <f>IFERROR(__xludf.DUMMYFUNCTION("""COMPUTED_VALUE"""),62.0)</f>
        <v>62</v>
      </c>
      <c r="F2016" s="19" t="str">
        <f>IFERROR(__xludf.DUMMYFUNCTION("""COMPUTED_VALUE"""),"BLUE")</f>
        <v>BLUE</v>
      </c>
      <c r="G2016" s="20" t="str">
        <f>IFERROR(__xludf.DUMMYFUNCTION("""COMPUTED_VALUE"""),"Uncle Sams Cider (11/12/2021) (Blue)")</f>
        <v>Uncle Sams Cider (11/12/2021) (Blue)</v>
      </c>
      <c r="H2016" s="19"/>
    </row>
    <row r="2017">
      <c r="A2017" s="9"/>
      <c r="B2017" s="15"/>
      <c r="C2017" s="9">
        <f>IFERROR(__xludf.DUMMYFUNCTION("""COMPUTED_VALUE"""),44584.5409319791)</f>
        <v>44584.54093</v>
      </c>
      <c r="D2017" s="15">
        <f>IFERROR(__xludf.DUMMYFUNCTION("""COMPUTED_VALUE"""),1.001)</f>
        <v>1.001</v>
      </c>
      <c r="E2017" s="16">
        <f>IFERROR(__xludf.DUMMYFUNCTION("""COMPUTED_VALUE"""),62.0)</f>
        <v>62</v>
      </c>
      <c r="F2017" s="19" t="str">
        <f>IFERROR(__xludf.DUMMYFUNCTION("""COMPUTED_VALUE"""),"BLUE")</f>
        <v>BLUE</v>
      </c>
      <c r="G2017" s="20" t="str">
        <f>IFERROR(__xludf.DUMMYFUNCTION("""COMPUTED_VALUE"""),"Uncle Sams Cider (11/12/2021) (Blue)")</f>
        <v>Uncle Sams Cider (11/12/2021) (Blue)</v>
      </c>
      <c r="H2017" s="19"/>
    </row>
    <row r="2018">
      <c r="A2018" s="9"/>
      <c r="B2018" s="15"/>
      <c r="C2018" s="9">
        <f>IFERROR(__xludf.DUMMYFUNCTION("""COMPUTED_VALUE"""),44584.5305111921)</f>
        <v>44584.53051</v>
      </c>
      <c r="D2018" s="15">
        <f>IFERROR(__xludf.DUMMYFUNCTION("""COMPUTED_VALUE"""),1.001)</f>
        <v>1.001</v>
      </c>
      <c r="E2018" s="16">
        <f>IFERROR(__xludf.DUMMYFUNCTION("""COMPUTED_VALUE"""),62.0)</f>
        <v>62</v>
      </c>
      <c r="F2018" s="19" t="str">
        <f>IFERROR(__xludf.DUMMYFUNCTION("""COMPUTED_VALUE"""),"BLUE")</f>
        <v>BLUE</v>
      </c>
      <c r="G2018" s="20" t="str">
        <f>IFERROR(__xludf.DUMMYFUNCTION("""COMPUTED_VALUE"""),"Uncle Sams Cider (11/12/2021) (Blue)")</f>
        <v>Uncle Sams Cider (11/12/2021) (Blue)</v>
      </c>
      <c r="H2018" s="19"/>
    </row>
    <row r="2019">
      <c r="A2019" s="9"/>
      <c r="B2019" s="15"/>
      <c r="C2019" s="9">
        <f>IFERROR(__xludf.DUMMYFUNCTION("""COMPUTED_VALUE"""),44584.5200899305)</f>
        <v>44584.52009</v>
      </c>
      <c r="D2019" s="15">
        <f>IFERROR(__xludf.DUMMYFUNCTION("""COMPUTED_VALUE"""),1.001)</f>
        <v>1.001</v>
      </c>
      <c r="E2019" s="16">
        <f>IFERROR(__xludf.DUMMYFUNCTION("""COMPUTED_VALUE"""),62.0)</f>
        <v>62</v>
      </c>
      <c r="F2019" s="19" t="str">
        <f>IFERROR(__xludf.DUMMYFUNCTION("""COMPUTED_VALUE"""),"BLUE")</f>
        <v>BLUE</v>
      </c>
      <c r="G2019" s="20" t="str">
        <f>IFERROR(__xludf.DUMMYFUNCTION("""COMPUTED_VALUE"""),"Uncle Sams Cider (11/12/2021) (Blue)")</f>
        <v>Uncle Sams Cider (11/12/2021) (Blue)</v>
      </c>
      <c r="H2019" s="19"/>
    </row>
    <row r="2020">
      <c r="A2020" s="9"/>
      <c r="B2020" s="15"/>
      <c r="C2020" s="9">
        <f>IFERROR(__xludf.DUMMYFUNCTION("""COMPUTED_VALUE"""),44584.5096671411)</f>
        <v>44584.50967</v>
      </c>
      <c r="D2020" s="15">
        <f>IFERROR(__xludf.DUMMYFUNCTION("""COMPUTED_VALUE"""),1.001)</f>
        <v>1.001</v>
      </c>
      <c r="E2020" s="16">
        <f>IFERROR(__xludf.DUMMYFUNCTION("""COMPUTED_VALUE"""),62.0)</f>
        <v>62</v>
      </c>
      <c r="F2020" s="19" t="str">
        <f>IFERROR(__xludf.DUMMYFUNCTION("""COMPUTED_VALUE"""),"BLUE")</f>
        <v>BLUE</v>
      </c>
      <c r="G2020" s="20" t="str">
        <f>IFERROR(__xludf.DUMMYFUNCTION("""COMPUTED_VALUE"""),"Uncle Sams Cider (11/12/2021) (Blue)")</f>
        <v>Uncle Sams Cider (11/12/2021) (Blue)</v>
      </c>
      <c r="H2020" s="19"/>
    </row>
    <row r="2021">
      <c r="A2021" s="9"/>
      <c r="B2021" s="15"/>
      <c r="C2021" s="9">
        <f>IFERROR(__xludf.DUMMYFUNCTION("""COMPUTED_VALUE"""),44584.4992457407)</f>
        <v>44584.49925</v>
      </c>
      <c r="D2021" s="15">
        <f>IFERROR(__xludf.DUMMYFUNCTION("""COMPUTED_VALUE"""),1.001)</f>
        <v>1.001</v>
      </c>
      <c r="E2021" s="16">
        <f>IFERROR(__xludf.DUMMYFUNCTION("""COMPUTED_VALUE"""),62.0)</f>
        <v>62</v>
      </c>
      <c r="F2021" s="19" t="str">
        <f>IFERROR(__xludf.DUMMYFUNCTION("""COMPUTED_VALUE"""),"BLUE")</f>
        <v>BLUE</v>
      </c>
      <c r="G2021" s="20" t="str">
        <f>IFERROR(__xludf.DUMMYFUNCTION("""COMPUTED_VALUE"""),"Uncle Sams Cider (11/12/2021) (Blue)")</f>
        <v>Uncle Sams Cider (11/12/2021) (Blue)</v>
      </c>
      <c r="H2021" s="19"/>
    </row>
    <row r="2022">
      <c r="A2022" s="9"/>
      <c r="B2022" s="15"/>
      <c r="C2022" s="9">
        <f>IFERROR(__xludf.DUMMYFUNCTION("""COMPUTED_VALUE"""),44584.4888241898)</f>
        <v>44584.48882</v>
      </c>
      <c r="D2022" s="15">
        <f>IFERROR(__xludf.DUMMYFUNCTION("""COMPUTED_VALUE"""),1.002)</f>
        <v>1.002</v>
      </c>
      <c r="E2022" s="16">
        <f>IFERROR(__xludf.DUMMYFUNCTION("""COMPUTED_VALUE"""),62.0)</f>
        <v>62</v>
      </c>
      <c r="F2022" s="19" t="str">
        <f>IFERROR(__xludf.DUMMYFUNCTION("""COMPUTED_VALUE"""),"BLUE")</f>
        <v>BLUE</v>
      </c>
      <c r="G2022" s="20" t="str">
        <f>IFERROR(__xludf.DUMMYFUNCTION("""COMPUTED_VALUE"""),"Uncle Sams Cider (11/12/2021) (Blue)")</f>
        <v>Uncle Sams Cider (11/12/2021) (Blue)</v>
      </c>
      <c r="H2022" s="19"/>
    </row>
    <row r="2023">
      <c r="A2023" s="9"/>
      <c r="B2023" s="15"/>
      <c r="C2023" s="9">
        <f>IFERROR(__xludf.DUMMYFUNCTION("""COMPUTED_VALUE"""),44584.4784028124)</f>
        <v>44584.4784</v>
      </c>
      <c r="D2023" s="15">
        <f>IFERROR(__xludf.DUMMYFUNCTION("""COMPUTED_VALUE"""),1.001)</f>
        <v>1.001</v>
      </c>
      <c r="E2023" s="16">
        <f>IFERROR(__xludf.DUMMYFUNCTION("""COMPUTED_VALUE"""),62.0)</f>
        <v>62</v>
      </c>
      <c r="F2023" s="19" t="str">
        <f>IFERROR(__xludf.DUMMYFUNCTION("""COMPUTED_VALUE"""),"BLUE")</f>
        <v>BLUE</v>
      </c>
      <c r="G2023" s="20" t="str">
        <f>IFERROR(__xludf.DUMMYFUNCTION("""COMPUTED_VALUE"""),"Uncle Sams Cider (11/12/2021) (Blue)")</f>
        <v>Uncle Sams Cider (11/12/2021) (Blue)</v>
      </c>
      <c r="H2023" s="19"/>
    </row>
    <row r="2024">
      <c r="A2024" s="9"/>
      <c r="B2024" s="15"/>
      <c r="C2024" s="9">
        <f>IFERROR(__xludf.DUMMYFUNCTION("""COMPUTED_VALUE"""),44584.4679697106)</f>
        <v>44584.46797</v>
      </c>
      <c r="D2024" s="15">
        <f>IFERROR(__xludf.DUMMYFUNCTION("""COMPUTED_VALUE"""),1.001)</f>
        <v>1.001</v>
      </c>
      <c r="E2024" s="16">
        <f>IFERROR(__xludf.DUMMYFUNCTION("""COMPUTED_VALUE"""),62.0)</f>
        <v>62</v>
      </c>
      <c r="F2024" s="19" t="str">
        <f>IFERROR(__xludf.DUMMYFUNCTION("""COMPUTED_VALUE"""),"BLUE")</f>
        <v>BLUE</v>
      </c>
      <c r="G2024" s="20" t="str">
        <f>IFERROR(__xludf.DUMMYFUNCTION("""COMPUTED_VALUE"""),"Uncle Sams Cider (11/12/2021) (Blue)")</f>
        <v>Uncle Sams Cider (11/12/2021) (Blue)</v>
      </c>
      <c r="H2024" s="19"/>
    </row>
    <row r="2025">
      <c r="A2025" s="9"/>
      <c r="B2025" s="15"/>
      <c r="C2025" s="9">
        <f>IFERROR(__xludf.DUMMYFUNCTION("""COMPUTED_VALUE"""),44584.4575486226)</f>
        <v>44584.45755</v>
      </c>
      <c r="D2025" s="15">
        <f>IFERROR(__xludf.DUMMYFUNCTION("""COMPUTED_VALUE"""),1.001)</f>
        <v>1.001</v>
      </c>
      <c r="E2025" s="16">
        <f>IFERROR(__xludf.DUMMYFUNCTION("""COMPUTED_VALUE"""),63.0)</f>
        <v>63</v>
      </c>
      <c r="F2025" s="19" t="str">
        <f>IFERROR(__xludf.DUMMYFUNCTION("""COMPUTED_VALUE"""),"BLUE")</f>
        <v>BLUE</v>
      </c>
      <c r="G2025" s="20" t="str">
        <f>IFERROR(__xludf.DUMMYFUNCTION("""COMPUTED_VALUE"""),"Uncle Sams Cider (11/12/2021) (Blue)")</f>
        <v>Uncle Sams Cider (11/12/2021) (Blue)</v>
      </c>
      <c r="H2025" s="19"/>
    </row>
    <row r="2026">
      <c r="A2026" s="9"/>
      <c r="B2026" s="15"/>
      <c r="C2026" s="9">
        <f>IFERROR(__xludf.DUMMYFUNCTION("""COMPUTED_VALUE"""),44584.4471262847)</f>
        <v>44584.44713</v>
      </c>
      <c r="D2026" s="15">
        <f>IFERROR(__xludf.DUMMYFUNCTION("""COMPUTED_VALUE"""),1.001)</f>
        <v>1.001</v>
      </c>
      <c r="E2026" s="16">
        <f>IFERROR(__xludf.DUMMYFUNCTION("""COMPUTED_VALUE"""),63.0)</f>
        <v>63</v>
      </c>
      <c r="F2026" s="19" t="str">
        <f>IFERROR(__xludf.DUMMYFUNCTION("""COMPUTED_VALUE"""),"BLUE")</f>
        <v>BLUE</v>
      </c>
      <c r="G2026" s="20" t="str">
        <f>IFERROR(__xludf.DUMMYFUNCTION("""COMPUTED_VALUE"""),"Uncle Sams Cider (11/12/2021) (Blue)")</f>
        <v>Uncle Sams Cider (11/12/2021) (Blue)</v>
      </c>
      <c r="H2026" s="19"/>
    </row>
    <row r="2027">
      <c r="A2027" s="9"/>
      <c r="B2027" s="15"/>
      <c r="C2027" s="9">
        <f>IFERROR(__xludf.DUMMYFUNCTION("""COMPUTED_VALUE"""),44584.4367032986)</f>
        <v>44584.4367</v>
      </c>
      <c r="D2027" s="15">
        <f>IFERROR(__xludf.DUMMYFUNCTION("""COMPUTED_VALUE"""),1.002)</f>
        <v>1.002</v>
      </c>
      <c r="E2027" s="16">
        <f>IFERROR(__xludf.DUMMYFUNCTION("""COMPUTED_VALUE"""),63.0)</f>
        <v>63</v>
      </c>
      <c r="F2027" s="19" t="str">
        <f>IFERROR(__xludf.DUMMYFUNCTION("""COMPUTED_VALUE"""),"BLUE")</f>
        <v>BLUE</v>
      </c>
      <c r="G2027" s="20" t="str">
        <f>IFERROR(__xludf.DUMMYFUNCTION("""COMPUTED_VALUE"""),"Uncle Sams Cider (11/12/2021) (Blue)")</f>
        <v>Uncle Sams Cider (11/12/2021) (Blue)</v>
      </c>
      <c r="H2027" s="19"/>
    </row>
    <row r="2028">
      <c r="A2028" s="9"/>
      <c r="B2028" s="15"/>
      <c r="C2028" s="9">
        <f>IFERROR(__xludf.DUMMYFUNCTION("""COMPUTED_VALUE"""),44584.4262807638)</f>
        <v>44584.42628</v>
      </c>
      <c r="D2028" s="15">
        <f>IFERROR(__xludf.DUMMYFUNCTION("""COMPUTED_VALUE"""),1.001)</f>
        <v>1.001</v>
      </c>
      <c r="E2028" s="16">
        <f>IFERROR(__xludf.DUMMYFUNCTION("""COMPUTED_VALUE"""),63.0)</f>
        <v>63</v>
      </c>
      <c r="F2028" s="19" t="str">
        <f>IFERROR(__xludf.DUMMYFUNCTION("""COMPUTED_VALUE"""),"BLUE")</f>
        <v>BLUE</v>
      </c>
      <c r="G2028" s="20" t="str">
        <f>IFERROR(__xludf.DUMMYFUNCTION("""COMPUTED_VALUE"""),"Uncle Sams Cider (11/12/2021) (Blue)")</f>
        <v>Uncle Sams Cider (11/12/2021) (Blue)</v>
      </c>
      <c r="H2028" s="19"/>
    </row>
    <row r="2029">
      <c r="A2029" s="9"/>
      <c r="B2029" s="15"/>
      <c r="C2029" s="9">
        <f>IFERROR(__xludf.DUMMYFUNCTION("""COMPUTED_VALUE"""),44584.4158592708)</f>
        <v>44584.41586</v>
      </c>
      <c r="D2029" s="15">
        <f>IFERROR(__xludf.DUMMYFUNCTION("""COMPUTED_VALUE"""),1.001)</f>
        <v>1.001</v>
      </c>
      <c r="E2029" s="16">
        <f>IFERROR(__xludf.DUMMYFUNCTION("""COMPUTED_VALUE"""),63.0)</f>
        <v>63</v>
      </c>
      <c r="F2029" s="19" t="str">
        <f>IFERROR(__xludf.DUMMYFUNCTION("""COMPUTED_VALUE"""),"BLUE")</f>
        <v>BLUE</v>
      </c>
      <c r="G2029" s="20" t="str">
        <f>IFERROR(__xludf.DUMMYFUNCTION("""COMPUTED_VALUE"""),"Uncle Sams Cider (11/12/2021) (Blue)")</f>
        <v>Uncle Sams Cider (11/12/2021) (Blue)</v>
      </c>
      <c r="H2029" s="19"/>
    </row>
    <row r="2030">
      <c r="A2030" s="9"/>
      <c r="B2030" s="15"/>
      <c r="C2030" s="9">
        <f>IFERROR(__xludf.DUMMYFUNCTION("""COMPUTED_VALUE"""),44584.4054385416)</f>
        <v>44584.40544</v>
      </c>
      <c r="D2030" s="15">
        <f>IFERROR(__xludf.DUMMYFUNCTION("""COMPUTED_VALUE"""),1.001)</f>
        <v>1.001</v>
      </c>
      <c r="E2030" s="16">
        <f>IFERROR(__xludf.DUMMYFUNCTION("""COMPUTED_VALUE"""),63.0)</f>
        <v>63</v>
      </c>
      <c r="F2030" s="19" t="str">
        <f>IFERROR(__xludf.DUMMYFUNCTION("""COMPUTED_VALUE"""),"BLUE")</f>
        <v>BLUE</v>
      </c>
      <c r="G2030" s="20" t="str">
        <f>IFERROR(__xludf.DUMMYFUNCTION("""COMPUTED_VALUE"""),"Uncle Sams Cider (11/12/2021) (Blue)")</f>
        <v>Uncle Sams Cider (11/12/2021) (Blue)</v>
      </c>
      <c r="H2030" s="19"/>
    </row>
    <row r="2031">
      <c r="A2031" s="9"/>
      <c r="B2031" s="15"/>
      <c r="C2031" s="9">
        <f>IFERROR(__xludf.DUMMYFUNCTION("""COMPUTED_VALUE"""),44584.3950047916)</f>
        <v>44584.395</v>
      </c>
      <c r="D2031" s="15">
        <f>IFERROR(__xludf.DUMMYFUNCTION("""COMPUTED_VALUE"""),1.001)</f>
        <v>1.001</v>
      </c>
      <c r="E2031" s="16">
        <f>IFERROR(__xludf.DUMMYFUNCTION("""COMPUTED_VALUE"""),63.0)</f>
        <v>63</v>
      </c>
      <c r="F2031" s="19" t="str">
        <f>IFERROR(__xludf.DUMMYFUNCTION("""COMPUTED_VALUE"""),"BLUE")</f>
        <v>BLUE</v>
      </c>
      <c r="G2031" s="20" t="str">
        <f>IFERROR(__xludf.DUMMYFUNCTION("""COMPUTED_VALUE"""),"Uncle Sams Cider (11/12/2021) (Blue)")</f>
        <v>Uncle Sams Cider (11/12/2021) (Blue)</v>
      </c>
      <c r="H2031" s="19"/>
    </row>
    <row r="2032">
      <c r="A2032" s="9"/>
      <c r="B2032" s="15"/>
      <c r="C2032" s="9">
        <f>IFERROR(__xludf.DUMMYFUNCTION("""COMPUTED_VALUE"""),44584.384572199)</f>
        <v>44584.38457</v>
      </c>
      <c r="D2032" s="15">
        <f>IFERROR(__xludf.DUMMYFUNCTION("""COMPUTED_VALUE"""),1.001)</f>
        <v>1.001</v>
      </c>
      <c r="E2032" s="16">
        <f>IFERROR(__xludf.DUMMYFUNCTION("""COMPUTED_VALUE"""),63.0)</f>
        <v>63</v>
      </c>
      <c r="F2032" s="19" t="str">
        <f>IFERROR(__xludf.DUMMYFUNCTION("""COMPUTED_VALUE"""),"BLUE")</f>
        <v>BLUE</v>
      </c>
      <c r="G2032" s="20" t="str">
        <f>IFERROR(__xludf.DUMMYFUNCTION("""COMPUTED_VALUE"""),"Uncle Sams Cider (11/12/2021) (Blue)")</f>
        <v>Uncle Sams Cider (11/12/2021) (Blue)</v>
      </c>
      <c r="H2032" s="19"/>
    </row>
    <row r="2033">
      <c r="A2033" s="9"/>
      <c r="B2033" s="15"/>
      <c r="C2033" s="9">
        <f>IFERROR(__xludf.DUMMYFUNCTION("""COMPUTED_VALUE"""),44584.3741403009)</f>
        <v>44584.37414</v>
      </c>
      <c r="D2033" s="15">
        <f>IFERROR(__xludf.DUMMYFUNCTION("""COMPUTED_VALUE"""),1.001)</f>
        <v>1.001</v>
      </c>
      <c r="E2033" s="16">
        <f>IFERROR(__xludf.DUMMYFUNCTION("""COMPUTED_VALUE"""),63.0)</f>
        <v>63</v>
      </c>
      <c r="F2033" s="19" t="str">
        <f>IFERROR(__xludf.DUMMYFUNCTION("""COMPUTED_VALUE"""),"BLUE")</f>
        <v>BLUE</v>
      </c>
      <c r="G2033" s="20" t="str">
        <f>IFERROR(__xludf.DUMMYFUNCTION("""COMPUTED_VALUE"""),"Uncle Sams Cider (11/12/2021) (Blue)")</f>
        <v>Uncle Sams Cider (11/12/2021) (Blue)</v>
      </c>
      <c r="H2033" s="19"/>
    </row>
    <row r="2034">
      <c r="A2034" s="9"/>
      <c r="B2034" s="15"/>
      <c r="C2034" s="9">
        <f>IFERROR(__xludf.DUMMYFUNCTION("""COMPUTED_VALUE"""),44584.3637190856)</f>
        <v>44584.36372</v>
      </c>
      <c r="D2034" s="15">
        <f>IFERROR(__xludf.DUMMYFUNCTION("""COMPUTED_VALUE"""),1.001)</f>
        <v>1.001</v>
      </c>
      <c r="E2034" s="16">
        <f>IFERROR(__xludf.DUMMYFUNCTION("""COMPUTED_VALUE"""),63.0)</f>
        <v>63</v>
      </c>
      <c r="F2034" s="19" t="str">
        <f>IFERROR(__xludf.DUMMYFUNCTION("""COMPUTED_VALUE"""),"BLUE")</f>
        <v>BLUE</v>
      </c>
      <c r="G2034" s="20" t="str">
        <f>IFERROR(__xludf.DUMMYFUNCTION("""COMPUTED_VALUE"""),"Uncle Sams Cider (11/12/2021) (Blue)")</f>
        <v>Uncle Sams Cider (11/12/2021) (Blue)</v>
      </c>
      <c r="H2034" s="19"/>
    </row>
    <row r="2035">
      <c r="A2035" s="9"/>
      <c r="B2035" s="15"/>
      <c r="C2035" s="9">
        <f>IFERROR(__xludf.DUMMYFUNCTION("""COMPUTED_VALUE"""),44584.3532978703)</f>
        <v>44584.3533</v>
      </c>
      <c r="D2035" s="15">
        <f>IFERROR(__xludf.DUMMYFUNCTION("""COMPUTED_VALUE"""),1.001)</f>
        <v>1.001</v>
      </c>
      <c r="E2035" s="16">
        <f>IFERROR(__xludf.DUMMYFUNCTION("""COMPUTED_VALUE"""),63.0)</f>
        <v>63</v>
      </c>
      <c r="F2035" s="19" t="str">
        <f>IFERROR(__xludf.DUMMYFUNCTION("""COMPUTED_VALUE"""),"BLUE")</f>
        <v>BLUE</v>
      </c>
      <c r="G2035" s="20" t="str">
        <f>IFERROR(__xludf.DUMMYFUNCTION("""COMPUTED_VALUE"""),"Uncle Sams Cider (11/12/2021) (Blue)")</f>
        <v>Uncle Sams Cider (11/12/2021) (Blue)</v>
      </c>
      <c r="H2035" s="19"/>
    </row>
    <row r="2036">
      <c r="A2036" s="9"/>
      <c r="B2036" s="15"/>
      <c r="C2036" s="9">
        <f>IFERROR(__xludf.DUMMYFUNCTION("""COMPUTED_VALUE"""),44584.3428755787)</f>
        <v>44584.34288</v>
      </c>
      <c r="D2036" s="15">
        <f>IFERROR(__xludf.DUMMYFUNCTION("""COMPUTED_VALUE"""),1.001)</f>
        <v>1.001</v>
      </c>
      <c r="E2036" s="16">
        <f>IFERROR(__xludf.DUMMYFUNCTION("""COMPUTED_VALUE"""),63.0)</f>
        <v>63</v>
      </c>
      <c r="F2036" s="19" t="str">
        <f>IFERROR(__xludf.DUMMYFUNCTION("""COMPUTED_VALUE"""),"BLUE")</f>
        <v>BLUE</v>
      </c>
      <c r="G2036" s="20" t="str">
        <f>IFERROR(__xludf.DUMMYFUNCTION("""COMPUTED_VALUE"""),"Uncle Sams Cider (11/12/2021) (Blue)")</f>
        <v>Uncle Sams Cider (11/12/2021) (Blue)</v>
      </c>
      <c r="H2036" s="19"/>
    </row>
    <row r="2037">
      <c r="A2037" s="9"/>
      <c r="B2037" s="15"/>
      <c r="C2037" s="9">
        <f>IFERROR(__xludf.DUMMYFUNCTION("""COMPUTED_VALUE"""),44584.3324545717)</f>
        <v>44584.33245</v>
      </c>
      <c r="D2037" s="15">
        <f>IFERROR(__xludf.DUMMYFUNCTION("""COMPUTED_VALUE"""),1.001)</f>
        <v>1.001</v>
      </c>
      <c r="E2037" s="16">
        <f>IFERROR(__xludf.DUMMYFUNCTION("""COMPUTED_VALUE"""),63.0)</f>
        <v>63</v>
      </c>
      <c r="F2037" s="19" t="str">
        <f>IFERROR(__xludf.DUMMYFUNCTION("""COMPUTED_VALUE"""),"BLUE")</f>
        <v>BLUE</v>
      </c>
      <c r="G2037" s="20" t="str">
        <f>IFERROR(__xludf.DUMMYFUNCTION("""COMPUTED_VALUE"""),"Uncle Sams Cider (11/12/2021) (Blue)")</f>
        <v>Uncle Sams Cider (11/12/2021) (Blue)</v>
      </c>
      <c r="H2037" s="19"/>
    </row>
    <row r="2038">
      <c r="A2038" s="9"/>
      <c r="B2038" s="15"/>
      <c r="C2038" s="9">
        <f>IFERROR(__xludf.DUMMYFUNCTION("""COMPUTED_VALUE"""),44584.3220353819)</f>
        <v>44584.32204</v>
      </c>
      <c r="D2038" s="15">
        <f>IFERROR(__xludf.DUMMYFUNCTION("""COMPUTED_VALUE"""),1.001)</f>
        <v>1.001</v>
      </c>
      <c r="E2038" s="16">
        <f>IFERROR(__xludf.DUMMYFUNCTION("""COMPUTED_VALUE"""),63.0)</f>
        <v>63</v>
      </c>
      <c r="F2038" s="19" t="str">
        <f>IFERROR(__xludf.DUMMYFUNCTION("""COMPUTED_VALUE"""),"BLUE")</f>
        <v>BLUE</v>
      </c>
      <c r="G2038" s="20" t="str">
        <f>IFERROR(__xludf.DUMMYFUNCTION("""COMPUTED_VALUE"""),"Uncle Sams Cider (11/12/2021) (Blue)")</f>
        <v>Uncle Sams Cider (11/12/2021) (Blue)</v>
      </c>
      <c r="H2038" s="19"/>
    </row>
    <row r="2039">
      <c r="A2039" s="9"/>
      <c r="B2039" s="15"/>
      <c r="C2039" s="9">
        <f>IFERROR(__xludf.DUMMYFUNCTION("""COMPUTED_VALUE"""),44584.3116160416)</f>
        <v>44584.31162</v>
      </c>
      <c r="D2039" s="15">
        <f>IFERROR(__xludf.DUMMYFUNCTION("""COMPUTED_VALUE"""),1.001)</f>
        <v>1.001</v>
      </c>
      <c r="E2039" s="16">
        <f>IFERROR(__xludf.DUMMYFUNCTION("""COMPUTED_VALUE"""),63.0)</f>
        <v>63</v>
      </c>
      <c r="F2039" s="19" t="str">
        <f>IFERROR(__xludf.DUMMYFUNCTION("""COMPUTED_VALUE"""),"BLUE")</f>
        <v>BLUE</v>
      </c>
      <c r="G2039" s="20" t="str">
        <f>IFERROR(__xludf.DUMMYFUNCTION("""COMPUTED_VALUE"""),"Uncle Sams Cider (11/12/2021) (Blue)")</f>
        <v>Uncle Sams Cider (11/12/2021) (Blue)</v>
      </c>
      <c r="H2039" s="19"/>
    </row>
    <row r="2040">
      <c r="A2040" s="9"/>
      <c r="B2040" s="15"/>
      <c r="C2040" s="9">
        <f>IFERROR(__xludf.DUMMYFUNCTION("""COMPUTED_VALUE"""),44584.3011923495)</f>
        <v>44584.30119</v>
      </c>
      <c r="D2040" s="15">
        <f>IFERROR(__xludf.DUMMYFUNCTION("""COMPUTED_VALUE"""),1.001)</f>
        <v>1.001</v>
      </c>
      <c r="E2040" s="16">
        <f>IFERROR(__xludf.DUMMYFUNCTION("""COMPUTED_VALUE"""),63.0)</f>
        <v>63</v>
      </c>
      <c r="F2040" s="19" t="str">
        <f>IFERROR(__xludf.DUMMYFUNCTION("""COMPUTED_VALUE"""),"BLUE")</f>
        <v>BLUE</v>
      </c>
      <c r="G2040" s="20" t="str">
        <f>IFERROR(__xludf.DUMMYFUNCTION("""COMPUTED_VALUE"""),"Uncle Sams Cider (11/12/2021) (Blue)")</f>
        <v>Uncle Sams Cider (11/12/2021) (Blue)</v>
      </c>
      <c r="H2040" s="19"/>
    </row>
    <row r="2041">
      <c r="A2041" s="9"/>
      <c r="B2041" s="15"/>
      <c r="C2041" s="9">
        <f>IFERROR(__xludf.DUMMYFUNCTION("""COMPUTED_VALUE"""),44584.2907701967)</f>
        <v>44584.29077</v>
      </c>
      <c r="D2041" s="15">
        <f>IFERROR(__xludf.DUMMYFUNCTION("""COMPUTED_VALUE"""),1.001)</f>
        <v>1.001</v>
      </c>
      <c r="E2041" s="16">
        <f>IFERROR(__xludf.DUMMYFUNCTION("""COMPUTED_VALUE"""),63.0)</f>
        <v>63</v>
      </c>
      <c r="F2041" s="19" t="str">
        <f>IFERROR(__xludf.DUMMYFUNCTION("""COMPUTED_VALUE"""),"BLUE")</f>
        <v>BLUE</v>
      </c>
      <c r="G2041" s="20" t="str">
        <f>IFERROR(__xludf.DUMMYFUNCTION("""COMPUTED_VALUE"""),"Uncle Sams Cider (11/12/2021) (Blue)")</f>
        <v>Uncle Sams Cider (11/12/2021) (Blue)</v>
      </c>
      <c r="H2041" s="19"/>
    </row>
    <row r="2042">
      <c r="A2042" s="9"/>
      <c r="B2042" s="15"/>
      <c r="C2042" s="9">
        <f>IFERROR(__xludf.DUMMYFUNCTION("""COMPUTED_VALUE"""),44584.2803497337)</f>
        <v>44584.28035</v>
      </c>
      <c r="D2042" s="15">
        <f>IFERROR(__xludf.DUMMYFUNCTION("""COMPUTED_VALUE"""),1.001)</f>
        <v>1.001</v>
      </c>
      <c r="E2042" s="16">
        <f>IFERROR(__xludf.DUMMYFUNCTION("""COMPUTED_VALUE"""),63.0)</f>
        <v>63</v>
      </c>
      <c r="F2042" s="19" t="str">
        <f>IFERROR(__xludf.DUMMYFUNCTION("""COMPUTED_VALUE"""),"BLUE")</f>
        <v>BLUE</v>
      </c>
      <c r="G2042" s="20" t="str">
        <f>IFERROR(__xludf.DUMMYFUNCTION("""COMPUTED_VALUE"""),"Uncle Sams Cider (11/12/2021) (Blue)")</f>
        <v>Uncle Sams Cider (11/12/2021) (Blue)</v>
      </c>
      <c r="H2042" s="19"/>
    </row>
    <row r="2043">
      <c r="A2043" s="9"/>
      <c r="B2043" s="15"/>
      <c r="C2043" s="9">
        <f>IFERROR(__xludf.DUMMYFUNCTION("""COMPUTED_VALUE"""),44584.269927581)</f>
        <v>44584.26993</v>
      </c>
      <c r="D2043" s="15">
        <f>IFERROR(__xludf.DUMMYFUNCTION("""COMPUTED_VALUE"""),1.001)</f>
        <v>1.001</v>
      </c>
      <c r="E2043" s="16">
        <f>IFERROR(__xludf.DUMMYFUNCTION("""COMPUTED_VALUE"""),63.0)</f>
        <v>63</v>
      </c>
      <c r="F2043" s="19" t="str">
        <f>IFERROR(__xludf.DUMMYFUNCTION("""COMPUTED_VALUE"""),"BLUE")</f>
        <v>BLUE</v>
      </c>
      <c r="G2043" s="20" t="str">
        <f>IFERROR(__xludf.DUMMYFUNCTION("""COMPUTED_VALUE"""),"Uncle Sams Cider (11/12/2021) (Blue)")</f>
        <v>Uncle Sams Cider (11/12/2021) (Blue)</v>
      </c>
      <c r="H2043" s="19"/>
    </row>
    <row r="2044">
      <c r="A2044" s="9"/>
      <c r="B2044" s="15"/>
      <c r="C2044" s="9">
        <f>IFERROR(__xludf.DUMMYFUNCTION("""COMPUTED_VALUE"""),44584.2594962847)</f>
        <v>44584.2595</v>
      </c>
      <c r="D2044" s="15">
        <f>IFERROR(__xludf.DUMMYFUNCTION("""COMPUTED_VALUE"""),1.001)</f>
        <v>1.001</v>
      </c>
      <c r="E2044" s="16">
        <f>IFERROR(__xludf.DUMMYFUNCTION("""COMPUTED_VALUE"""),63.0)</f>
        <v>63</v>
      </c>
      <c r="F2044" s="19" t="str">
        <f>IFERROR(__xludf.DUMMYFUNCTION("""COMPUTED_VALUE"""),"BLUE")</f>
        <v>BLUE</v>
      </c>
      <c r="G2044" s="20" t="str">
        <f>IFERROR(__xludf.DUMMYFUNCTION("""COMPUTED_VALUE"""),"Uncle Sams Cider (11/12/2021) (Blue)")</f>
        <v>Uncle Sams Cider (11/12/2021) (Blue)</v>
      </c>
      <c r="H2044" s="19"/>
    </row>
    <row r="2045">
      <c r="A2045" s="9"/>
      <c r="B2045" s="15"/>
      <c r="C2045" s="9">
        <f>IFERROR(__xludf.DUMMYFUNCTION("""COMPUTED_VALUE"""),44584.2490753009)</f>
        <v>44584.24908</v>
      </c>
      <c r="D2045" s="15">
        <f>IFERROR(__xludf.DUMMYFUNCTION("""COMPUTED_VALUE"""),1.001)</f>
        <v>1.001</v>
      </c>
      <c r="E2045" s="16">
        <f>IFERROR(__xludf.DUMMYFUNCTION("""COMPUTED_VALUE"""),63.0)</f>
        <v>63</v>
      </c>
      <c r="F2045" s="19" t="str">
        <f>IFERROR(__xludf.DUMMYFUNCTION("""COMPUTED_VALUE"""),"BLUE")</f>
        <v>BLUE</v>
      </c>
      <c r="G2045" s="20" t="str">
        <f>IFERROR(__xludf.DUMMYFUNCTION("""COMPUTED_VALUE"""),"Uncle Sams Cider (11/12/2021) (Blue)")</f>
        <v>Uncle Sams Cider (11/12/2021) (Blue)</v>
      </c>
      <c r="H2045" s="19"/>
    </row>
    <row r="2046">
      <c r="A2046" s="9"/>
      <c r="B2046" s="15"/>
      <c r="C2046" s="9">
        <f>IFERROR(__xludf.DUMMYFUNCTION("""COMPUTED_VALUE"""),44584.2386533217)</f>
        <v>44584.23865</v>
      </c>
      <c r="D2046" s="15">
        <f>IFERROR(__xludf.DUMMYFUNCTION("""COMPUTED_VALUE"""),1.001)</f>
        <v>1.001</v>
      </c>
      <c r="E2046" s="16">
        <f>IFERROR(__xludf.DUMMYFUNCTION("""COMPUTED_VALUE"""),63.0)</f>
        <v>63</v>
      </c>
      <c r="F2046" s="19" t="str">
        <f>IFERROR(__xludf.DUMMYFUNCTION("""COMPUTED_VALUE"""),"BLUE")</f>
        <v>BLUE</v>
      </c>
      <c r="G2046" s="20" t="str">
        <f>IFERROR(__xludf.DUMMYFUNCTION("""COMPUTED_VALUE"""),"Uncle Sams Cider (11/12/2021) (Blue)")</f>
        <v>Uncle Sams Cider (11/12/2021) (Blue)</v>
      </c>
      <c r="H2046" s="19"/>
    </row>
    <row r="2047">
      <c r="A2047" s="9"/>
      <c r="B2047" s="15"/>
      <c r="C2047" s="9">
        <f>IFERROR(__xludf.DUMMYFUNCTION("""COMPUTED_VALUE"""),44584.2282181944)</f>
        <v>44584.22822</v>
      </c>
      <c r="D2047" s="15">
        <f>IFERROR(__xludf.DUMMYFUNCTION("""COMPUTED_VALUE"""),1.001)</f>
        <v>1.001</v>
      </c>
      <c r="E2047" s="16">
        <f>IFERROR(__xludf.DUMMYFUNCTION("""COMPUTED_VALUE"""),63.0)</f>
        <v>63</v>
      </c>
      <c r="F2047" s="19" t="str">
        <f>IFERROR(__xludf.DUMMYFUNCTION("""COMPUTED_VALUE"""),"BLUE")</f>
        <v>BLUE</v>
      </c>
      <c r="G2047" s="20" t="str">
        <f>IFERROR(__xludf.DUMMYFUNCTION("""COMPUTED_VALUE"""),"Uncle Sams Cider (11/12/2021) (Blue)")</f>
        <v>Uncle Sams Cider (11/12/2021) (Blue)</v>
      </c>
      <c r="H2047" s="19"/>
    </row>
    <row r="2048">
      <c r="A2048" s="9"/>
      <c r="B2048" s="15"/>
      <c r="C2048" s="9">
        <f>IFERROR(__xludf.DUMMYFUNCTION("""COMPUTED_VALUE"""),44584.2177852083)</f>
        <v>44584.21779</v>
      </c>
      <c r="D2048" s="15">
        <f>IFERROR(__xludf.DUMMYFUNCTION("""COMPUTED_VALUE"""),1.001)</f>
        <v>1.001</v>
      </c>
      <c r="E2048" s="16">
        <f>IFERROR(__xludf.DUMMYFUNCTION("""COMPUTED_VALUE"""),63.0)</f>
        <v>63</v>
      </c>
      <c r="F2048" s="19" t="str">
        <f>IFERROR(__xludf.DUMMYFUNCTION("""COMPUTED_VALUE"""),"BLUE")</f>
        <v>BLUE</v>
      </c>
      <c r="G2048" s="20" t="str">
        <f>IFERROR(__xludf.DUMMYFUNCTION("""COMPUTED_VALUE"""),"Uncle Sams Cider (11/12/2021) (Blue)")</f>
        <v>Uncle Sams Cider (11/12/2021) (Blue)</v>
      </c>
      <c r="H2048" s="19"/>
    </row>
    <row r="2049">
      <c r="A2049" s="9"/>
      <c r="B2049" s="15"/>
      <c r="C2049" s="9">
        <f>IFERROR(__xludf.DUMMYFUNCTION("""COMPUTED_VALUE"""),44584.2073625231)</f>
        <v>44584.20736</v>
      </c>
      <c r="D2049" s="15">
        <f>IFERROR(__xludf.DUMMYFUNCTION("""COMPUTED_VALUE"""),1.001)</f>
        <v>1.001</v>
      </c>
      <c r="E2049" s="16">
        <f>IFERROR(__xludf.DUMMYFUNCTION("""COMPUTED_VALUE"""),63.0)</f>
        <v>63</v>
      </c>
      <c r="F2049" s="19" t="str">
        <f>IFERROR(__xludf.DUMMYFUNCTION("""COMPUTED_VALUE"""),"BLUE")</f>
        <v>BLUE</v>
      </c>
      <c r="G2049" s="20" t="str">
        <f>IFERROR(__xludf.DUMMYFUNCTION("""COMPUTED_VALUE"""),"Uncle Sams Cider (11/12/2021) (Blue)")</f>
        <v>Uncle Sams Cider (11/12/2021) (Blue)</v>
      </c>
      <c r="H2049" s="19"/>
    </row>
    <row r="2050">
      <c r="A2050" s="9"/>
      <c r="B2050" s="15"/>
      <c r="C2050" s="9">
        <f>IFERROR(__xludf.DUMMYFUNCTION("""COMPUTED_VALUE"""),44584.1969316203)</f>
        <v>44584.19693</v>
      </c>
      <c r="D2050" s="15">
        <f>IFERROR(__xludf.DUMMYFUNCTION("""COMPUTED_VALUE"""),1.001)</f>
        <v>1.001</v>
      </c>
      <c r="E2050" s="16">
        <f>IFERROR(__xludf.DUMMYFUNCTION("""COMPUTED_VALUE"""),63.0)</f>
        <v>63</v>
      </c>
      <c r="F2050" s="19" t="str">
        <f>IFERROR(__xludf.DUMMYFUNCTION("""COMPUTED_VALUE"""),"BLUE")</f>
        <v>BLUE</v>
      </c>
      <c r="G2050" s="20" t="str">
        <f>IFERROR(__xludf.DUMMYFUNCTION("""COMPUTED_VALUE"""),"Uncle Sams Cider (11/12/2021) (Blue)")</f>
        <v>Uncle Sams Cider (11/12/2021) (Blue)</v>
      </c>
      <c r="H2050" s="19"/>
    </row>
    <row r="2051">
      <c r="A2051" s="9"/>
      <c r="B2051" s="15"/>
      <c r="C2051" s="9">
        <f>IFERROR(__xludf.DUMMYFUNCTION("""COMPUTED_VALUE"""),44584.1865095601)</f>
        <v>44584.18651</v>
      </c>
      <c r="D2051" s="15">
        <f>IFERROR(__xludf.DUMMYFUNCTION("""COMPUTED_VALUE"""),1.001)</f>
        <v>1.001</v>
      </c>
      <c r="E2051" s="16">
        <f>IFERROR(__xludf.DUMMYFUNCTION("""COMPUTED_VALUE"""),63.0)</f>
        <v>63</v>
      </c>
      <c r="F2051" s="19" t="str">
        <f>IFERROR(__xludf.DUMMYFUNCTION("""COMPUTED_VALUE"""),"BLUE")</f>
        <v>BLUE</v>
      </c>
      <c r="G2051" s="20" t="str">
        <f>IFERROR(__xludf.DUMMYFUNCTION("""COMPUTED_VALUE"""),"Uncle Sams Cider (11/12/2021) (Blue)")</f>
        <v>Uncle Sams Cider (11/12/2021) (Blue)</v>
      </c>
      <c r="H2051" s="19"/>
    </row>
    <row r="2052">
      <c r="A2052" s="9"/>
      <c r="B2052" s="15"/>
      <c r="C2052" s="9">
        <f>IFERROR(__xludf.DUMMYFUNCTION("""COMPUTED_VALUE"""),44584.176086574)</f>
        <v>44584.17609</v>
      </c>
      <c r="D2052" s="15">
        <f>IFERROR(__xludf.DUMMYFUNCTION("""COMPUTED_VALUE"""),1.001)</f>
        <v>1.001</v>
      </c>
      <c r="E2052" s="16">
        <f>IFERROR(__xludf.DUMMYFUNCTION("""COMPUTED_VALUE"""),63.0)</f>
        <v>63</v>
      </c>
      <c r="F2052" s="19" t="str">
        <f>IFERROR(__xludf.DUMMYFUNCTION("""COMPUTED_VALUE"""),"BLUE")</f>
        <v>BLUE</v>
      </c>
      <c r="G2052" s="20" t="str">
        <f>IFERROR(__xludf.DUMMYFUNCTION("""COMPUTED_VALUE"""),"Uncle Sams Cider (11/12/2021) (Blue)")</f>
        <v>Uncle Sams Cider (11/12/2021) (Blue)</v>
      </c>
      <c r="H2052" s="19"/>
    </row>
    <row r="2053">
      <c r="A2053" s="9"/>
      <c r="B2053" s="15"/>
      <c r="C2053" s="9">
        <f>IFERROR(__xludf.DUMMYFUNCTION("""COMPUTED_VALUE"""),44584.1656653703)</f>
        <v>44584.16567</v>
      </c>
      <c r="D2053" s="15">
        <f>IFERROR(__xludf.DUMMYFUNCTION("""COMPUTED_VALUE"""),1.001)</f>
        <v>1.001</v>
      </c>
      <c r="E2053" s="16">
        <f>IFERROR(__xludf.DUMMYFUNCTION("""COMPUTED_VALUE"""),63.0)</f>
        <v>63</v>
      </c>
      <c r="F2053" s="19" t="str">
        <f>IFERROR(__xludf.DUMMYFUNCTION("""COMPUTED_VALUE"""),"BLUE")</f>
        <v>BLUE</v>
      </c>
      <c r="G2053" s="20" t="str">
        <f>IFERROR(__xludf.DUMMYFUNCTION("""COMPUTED_VALUE"""),"Uncle Sams Cider (11/12/2021) (Blue)")</f>
        <v>Uncle Sams Cider (11/12/2021) (Blue)</v>
      </c>
      <c r="H2053" s="19"/>
    </row>
    <row r="2054">
      <c r="A2054" s="9"/>
      <c r="B2054" s="15"/>
      <c r="C2054" s="9">
        <f>IFERROR(__xludf.DUMMYFUNCTION("""COMPUTED_VALUE"""),44584.1552440972)</f>
        <v>44584.15524</v>
      </c>
      <c r="D2054" s="15">
        <f>IFERROR(__xludf.DUMMYFUNCTION("""COMPUTED_VALUE"""),1.001)</f>
        <v>1.001</v>
      </c>
      <c r="E2054" s="16">
        <f>IFERROR(__xludf.DUMMYFUNCTION("""COMPUTED_VALUE"""),63.0)</f>
        <v>63</v>
      </c>
      <c r="F2054" s="19" t="str">
        <f>IFERROR(__xludf.DUMMYFUNCTION("""COMPUTED_VALUE"""),"BLUE")</f>
        <v>BLUE</v>
      </c>
      <c r="G2054" s="20" t="str">
        <f>IFERROR(__xludf.DUMMYFUNCTION("""COMPUTED_VALUE"""),"Uncle Sams Cider (11/12/2021) (Blue)")</f>
        <v>Uncle Sams Cider (11/12/2021) (Blue)</v>
      </c>
      <c r="H2054" s="19"/>
    </row>
    <row r="2055">
      <c r="A2055" s="9"/>
      <c r="B2055" s="15"/>
      <c r="C2055" s="9">
        <f>IFERROR(__xludf.DUMMYFUNCTION("""COMPUTED_VALUE"""),44584.1448235879)</f>
        <v>44584.14482</v>
      </c>
      <c r="D2055" s="15">
        <f>IFERROR(__xludf.DUMMYFUNCTION("""COMPUTED_VALUE"""),1.001)</f>
        <v>1.001</v>
      </c>
      <c r="E2055" s="16">
        <f>IFERROR(__xludf.DUMMYFUNCTION("""COMPUTED_VALUE"""),63.0)</f>
        <v>63</v>
      </c>
      <c r="F2055" s="19" t="str">
        <f>IFERROR(__xludf.DUMMYFUNCTION("""COMPUTED_VALUE"""),"BLUE")</f>
        <v>BLUE</v>
      </c>
      <c r="G2055" s="20" t="str">
        <f>IFERROR(__xludf.DUMMYFUNCTION("""COMPUTED_VALUE"""),"Uncle Sams Cider (11/12/2021) (Blue)")</f>
        <v>Uncle Sams Cider (11/12/2021) (Blue)</v>
      </c>
      <c r="H2055" s="19"/>
    </row>
    <row r="2056">
      <c r="A2056" s="9"/>
      <c r="B2056" s="15"/>
      <c r="C2056" s="9">
        <f>IFERROR(__xludf.DUMMYFUNCTION("""COMPUTED_VALUE"""),44584.1344031481)</f>
        <v>44584.1344</v>
      </c>
      <c r="D2056" s="15">
        <f>IFERROR(__xludf.DUMMYFUNCTION("""COMPUTED_VALUE"""),1.001)</f>
        <v>1.001</v>
      </c>
      <c r="E2056" s="16">
        <f>IFERROR(__xludf.DUMMYFUNCTION("""COMPUTED_VALUE"""),63.0)</f>
        <v>63</v>
      </c>
      <c r="F2056" s="19" t="str">
        <f>IFERROR(__xludf.DUMMYFUNCTION("""COMPUTED_VALUE"""),"BLUE")</f>
        <v>BLUE</v>
      </c>
      <c r="G2056" s="20" t="str">
        <f>IFERROR(__xludf.DUMMYFUNCTION("""COMPUTED_VALUE"""),"Uncle Sams Cider (11/12/2021) (Blue)")</f>
        <v>Uncle Sams Cider (11/12/2021) (Blue)</v>
      </c>
      <c r="H2056" s="19"/>
    </row>
    <row r="2057">
      <c r="A2057" s="9"/>
      <c r="B2057" s="15"/>
      <c r="C2057" s="9">
        <f>IFERROR(__xludf.DUMMYFUNCTION("""COMPUTED_VALUE"""),44584.1239812384)</f>
        <v>44584.12398</v>
      </c>
      <c r="D2057" s="15">
        <f>IFERROR(__xludf.DUMMYFUNCTION("""COMPUTED_VALUE"""),1.001)</f>
        <v>1.001</v>
      </c>
      <c r="E2057" s="16">
        <f>IFERROR(__xludf.DUMMYFUNCTION("""COMPUTED_VALUE"""),64.0)</f>
        <v>64</v>
      </c>
      <c r="F2057" s="19" t="str">
        <f>IFERROR(__xludf.DUMMYFUNCTION("""COMPUTED_VALUE"""),"BLUE")</f>
        <v>BLUE</v>
      </c>
      <c r="G2057" s="20" t="str">
        <f>IFERROR(__xludf.DUMMYFUNCTION("""COMPUTED_VALUE"""),"Uncle Sams Cider (11/12/2021) (Blue)")</f>
        <v>Uncle Sams Cider (11/12/2021) (Blue)</v>
      </c>
      <c r="H2057" s="19"/>
    </row>
    <row r="2058">
      <c r="A2058" s="9"/>
      <c r="B2058" s="15"/>
      <c r="C2058" s="9">
        <f>IFERROR(__xludf.DUMMYFUNCTION("""COMPUTED_VALUE"""),44584.113548993)</f>
        <v>44584.11355</v>
      </c>
      <c r="D2058" s="15">
        <f>IFERROR(__xludf.DUMMYFUNCTION("""COMPUTED_VALUE"""),1.001)</f>
        <v>1.001</v>
      </c>
      <c r="E2058" s="16">
        <f>IFERROR(__xludf.DUMMYFUNCTION("""COMPUTED_VALUE"""),64.0)</f>
        <v>64</v>
      </c>
      <c r="F2058" s="19" t="str">
        <f>IFERROR(__xludf.DUMMYFUNCTION("""COMPUTED_VALUE"""),"BLUE")</f>
        <v>BLUE</v>
      </c>
      <c r="G2058" s="20" t="str">
        <f>IFERROR(__xludf.DUMMYFUNCTION("""COMPUTED_VALUE"""),"Uncle Sams Cider (11/12/2021) (Blue)")</f>
        <v>Uncle Sams Cider (11/12/2021) (Blue)</v>
      </c>
      <c r="H2058" s="19"/>
    </row>
    <row r="2059">
      <c r="A2059" s="9"/>
      <c r="B2059" s="15"/>
      <c r="C2059" s="9">
        <f>IFERROR(__xludf.DUMMYFUNCTION("""COMPUTED_VALUE"""),44584.1031274189)</f>
        <v>44584.10313</v>
      </c>
      <c r="D2059" s="15">
        <f>IFERROR(__xludf.DUMMYFUNCTION("""COMPUTED_VALUE"""),1.001)</f>
        <v>1.001</v>
      </c>
      <c r="E2059" s="16">
        <f>IFERROR(__xludf.DUMMYFUNCTION("""COMPUTED_VALUE"""),64.0)</f>
        <v>64</v>
      </c>
      <c r="F2059" s="19" t="str">
        <f>IFERROR(__xludf.DUMMYFUNCTION("""COMPUTED_VALUE"""),"BLUE")</f>
        <v>BLUE</v>
      </c>
      <c r="G2059" s="20" t="str">
        <f>IFERROR(__xludf.DUMMYFUNCTION("""COMPUTED_VALUE"""),"Uncle Sams Cider (11/12/2021) (Blue)")</f>
        <v>Uncle Sams Cider (11/12/2021) (Blue)</v>
      </c>
      <c r="H2059" s="19"/>
    </row>
    <row r="2060">
      <c r="A2060" s="9"/>
      <c r="B2060" s="15"/>
      <c r="C2060" s="9">
        <f>IFERROR(__xludf.DUMMYFUNCTION("""COMPUTED_VALUE"""),44584.092705324)</f>
        <v>44584.09271</v>
      </c>
      <c r="D2060" s="15">
        <f>IFERROR(__xludf.DUMMYFUNCTION("""COMPUTED_VALUE"""),1.001)</f>
        <v>1.001</v>
      </c>
      <c r="E2060" s="16">
        <f>IFERROR(__xludf.DUMMYFUNCTION("""COMPUTED_VALUE"""),64.0)</f>
        <v>64</v>
      </c>
      <c r="F2060" s="19" t="str">
        <f>IFERROR(__xludf.DUMMYFUNCTION("""COMPUTED_VALUE"""),"BLUE")</f>
        <v>BLUE</v>
      </c>
      <c r="G2060" s="20" t="str">
        <f>IFERROR(__xludf.DUMMYFUNCTION("""COMPUTED_VALUE"""),"Uncle Sams Cider (11/12/2021) (Blue)")</f>
        <v>Uncle Sams Cider (11/12/2021) (Blue)</v>
      </c>
      <c r="H2060" s="19"/>
    </row>
    <row r="2061">
      <c r="A2061" s="9"/>
      <c r="B2061" s="15"/>
      <c r="C2061" s="9">
        <f>IFERROR(__xludf.DUMMYFUNCTION("""COMPUTED_VALUE"""),44584.082283206)</f>
        <v>44584.08228</v>
      </c>
      <c r="D2061" s="15">
        <f>IFERROR(__xludf.DUMMYFUNCTION("""COMPUTED_VALUE"""),1.001)</f>
        <v>1.001</v>
      </c>
      <c r="E2061" s="16">
        <f>IFERROR(__xludf.DUMMYFUNCTION("""COMPUTED_VALUE"""),64.0)</f>
        <v>64</v>
      </c>
      <c r="F2061" s="19" t="str">
        <f>IFERROR(__xludf.DUMMYFUNCTION("""COMPUTED_VALUE"""),"BLUE")</f>
        <v>BLUE</v>
      </c>
      <c r="G2061" s="20" t="str">
        <f>IFERROR(__xludf.DUMMYFUNCTION("""COMPUTED_VALUE"""),"Uncle Sams Cider (11/12/2021) (Blue)")</f>
        <v>Uncle Sams Cider (11/12/2021) (Blue)</v>
      </c>
      <c r="H2061" s="19"/>
    </row>
    <row r="2062">
      <c r="A2062" s="9"/>
      <c r="B2062" s="15"/>
      <c r="C2062" s="9">
        <f>IFERROR(__xludf.DUMMYFUNCTION("""COMPUTED_VALUE"""),44584.0718620949)</f>
        <v>44584.07186</v>
      </c>
      <c r="D2062" s="15">
        <f>IFERROR(__xludf.DUMMYFUNCTION("""COMPUTED_VALUE"""),1.001)</f>
        <v>1.001</v>
      </c>
      <c r="E2062" s="16">
        <f>IFERROR(__xludf.DUMMYFUNCTION("""COMPUTED_VALUE"""),64.0)</f>
        <v>64</v>
      </c>
      <c r="F2062" s="19" t="str">
        <f>IFERROR(__xludf.DUMMYFUNCTION("""COMPUTED_VALUE"""),"BLUE")</f>
        <v>BLUE</v>
      </c>
      <c r="G2062" s="20" t="str">
        <f>IFERROR(__xludf.DUMMYFUNCTION("""COMPUTED_VALUE"""),"Uncle Sams Cider (11/12/2021) (Blue)")</f>
        <v>Uncle Sams Cider (11/12/2021) (Blue)</v>
      </c>
      <c r="H2062" s="19"/>
    </row>
    <row r="2063">
      <c r="A2063" s="9"/>
      <c r="B2063" s="15"/>
      <c r="C2063" s="9">
        <f>IFERROR(__xludf.DUMMYFUNCTION("""COMPUTED_VALUE"""),44584.0614391435)</f>
        <v>44584.06144</v>
      </c>
      <c r="D2063" s="15">
        <f>IFERROR(__xludf.DUMMYFUNCTION("""COMPUTED_VALUE"""),1.001)</f>
        <v>1.001</v>
      </c>
      <c r="E2063" s="16">
        <f>IFERROR(__xludf.DUMMYFUNCTION("""COMPUTED_VALUE"""),64.0)</f>
        <v>64</v>
      </c>
      <c r="F2063" s="19" t="str">
        <f>IFERROR(__xludf.DUMMYFUNCTION("""COMPUTED_VALUE"""),"BLUE")</f>
        <v>BLUE</v>
      </c>
      <c r="G2063" s="20" t="str">
        <f>IFERROR(__xludf.DUMMYFUNCTION("""COMPUTED_VALUE"""),"Uncle Sams Cider (11/12/2021) (Blue)")</f>
        <v>Uncle Sams Cider (11/12/2021) (Blue)</v>
      </c>
      <c r="H2063" s="19"/>
    </row>
    <row r="2064">
      <c r="A2064" s="9"/>
      <c r="B2064" s="15"/>
      <c r="C2064" s="9">
        <f>IFERROR(__xludf.DUMMYFUNCTION("""COMPUTED_VALUE"""),44584.0510203703)</f>
        <v>44584.05102</v>
      </c>
      <c r="D2064" s="15">
        <f>IFERROR(__xludf.DUMMYFUNCTION("""COMPUTED_VALUE"""),1.001)</f>
        <v>1.001</v>
      </c>
      <c r="E2064" s="16">
        <f>IFERROR(__xludf.DUMMYFUNCTION("""COMPUTED_VALUE"""),64.0)</f>
        <v>64</v>
      </c>
      <c r="F2064" s="19" t="str">
        <f>IFERROR(__xludf.DUMMYFUNCTION("""COMPUTED_VALUE"""),"BLUE")</f>
        <v>BLUE</v>
      </c>
      <c r="G2064" s="20" t="str">
        <f>IFERROR(__xludf.DUMMYFUNCTION("""COMPUTED_VALUE"""),"Uncle Sams Cider (11/12/2021) (Blue)")</f>
        <v>Uncle Sams Cider (11/12/2021) (Blue)</v>
      </c>
      <c r="H2064" s="19"/>
    </row>
    <row r="2065">
      <c r="A2065" s="9"/>
      <c r="B2065" s="15"/>
      <c r="C2065" s="9">
        <f>IFERROR(__xludf.DUMMYFUNCTION("""COMPUTED_VALUE"""),44584.0406008449)</f>
        <v>44584.0406</v>
      </c>
      <c r="D2065" s="15">
        <f>IFERROR(__xludf.DUMMYFUNCTION("""COMPUTED_VALUE"""),1.001)</f>
        <v>1.001</v>
      </c>
      <c r="E2065" s="16">
        <f>IFERROR(__xludf.DUMMYFUNCTION("""COMPUTED_VALUE"""),64.0)</f>
        <v>64</v>
      </c>
      <c r="F2065" s="19" t="str">
        <f>IFERROR(__xludf.DUMMYFUNCTION("""COMPUTED_VALUE"""),"BLUE")</f>
        <v>BLUE</v>
      </c>
      <c r="G2065" s="20" t="str">
        <f>IFERROR(__xludf.DUMMYFUNCTION("""COMPUTED_VALUE"""),"Uncle Sams Cider (11/12/2021) (Blue)")</f>
        <v>Uncle Sams Cider (11/12/2021) (Blue)</v>
      </c>
      <c r="H2065" s="19"/>
    </row>
    <row r="2066">
      <c r="A2066" s="9"/>
      <c r="B2066" s="15"/>
      <c r="C2066" s="9">
        <f>IFERROR(__xludf.DUMMYFUNCTION("""COMPUTED_VALUE"""),44584.030178831)</f>
        <v>44584.03018</v>
      </c>
      <c r="D2066" s="15">
        <f>IFERROR(__xludf.DUMMYFUNCTION("""COMPUTED_VALUE"""),1.001)</f>
        <v>1.001</v>
      </c>
      <c r="E2066" s="16">
        <f>IFERROR(__xludf.DUMMYFUNCTION("""COMPUTED_VALUE"""),64.0)</f>
        <v>64</v>
      </c>
      <c r="F2066" s="19" t="str">
        <f>IFERROR(__xludf.DUMMYFUNCTION("""COMPUTED_VALUE"""),"BLUE")</f>
        <v>BLUE</v>
      </c>
      <c r="G2066" s="20" t="str">
        <f>IFERROR(__xludf.DUMMYFUNCTION("""COMPUTED_VALUE"""),"Uncle Sams Cider (11/12/2021) (Blue)")</f>
        <v>Uncle Sams Cider (11/12/2021) (Blue)</v>
      </c>
      <c r="H2066" s="19"/>
    </row>
    <row r="2067">
      <c r="A2067" s="9"/>
      <c r="B2067" s="15"/>
      <c r="C2067" s="9">
        <f>IFERROR(__xludf.DUMMYFUNCTION("""COMPUTED_VALUE"""),44584.0197575578)</f>
        <v>44584.01976</v>
      </c>
      <c r="D2067" s="15">
        <f>IFERROR(__xludf.DUMMYFUNCTION("""COMPUTED_VALUE"""),1.001)</f>
        <v>1.001</v>
      </c>
      <c r="E2067" s="16">
        <f>IFERROR(__xludf.DUMMYFUNCTION("""COMPUTED_VALUE"""),64.0)</f>
        <v>64</v>
      </c>
      <c r="F2067" s="19" t="str">
        <f>IFERROR(__xludf.DUMMYFUNCTION("""COMPUTED_VALUE"""),"BLUE")</f>
        <v>BLUE</v>
      </c>
      <c r="G2067" s="20" t="str">
        <f>IFERROR(__xludf.DUMMYFUNCTION("""COMPUTED_VALUE"""),"Uncle Sams Cider (11/12/2021) (Blue)")</f>
        <v>Uncle Sams Cider (11/12/2021) (Blue)</v>
      </c>
      <c r="H2067" s="19"/>
    </row>
    <row r="2068">
      <c r="A2068" s="9"/>
      <c r="B2068" s="15"/>
      <c r="C2068" s="9">
        <f>IFERROR(__xludf.DUMMYFUNCTION("""COMPUTED_VALUE"""),44584.0093250578)</f>
        <v>44584.00933</v>
      </c>
      <c r="D2068" s="15">
        <f>IFERROR(__xludf.DUMMYFUNCTION("""COMPUTED_VALUE"""),1.001)</f>
        <v>1.001</v>
      </c>
      <c r="E2068" s="16">
        <f>IFERROR(__xludf.DUMMYFUNCTION("""COMPUTED_VALUE"""),64.0)</f>
        <v>64</v>
      </c>
      <c r="F2068" s="19" t="str">
        <f>IFERROR(__xludf.DUMMYFUNCTION("""COMPUTED_VALUE"""),"BLUE")</f>
        <v>BLUE</v>
      </c>
      <c r="G2068" s="20" t="str">
        <f>IFERROR(__xludf.DUMMYFUNCTION("""COMPUTED_VALUE"""),"Uncle Sams Cider (11/12/2021) (Blue)")</f>
        <v>Uncle Sams Cider (11/12/2021) (Blue)</v>
      </c>
      <c r="H2068" s="19"/>
    </row>
    <row r="2069">
      <c r="A2069" s="9"/>
      <c r="B2069" s="15"/>
      <c r="C2069" s="9">
        <f>IFERROR(__xludf.DUMMYFUNCTION("""COMPUTED_VALUE"""),44583.998903368)</f>
        <v>44583.9989</v>
      </c>
      <c r="D2069" s="15">
        <f>IFERROR(__xludf.DUMMYFUNCTION("""COMPUTED_VALUE"""),1.001)</f>
        <v>1.001</v>
      </c>
      <c r="E2069" s="16">
        <f>IFERROR(__xludf.DUMMYFUNCTION("""COMPUTED_VALUE"""),64.0)</f>
        <v>64</v>
      </c>
      <c r="F2069" s="19" t="str">
        <f>IFERROR(__xludf.DUMMYFUNCTION("""COMPUTED_VALUE"""),"BLUE")</f>
        <v>BLUE</v>
      </c>
      <c r="G2069" s="20" t="str">
        <f>IFERROR(__xludf.DUMMYFUNCTION("""COMPUTED_VALUE"""),"Uncle Sams Cider (11/12/2021) (Blue)")</f>
        <v>Uncle Sams Cider (11/12/2021) (Blue)</v>
      </c>
      <c r="H2069" s="19"/>
    </row>
    <row r="2070">
      <c r="A2070" s="9"/>
      <c r="B2070" s="15"/>
      <c r="C2070" s="9">
        <f>IFERROR(__xludf.DUMMYFUNCTION("""COMPUTED_VALUE"""),44583.9884805902)</f>
        <v>44583.98848</v>
      </c>
      <c r="D2070" s="15">
        <f>IFERROR(__xludf.DUMMYFUNCTION("""COMPUTED_VALUE"""),1.001)</f>
        <v>1.001</v>
      </c>
      <c r="E2070" s="16">
        <f>IFERROR(__xludf.DUMMYFUNCTION("""COMPUTED_VALUE"""),64.0)</f>
        <v>64</v>
      </c>
      <c r="F2070" s="19" t="str">
        <f>IFERROR(__xludf.DUMMYFUNCTION("""COMPUTED_VALUE"""),"BLUE")</f>
        <v>BLUE</v>
      </c>
      <c r="G2070" s="20" t="str">
        <f>IFERROR(__xludf.DUMMYFUNCTION("""COMPUTED_VALUE"""),"Uncle Sams Cider (11/12/2021) (Blue)")</f>
        <v>Uncle Sams Cider (11/12/2021) (Blue)</v>
      </c>
      <c r="H2070" s="19"/>
    </row>
    <row r="2071">
      <c r="A2071" s="9"/>
      <c r="B2071" s="15"/>
      <c r="C2071" s="9">
        <f>IFERROR(__xludf.DUMMYFUNCTION("""COMPUTED_VALUE"""),44583.978059699)</f>
        <v>44583.97806</v>
      </c>
      <c r="D2071" s="15">
        <f>IFERROR(__xludf.DUMMYFUNCTION("""COMPUTED_VALUE"""),1.001)</f>
        <v>1.001</v>
      </c>
      <c r="E2071" s="16">
        <f>IFERROR(__xludf.DUMMYFUNCTION("""COMPUTED_VALUE"""),64.0)</f>
        <v>64</v>
      </c>
      <c r="F2071" s="19" t="str">
        <f>IFERROR(__xludf.DUMMYFUNCTION("""COMPUTED_VALUE"""),"BLUE")</f>
        <v>BLUE</v>
      </c>
      <c r="G2071" s="20" t="str">
        <f>IFERROR(__xludf.DUMMYFUNCTION("""COMPUTED_VALUE"""),"Uncle Sams Cider (11/12/2021) (Blue)")</f>
        <v>Uncle Sams Cider (11/12/2021) (Blue)</v>
      </c>
      <c r="H2071" s="19"/>
    </row>
    <row r="2072">
      <c r="A2072" s="9"/>
      <c r="B2072" s="15"/>
      <c r="C2072" s="9">
        <f>IFERROR(__xludf.DUMMYFUNCTION("""COMPUTED_VALUE"""),44583.9676391435)</f>
        <v>44583.96764</v>
      </c>
      <c r="D2072" s="15">
        <f>IFERROR(__xludf.DUMMYFUNCTION("""COMPUTED_VALUE"""),1.001)</f>
        <v>1.001</v>
      </c>
      <c r="E2072" s="16">
        <f>IFERROR(__xludf.DUMMYFUNCTION("""COMPUTED_VALUE"""),64.0)</f>
        <v>64</v>
      </c>
      <c r="F2072" s="19" t="str">
        <f>IFERROR(__xludf.DUMMYFUNCTION("""COMPUTED_VALUE"""),"BLUE")</f>
        <v>BLUE</v>
      </c>
      <c r="G2072" s="20" t="str">
        <f>IFERROR(__xludf.DUMMYFUNCTION("""COMPUTED_VALUE"""),"Uncle Sams Cider (11/12/2021) (Blue)")</f>
        <v>Uncle Sams Cider (11/12/2021) (Blue)</v>
      </c>
      <c r="H2072" s="19"/>
    </row>
    <row r="2073">
      <c r="A2073" s="9"/>
      <c r="B2073" s="15"/>
      <c r="C2073" s="9">
        <f>IFERROR(__xludf.DUMMYFUNCTION("""COMPUTED_VALUE"""),44583.9572168171)</f>
        <v>44583.95722</v>
      </c>
      <c r="D2073" s="15">
        <f>IFERROR(__xludf.DUMMYFUNCTION("""COMPUTED_VALUE"""),1.001)</f>
        <v>1.001</v>
      </c>
      <c r="E2073" s="16">
        <f>IFERROR(__xludf.DUMMYFUNCTION("""COMPUTED_VALUE"""),64.0)</f>
        <v>64</v>
      </c>
      <c r="F2073" s="19" t="str">
        <f>IFERROR(__xludf.DUMMYFUNCTION("""COMPUTED_VALUE"""),"BLUE")</f>
        <v>BLUE</v>
      </c>
      <c r="G2073" s="20" t="str">
        <f>IFERROR(__xludf.DUMMYFUNCTION("""COMPUTED_VALUE"""),"Uncle Sams Cider (11/12/2021) (Blue)")</f>
        <v>Uncle Sams Cider (11/12/2021) (Blue)</v>
      </c>
      <c r="H2073" s="19"/>
    </row>
    <row r="2074">
      <c r="A2074" s="9"/>
      <c r="B2074" s="15"/>
      <c r="C2074" s="9">
        <f>IFERROR(__xludf.DUMMYFUNCTION("""COMPUTED_VALUE"""),44583.9467967129)</f>
        <v>44583.9468</v>
      </c>
      <c r="D2074" s="15">
        <f>IFERROR(__xludf.DUMMYFUNCTION("""COMPUTED_VALUE"""),1.001)</f>
        <v>1.001</v>
      </c>
      <c r="E2074" s="16">
        <f>IFERROR(__xludf.DUMMYFUNCTION("""COMPUTED_VALUE"""),64.0)</f>
        <v>64</v>
      </c>
      <c r="F2074" s="19" t="str">
        <f>IFERROR(__xludf.DUMMYFUNCTION("""COMPUTED_VALUE"""),"BLUE")</f>
        <v>BLUE</v>
      </c>
      <c r="G2074" s="20" t="str">
        <f>IFERROR(__xludf.DUMMYFUNCTION("""COMPUTED_VALUE"""),"Uncle Sams Cider (11/12/2021) (Blue)")</f>
        <v>Uncle Sams Cider (11/12/2021) (Blue)</v>
      </c>
      <c r="H2074" s="19"/>
    </row>
    <row r="2075">
      <c r="A2075" s="9"/>
      <c r="B2075" s="15"/>
      <c r="C2075" s="9">
        <f>IFERROR(__xludf.DUMMYFUNCTION("""COMPUTED_VALUE"""),44583.9363750231)</f>
        <v>44583.93638</v>
      </c>
      <c r="D2075" s="15">
        <f>IFERROR(__xludf.DUMMYFUNCTION("""COMPUTED_VALUE"""),1.001)</f>
        <v>1.001</v>
      </c>
      <c r="E2075" s="16">
        <f>IFERROR(__xludf.DUMMYFUNCTION("""COMPUTED_VALUE"""),64.0)</f>
        <v>64</v>
      </c>
      <c r="F2075" s="19" t="str">
        <f>IFERROR(__xludf.DUMMYFUNCTION("""COMPUTED_VALUE"""),"BLUE")</f>
        <v>BLUE</v>
      </c>
      <c r="G2075" s="20" t="str">
        <f>IFERROR(__xludf.DUMMYFUNCTION("""COMPUTED_VALUE"""),"Uncle Sams Cider (11/12/2021) (Blue)")</f>
        <v>Uncle Sams Cider (11/12/2021) (Blue)</v>
      </c>
      <c r="H2075" s="19"/>
    </row>
    <row r="2076">
      <c r="A2076" s="9"/>
      <c r="B2076" s="15"/>
      <c r="C2076" s="9">
        <f>IFERROR(__xludf.DUMMYFUNCTION("""COMPUTED_VALUE"""),44583.9259543402)</f>
        <v>44583.92595</v>
      </c>
      <c r="D2076" s="15">
        <f>IFERROR(__xludf.DUMMYFUNCTION("""COMPUTED_VALUE"""),1.001)</f>
        <v>1.001</v>
      </c>
      <c r="E2076" s="16">
        <f>IFERROR(__xludf.DUMMYFUNCTION("""COMPUTED_VALUE"""),64.0)</f>
        <v>64</v>
      </c>
      <c r="F2076" s="19" t="str">
        <f>IFERROR(__xludf.DUMMYFUNCTION("""COMPUTED_VALUE"""),"BLUE")</f>
        <v>BLUE</v>
      </c>
      <c r="G2076" s="20" t="str">
        <f>IFERROR(__xludf.DUMMYFUNCTION("""COMPUTED_VALUE"""),"Uncle Sams Cider (11/12/2021) (Blue)")</f>
        <v>Uncle Sams Cider (11/12/2021) (Blue)</v>
      </c>
      <c r="H2076" s="19"/>
    </row>
    <row r="2077">
      <c r="A2077" s="9"/>
      <c r="B2077" s="15"/>
      <c r="C2077" s="9">
        <f>IFERROR(__xludf.DUMMYFUNCTION("""COMPUTED_VALUE"""),44583.9155329398)</f>
        <v>44583.91553</v>
      </c>
      <c r="D2077" s="15">
        <f>IFERROR(__xludf.DUMMYFUNCTION("""COMPUTED_VALUE"""),1.001)</f>
        <v>1.001</v>
      </c>
      <c r="E2077" s="16">
        <f>IFERROR(__xludf.DUMMYFUNCTION("""COMPUTED_VALUE"""),64.0)</f>
        <v>64</v>
      </c>
      <c r="F2077" s="19" t="str">
        <f>IFERROR(__xludf.DUMMYFUNCTION("""COMPUTED_VALUE"""),"BLUE")</f>
        <v>BLUE</v>
      </c>
      <c r="G2077" s="20" t="str">
        <f>IFERROR(__xludf.DUMMYFUNCTION("""COMPUTED_VALUE"""),"Uncle Sams Cider (11/12/2021) (Blue)")</f>
        <v>Uncle Sams Cider (11/12/2021) (Blue)</v>
      </c>
      <c r="H2077" s="19"/>
    </row>
    <row r="2078">
      <c r="A2078" s="9"/>
      <c r="B2078" s="15"/>
      <c r="C2078" s="9">
        <f>IFERROR(__xludf.DUMMYFUNCTION("""COMPUTED_VALUE"""),44583.9051114004)</f>
        <v>44583.90511</v>
      </c>
      <c r="D2078" s="15">
        <f>IFERROR(__xludf.DUMMYFUNCTION("""COMPUTED_VALUE"""),1.001)</f>
        <v>1.001</v>
      </c>
      <c r="E2078" s="16">
        <f>IFERROR(__xludf.DUMMYFUNCTION("""COMPUTED_VALUE"""),64.0)</f>
        <v>64</v>
      </c>
      <c r="F2078" s="19" t="str">
        <f>IFERROR(__xludf.DUMMYFUNCTION("""COMPUTED_VALUE"""),"BLUE")</f>
        <v>BLUE</v>
      </c>
      <c r="G2078" s="20" t="str">
        <f>IFERROR(__xludf.DUMMYFUNCTION("""COMPUTED_VALUE"""),"Uncle Sams Cider (11/12/2021) (Blue)")</f>
        <v>Uncle Sams Cider (11/12/2021) (Blue)</v>
      </c>
      <c r="H2078" s="19"/>
    </row>
    <row r="2079">
      <c r="A2079" s="9"/>
      <c r="B2079" s="15"/>
      <c r="C2079" s="9">
        <f>IFERROR(__xludf.DUMMYFUNCTION("""COMPUTED_VALUE"""),44583.8946909606)</f>
        <v>44583.89469</v>
      </c>
      <c r="D2079" s="15">
        <f>IFERROR(__xludf.DUMMYFUNCTION("""COMPUTED_VALUE"""),1.001)</f>
        <v>1.001</v>
      </c>
      <c r="E2079" s="16">
        <f>IFERROR(__xludf.DUMMYFUNCTION("""COMPUTED_VALUE"""),64.0)</f>
        <v>64</v>
      </c>
      <c r="F2079" s="19" t="str">
        <f>IFERROR(__xludf.DUMMYFUNCTION("""COMPUTED_VALUE"""),"BLUE")</f>
        <v>BLUE</v>
      </c>
      <c r="G2079" s="20" t="str">
        <f>IFERROR(__xludf.DUMMYFUNCTION("""COMPUTED_VALUE"""),"Uncle Sams Cider (11/12/2021) (Blue)")</f>
        <v>Uncle Sams Cider (11/12/2021) (Blue)</v>
      </c>
      <c r="H2079" s="19"/>
    </row>
    <row r="2080">
      <c r="A2080" s="9"/>
      <c r="B2080" s="15"/>
      <c r="C2080" s="9">
        <f>IFERROR(__xludf.DUMMYFUNCTION("""COMPUTED_VALUE"""),44583.8842592592)</f>
        <v>44583.88426</v>
      </c>
      <c r="D2080" s="15">
        <f>IFERROR(__xludf.DUMMYFUNCTION("""COMPUTED_VALUE"""),1.001)</f>
        <v>1.001</v>
      </c>
      <c r="E2080" s="16">
        <f>IFERROR(__xludf.DUMMYFUNCTION("""COMPUTED_VALUE"""),64.0)</f>
        <v>64</v>
      </c>
      <c r="F2080" s="19" t="str">
        <f>IFERROR(__xludf.DUMMYFUNCTION("""COMPUTED_VALUE"""),"BLUE")</f>
        <v>BLUE</v>
      </c>
      <c r="G2080" s="20" t="str">
        <f>IFERROR(__xludf.DUMMYFUNCTION("""COMPUTED_VALUE"""),"Uncle Sams Cider (11/12/2021) (Blue)")</f>
        <v>Uncle Sams Cider (11/12/2021) (Blue)</v>
      </c>
      <c r="H2080" s="19"/>
    </row>
    <row r="2081">
      <c r="A2081" s="9"/>
      <c r="B2081" s="15"/>
      <c r="C2081" s="9">
        <f>IFERROR(__xludf.DUMMYFUNCTION("""COMPUTED_VALUE"""),44583.8738390277)</f>
        <v>44583.87384</v>
      </c>
      <c r="D2081" s="15">
        <f>IFERROR(__xludf.DUMMYFUNCTION("""COMPUTED_VALUE"""),1.001)</f>
        <v>1.001</v>
      </c>
      <c r="E2081" s="16">
        <f>IFERROR(__xludf.DUMMYFUNCTION("""COMPUTED_VALUE"""),64.0)</f>
        <v>64</v>
      </c>
      <c r="F2081" s="19" t="str">
        <f>IFERROR(__xludf.DUMMYFUNCTION("""COMPUTED_VALUE"""),"BLUE")</f>
        <v>BLUE</v>
      </c>
      <c r="G2081" s="20" t="str">
        <f>IFERROR(__xludf.DUMMYFUNCTION("""COMPUTED_VALUE"""),"Uncle Sams Cider (11/12/2021) (Blue)")</f>
        <v>Uncle Sams Cider (11/12/2021) (Blue)</v>
      </c>
      <c r="H2081" s="19"/>
    </row>
    <row r="2082">
      <c r="A2082" s="9"/>
      <c r="B2082" s="15"/>
      <c r="C2082" s="9">
        <f>IFERROR(__xludf.DUMMYFUNCTION("""COMPUTED_VALUE"""),44583.8634173611)</f>
        <v>44583.86342</v>
      </c>
      <c r="D2082" s="15">
        <f>IFERROR(__xludf.DUMMYFUNCTION("""COMPUTED_VALUE"""),1.001)</f>
        <v>1.001</v>
      </c>
      <c r="E2082" s="16">
        <f>IFERROR(__xludf.DUMMYFUNCTION("""COMPUTED_VALUE"""),64.0)</f>
        <v>64</v>
      </c>
      <c r="F2082" s="19" t="str">
        <f>IFERROR(__xludf.DUMMYFUNCTION("""COMPUTED_VALUE"""),"BLUE")</f>
        <v>BLUE</v>
      </c>
      <c r="G2082" s="20" t="str">
        <f>IFERROR(__xludf.DUMMYFUNCTION("""COMPUTED_VALUE"""),"Uncle Sams Cider (11/12/2021) (Blue)")</f>
        <v>Uncle Sams Cider (11/12/2021) (Blue)</v>
      </c>
      <c r="H2082" s="19"/>
    </row>
    <row r="2083">
      <c r="A2083" s="9"/>
      <c r="B2083" s="15"/>
      <c r="C2083" s="9">
        <f>IFERROR(__xludf.DUMMYFUNCTION("""COMPUTED_VALUE"""),44583.8529962615)</f>
        <v>44583.853</v>
      </c>
      <c r="D2083" s="15">
        <f>IFERROR(__xludf.DUMMYFUNCTION("""COMPUTED_VALUE"""),1.001)</f>
        <v>1.001</v>
      </c>
      <c r="E2083" s="16">
        <f>IFERROR(__xludf.DUMMYFUNCTION("""COMPUTED_VALUE"""),64.0)</f>
        <v>64</v>
      </c>
      <c r="F2083" s="19" t="str">
        <f>IFERROR(__xludf.DUMMYFUNCTION("""COMPUTED_VALUE"""),"BLUE")</f>
        <v>BLUE</v>
      </c>
      <c r="G2083" s="20" t="str">
        <f>IFERROR(__xludf.DUMMYFUNCTION("""COMPUTED_VALUE"""),"Uncle Sams Cider (11/12/2021) (Blue)")</f>
        <v>Uncle Sams Cider (11/12/2021) (Blue)</v>
      </c>
      <c r="H2083" s="19"/>
    </row>
    <row r="2084">
      <c r="A2084" s="9"/>
      <c r="B2084" s="15"/>
      <c r="C2084" s="9">
        <f>IFERROR(__xludf.DUMMYFUNCTION("""COMPUTED_VALUE"""),44583.8425739814)</f>
        <v>44583.84257</v>
      </c>
      <c r="D2084" s="15">
        <f>IFERROR(__xludf.DUMMYFUNCTION("""COMPUTED_VALUE"""),1.001)</f>
        <v>1.001</v>
      </c>
      <c r="E2084" s="16">
        <f>IFERROR(__xludf.DUMMYFUNCTION("""COMPUTED_VALUE"""),64.0)</f>
        <v>64</v>
      </c>
      <c r="F2084" s="19" t="str">
        <f>IFERROR(__xludf.DUMMYFUNCTION("""COMPUTED_VALUE"""),"BLUE")</f>
        <v>BLUE</v>
      </c>
      <c r="G2084" s="20" t="str">
        <f>IFERROR(__xludf.DUMMYFUNCTION("""COMPUTED_VALUE"""),"Uncle Sams Cider (11/12/2021) (Blue)")</f>
        <v>Uncle Sams Cider (11/12/2021) (Blue)</v>
      </c>
      <c r="H2084" s="19"/>
    </row>
    <row r="2085">
      <c r="A2085" s="9"/>
      <c r="B2085" s="15"/>
      <c r="C2085" s="9">
        <f>IFERROR(__xludf.DUMMYFUNCTION("""COMPUTED_VALUE"""),44583.8321531712)</f>
        <v>44583.83215</v>
      </c>
      <c r="D2085" s="15">
        <f>IFERROR(__xludf.DUMMYFUNCTION("""COMPUTED_VALUE"""),1.001)</f>
        <v>1.001</v>
      </c>
      <c r="E2085" s="16">
        <f>IFERROR(__xludf.DUMMYFUNCTION("""COMPUTED_VALUE"""),64.0)</f>
        <v>64</v>
      </c>
      <c r="F2085" s="19" t="str">
        <f>IFERROR(__xludf.DUMMYFUNCTION("""COMPUTED_VALUE"""),"BLUE")</f>
        <v>BLUE</v>
      </c>
      <c r="G2085" s="20" t="str">
        <f>IFERROR(__xludf.DUMMYFUNCTION("""COMPUTED_VALUE"""),"Uncle Sams Cider (11/12/2021) (Blue)")</f>
        <v>Uncle Sams Cider (11/12/2021) (Blue)</v>
      </c>
      <c r="H2085" s="19"/>
    </row>
    <row r="2086">
      <c r="A2086" s="9"/>
      <c r="B2086" s="15"/>
      <c r="C2086" s="9">
        <f>IFERROR(__xludf.DUMMYFUNCTION("""COMPUTED_VALUE"""),44583.8217319212)</f>
        <v>44583.82173</v>
      </c>
      <c r="D2086" s="15">
        <f>IFERROR(__xludf.DUMMYFUNCTION("""COMPUTED_VALUE"""),1.001)</f>
        <v>1.001</v>
      </c>
      <c r="E2086" s="16">
        <f>IFERROR(__xludf.DUMMYFUNCTION("""COMPUTED_VALUE"""),64.0)</f>
        <v>64</v>
      </c>
      <c r="F2086" s="19" t="str">
        <f>IFERROR(__xludf.DUMMYFUNCTION("""COMPUTED_VALUE"""),"BLUE")</f>
        <v>BLUE</v>
      </c>
      <c r="G2086" s="20" t="str">
        <f>IFERROR(__xludf.DUMMYFUNCTION("""COMPUTED_VALUE"""),"Uncle Sams Cider (11/12/2021) (Blue)")</f>
        <v>Uncle Sams Cider (11/12/2021) (Blue)</v>
      </c>
      <c r="H2086" s="19"/>
    </row>
    <row r="2087">
      <c r="A2087" s="9"/>
      <c r="B2087" s="15"/>
      <c r="C2087" s="9">
        <f>IFERROR(__xludf.DUMMYFUNCTION("""COMPUTED_VALUE"""),44583.8113103125)</f>
        <v>44583.81131</v>
      </c>
      <c r="D2087" s="15">
        <f>IFERROR(__xludf.DUMMYFUNCTION("""COMPUTED_VALUE"""),1.001)</f>
        <v>1.001</v>
      </c>
      <c r="E2087" s="16">
        <f>IFERROR(__xludf.DUMMYFUNCTION("""COMPUTED_VALUE"""),64.0)</f>
        <v>64</v>
      </c>
      <c r="F2087" s="19" t="str">
        <f>IFERROR(__xludf.DUMMYFUNCTION("""COMPUTED_VALUE"""),"BLUE")</f>
        <v>BLUE</v>
      </c>
      <c r="G2087" s="20" t="str">
        <f>IFERROR(__xludf.DUMMYFUNCTION("""COMPUTED_VALUE"""),"Uncle Sams Cider (11/12/2021) (Blue)")</f>
        <v>Uncle Sams Cider (11/12/2021) (Blue)</v>
      </c>
      <c r="H2087" s="19"/>
    </row>
    <row r="2088">
      <c r="A2088" s="9"/>
      <c r="B2088" s="15"/>
      <c r="C2088" s="9">
        <f>IFERROR(__xludf.DUMMYFUNCTION("""COMPUTED_VALUE"""),44583.8008780324)</f>
        <v>44583.80088</v>
      </c>
      <c r="D2088" s="15">
        <f>IFERROR(__xludf.DUMMYFUNCTION("""COMPUTED_VALUE"""),1.001)</f>
        <v>1.001</v>
      </c>
      <c r="E2088" s="16">
        <f>IFERROR(__xludf.DUMMYFUNCTION("""COMPUTED_VALUE"""),64.0)</f>
        <v>64</v>
      </c>
      <c r="F2088" s="19" t="str">
        <f>IFERROR(__xludf.DUMMYFUNCTION("""COMPUTED_VALUE"""),"BLUE")</f>
        <v>BLUE</v>
      </c>
      <c r="G2088" s="20" t="str">
        <f>IFERROR(__xludf.DUMMYFUNCTION("""COMPUTED_VALUE"""),"Uncle Sams Cider (11/12/2021) (Blue)")</f>
        <v>Uncle Sams Cider (11/12/2021) (Blue)</v>
      </c>
      <c r="H2088" s="19"/>
    </row>
    <row r="2089">
      <c r="A2089" s="9"/>
      <c r="B2089" s="15"/>
      <c r="C2089" s="9">
        <f>IFERROR(__xludf.DUMMYFUNCTION("""COMPUTED_VALUE"""),44583.7904578819)</f>
        <v>44583.79046</v>
      </c>
      <c r="D2089" s="15">
        <f>IFERROR(__xludf.DUMMYFUNCTION("""COMPUTED_VALUE"""),1.001)</f>
        <v>1.001</v>
      </c>
      <c r="E2089" s="16">
        <f>IFERROR(__xludf.DUMMYFUNCTION("""COMPUTED_VALUE"""),65.0)</f>
        <v>65</v>
      </c>
      <c r="F2089" s="19" t="str">
        <f>IFERROR(__xludf.DUMMYFUNCTION("""COMPUTED_VALUE"""),"BLUE")</f>
        <v>BLUE</v>
      </c>
      <c r="G2089" s="20" t="str">
        <f>IFERROR(__xludf.DUMMYFUNCTION("""COMPUTED_VALUE"""),"Uncle Sams Cider (11/12/2021) (Blue)")</f>
        <v>Uncle Sams Cider (11/12/2021) (Blue)</v>
      </c>
      <c r="H2089" s="19"/>
    </row>
    <row r="2090">
      <c r="A2090" s="9"/>
      <c r="B2090" s="15"/>
      <c r="C2090" s="9">
        <f>IFERROR(__xludf.DUMMYFUNCTION("""COMPUTED_VALUE"""),44583.7800367129)</f>
        <v>44583.78004</v>
      </c>
      <c r="D2090" s="15">
        <f>IFERROR(__xludf.DUMMYFUNCTION("""COMPUTED_VALUE"""),1.001)</f>
        <v>1.001</v>
      </c>
      <c r="E2090" s="16">
        <f>IFERROR(__xludf.DUMMYFUNCTION("""COMPUTED_VALUE"""),65.0)</f>
        <v>65</v>
      </c>
      <c r="F2090" s="19" t="str">
        <f>IFERROR(__xludf.DUMMYFUNCTION("""COMPUTED_VALUE"""),"BLUE")</f>
        <v>BLUE</v>
      </c>
      <c r="G2090" s="20" t="str">
        <f>IFERROR(__xludf.DUMMYFUNCTION("""COMPUTED_VALUE"""),"Uncle Sams Cider (11/12/2021) (Blue)")</f>
        <v>Uncle Sams Cider (11/12/2021) (Blue)</v>
      </c>
      <c r="H2090" s="19"/>
    </row>
    <row r="2091">
      <c r="A2091" s="9"/>
      <c r="B2091" s="15"/>
      <c r="C2091" s="9">
        <f>IFERROR(__xludf.DUMMYFUNCTION("""COMPUTED_VALUE"""),44583.7696163194)</f>
        <v>44583.76962</v>
      </c>
      <c r="D2091" s="15">
        <f>IFERROR(__xludf.DUMMYFUNCTION("""COMPUTED_VALUE"""),1.001)</f>
        <v>1.001</v>
      </c>
      <c r="E2091" s="16">
        <f>IFERROR(__xludf.DUMMYFUNCTION("""COMPUTED_VALUE"""),65.0)</f>
        <v>65</v>
      </c>
      <c r="F2091" s="19" t="str">
        <f>IFERROR(__xludf.DUMMYFUNCTION("""COMPUTED_VALUE"""),"BLUE")</f>
        <v>BLUE</v>
      </c>
      <c r="G2091" s="20" t="str">
        <f>IFERROR(__xludf.DUMMYFUNCTION("""COMPUTED_VALUE"""),"Uncle Sams Cider (11/12/2021) (Blue)")</f>
        <v>Uncle Sams Cider (11/12/2021) (Blue)</v>
      </c>
      <c r="H2091" s="19"/>
    </row>
    <row r="2092">
      <c r="A2092" s="9"/>
      <c r="B2092" s="15"/>
      <c r="C2092" s="9">
        <f>IFERROR(__xludf.DUMMYFUNCTION("""COMPUTED_VALUE"""),44583.7591830671)</f>
        <v>44583.75918</v>
      </c>
      <c r="D2092" s="15">
        <f>IFERROR(__xludf.DUMMYFUNCTION("""COMPUTED_VALUE"""),1.001)</f>
        <v>1.001</v>
      </c>
      <c r="E2092" s="16">
        <f>IFERROR(__xludf.DUMMYFUNCTION("""COMPUTED_VALUE"""),65.0)</f>
        <v>65</v>
      </c>
      <c r="F2092" s="19" t="str">
        <f>IFERROR(__xludf.DUMMYFUNCTION("""COMPUTED_VALUE"""),"BLUE")</f>
        <v>BLUE</v>
      </c>
      <c r="G2092" s="20" t="str">
        <f>IFERROR(__xludf.DUMMYFUNCTION("""COMPUTED_VALUE"""),"Uncle Sams Cider (11/12/2021) (Blue)")</f>
        <v>Uncle Sams Cider (11/12/2021) (Blue)</v>
      </c>
      <c r="H2092" s="19"/>
    </row>
    <row r="2093">
      <c r="A2093" s="9"/>
      <c r="B2093" s="15"/>
      <c r="C2093" s="9">
        <f>IFERROR(__xludf.DUMMYFUNCTION("""COMPUTED_VALUE"""),44583.7487616782)</f>
        <v>44583.74876</v>
      </c>
      <c r="D2093" s="15">
        <f>IFERROR(__xludf.DUMMYFUNCTION("""COMPUTED_VALUE"""),1.001)</f>
        <v>1.001</v>
      </c>
      <c r="E2093" s="16">
        <f>IFERROR(__xludf.DUMMYFUNCTION("""COMPUTED_VALUE"""),65.0)</f>
        <v>65</v>
      </c>
      <c r="F2093" s="19" t="str">
        <f>IFERROR(__xludf.DUMMYFUNCTION("""COMPUTED_VALUE"""),"BLUE")</f>
        <v>BLUE</v>
      </c>
      <c r="G2093" s="20" t="str">
        <f>IFERROR(__xludf.DUMMYFUNCTION("""COMPUTED_VALUE"""),"Uncle Sams Cider (11/12/2021) (Blue)")</f>
        <v>Uncle Sams Cider (11/12/2021) (Blue)</v>
      </c>
      <c r="H2093" s="19"/>
    </row>
    <row r="2094">
      <c r="A2094" s="9"/>
      <c r="B2094" s="15"/>
      <c r="C2094" s="9">
        <f>IFERROR(__xludf.DUMMYFUNCTION("""COMPUTED_VALUE"""),44583.7383172685)</f>
        <v>44583.73832</v>
      </c>
      <c r="D2094" s="15">
        <f>IFERROR(__xludf.DUMMYFUNCTION("""COMPUTED_VALUE"""),1.001)</f>
        <v>1.001</v>
      </c>
      <c r="E2094" s="16">
        <f>IFERROR(__xludf.DUMMYFUNCTION("""COMPUTED_VALUE"""),65.0)</f>
        <v>65</v>
      </c>
      <c r="F2094" s="19" t="str">
        <f>IFERROR(__xludf.DUMMYFUNCTION("""COMPUTED_VALUE"""),"BLUE")</f>
        <v>BLUE</v>
      </c>
      <c r="G2094" s="20" t="str">
        <f>IFERROR(__xludf.DUMMYFUNCTION("""COMPUTED_VALUE"""),"Uncle Sams Cider (11/12/2021) (Blue)")</f>
        <v>Uncle Sams Cider (11/12/2021) (Blue)</v>
      </c>
      <c r="H2094" s="19"/>
    </row>
    <row r="2095">
      <c r="A2095" s="9"/>
      <c r="B2095" s="15"/>
      <c r="C2095" s="9">
        <f>IFERROR(__xludf.DUMMYFUNCTION("""COMPUTED_VALUE"""),44583.7278972337)</f>
        <v>44583.7279</v>
      </c>
      <c r="D2095" s="15">
        <f>IFERROR(__xludf.DUMMYFUNCTION("""COMPUTED_VALUE"""),1.001)</f>
        <v>1.001</v>
      </c>
      <c r="E2095" s="16">
        <f>IFERROR(__xludf.DUMMYFUNCTION("""COMPUTED_VALUE"""),65.0)</f>
        <v>65</v>
      </c>
      <c r="F2095" s="19" t="str">
        <f>IFERROR(__xludf.DUMMYFUNCTION("""COMPUTED_VALUE"""),"BLUE")</f>
        <v>BLUE</v>
      </c>
      <c r="G2095" s="20" t="str">
        <f>IFERROR(__xludf.DUMMYFUNCTION("""COMPUTED_VALUE"""),"Uncle Sams Cider (11/12/2021) (Blue)")</f>
        <v>Uncle Sams Cider (11/12/2021) (Blue)</v>
      </c>
      <c r="H2095" s="19"/>
    </row>
    <row r="2096">
      <c r="A2096" s="9"/>
      <c r="B2096" s="15"/>
      <c r="C2096" s="9">
        <f>IFERROR(__xludf.DUMMYFUNCTION("""COMPUTED_VALUE"""),44583.7174753703)</f>
        <v>44583.71748</v>
      </c>
      <c r="D2096" s="15">
        <f>IFERROR(__xludf.DUMMYFUNCTION("""COMPUTED_VALUE"""),1.001)</f>
        <v>1.001</v>
      </c>
      <c r="E2096" s="16">
        <f>IFERROR(__xludf.DUMMYFUNCTION("""COMPUTED_VALUE"""),65.0)</f>
        <v>65</v>
      </c>
      <c r="F2096" s="19" t="str">
        <f>IFERROR(__xludf.DUMMYFUNCTION("""COMPUTED_VALUE"""),"BLUE")</f>
        <v>BLUE</v>
      </c>
      <c r="G2096" s="20" t="str">
        <f>IFERROR(__xludf.DUMMYFUNCTION("""COMPUTED_VALUE"""),"Uncle Sams Cider (11/12/2021) (Blue)")</f>
        <v>Uncle Sams Cider (11/12/2021) (Blue)</v>
      </c>
      <c r="H2096" s="19"/>
    </row>
    <row r="2097">
      <c r="A2097" s="9"/>
      <c r="B2097" s="15"/>
      <c r="C2097" s="9">
        <f>IFERROR(__xludf.DUMMYFUNCTION("""COMPUTED_VALUE"""),44583.7070525578)</f>
        <v>44583.70705</v>
      </c>
      <c r="D2097" s="15">
        <f>IFERROR(__xludf.DUMMYFUNCTION("""COMPUTED_VALUE"""),1.001)</f>
        <v>1.001</v>
      </c>
      <c r="E2097" s="16">
        <f>IFERROR(__xludf.DUMMYFUNCTION("""COMPUTED_VALUE"""),65.0)</f>
        <v>65</v>
      </c>
      <c r="F2097" s="19" t="str">
        <f>IFERROR(__xludf.DUMMYFUNCTION("""COMPUTED_VALUE"""),"BLUE")</f>
        <v>BLUE</v>
      </c>
      <c r="G2097" s="20" t="str">
        <f>IFERROR(__xludf.DUMMYFUNCTION("""COMPUTED_VALUE"""),"Uncle Sams Cider (11/12/2021) (Blue)")</f>
        <v>Uncle Sams Cider (11/12/2021) (Blue)</v>
      </c>
      <c r="H2097" s="19"/>
    </row>
    <row r="2098">
      <c r="A2098" s="9"/>
      <c r="B2098" s="15"/>
      <c r="C2098" s="9">
        <f>IFERROR(__xludf.DUMMYFUNCTION("""COMPUTED_VALUE"""),44583.6966320601)</f>
        <v>44583.69663</v>
      </c>
      <c r="D2098" s="15">
        <f>IFERROR(__xludf.DUMMYFUNCTION("""COMPUTED_VALUE"""),1.001)</f>
        <v>1.001</v>
      </c>
      <c r="E2098" s="16">
        <f>IFERROR(__xludf.DUMMYFUNCTION("""COMPUTED_VALUE"""),65.0)</f>
        <v>65</v>
      </c>
      <c r="F2098" s="19" t="str">
        <f>IFERROR(__xludf.DUMMYFUNCTION("""COMPUTED_VALUE"""),"BLUE")</f>
        <v>BLUE</v>
      </c>
      <c r="G2098" s="20" t="str">
        <f>IFERROR(__xludf.DUMMYFUNCTION("""COMPUTED_VALUE"""),"Uncle Sams Cider (11/12/2021) (Blue)")</f>
        <v>Uncle Sams Cider (11/12/2021) (Blue)</v>
      </c>
      <c r="H2098" s="19"/>
    </row>
    <row r="2099">
      <c r="A2099" s="9"/>
      <c r="B2099" s="15"/>
      <c r="C2099" s="9">
        <f>IFERROR(__xludf.DUMMYFUNCTION("""COMPUTED_VALUE"""),44583.6862111458)</f>
        <v>44583.68621</v>
      </c>
      <c r="D2099" s="15">
        <f>IFERROR(__xludf.DUMMYFUNCTION("""COMPUTED_VALUE"""),1.001)</f>
        <v>1.001</v>
      </c>
      <c r="E2099" s="16">
        <f>IFERROR(__xludf.DUMMYFUNCTION("""COMPUTED_VALUE"""),65.0)</f>
        <v>65</v>
      </c>
      <c r="F2099" s="19" t="str">
        <f>IFERROR(__xludf.DUMMYFUNCTION("""COMPUTED_VALUE"""),"BLUE")</f>
        <v>BLUE</v>
      </c>
      <c r="G2099" s="20" t="str">
        <f>IFERROR(__xludf.DUMMYFUNCTION("""COMPUTED_VALUE"""),"Uncle Sams Cider (11/12/2021) (Blue)")</f>
        <v>Uncle Sams Cider (11/12/2021) (Blue)</v>
      </c>
      <c r="H2099" s="19"/>
    </row>
    <row r="2100">
      <c r="A2100" s="9"/>
      <c r="B2100" s="15"/>
      <c r="C2100" s="9">
        <f>IFERROR(__xludf.DUMMYFUNCTION("""COMPUTED_VALUE"""),44583.6757910648)</f>
        <v>44583.67579</v>
      </c>
      <c r="D2100" s="15">
        <f>IFERROR(__xludf.DUMMYFUNCTION("""COMPUTED_VALUE"""),1.001)</f>
        <v>1.001</v>
      </c>
      <c r="E2100" s="16">
        <f>IFERROR(__xludf.DUMMYFUNCTION("""COMPUTED_VALUE"""),65.0)</f>
        <v>65</v>
      </c>
      <c r="F2100" s="19" t="str">
        <f>IFERROR(__xludf.DUMMYFUNCTION("""COMPUTED_VALUE"""),"BLUE")</f>
        <v>BLUE</v>
      </c>
      <c r="G2100" s="20" t="str">
        <f>IFERROR(__xludf.DUMMYFUNCTION("""COMPUTED_VALUE"""),"Uncle Sams Cider (11/12/2021) (Blue)")</f>
        <v>Uncle Sams Cider (11/12/2021) (Blue)</v>
      </c>
      <c r="H2100" s="19"/>
    </row>
    <row r="2101">
      <c r="A2101" s="9"/>
      <c r="B2101" s="15"/>
      <c r="C2101" s="9">
        <f>IFERROR(__xludf.DUMMYFUNCTION("""COMPUTED_VALUE"""),44583.6653701504)</f>
        <v>44583.66537</v>
      </c>
      <c r="D2101" s="15">
        <f>IFERROR(__xludf.DUMMYFUNCTION("""COMPUTED_VALUE"""),1.001)</f>
        <v>1.001</v>
      </c>
      <c r="E2101" s="16">
        <f>IFERROR(__xludf.DUMMYFUNCTION("""COMPUTED_VALUE"""),65.0)</f>
        <v>65</v>
      </c>
      <c r="F2101" s="19" t="str">
        <f>IFERROR(__xludf.DUMMYFUNCTION("""COMPUTED_VALUE"""),"BLUE")</f>
        <v>BLUE</v>
      </c>
      <c r="G2101" s="20" t="str">
        <f>IFERROR(__xludf.DUMMYFUNCTION("""COMPUTED_VALUE"""),"Uncle Sams Cider (11/12/2021) (Blue)")</f>
        <v>Uncle Sams Cider (11/12/2021) (Blue)</v>
      </c>
      <c r="H2101" s="19"/>
    </row>
    <row r="2102">
      <c r="A2102" s="9"/>
      <c r="B2102" s="15"/>
      <c r="C2102" s="9">
        <f>IFERROR(__xludf.DUMMYFUNCTION("""COMPUTED_VALUE"""),44583.6549492592)</f>
        <v>44583.65495</v>
      </c>
      <c r="D2102" s="15">
        <f>IFERROR(__xludf.DUMMYFUNCTION("""COMPUTED_VALUE"""),1.001)</f>
        <v>1.001</v>
      </c>
      <c r="E2102" s="16">
        <f>IFERROR(__xludf.DUMMYFUNCTION("""COMPUTED_VALUE"""),65.0)</f>
        <v>65</v>
      </c>
      <c r="F2102" s="19" t="str">
        <f>IFERROR(__xludf.DUMMYFUNCTION("""COMPUTED_VALUE"""),"BLUE")</f>
        <v>BLUE</v>
      </c>
      <c r="G2102" s="20" t="str">
        <f>IFERROR(__xludf.DUMMYFUNCTION("""COMPUTED_VALUE"""),"Uncle Sams Cider (11/12/2021) (Blue)")</f>
        <v>Uncle Sams Cider (11/12/2021) (Blue)</v>
      </c>
      <c r="H2102" s="19"/>
    </row>
    <row r="2103">
      <c r="A2103" s="9"/>
      <c r="B2103" s="15"/>
      <c r="C2103" s="9">
        <f>IFERROR(__xludf.DUMMYFUNCTION("""COMPUTED_VALUE"""),44583.6444827777)</f>
        <v>44583.64448</v>
      </c>
      <c r="D2103" s="15">
        <f>IFERROR(__xludf.DUMMYFUNCTION("""COMPUTED_VALUE"""),1.001)</f>
        <v>1.001</v>
      </c>
      <c r="E2103" s="16">
        <f>IFERROR(__xludf.DUMMYFUNCTION("""COMPUTED_VALUE"""),65.0)</f>
        <v>65</v>
      </c>
      <c r="F2103" s="19" t="str">
        <f>IFERROR(__xludf.DUMMYFUNCTION("""COMPUTED_VALUE"""),"BLUE")</f>
        <v>BLUE</v>
      </c>
      <c r="G2103" s="20" t="str">
        <f>IFERROR(__xludf.DUMMYFUNCTION("""COMPUTED_VALUE"""),"Uncle Sams Cider (11/12/2021) (Blue)")</f>
        <v>Uncle Sams Cider (11/12/2021) (Blue)</v>
      </c>
      <c r="H2103" s="19"/>
    </row>
    <row r="2104">
      <c r="A2104" s="9"/>
      <c r="B2104" s="15"/>
      <c r="C2104" s="9">
        <f>IFERROR(__xludf.DUMMYFUNCTION("""COMPUTED_VALUE"""),44583.6340607754)</f>
        <v>44583.63406</v>
      </c>
      <c r="D2104" s="15">
        <f>IFERROR(__xludf.DUMMYFUNCTION("""COMPUTED_VALUE"""),1.001)</f>
        <v>1.001</v>
      </c>
      <c r="E2104" s="16">
        <f>IFERROR(__xludf.DUMMYFUNCTION("""COMPUTED_VALUE"""),65.0)</f>
        <v>65</v>
      </c>
      <c r="F2104" s="19" t="str">
        <f>IFERROR(__xludf.DUMMYFUNCTION("""COMPUTED_VALUE"""),"BLUE")</f>
        <v>BLUE</v>
      </c>
      <c r="G2104" s="20" t="str">
        <f>IFERROR(__xludf.DUMMYFUNCTION("""COMPUTED_VALUE"""),"Uncle Sams Cider (11/12/2021) (Blue)")</f>
        <v>Uncle Sams Cider (11/12/2021) (Blue)</v>
      </c>
      <c r="H2104" s="19"/>
    </row>
    <row r="2105">
      <c r="A2105" s="9"/>
      <c r="B2105" s="15"/>
      <c r="C2105" s="9">
        <f>IFERROR(__xludf.DUMMYFUNCTION("""COMPUTED_VALUE"""),44583.62363978)</f>
        <v>44583.62364</v>
      </c>
      <c r="D2105" s="15">
        <f>IFERROR(__xludf.DUMMYFUNCTION("""COMPUTED_VALUE"""),1.001)</f>
        <v>1.001</v>
      </c>
      <c r="E2105" s="16">
        <f>IFERROR(__xludf.DUMMYFUNCTION("""COMPUTED_VALUE"""),65.0)</f>
        <v>65</v>
      </c>
      <c r="F2105" s="19" t="str">
        <f>IFERROR(__xludf.DUMMYFUNCTION("""COMPUTED_VALUE"""),"BLUE")</f>
        <v>BLUE</v>
      </c>
      <c r="G2105" s="20" t="str">
        <f>IFERROR(__xludf.DUMMYFUNCTION("""COMPUTED_VALUE"""),"Uncle Sams Cider (11/12/2021) (Blue)")</f>
        <v>Uncle Sams Cider (11/12/2021) (Blue)</v>
      </c>
      <c r="H2105" s="19"/>
    </row>
    <row r="2106">
      <c r="A2106" s="9"/>
      <c r="B2106" s="15"/>
      <c r="C2106" s="9">
        <f>IFERROR(__xludf.DUMMYFUNCTION("""COMPUTED_VALUE"""),44583.6132182523)</f>
        <v>44583.61322</v>
      </c>
      <c r="D2106" s="15">
        <f>IFERROR(__xludf.DUMMYFUNCTION("""COMPUTED_VALUE"""),1.001)</f>
        <v>1.001</v>
      </c>
      <c r="E2106" s="16">
        <f>IFERROR(__xludf.DUMMYFUNCTION("""COMPUTED_VALUE"""),65.0)</f>
        <v>65</v>
      </c>
      <c r="F2106" s="19" t="str">
        <f>IFERROR(__xludf.DUMMYFUNCTION("""COMPUTED_VALUE"""),"BLUE")</f>
        <v>BLUE</v>
      </c>
      <c r="G2106" s="20" t="str">
        <f>IFERROR(__xludf.DUMMYFUNCTION("""COMPUTED_VALUE"""),"Uncle Sams Cider (11/12/2021) (Blue)")</f>
        <v>Uncle Sams Cider (11/12/2021) (Blue)</v>
      </c>
      <c r="H2106" s="19"/>
    </row>
    <row r="2107">
      <c r="A2107" s="9"/>
      <c r="B2107" s="15"/>
      <c r="C2107" s="9">
        <f>IFERROR(__xludf.DUMMYFUNCTION("""COMPUTED_VALUE"""),44583.6027847106)</f>
        <v>44583.60278</v>
      </c>
      <c r="D2107" s="15">
        <f>IFERROR(__xludf.DUMMYFUNCTION("""COMPUTED_VALUE"""),1.001)</f>
        <v>1.001</v>
      </c>
      <c r="E2107" s="16">
        <f>IFERROR(__xludf.DUMMYFUNCTION("""COMPUTED_VALUE"""),65.0)</f>
        <v>65</v>
      </c>
      <c r="F2107" s="19" t="str">
        <f>IFERROR(__xludf.DUMMYFUNCTION("""COMPUTED_VALUE"""),"BLUE")</f>
        <v>BLUE</v>
      </c>
      <c r="G2107" s="20" t="str">
        <f>IFERROR(__xludf.DUMMYFUNCTION("""COMPUTED_VALUE"""),"Uncle Sams Cider (11/12/2021) (Blue)")</f>
        <v>Uncle Sams Cider (11/12/2021) (Blue)</v>
      </c>
      <c r="H2107" s="19"/>
    </row>
    <row r="2108">
      <c r="A2108" s="9"/>
      <c r="B2108" s="15"/>
      <c r="C2108" s="9">
        <f>IFERROR(__xludf.DUMMYFUNCTION("""COMPUTED_VALUE"""),44583.5923535185)</f>
        <v>44583.59235</v>
      </c>
      <c r="D2108" s="15">
        <f>IFERROR(__xludf.DUMMYFUNCTION("""COMPUTED_VALUE"""),1.001)</f>
        <v>1.001</v>
      </c>
      <c r="E2108" s="16">
        <f>IFERROR(__xludf.DUMMYFUNCTION("""COMPUTED_VALUE"""),65.0)</f>
        <v>65</v>
      </c>
      <c r="F2108" s="19" t="str">
        <f>IFERROR(__xludf.DUMMYFUNCTION("""COMPUTED_VALUE"""),"BLUE")</f>
        <v>BLUE</v>
      </c>
      <c r="G2108" s="20" t="str">
        <f>IFERROR(__xludf.DUMMYFUNCTION("""COMPUTED_VALUE"""),"Uncle Sams Cider (11/12/2021) (Blue)")</f>
        <v>Uncle Sams Cider (11/12/2021) (Blue)</v>
      </c>
      <c r="H2108" s="19"/>
    </row>
    <row r="2109">
      <c r="A2109" s="9"/>
      <c r="B2109" s="15"/>
      <c r="C2109" s="9">
        <f>IFERROR(__xludf.DUMMYFUNCTION("""COMPUTED_VALUE"""),44583.5819200925)</f>
        <v>44583.58192</v>
      </c>
      <c r="D2109" s="15">
        <f>IFERROR(__xludf.DUMMYFUNCTION("""COMPUTED_VALUE"""),1.001)</f>
        <v>1.001</v>
      </c>
      <c r="E2109" s="16">
        <f>IFERROR(__xludf.DUMMYFUNCTION("""COMPUTED_VALUE"""),65.0)</f>
        <v>65</v>
      </c>
      <c r="F2109" s="19" t="str">
        <f>IFERROR(__xludf.DUMMYFUNCTION("""COMPUTED_VALUE"""),"BLUE")</f>
        <v>BLUE</v>
      </c>
      <c r="G2109" s="20" t="str">
        <f>IFERROR(__xludf.DUMMYFUNCTION("""COMPUTED_VALUE"""),"Uncle Sams Cider (11/12/2021) (Blue)")</f>
        <v>Uncle Sams Cider (11/12/2021) (Blue)</v>
      </c>
      <c r="H2109" s="19"/>
    </row>
    <row r="2110">
      <c r="A2110" s="9"/>
      <c r="B2110" s="15"/>
      <c r="C2110" s="9">
        <f>IFERROR(__xludf.DUMMYFUNCTION("""COMPUTED_VALUE"""),44583.5714973842)</f>
        <v>44583.5715</v>
      </c>
      <c r="D2110" s="15">
        <f>IFERROR(__xludf.DUMMYFUNCTION("""COMPUTED_VALUE"""),1.001)</f>
        <v>1.001</v>
      </c>
      <c r="E2110" s="16">
        <f>IFERROR(__xludf.DUMMYFUNCTION("""COMPUTED_VALUE"""),65.0)</f>
        <v>65</v>
      </c>
      <c r="F2110" s="19" t="str">
        <f>IFERROR(__xludf.DUMMYFUNCTION("""COMPUTED_VALUE"""),"BLUE")</f>
        <v>BLUE</v>
      </c>
      <c r="G2110" s="20" t="str">
        <f>IFERROR(__xludf.DUMMYFUNCTION("""COMPUTED_VALUE"""),"Uncle Sams Cider (11/12/2021) (Blue)")</f>
        <v>Uncle Sams Cider (11/12/2021) (Blue)</v>
      </c>
      <c r="H2110" s="19"/>
    </row>
    <row r="2111">
      <c r="A2111" s="9"/>
      <c r="B2111" s="15"/>
      <c r="C2111" s="9">
        <f>IFERROR(__xludf.DUMMYFUNCTION("""COMPUTED_VALUE"""),44583.5610409837)</f>
        <v>44583.56104</v>
      </c>
      <c r="D2111" s="15">
        <f>IFERROR(__xludf.DUMMYFUNCTION("""COMPUTED_VALUE"""),1.001)</f>
        <v>1.001</v>
      </c>
      <c r="E2111" s="16">
        <f>IFERROR(__xludf.DUMMYFUNCTION("""COMPUTED_VALUE"""),65.0)</f>
        <v>65</v>
      </c>
      <c r="F2111" s="19" t="str">
        <f>IFERROR(__xludf.DUMMYFUNCTION("""COMPUTED_VALUE"""),"BLUE")</f>
        <v>BLUE</v>
      </c>
      <c r="G2111" s="20" t="str">
        <f>IFERROR(__xludf.DUMMYFUNCTION("""COMPUTED_VALUE"""),"Uncle Sams Cider (11/12/2021) (Blue)")</f>
        <v>Uncle Sams Cider (11/12/2021) (Blue)</v>
      </c>
      <c r="H2111" s="19"/>
    </row>
    <row r="2112">
      <c r="A2112" s="9"/>
      <c r="B2112" s="15"/>
      <c r="C2112" s="9">
        <f>IFERROR(__xludf.DUMMYFUNCTION("""COMPUTED_VALUE"""),44583.5506187615)</f>
        <v>44583.55062</v>
      </c>
      <c r="D2112" s="15">
        <f>IFERROR(__xludf.DUMMYFUNCTION("""COMPUTED_VALUE"""),1.001)</f>
        <v>1.001</v>
      </c>
      <c r="E2112" s="16">
        <f>IFERROR(__xludf.DUMMYFUNCTION("""COMPUTED_VALUE"""),65.0)</f>
        <v>65</v>
      </c>
      <c r="F2112" s="19" t="str">
        <f>IFERROR(__xludf.DUMMYFUNCTION("""COMPUTED_VALUE"""),"BLUE")</f>
        <v>BLUE</v>
      </c>
      <c r="G2112" s="20" t="str">
        <f>IFERROR(__xludf.DUMMYFUNCTION("""COMPUTED_VALUE"""),"Uncle Sams Cider (11/12/2021) (Blue)")</f>
        <v>Uncle Sams Cider (11/12/2021) (Blue)</v>
      </c>
      <c r="H2112" s="19"/>
    </row>
    <row r="2113">
      <c r="A2113" s="9"/>
      <c r="B2113" s="15"/>
      <c r="C2113" s="9">
        <f>IFERROR(__xludf.DUMMYFUNCTION("""COMPUTED_VALUE"""),44583.5401957291)</f>
        <v>44583.5402</v>
      </c>
      <c r="D2113" s="15">
        <f>IFERROR(__xludf.DUMMYFUNCTION("""COMPUTED_VALUE"""),1.001)</f>
        <v>1.001</v>
      </c>
      <c r="E2113" s="16">
        <f>IFERROR(__xludf.DUMMYFUNCTION("""COMPUTED_VALUE"""),65.0)</f>
        <v>65</v>
      </c>
      <c r="F2113" s="19" t="str">
        <f>IFERROR(__xludf.DUMMYFUNCTION("""COMPUTED_VALUE"""),"BLUE")</f>
        <v>BLUE</v>
      </c>
      <c r="G2113" s="20" t="str">
        <f>IFERROR(__xludf.DUMMYFUNCTION("""COMPUTED_VALUE"""),"Uncle Sams Cider (11/12/2021) (Blue)")</f>
        <v>Uncle Sams Cider (11/12/2021) (Blue)</v>
      </c>
      <c r="H2113" s="19"/>
    </row>
    <row r="2114">
      <c r="A2114" s="9"/>
      <c r="B2114" s="15"/>
      <c r="C2114" s="9">
        <f>IFERROR(__xludf.DUMMYFUNCTION("""COMPUTED_VALUE"""),44583.5297734722)</f>
        <v>44583.52977</v>
      </c>
      <c r="D2114" s="15">
        <f>IFERROR(__xludf.DUMMYFUNCTION("""COMPUTED_VALUE"""),1.001)</f>
        <v>1.001</v>
      </c>
      <c r="E2114" s="16">
        <f>IFERROR(__xludf.DUMMYFUNCTION("""COMPUTED_VALUE"""),66.0)</f>
        <v>66</v>
      </c>
      <c r="F2114" s="19" t="str">
        <f>IFERROR(__xludf.DUMMYFUNCTION("""COMPUTED_VALUE"""),"BLUE")</f>
        <v>BLUE</v>
      </c>
      <c r="G2114" s="20" t="str">
        <f>IFERROR(__xludf.DUMMYFUNCTION("""COMPUTED_VALUE"""),"Uncle Sams Cider (11/12/2021) (Blue)")</f>
        <v>Uncle Sams Cider (11/12/2021) (Blue)</v>
      </c>
      <c r="H2114" s="19"/>
    </row>
    <row r="2115">
      <c r="A2115" s="9"/>
      <c r="B2115" s="15"/>
      <c r="C2115" s="9">
        <f>IFERROR(__xludf.DUMMYFUNCTION("""COMPUTED_VALUE"""),44583.5193512731)</f>
        <v>44583.51935</v>
      </c>
      <c r="D2115" s="15">
        <f>IFERROR(__xludf.DUMMYFUNCTION("""COMPUTED_VALUE"""),1.001)</f>
        <v>1.001</v>
      </c>
      <c r="E2115" s="16">
        <f>IFERROR(__xludf.DUMMYFUNCTION("""COMPUTED_VALUE"""),66.0)</f>
        <v>66</v>
      </c>
      <c r="F2115" s="19" t="str">
        <f>IFERROR(__xludf.DUMMYFUNCTION("""COMPUTED_VALUE"""),"BLUE")</f>
        <v>BLUE</v>
      </c>
      <c r="G2115" s="20" t="str">
        <f>IFERROR(__xludf.DUMMYFUNCTION("""COMPUTED_VALUE"""),"Uncle Sams Cider (11/12/2021) (Blue)")</f>
        <v>Uncle Sams Cider (11/12/2021) (Blue)</v>
      </c>
      <c r="H2115" s="19"/>
    </row>
    <row r="2116">
      <c r="A2116" s="9"/>
      <c r="B2116" s="15"/>
      <c r="C2116" s="9">
        <f>IFERROR(__xludf.DUMMYFUNCTION("""COMPUTED_VALUE"""),44583.5089298495)</f>
        <v>44583.50893</v>
      </c>
      <c r="D2116" s="15">
        <f>IFERROR(__xludf.DUMMYFUNCTION("""COMPUTED_VALUE"""),1.001)</f>
        <v>1.001</v>
      </c>
      <c r="E2116" s="16">
        <f>IFERROR(__xludf.DUMMYFUNCTION("""COMPUTED_VALUE"""),66.0)</f>
        <v>66</v>
      </c>
      <c r="F2116" s="19" t="str">
        <f>IFERROR(__xludf.DUMMYFUNCTION("""COMPUTED_VALUE"""),"BLUE")</f>
        <v>BLUE</v>
      </c>
      <c r="G2116" s="20" t="str">
        <f>IFERROR(__xludf.DUMMYFUNCTION("""COMPUTED_VALUE"""),"Uncle Sams Cider (11/12/2021) (Blue)")</f>
        <v>Uncle Sams Cider (11/12/2021) (Blue)</v>
      </c>
      <c r="H2116" s="19"/>
    </row>
    <row r="2117">
      <c r="A2117" s="9"/>
      <c r="B2117" s="15"/>
      <c r="C2117" s="9">
        <f>IFERROR(__xludf.DUMMYFUNCTION("""COMPUTED_VALUE"""),44583.4985105555)</f>
        <v>44583.49851</v>
      </c>
      <c r="D2117" s="15">
        <f>IFERROR(__xludf.DUMMYFUNCTION("""COMPUTED_VALUE"""),1.001)</f>
        <v>1.001</v>
      </c>
      <c r="E2117" s="16">
        <f>IFERROR(__xludf.DUMMYFUNCTION("""COMPUTED_VALUE"""),66.0)</f>
        <v>66</v>
      </c>
      <c r="F2117" s="19" t="str">
        <f>IFERROR(__xludf.DUMMYFUNCTION("""COMPUTED_VALUE"""),"BLUE")</f>
        <v>BLUE</v>
      </c>
      <c r="G2117" s="20" t="str">
        <f>IFERROR(__xludf.DUMMYFUNCTION("""COMPUTED_VALUE"""),"Uncle Sams Cider (11/12/2021) (Blue)")</f>
        <v>Uncle Sams Cider (11/12/2021) (Blue)</v>
      </c>
      <c r="H2117" s="19"/>
    </row>
    <row r="2118">
      <c r="A2118" s="9"/>
      <c r="B2118" s="15"/>
      <c r="C2118" s="9">
        <f>IFERROR(__xludf.DUMMYFUNCTION("""COMPUTED_VALUE"""),44583.4880900462)</f>
        <v>44583.48809</v>
      </c>
      <c r="D2118" s="15">
        <f>IFERROR(__xludf.DUMMYFUNCTION("""COMPUTED_VALUE"""),1.001)</f>
        <v>1.001</v>
      </c>
      <c r="E2118" s="16">
        <f>IFERROR(__xludf.DUMMYFUNCTION("""COMPUTED_VALUE"""),66.0)</f>
        <v>66</v>
      </c>
      <c r="F2118" s="19" t="str">
        <f>IFERROR(__xludf.DUMMYFUNCTION("""COMPUTED_VALUE"""),"BLUE")</f>
        <v>BLUE</v>
      </c>
      <c r="G2118" s="20" t="str">
        <f>IFERROR(__xludf.DUMMYFUNCTION("""COMPUTED_VALUE"""),"Uncle Sams Cider (11/12/2021) (Blue)")</f>
        <v>Uncle Sams Cider (11/12/2021) (Blue)</v>
      </c>
      <c r="H2118" s="19"/>
    </row>
    <row r="2119">
      <c r="A2119" s="9"/>
      <c r="B2119" s="15"/>
      <c r="C2119" s="9">
        <f>IFERROR(__xludf.DUMMYFUNCTION("""COMPUTED_VALUE"""),44583.477669155)</f>
        <v>44583.47767</v>
      </c>
      <c r="D2119" s="15">
        <f>IFERROR(__xludf.DUMMYFUNCTION("""COMPUTED_VALUE"""),1.001)</f>
        <v>1.001</v>
      </c>
      <c r="E2119" s="16">
        <f>IFERROR(__xludf.DUMMYFUNCTION("""COMPUTED_VALUE"""),66.0)</f>
        <v>66</v>
      </c>
      <c r="F2119" s="19" t="str">
        <f>IFERROR(__xludf.DUMMYFUNCTION("""COMPUTED_VALUE"""),"BLUE")</f>
        <v>BLUE</v>
      </c>
      <c r="G2119" s="20" t="str">
        <f>IFERROR(__xludf.DUMMYFUNCTION("""COMPUTED_VALUE"""),"Uncle Sams Cider (11/12/2021) (Blue)")</f>
        <v>Uncle Sams Cider (11/12/2021) (Blue)</v>
      </c>
      <c r="H2119" s="19"/>
    </row>
    <row r="2120">
      <c r="A2120" s="9"/>
      <c r="B2120" s="15"/>
      <c r="C2120" s="9">
        <f>IFERROR(__xludf.DUMMYFUNCTION("""COMPUTED_VALUE"""),44583.4672481018)</f>
        <v>44583.46725</v>
      </c>
      <c r="D2120" s="15">
        <f>IFERROR(__xludf.DUMMYFUNCTION("""COMPUTED_VALUE"""),1.001)</f>
        <v>1.001</v>
      </c>
      <c r="E2120" s="16">
        <f>IFERROR(__xludf.DUMMYFUNCTION("""COMPUTED_VALUE"""),66.0)</f>
        <v>66</v>
      </c>
      <c r="F2120" s="19" t="str">
        <f>IFERROR(__xludf.DUMMYFUNCTION("""COMPUTED_VALUE"""),"BLUE")</f>
        <v>BLUE</v>
      </c>
      <c r="G2120" s="20" t="str">
        <f>IFERROR(__xludf.DUMMYFUNCTION("""COMPUTED_VALUE"""),"Uncle Sams Cider (11/12/2021) (Blue)")</f>
        <v>Uncle Sams Cider (11/12/2021) (Blue)</v>
      </c>
      <c r="H2120" s="19"/>
    </row>
    <row r="2121">
      <c r="A2121" s="9"/>
      <c r="B2121" s="15"/>
      <c r="C2121" s="9">
        <f>IFERROR(__xludf.DUMMYFUNCTION("""COMPUTED_VALUE"""),44583.4568279861)</f>
        <v>44583.45683</v>
      </c>
      <c r="D2121" s="15">
        <f>IFERROR(__xludf.DUMMYFUNCTION("""COMPUTED_VALUE"""),1.001)</f>
        <v>1.001</v>
      </c>
      <c r="E2121" s="16">
        <f>IFERROR(__xludf.DUMMYFUNCTION("""COMPUTED_VALUE"""),66.0)</f>
        <v>66</v>
      </c>
      <c r="F2121" s="19" t="str">
        <f>IFERROR(__xludf.DUMMYFUNCTION("""COMPUTED_VALUE"""),"BLUE")</f>
        <v>BLUE</v>
      </c>
      <c r="G2121" s="20" t="str">
        <f>IFERROR(__xludf.DUMMYFUNCTION("""COMPUTED_VALUE"""),"Uncle Sams Cider (11/12/2021) (Blue)")</f>
        <v>Uncle Sams Cider (11/12/2021) (Blue)</v>
      </c>
      <c r="H2121" s="19"/>
    </row>
    <row r="2122">
      <c r="A2122" s="9"/>
      <c r="B2122" s="15"/>
      <c r="C2122" s="9">
        <f>IFERROR(__xludf.DUMMYFUNCTION("""COMPUTED_VALUE"""),44583.4464070717)</f>
        <v>44583.44641</v>
      </c>
      <c r="D2122" s="15">
        <f>IFERROR(__xludf.DUMMYFUNCTION("""COMPUTED_VALUE"""),1.001)</f>
        <v>1.001</v>
      </c>
      <c r="E2122" s="16">
        <f>IFERROR(__xludf.DUMMYFUNCTION("""COMPUTED_VALUE"""),66.0)</f>
        <v>66</v>
      </c>
      <c r="F2122" s="19" t="str">
        <f>IFERROR(__xludf.DUMMYFUNCTION("""COMPUTED_VALUE"""),"BLUE")</f>
        <v>BLUE</v>
      </c>
      <c r="G2122" s="20" t="str">
        <f>IFERROR(__xludf.DUMMYFUNCTION("""COMPUTED_VALUE"""),"Uncle Sams Cider (11/12/2021) (Blue)")</f>
        <v>Uncle Sams Cider (11/12/2021) (Blue)</v>
      </c>
      <c r="H2122" s="19"/>
    </row>
    <row r="2123">
      <c r="A2123" s="9"/>
      <c r="B2123" s="15"/>
      <c r="C2123" s="9">
        <f>IFERROR(__xludf.DUMMYFUNCTION("""COMPUTED_VALUE"""),44583.4359847916)</f>
        <v>44583.43598</v>
      </c>
      <c r="D2123" s="15">
        <f>IFERROR(__xludf.DUMMYFUNCTION("""COMPUTED_VALUE"""),1.001)</f>
        <v>1.001</v>
      </c>
      <c r="E2123" s="16">
        <f>IFERROR(__xludf.DUMMYFUNCTION("""COMPUTED_VALUE"""),66.0)</f>
        <v>66</v>
      </c>
      <c r="F2123" s="19" t="str">
        <f>IFERROR(__xludf.DUMMYFUNCTION("""COMPUTED_VALUE"""),"BLUE")</f>
        <v>BLUE</v>
      </c>
      <c r="G2123" s="20" t="str">
        <f>IFERROR(__xludf.DUMMYFUNCTION("""COMPUTED_VALUE"""),"Uncle Sams Cider (11/12/2021) (Blue)")</f>
        <v>Uncle Sams Cider (11/12/2021) (Blue)</v>
      </c>
      <c r="H2123" s="19"/>
    </row>
    <row r="2124">
      <c r="A2124" s="9"/>
      <c r="B2124" s="15"/>
      <c r="C2124" s="9">
        <f>IFERROR(__xludf.DUMMYFUNCTION("""COMPUTED_VALUE"""),44583.4255633217)</f>
        <v>44583.42556</v>
      </c>
      <c r="D2124" s="15">
        <f>IFERROR(__xludf.DUMMYFUNCTION("""COMPUTED_VALUE"""),1.001)</f>
        <v>1.001</v>
      </c>
      <c r="E2124" s="16">
        <f>IFERROR(__xludf.DUMMYFUNCTION("""COMPUTED_VALUE"""),66.0)</f>
        <v>66</v>
      </c>
      <c r="F2124" s="19" t="str">
        <f>IFERROR(__xludf.DUMMYFUNCTION("""COMPUTED_VALUE"""),"BLUE")</f>
        <v>BLUE</v>
      </c>
      <c r="G2124" s="20" t="str">
        <f>IFERROR(__xludf.DUMMYFUNCTION("""COMPUTED_VALUE"""),"Uncle Sams Cider (11/12/2021) (Blue)")</f>
        <v>Uncle Sams Cider (11/12/2021) (Blue)</v>
      </c>
      <c r="H2124" s="19"/>
    </row>
    <row r="2125">
      <c r="A2125" s="9"/>
      <c r="B2125" s="15"/>
      <c r="C2125" s="9">
        <f>IFERROR(__xludf.DUMMYFUNCTION("""COMPUTED_VALUE"""),44583.4151415393)</f>
        <v>44583.41514</v>
      </c>
      <c r="D2125" s="15">
        <f>IFERROR(__xludf.DUMMYFUNCTION("""COMPUTED_VALUE"""),1.001)</f>
        <v>1.001</v>
      </c>
      <c r="E2125" s="16">
        <f>IFERROR(__xludf.DUMMYFUNCTION("""COMPUTED_VALUE"""),66.0)</f>
        <v>66</v>
      </c>
      <c r="F2125" s="19" t="str">
        <f>IFERROR(__xludf.DUMMYFUNCTION("""COMPUTED_VALUE"""),"BLUE")</f>
        <v>BLUE</v>
      </c>
      <c r="G2125" s="20" t="str">
        <f>IFERROR(__xludf.DUMMYFUNCTION("""COMPUTED_VALUE"""),"Uncle Sams Cider (11/12/2021) (Blue)")</f>
        <v>Uncle Sams Cider (11/12/2021) (Blue)</v>
      </c>
      <c r="H2125" s="19"/>
    </row>
    <row r="2126">
      <c r="A2126" s="9"/>
      <c r="B2126" s="15"/>
      <c r="C2126" s="9">
        <f>IFERROR(__xludf.DUMMYFUNCTION("""COMPUTED_VALUE"""),44583.4047081365)</f>
        <v>44583.40471</v>
      </c>
      <c r="D2126" s="15">
        <f>IFERROR(__xludf.DUMMYFUNCTION("""COMPUTED_VALUE"""),1.001)</f>
        <v>1.001</v>
      </c>
      <c r="E2126" s="16">
        <f>IFERROR(__xludf.DUMMYFUNCTION("""COMPUTED_VALUE"""),66.0)</f>
        <v>66</v>
      </c>
      <c r="F2126" s="19" t="str">
        <f>IFERROR(__xludf.DUMMYFUNCTION("""COMPUTED_VALUE"""),"BLUE")</f>
        <v>BLUE</v>
      </c>
      <c r="G2126" s="20" t="str">
        <f>IFERROR(__xludf.DUMMYFUNCTION("""COMPUTED_VALUE"""),"Uncle Sams Cider (11/12/2021) (Blue)")</f>
        <v>Uncle Sams Cider (11/12/2021) (Blue)</v>
      </c>
      <c r="H2126" s="19"/>
    </row>
    <row r="2127">
      <c r="A2127" s="9"/>
      <c r="B2127" s="15"/>
      <c r="C2127" s="9">
        <f>IFERROR(__xludf.DUMMYFUNCTION("""COMPUTED_VALUE"""),44583.3942638425)</f>
        <v>44583.39426</v>
      </c>
      <c r="D2127" s="15">
        <f>IFERROR(__xludf.DUMMYFUNCTION("""COMPUTED_VALUE"""),1.001)</f>
        <v>1.001</v>
      </c>
      <c r="E2127" s="16">
        <f>IFERROR(__xludf.DUMMYFUNCTION("""COMPUTED_VALUE"""),66.0)</f>
        <v>66</v>
      </c>
      <c r="F2127" s="19" t="str">
        <f>IFERROR(__xludf.DUMMYFUNCTION("""COMPUTED_VALUE"""),"BLUE")</f>
        <v>BLUE</v>
      </c>
      <c r="G2127" s="20" t="str">
        <f>IFERROR(__xludf.DUMMYFUNCTION("""COMPUTED_VALUE"""),"Uncle Sams Cider (11/12/2021) (Blue)")</f>
        <v>Uncle Sams Cider (11/12/2021) (Blue)</v>
      </c>
      <c r="H2127" s="19"/>
    </row>
    <row r="2128">
      <c r="A2128" s="9"/>
      <c r="B2128" s="15"/>
      <c r="C2128" s="9">
        <f>IFERROR(__xludf.DUMMYFUNCTION("""COMPUTED_VALUE"""),44583.3838208333)</f>
        <v>44583.38382</v>
      </c>
      <c r="D2128" s="15">
        <f>IFERROR(__xludf.DUMMYFUNCTION("""COMPUTED_VALUE"""),1.001)</f>
        <v>1.001</v>
      </c>
      <c r="E2128" s="16">
        <f>IFERROR(__xludf.DUMMYFUNCTION("""COMPUTED_VALUE"""),66.0)</f>
        <v>66</v>
      </c>
      <c r="F2128" s="19" t="str">
        <f>IFERROR(__xludf.DUMMYFUNCTION("""COMPUTED_VALUE"""),"BLUE")</f>
        <v>BLUE</v>
      </c>
      <c r="G2128" s="20" t="str">
        <f>IFERROR(__xludf.DUMMYFUNCTION("""COMPUTED_VALUE"""),"Uncle Sams Cider (11/12/2021) (Blue)")</f>
        <v>Uncle Sams Cider (11/12/2021) (Blue)</v>
      </c>
      <c r="H2128" s="19"/>
    </row>
    <row r="2129">
      <c r="A2129" s="9"/>
      <c r="B2129" s="15"/>
      <c r="C2129" s="9">
        <f>IFERROR(__xludf.DUMMYFUNCTION("""COMPUTED_VALUE"""),44583.3734007291)</f>
        <v>44583.3734</v>
      </c>
      <c r="D2129" s="15">
        <f>IFERROR(__xludf.DUMMYFUNCTION("""COMPUTED_VALUE"""),1.001)</f>
        <v>1.001</v>
      </c>
      <c r="E2129" s="16">
        <f>IFERROR(__xludf.DUMMYFUNCTION("""COMPUTED_VALUE"""),66.0)</f>
        <v>66</v>
      </c>
      <c r="F2129" s="19" t="str">
        <f>IFERROR(__xludf.DUMMYFUNCTION("""COMPUTED_VALUE"""),"BLUE")</f>
        <v>BLUE</v>
      </c>
      <c r="G2129" s="20" t="str">
        <f>IFERROR(__xludf.DUMMYFUNCTION("""COMPUTED_VALUE"""),"Uncle Sams Cider (11/12/2021) (Blue)")</f>
        <v>Uncle Sams Cider (11/12/2021) (Blue)</v>
      </c>
      <c r="H2129" s="19"/>
    </row>
    <row r="2130">
      <c r="A2130" s="9"/>
      <c r="B2130" s="15"/>
      <c r="C2130" s="9">
        <f>IFERROR(__xludf.DUMMYFUNCTION("""COMPUTED_VALUE"""),44583.3629680671)</f>
        <v>44583.36297</v>
      </c>
      <c r="D2130" s="15">
        <f>IFERROR(__xludf.DUMMYFUNCTION("""COMPUTED_VALUE"""),1.001)</f>
        <v>1.001</v>
      </c>
      <c r="E2130" s="16">
        <f>IFERROR(__xludf.DUMMYFUNCTION("""COMPUTED_VALUE"""),66.0)</f>
        <v>66</v>
      </c>
      <c r="F2130" s="19" t="str">
        <f>IFERROR(__xludf.DUMMYFUNCTION("""COMPUTED_VALUE"""),"BLUE")</f>
        <v>BLUE</v>
      </c>
      <c r="G2130" s="20" t="str">
        <f>IFERROR(__xludf.DUMMYFUNCTION("""COMPUTED_VALUE"""),"Uncle Sams Cider (11/12/2021) (Blue)")</f>
        <v>Uncle Sams Cider (11/12/2021) (Blue)</v>
      </c>
      <c r="H2130" s="19"/>
    </row>
    <row r="2131">
      <c r="A2131" s="9"/>
      <c r="B2131" s="15"/>
      <c r="C2131" s="9">
        <f>IFERROR(__xludf.DUMMYFUNCTION("""COMPUTED_VALUE"""),44583.35254603)</f>
        <v>44583.35255</v>
      </c>
      <c r="D2131" s="15">
        <f>IFERROR(__xludf.DUMMYFUNCTION("""COMPUTED_VALUE"""),1.001)</f>
        <v>1.001</v>
      </c>
      <c r="E2131" s="16">
        <f>IFERROR(__xludf.DUMMYFUNCTION("""COMPUTED_VALUE"""),66.0)</f>
        <v>66</v>
      </c>
      <c r="F2131" s="19" t="str">
        <f>IFERROR(__xludf.DUMMYFUNCTION("""COMPUTED_VALUE"""),"BLUE")</f>
        <v>BLUE</v>
      </c>
      <c r="G2131" s="20" t="str">
        <f>IFERROR(__xludf.DUMMYFUNCTION("""COMPUTED_VALUE"""),"Uncle Sams Cider (11/12/2021) (Blue)")</f>
        <v>Uncle Sams Cider (11/12/2021) (Blue)</v>
      </c>
      <c r="H2131" s="19"/>
    </row>
    <row r="2132">
      <c r="A2132" s="9"/>
      <c r="B2132" s="15"/>
      <c r="C2132" s="9">
        <f>IFERROR(__xludf.DUMMYFUNCTION("""COMPUTED_VALUE"""),44583.3421267824)</f>
        <v>44583.34213</v>
      </c>
      <c r="D2132" s="15">
        <f>IFERROR(__xludf.DUMMYFUNCTION("""COMPUTED_VALUE"""),1.001)</f>
        <v>1.001</v>
      </c>
      <c r="E2132" s="16">
        <f>IFERROR(__xludf.DUMMYFUNCTION("""COMPUTED_VALUE"""),66.0)</f>
        <v>66</v>
      </c>
      <c r="F2132" s="19" t="str">
        <f>IFERROR(__xludf.DUMMYFUNCTION("""COMPUTED_VALUE"""),"BLUE")</f>
        <v>BLUE</v>
      </c>
      <c r="G2132" s="20" t="str">
        <f>IFERROR(__xludf.DUMMYFUNCTION("""COMPUTED_VALUE"""),"Uncle Sams Cider (11/12/2021) (Blue)")</f>
        <v>Uncle Sams Cider (11/12/2021) (Blue)</v>
      </c>
      <c r="H2132" s="19"/>
    </row>
    <row r="2133">
      <c r="A2133" s="9"/>
      <c r="B2133" s="15"/>
      <c r="C2133" s="9">
        <f>IFERROR(__xludf.DUMMYFUNCTION("""COMPUTED_VALUE"""),44583.3317072916)</f>
        <v>44583.33171</v>
      </c>
      <c r="D2133" s="15">
        <f>IFERROR(__xludf.DUMMYFUNCTION("""COMPUTED_VALUE"""),1.001)</f>
        <v>1.001</v>
      </c>
      <c r="E2133" s="16">
        <f>IFERROR(__xludf.DUMMYFUNCTION("""COMPUTED_VALUE"""),66.0)</f>
        <v>66</v>
      </c>
      <c r="F2133" s="19" t="str">
        <f>IFERROR(__xludf.DUMMYFUNCTION("""COMPUTED_VALUE"""),"BLUE")</f>
        <v>BLUE</v>
      </c>
      <c r="G2133" s="20" t="str">
        <f>IFERROR(__xludf.DUMMYFUNCTION("""COMPUTED_VALUE"""),"Uncle Sams Cider (11/12/2021) (Blue)")</f>
        <v>Uncle Sams Cider (11/12/2021) (Blue)</v>
      </c>
      <c r="H2133" s="19"/>
    </row>
    <row r="2134">
      <c r="A2134" s="9"/>
      <c r="B2134" s="15"/>
      <c r="C2134" s="9">
        <f>IFERROR(__xludf.DUMMYFUNCTION("""COMPUTED_VALUE"""),44583.3212857175)</f>
        <v>44583.32129</v>
      </c>
      <c r="D2134" s="15">
        <f>IFERROR(__xludf.DUMMYFUNCTION("""COMPUTED_VALUE"""),1.001)</f>
        <v>1.001</v>
      </c>
      <c r="E2134" s="16">
        <f>IFERROR(__xludf.DUMMYFUNCTION("""COMPUTED_VALUE"""),66.0)</f>
        <v>66</v>
      </c>
      <c r="F2134" s="19" t="str">
        <f>IFERROR(__xludf.DUMMYFUNCTION("""COMPUTED_VALUE"""),"BLUE")</f>
        <v>BLUE</v>
      </c>
      <c r="G2134" s="20" t="str">
        <f>IFERROR(__xludf.DUMMYFUNCTION("""COMPUTED_VALUE"""),"Uncle Sams Cider (11/12/2021) (Blue)")</f>
        <v>Uncle Sams Cider (11/12/2021) (Blue)</v>
      </c>
      <c r="H2134" s="19"/>
    </row>
    <row r="2135">
      <c r="A2135" s="9"/>
      <c r="B2135" s="15"/>
      <c r="C2135" s="9">
        <f>IFERROR(__xludf.DUMMYFUNCTION("""COMPUTED_VALUE"""),44583.3108532638)</f>
        <v>44583.31085</v>
      </c>
      <c r="D2135" s="15">
        <f>IFERROR(__xludf.DUMMYFUNCTION("""COMPUTED_VALUE"""),1.001)</f>
        <v>1.001</v>
      </c>
      <c r="E2135" s="16">
        <f>IFERROR(__xludf.DUMMYFUNCTION("""COMPUTED_VALUE"""),66.0)</f>
        <v>66</v>
      </c>
      <c r="F2135" s="19" t="str">
        <f>IFERROR(__xludf.DUMMYFUNCTION("""COMPUTED_VALUE"""),"BLUE")</f>
        <v>BLUE</v>
      </c>
      <c r="G2135" s="20" t="str">
        <f>IFERROR(__xludf.DUMMYFUNCTION("""COMPUTED_VALUE"""),"Uncle Sams Cider (11/12/2021) (Blue)")</f>
        <v>Uncle Sams Cider (11/12/2021) (Blue)</v>
      </c>
      <c r="H2135" s="19"/>
    </row>
    <row r="2136">
      <c r="A2136" s="9"/>
      <c r="B2136" s="15"/>
      <c r="C2136" s="9">
        <f>IFERROR(__xludf.DUMMYFUNCTION("""COMPUTED_VALUE"""),44583.3004324652)</f>
        <v>44583.30043</v>
      </c>
      <c r="D2136" s="15">
        <f>IFERROR(__xludf.DUMMYFUNCTION("""COMPUTED_VALUE"""),1.001)</f>
        <v>1.001</v>
      </c>
      <c r="E2136" s="16">
        <f>IFERROR(__xludf.DUMMYFUNCTION("""COMPUTED_VALUE"""),66.0)</f>
        <v>66</v>
      </c>
      <c r="F2136" s="19" t="str">
        <f>IFERROR(__xludf.DUMMYFUNCTION("""COMPUTED_VALUE"""),"BLUE")</f>
        <v>BLUE</v>
      </c>
      <c r="G2136" s="20" t="str">
        <f>IFERROR(__xludf.DUMMYFUNCTION("""COMPUTED_VALUE"""),"Uncle Sams Cider (11/12/2021) (Blue)")</f>
        <v>Uncle Sams Cider (11/12/2021) (Blue)</v>
      </c>
      <c r="H2136" s="19"/>
    </row>
    <row r="2137">
      <c r="A2137" s="9"/>
      <c r="B2137" s="15"/>
      <c r="C2137" s="9">
        <f>IFERROR(__xludf.DUMMYFUNCTION("""COMPUTED_VALUE"""),44583.2899984722)</f>
        <v>44583.29</v>
      </c>
      <c r="D2137" s="15">
        <f>IFERROR(__xludf.DUMMYFUNCTION("""COMPUTED_VALUE"""),1.001)</f>
        <v>1.001</v>
      </c>
      <c r="E2137" s="16">
        <f>IFERROR(__xludf.DUMMYFUNCTION("""COMPUTED_VALUE"""),66.0)</f>
        <v>66</v>
      </c>
      <c r="F2137" s="19" t="str">
        <f>IFERROR(__xludf.DUMMYFUNCTION("""COMPUTED_VALUE"""),"BLUE")</f>
        <v>BLUE</v>
      </c>
      <c r="G2137" s="20" t="str">
        <f>IFERROR(__xludf.DUMMYFUNCTION("""COMPUTED_VALUE"""),"Uncle Sams Cider (11/12/2021) (Blue)")</f>
        <v>Uncle Sams Cider (11/12/2021) (Blue)</v>
      </c>
      <c r="H2137" s="19"/>
    </row>
    <row r="2138">
      <c r="A2138" s="9"/>
      <c r="B2138" s="15"/>
      <c r="C2138" s="9">
        <f>IFERROR(__xludf.DUMMYFUNCTION("""COMPUTED_VALUE"""),44583.2795659837)</f>
        <v>44583.27957</v>
      </c>
      <c r="D2138" s="15">
        <f>IFERROR(__xludf.DUMMYFUNCTION("""COMPUTED_VALUE"""),1.001)</f>
        <v>1.001</v>
      </c>
      <c r="E2138" s="16">
        <f>IFERROR(__xludf.DUMMYFUNCTION("""COMPUTED_VALUE"""),67.0)</f>
        <v>67</v>
      </c>
      <c r="F2138" s="19" t="str">
        <f>IFERROR(__xludf.DUMMYFUNCTION("""COMPUTED_VALUE"""),"BLUE")</f>
        <v>BLUE</v>
      </c>
      <c r="G2138" s="20" t="str">
        <f>IFERROR(__xludf.DUMMYFUNCTION("""COMPUTED_VALUE"""),"Uncle Sams Cider (11/12/2021) (Blue)")</f>
        <v>Uncle Sams Cider (11/12/2021) (Blue)</v>
      </c>
      <c r="H2138" s="19"/>
    </row>
    <row r="2139">
      <c r="A2139" s="9"/>
      <c r="B2139" s="15"/>
      <c r="C2139" s="9">
        <f>IFERROR(__xludf.DUMMYFUNCTION("""COMPUTED_VALUE"""),44583.2691327662)</f>
        <v>44583.26913</v>
      </c>
      <c r="D2139" s="15">
        <f>IFERROR(__xludf.DUMMYFUNCTION("""COMPUTED_VALUE"""),1.001)</f>
        <v>1.001</v>
      </c>
      <c r="E2139" s="16">
        <f>IFERROR(__xludf.DUMMYFUNCTION("""COMPUTED_VALUE"""),67.0)</f>
        <v>67</v>
      </c>
      <c r="F2139" s="19" t="str">
        <f>IFERROR(__xludf.DUMMYFUNCTION("""COMPUTED_VALUE"""),"BLUE")</f>
        <v>BLUE</v>
      </c>
      <c r="G2139" s="20" t="str">
        <f>IFERROR(__xludf.DUMMYFUNCTION("""COMPUTED_VALUE"""),"Uncle Sams Cider (11/12/2021) (Blue)")</f>
        <v>Uncle Sams Cider (11/12/2021) (Blue)</v>
      </c>
      <c r="H2139" s="19"/>
    </row>
    <row r="2140">
      <c r="A2140" s="9"/>
      <c r="B2140" s="15"/>
      <c r="C2140" s="9">
        <f>IFERROR(__xludf.DUMMYFUNCTION("""COMPUTED_VALUE"""),44583.2587111111)</f>
        <v>44583.25871</v>
      </c>
      <c r="D2140" s="15">
        <f>IFERROR(__xludf.DUMMYFUNCTION("""COMPUTED_VALUE"""),1.001)</f>
        <v>1.001</v>
      </c>
      <c r="E2140" s="16">
        <f>IFERROR(__xludf.DUMMYFUNCTION("""COMPUTED_VALUE"""),67.0)</f>
        <v>67</v>
      </c>
      <c r="F2140" s="19" t="str">
        <f>IFERROR(__xludf.DUMMYFUNCTION("""COMPUTED_VALUE"""),"BLUE")</f>
        <v>BLUE</v>
      </c>
      <c r="G2140" s="20" t="str">
        <f>IFERROR(__xludf.DUMMYFUNCTION("""COMPUTED_VALUE"""),"Uncle Sams Cider (11/12/2021) (Blue)")</f>
        <v>Uncle Sams Cider (11/12/2021) (Blue)</v>
      </c>
      <c r="H2140" s="19"/>
    </row>
    <row r="2141">
      <c r="A2141" s="9"/>
      <c r="B2141" s="15"/>
      <c r="C2141" s="9">
        <f>IFERROR(__xludf.DUMMYFUNCTION("""COMPUTED_VALUE"""),44583.2482902083)</f>
        <v>44583.24829</v>
      </c>
      <c r="D2141" s="15">
        <f>IFERROR(__xludf.DUMMYFUNCTION("""COMPUTED_VALUE"""),1.001)</f>
        <v>1.001</v>
      </c>
      <c r="E2141" s="16">
        <f>IFERROR(__xludf.DUMMYFUNCTION("""COMPUTED_VALUE"""),67.0)</f>
        <v>67</v>
      </c>
      <c r="F2141" s="19" t="str">
        <f>IFERROR(__xludf.DUMMYFUNCTION("""COMPUTED_VALUE"""),"BLUE")</f>
        <v>BLUE</v>
      </c>
      <c r="G2141" s="20" t="str">
        <f>IFERROR(__xludf.DUMMYFUNCTION("""COMPUTED_VALUE"""),"Uncle Sams Cider (11/12/2021) (Blue)")</f>
        <v>Uncle Sams Cider (11/12/2021) (Blue)</v>
      </c>
      <c r="H2141" s="19"/>
    </row>
    <row r="2142">
      <c r="A2142" s="9"/>
      <c r="B2142" s="15"/>
      <c r="C2142" s="9">
        <f>IFERROR(__xludf.DUMMYFUNCTION("""COMPUTED_VALUE"""),44583.2378704282)</f>
        <v>44583.23787</v>
      </c>
      <c r="D2142" s="15">
        <f>IFERROR(__xludf.DUMMYFUNCTION("""COMPUTED_VALUE"""),1.001)</f>
        <v>1.001</v>
      </c>
      <c r="E2142" s="16">
        <f>IFERROR(__xludf.DUMMYFUNCTION("""COMPUTED_VALUE"""),67.0)</f>
        <v>67</v>
      </c>
      <c r="F2142" s="19" t="str">
        <f>IFERROR(__xludf.DUMMYFUNCTION("""COMPUTED_VALUE"""),"BLUE")</f>
        <v>BLUE</v>
      </c>
      <c r="G2142" s="20" t="str">
        <f>IFERROR(__xludf.DUMMYFUNCTION("""COMPUTED_VALUE"""),"Uncle Sams Cider (11/12/2021) (Blue)")</f>
        <v>Uncle Sams Cider (11/12/2021) (Blue)</v>
      </c>
      <c r="H2142" s="19"/>
    </row>
    <row r="2143">
      <c r="A2143" s="9"/>
      <c r="B2143" s="15"/>
      <c r="C2143" s="9">
        <f>IFERROR(__xludf.DUMMYFUNCTION("""COMPUTED_VALUE"""),44583.227449537)</f>
        <v>44583.22745</v>
      </c>
      <c r="D2143" s="15">
        <f>IFERROR(__xludf.DUMMYFUNCTION("""COMPUTED_VALUE"""),1.001)</f>
        <v>1.001</v>
      </c>
      <c r="E2143" s="16">
        <f>IFERROR(__xludf.DUMMYFUNCTION("""COMPUTED_VALUE"""),67.0)</f>
        <v>67</v>
      </c>
      <c r="F2143" s="19" t="str">
        <f>IFERROR(__xludf.DUMMYFUNCTION("""COMPUTED_VALUE"""),"BLUE")</f>
        <v>BLUE</v>
      </c>
      <c r="G2143" s="20" t="str">
        <f>IFERROR(__xludf.DUMMYFUNCTION("""COMPUTED_VALUE"""),"Uncle Sams Cider (11/12/2021) (Blue)")</f>
        <v>Uncle Sams Cider (11/12/2021) (Blue)</v>
      </c>
      <c r="H2143" s="19"/>
    </row>
    <row r="2144">
      <c r="A2144" s="9"/>
      <c r="B2144" s="15"/>
      <c r="C2144" s="9">
        <f>IFERROR(__xludf.DUMMYFUNCTION("""COMPUTED_VALUE"""),44583.2170293055)</f>
        <v>44583.21703</v>
      </c>
      <c r="D2144" s="15">
        <f>IFERROR(__xludf.DUMMYFUNCTION("""COMPUTED_VALUE"""),1.001)</f>
        <v>1.001</v>
      </c>
      <c r="E2144" s="16">
        <f>IFERROR(__xludf.DUMMYFUNCTION("""COMPUTED_VALUE"""),67.0)</f>
        <v>67</v>
      </c>
      <c r="F2144" s="19" t="str">
        <f>IFERROR(__xludf.DUMMYFUNCTION("""COMPUTED_VALUE"""),"BLUE")</f>
        <v>BLUE</v>
      </c>
      <c r="G2144" s="20" t="str">
        <f>IFERROR(__xludf.DUMMYFUNCTION("""COMPUTED_VALUE"""),"Uncle Sams Cider (11/12/2021) (Blue)")</f>
        <v>Uncle Sams Cider (11/12/2021) (Blue)</v>
      </c>
      <c r="H2144" s="19"/>
    </row>
    <row r="2145">
      <c r="A2145" s="9"/>
      <c r="B2145" s="15"/>
      <c r="C2145" s="9">
        <f>IFERROR(__xludf.DUMMYFUNCTION("""COMPUTED_VALUE"""),44583.2066074768)</f>
        <v>44583.20661</v>
      </c>
      <c r="D2145" s="15">
        <f>IFERROR(__xludf.DUMMYFUNCTION("""COMPUTED_VALUE"""),1.001)</f>
        <v>1.001</v>
      </c>
      <c r="E2145" s="16">
        <f>IFERROR(__xludf.DUMMYFUNCTION("""COMPUTED_VALUE"""),67.0)</f>
        <v>67</v>
      </c>
      <c r="F2145" s="19" t="str">
        <f>IFERROR(__xludf.DUMMYFUNCTION("""COMPUTED_VALUE"""),"BLUE")</f>
        <v>BLUE</v>
      </c>
      <c r="G2145" s="20" t="str">
        <f>IFERROR(__xludf.DUMMYFUNCTION("""COMPUTED_VALUE"""),"Uncle Sams Cider (11/12/2021) (Blue)")</f>
        <v>Uncle Sams Cider (11/12/2021) (Blue)</v>
      </c>
      <c r="H2145" s="19"/>
    </row>
    <row r="2146">
      <c r="A2146" s="9"/>
      <c r="B2146" s="15"/>
      <c r="C2146" s="9">
        <f>IFERROR(__xludf.DUMMYFUNCTION("""COMPUTED_VALUE"""),44583.1961860532)</f>
        <v>44583.19619</v>
      </c>
      <c r="D2146" s="15">
        <f>IFERROR(__xludf.DUMMYFUNCTION("""COMPUTED_VALUE"""),1.001)</f>
        <v>1.001</v>
      </c>
      <c r="E2146" s="16">
        <f>IFERROR(__xludf.DUMMYFUNCTION("""COMPUTED_VALUE"""),67.0)</f>
        <v>67</v>
      </c>
      <c r="F2146" s="19" t="str">
        <f>IFERROR(__xludf.DUMMYFUNCTION("""COMPUTED_VALUE"""),"BLUE")</f>
        <v>BLUE</v>
      </c>
      <c r="G2146" s="20" t="str">
        <f>IFERROR(__xludf.DUMMYFUNCTION("""COMPUTED_VALUE"""),"Uncle Sams Cider (11/12/2021) (Blue)")</f>
        <v>Uncle Sams Cider (11/12/2021) (Blue)</v>
      </c>
      <c r="H2146" s="19"/>
    </row>
    <row r="2147">
      <c r="A2147" s="9"/>
      <c r="B2147" s="15"/>
      <c r="C2147" s="9">
        <f>IFERROR(__xludf.DUMMYFUNCTION("""COMPUTED_VALUE"""),44583.1857657986)</f>
        <v>44583.18577</v>
      </c>
      <c r="D2147" s="15">
        <f>IFERROR(__xludf.DUMMYFUNCTION("""COMPUTED_VALUE"""),1.001)</f>
        <v>1.001</v>
      </c>
      <c r="E2147" s="16">
        <f>IFERROR(__xludf.DUMMYFUNCTION("""COMPUTED_VALUE"""),67.0)</f>
        <v>67</v>
      </c>
      <c r="F2147" s="19" t="str">
        <f>IFERROR(__xludf.DUMMYFUNCTION("""COMPUTED_VALUE"""),"BLUE")</f>
        <v>BLUE</v>
      </c>
      <c r="G2147" s="20" t="str">
        <f>IFERROR(__xludf.DUMMYFUNCTION("""COMPUTED_VALUE"""),"Uncle Sams Cider (11/12/2021) (Blue)")</f>
        <v>Uncle Sams Cider (11/12/2021) (Blue)</v>
      </c>
      <c r="H2147" s="19"/>
    </row>
    <row r="2148">
      <c r="A2148" s="9"/>
      <c r="B2148" s="15"/>
      <c r="C2148" s="9">
        <f>IFERROR(__xludf.DUMMYFUNCTION("""COMPUTED_VALUE"""),44583.17534478)</f>
        <v>44583.17534</v>
      </c>
      <c r="D2148" s="15">
        <f>IFERROR(__xludf.DUMMYFUNCTION("""COMPUTED_VALUE"""),1.001)</f>
        <v>1.001</v>
      </c>
      <c r="E2148" s="16">
        <f>IFERROR(__xludf.DUMMYFUNCTION("""COMPUTED_VALUE"""),67.0)</f>
        <v>67</v>
      </c>
      <c r="F2148" s="19" t="str">
        <f>IFERROR(__xludf.DUMMYFUNCTION("""COMPUTED_VALUE"""),"BLUE")</f>
        <v>BLUE</v>
      </c>
      <c r="G2148" s="20" t="str">
        <f>IFERROR(__xludf.DUMMYFUNCTION("""COMPUTED_VALUE"""),"Uncle Sams Cider (11/12/2021) (Blue)")</f>
        <v>Uncle Sams Cider (11/12/2021) (Blue)</v>
      </c>
      <c r="H2148" s="19"/>
    </row>
    <row r="2149">
      <c r="A2149" s="9"/>
      <c r="B2149" s="15"/>
      <c r="C2149" s="9">
        <f>IFERROR(__xludf.DUMMYFUNCTION("""COMPUTED_VALUE"""),44583.1649140625)</f>
        <v>44583.16491</v>
      </c>
      <c r="D2149" s="15">
        <f>IFERROR(__xludf.DUMMYFUNCTION("""COMPUTED_VALUE"""),1.001)</f>
        <v>1.001</v>
      </c>
      <c r="E2149" s="16">
        <f>IFERROR(__xludf.DUMMYFUNCTION("""COMPUTED_VALUE"""),67.0)</f>
        <v>67</v>
      </c>
      <c r="F2149" s="19" t="str">
        <f>IFERROR(__xludf.DUMMYFUNCTION("""COMPUTED_VALUE"""),"BLUE")</f>
        <v>BLUE</v>
      </c>
      <c r="G2149" s="20" t="str">
        <f>IFERROR(__xludf.DUMMYFUNCTION("""COMPUTED_VALUE"""),"Uncle Sams Cider (11/12/2021) (Blue)")</f>
        <v>Uncle Sams Cider (11/12/2021) (Blue)</v>
      </c>
      <c r="H2149" s="19"/>
    </row>
    <row r="2150">
      <c r="A2150" s="9"/>
      <c r="B2150" s="15"/>
      <c r="C2150" s="9">
        <f>IFERROR(__xludf.DUMMYFUNCTION("""COMPUTED_VALUE"""),44583.1544810879)</f>
        <v>44583.15448</v>
      </c>
      <c r="D2150" s="15">
        <f>IFERROR(__xludf.DUMMYFUNCTION("""COMPUTED_VALUE"""),1.001)</f>
        <v>1.001</v>
      </c>
      <c r="E2150" s="16">
        <f>IFERROR(__xludf.DUMMYFUNCTION("""COMPUTED_VALUE"""),67.0)</f>
        <v>67</v>
      </c>
      <c r="F2150" s="19" t="str">
        <f>IFERROR(__xludf.DUMMYFUNCTION("""COMPUTED_VALUE"""),"BLUE")</f>
        <v>BLUE</v>
      </c>
      <c r="G2150" s="20" t="str">
        <f>IFERROR(__xludf.DUMMYFUNCTION("""COMPUTED_VALUE"""),"Uncle Sams Cider (11/12/2021) (Blue)")</f>
        <v>Uncle Sams Cider (11/12/2021) (Blue)</v>
      </c>
      <c r="H2150" s="19"/>
    </row>
    <row r="2151">
      <c r="A2151" s="9"/>
      <c r="B2151" s="15"/>
      <c r="C2151" s="9">
        <f>IFERROR(__xludf.DUMMYFUNCTION("""COMPUTED_VALUE"""),44583.1440363773)</f>
        <v>44583.14404</v>
      </c>
      <c r="D2151" s="15">
        <f>IFERROR(__xludf.DUMMYFUNCTION("""COMPUTED_VALUE"""),1.001)</f>
        <v>1.001</v>
      </c>
      <c r="E2151" s="16">
        <f>IFERROR(__xludf.DUMMYFUNCTION("""COMPUTED_VALUE"""),67.0)</f>
        <v>67</v>
      </c>
      <c r="F2151" s="19" t="str">
        <f>IFERROR(__xludf.DUMMYFUNCTION("""COMPUTED_VALUE"""),"BLUE")</f>
        <v>BLUE</v>
      </c>
      <c r="G2151" s="20" t="str">
        <f>IFERROR(__xludf.DUMMYFUNCTION("""COMPUTED_VALUE"""),"Uncle Sams Cider (11/12/2021) (Blue)")</f>
        <v>Uncle Sams Cider (11/12/2021) (Blue)</v>
      </c>
      <c r="H2151" s="19"/>
    </row>
    <row r="2152">
      <c r="A2152" s="9"/>
      <c r="B2152" s="15"/>
      <c r="C2152" s="9">
        <f>IFERROR(__xludf.DUMMYFUNCTION("""COMPUTED_VALUE"""),44583.1336177777)</f>
        <v>44583.13362</v>
      </c>
      <c r="D2152" s="15">
        <f>IFERROR(__xludf.DUMMYFUNCTION("""COMPUTED_VALUE"""),1.001)</f>
        <v>1.001</v>
      </c>
      <c r="E2152" s="16">
        <f>IFERROR(__xludf.DUMMYFUNCTION("""COMPUTED_VALUE"""),67.0)</f>
        <v>67</v>
      </c>
      <c r="F2152" s="19" t="str">
        <f>IFERROR(__xludf.DUMMYFUNCTION("""COMPUTED_VALUE"""),"BLUE")</f>
        <v>BLUE</v>
      </c>
      <c r="G2152" s="20" t="str">
        <f>IFERROR(__xludf.DUMMYFUNCTION("""COMPUTED_VALUE"""),"Uncle Sams Cider (11/12/2021) (Blue)")</f>
        <v>Uncle Sams Cider (11/12/2021) (Blue)</v>
      </c>
      <c r="H2152" s="19"/>
    </row>
    <row r="2153">
      <c r="A2153" s="9"/>
      <c r="B2153" s="15"/>
      <c r="C2153" s="9">
        <f>IFERROR(__xludf.DUMMYFUNCTION("""COMPUTED_VALUE"""),44583.1231845949)</f>
        <v>44583.12318</v>
      </c>
      <c r="D2153" s="15">
        <f>IFERROR(__xludf.DUMMYFUNCTION("""COMPUTED_VALUE"""),1.001)</f>
        <v>1.001</v>
      </c>
      <c r="E2153" s="16">
        <f>IFERROR(__xludf.DUMMYFUNCTION("""COMPUTED_VALUE"""),67.0)</f>
        <v>67</v>
      </c>
      <c r="F2153" s="19" t="str">
        <f>IFERROR(__xludf.DUMMYFUNCTION("""COMPUTED_VALUE"""),"BLUE")</f>
        <v>BLUE</v>
      </c>
      <c r="G2153" s="20" t="str">
        <f>IFERROR(__xludf.DUMMYFUNCTION("""COMPUTED_VALUE"""),"Uncle Sams Cider (11/12/2021) (Blue)")</f>
        <v>Uncle Sams Cider (11/12/2021) (Blue)</v>
      </c>
      <c r="H2153" s="19"/>
    </row>
    <row r="2154">
      <c r="A2154" s="9"/>
      <c r="B2154" s="15"/>
      <c r="C2154" s="9">
        <f>IFERROR(__xludf.DUMMYFUNCTION("""COMPUTED_VALUE"""),44583.1127414699)</f>
        <v>44583.11274</v>
      </c>
      <c r="D2154" s="15">
        <f>IFERROR(__xludf.DUMMYFUNCTION("""COMPUTED_VALUE"""),1.001)</f>
        <v>1.001</v>
      </c>
      <c r="E2154" s="16">
        <f>IFERROR(__xludf.DUMMYFUNCTION("""COMPUTED_VALUE"""),67.0)</f>
        <v>67</v>
      </c>
      <c r="F2154" s="19" t="str">
        <f>IFERROR(__xludf.DUMMYFUNCTION("""COMPUTED_VALUE"""),"BLUE")</f>
        <v>BLUE</v>
      </c>
      <c r="G2154" s="20" t="str">
        <f>IFERROR(__xludf.DUMMYFUNCTION("""COMPUTED_VALUE"""),"Uncle Sams Cider (11/12/2021) (Blue)")</f>
        <v>Uncle Sams Cider (11/12/2021) (Blue)</v>
      </c>
      <c r="H2154" s="19"/>
    </row>
    <row r="2155">
      <c r="A2155" s="9"/>
      <c r="B2155" s="15"/>
      <c r="C2155" s="9">
        <f>IFERROR(__xludf.DUMMYFUNCTION("""COMPUTED_VALUE"""),44583.102320706)</f>
        <v>44583.10232</v>
      </c>
      <c r="D2155" s="15">
        <f>IFERROR(__xludf.DUMMYFUNCTION("""COMPUTED_VALUE"""),1.001)</f>
        <v>1.001</v>
      </c>
      <c r="E2155" s="16">
        <f>IFERROR(__xludf.DUMMYFUNCTION("""COMPUTED_VALUE"""),67.0)</f>
        <v>67</v>
      </c>
      <c r="F2155" s="19" t="str">
        <f>IFERROR(__xludf.DUMMYFUNCTION("""COMPUTED_VALUE"""),"BLUE")</f>
        <v>BLUE</v>
      </c>
      <c r="G2155" s="20" t="str">
        <f>IFERROR(__xludf.DUMMYFUNCTION("""COMPUTED_VALUE"""),"Uncle Sams Cider (11/12/2021) (Blue)")</f>
        <v>Uncle Sams Cider (11/12/2021) (Blue)</v>
      </c>
      <c r="H2155" s="19"/>
    </row>
    <row r="2156">
      <c r="A2156" s="9"/>
      <c r="B2156" s="15"/>
      <c r="C2156" s="9">
        <f>IFERROR(__xludf.DUMMYFUNCTION("""COMPUTED_VALUE"""),44583.0919004629)</f>
        <v>44583.0919</v>
      </c>
      <c r="D2156" s="15">
        <f>IFERROR(__xludf.DUMMYFUNCTION("""COMPUTED_VALUE"""),1.001)</f>
        <v>1.001</v>
      </c>
      <c r="E2156" s="16">
        <f>IFERROR(__xludf.DUMMYFUNCTION("""COMPUTED_VALUE"""),67.0)</f>
        <v>67</v>
      </c>
      <c r="F2156" s="19" t="str">
        <f>IFERROR(__xludf.DUMMYFUNCTION("""COMPUTED_VALUE"""),"BLUE")</f>
        <v>BLUE</v>
      </c>
      <c r="G2156" s="20" t="str">
        <f>IFERROR(__xludf.DUMMYFUNCTION("""COMPUTED_VALUE"""),"Uncle Sams Cider (11/12/2021) (Blue)")</f>
        <v>Uncle Sams Cider (11/12/2021) (Blue)</v>
      </c>
      <c r="H2156" s="19"/>
    </row>
    <row r="2157">
      <c r="A2157" s="9"/>
      <c r="B2157" s="15"/>
      <c r="C2157" s="9">
        <f>IFERROR(__xludf.DUMMYFUNCTION("""COMPUTED_VALUE"""),44583.0814797222)</f>
        <v>44583.08148</v>
      </c>
      <c r="D2157" s="15">
        <f>IFERROR(__xludf.DUMMYFUNCTION("""COMPUTED_VALUE"""),1.001)</f>
        <v>1.001</v>
      </c>
      <c r="E2157" s="16">
        <f>IFERROR(__xludf.DUMMYFUNCTION("""COMPUTED_VALUE"""),67.0)</f>
        <v>67</v>
      </c>
      <c r="F2157" s="19" t="str">
        <f>IFERROR(__xludf.DUMMYFUNCTION("""COMPUTED_VALUE"""),"BLUE")</f>
        <v>BLUE</v>
      </c>
      <c r="G2157" s="20" t="str">
        <f>IFERROR(__xludf.DUMMYFUNCTION("""COMPUTED_VALUE"""),"Uncle Sams Cider (11/12/2021) (Blue)")</f>
        <v>Uncle Sams Cider (11/12/2021) (Blue)</v>
      </c>
      <c r="H2157" s="19"/>
    </row>
    <row r="2158">
      <c r="A2158" s="9"/>
      <c r="B2158" s="15"/>
      <c r="C2158" s="9">
        <f>IFERROR(__xludf.DUMMYFUNCTION("""COMPUTED_VALUE"""),44583.0710586458)</f>
        <v>44583.07106</v>
      </c>
      <c r="D2158" s="15">
        <f>IFERROR(__xludf.DUMMYFUNCTION("""COMPUTED_VALUE"""),1.001)</f>
        <v>1.001</v>
      </c>
      <c r="E2158" s="16">
        <f>IFERROR(__xludf.DUMMYFUNCTION("""COMPUTED_VALUE"""),67.0)</f>
        <v>67</v>
      </c>
      <c r="F2158" s="19" t="str">
        <f>IFERROR(__xludf.DUMMYFUNCTION("""COMPUTED_VALUE"""),"BLUE")</f>
        <v>BLUE</v>
      </c>
      <c r="G2158" s="20" t="str">
        <f>IFERROR(__xludf.DUMMYFUNCTION("""COMPUTED_VALUE"""),"Uncle Sams Cider (11/12/2021) (Blue)")</f>
        <v>Uncle Sams Cider (11/12/2021) (Blue)</v>
      </c>
      <c r="H2158" s="19"/>
    </row>
    <row r="2159">
      <c r="A2159" s="9"/>
      <c r="B2159" s="15"/>
      <c r="C2159" s="9">
        <f>IFERROR(__xludf.DUMMYFUNCTION("""COMPUTED_VALUE"""),44583.0606362847)</f>
        <v>44583.06064</v>
      </c>
      <c r="D2159" s="15">
        <f>IFERROR(__xludf.DUMMYFUNCTION("""COMPUTED_VALUE"""),1.001)</f>
        <v>1.001</v>
      </c>
      <c r="E2159" s="16">
        <f>IFERROR(__xludf.DUMMYFUNCTION("""COMPUTED_VALUE"""),68.0)</f>
        <v>68</v>
      </c>
      <c r="F2159" s="19" t="str">
        <f>IFERROR(__xludf.DUMMYFUNCTION("""COMPUTED_VALUE"""),"BLUE")</f>
        <v>BLUE</v>
      </c>
      <c r="G2159" s="20" t="str">
        <f>IFERROR(__xludf.DUMMYFUNCTION("""COMPUTED_VALUE"""),"Uncle Sams Cider (11/12/2021) (Blue)")</f>
        <v>Uncle Sams Cider (11/12/2021) (Blue)</v>
      </c>
      <c r="H2159" s="19"/>
    </row>
    <row r="2160">
      <c r="A2160" s="9"/>
      <c r="B2160" s="15"/>
      <c r="C2160" s="9">
        <f>IFERROR(__xludf.DUMMYFUNCTION("""COMPUTED_VALUE"""),44583.0502011689)</f>
        <v>44583.0502</v>
      </c>
      <c r="D2160" s="15">
        <f>IFERROR(__xludf.DUMMYFUNCTION("""COMPUTED_VALUE"""),1.001)</f>
        <v>1.001</v>
      </c>
      <c r="E2160" s="16">
        <f>IFERROR(__xludf.DUMMYFUNCTION("""COMPUTED_VALUE"""),68.0)</f>
        <v>68</v>
      </c>
      <c r="F2160" s="19" t="str">
        <f>IFERROR(__xludf.DUMMYFUNCTION("""COMPUTED_VALUE"""),"BLUE")</f>
        <v>BLUE</v>
      </c>
      <c r="G2160" s="20" t="str">
        <f>IFERROR(__xludf.DUMMYFUNCTION("""COMPUTED_VALUE"""),"Uncle Sams Cider (11/12/2021) (Blue)")</f>
        <v>Uncle Sams Cider (11/12/2021) (Blue)</v>
      </c>
      <c r="H2160" s="19"/>
    </row>
    <row r="2161">
      <c r="A2161" s="9"/>
      <c r="B2161" s="15"/>
      <c r="C2161" s="9">
        <f>IFERROR(__xludf.DUMMYFUNCTION("""COMPUTED_VALUE"""),44583.0397802662)</f>
        <v>44583.03978</v>
      </c>
      <c r="D2161" s="15">
        <f>IFERROR(__xludf.DUMMYFUNCTION("""COMPUTED_VALUE"""),1.001)</f>
        <v>1.001</v>
      </c>
      <c r="E2161" s="16">
        <f>IFERROR(__xludf.DUMMYFUNCTION("""COMPUTED_VALUE"""),68.0)</f>
        <v>68</v>
      </c>
      <c r="F2161" s="19" t="str">
        <f>IFERROR(__xludf.DUMMYFUNCTION("""COMPUTED_VALUE"""),"BLUE")</f>
        <v>BLUE</v>
      </c>
      <c r="G2161" s="20" t="str">
        <f>IFERROR(__xludf.DUMMYFUNCTION("""COMPUTED_VALUE"""),"Uncle Sams Cider (11/12/2021) (Blue)")</f>
        <v>Uncle Sams Cider (11/12/2021) (Blue)</v>
      </c>
      <c r="H2161" s="19"/>
    </row>
    <row r="2162">
      <c r="A2162" s="9"/>
      <c r="B2162" s="15"/>
      <c r="C2162" s="9">
        <f>IFERROR(__xludf.DUMMYFUNCTION("""COMPUTED_VALUE"""),44583.0293596296)</f>
        <v>44583.02936</v>
      </c>
      <c r="D2162" s="15">
        <f>IFERROR(__xludf.DUMMYFUNCTION("""COMPUTED_VALUE"""),1.001)</f>
        <v>1.001</v>
      </c>
      <c r="E2162" s="16">
        <f>IFERROR(__xludf.DUMMYFUNCTION("""COMPUTED_VALUE"""),68.0)</f>
        <v>68</v>
      </c>
      <c r="F2162" s="19" t="str">
        <f>IFERROR(__xludf.DUMMYFUNCTION("""COMPUTED_VALUE"""),"BLUE")</f>
        <v>BLUE</v>
      </c>
      <c r="G2162" s="20" t="str">
        <f>IFERROR(__xludf.DUMMYFUNCTION("""COMPUTED_VALUE"""),"Uncle Sams Cider (11/12/2021) (Blue)")</f>
        <v>Uncle Sams Cider (11/12/2021) (Blue)</v>
      </c>
      <c r="H2162" s="19"/>
    </row>
    <row r="2163">
      <c r="A2163" s="9"/>
      <c r="B2163" s="15"/>
      <c r="C2163" s="9">
        <f>IFERROR(__xludf.DUMMYFUNCTION("""COMPUTED_VALUE"""),44583.0189388078)</f>
        <v>44583.01894</v>
      </c>
      <c r="D2163" s="15">
        <f>IFERROR(__xludf.DUMMYFUNCTION("""COMPUTED_VALUE"""),1.001)</f>
        <v>1.001</v>
      </c>
      <c r="E2163" s="16">
        <f>IFERROR(__xludf.DUMMYFUNCTION("""COMPUTED_VALUE"""),68.0)</f>
        <v>68</v>
      </c>
      <c r="F2163" s="19" t="str">
        <f>IFERROR(__xludf.DUMMYFUNCTION("""COMPUTED_VALUE"""),"BLUE")</f>
        <v>BLUE</v>
      </c>
      <c r="G2163" s="20" t="str">
        <f>IFERROR(__xludf.DUMMYFUNCTION("""COMPUTED_VALUE"""),"Uncle Sams Cider (11/12/2021) (Blue)")</f>
        <v>Uncle Sams Cider (11/12/2021) (Blue)</v>
      </c>
      <c r="H2163" s="19"/>
    </row>
    <row r="2164">
      <c r="A2164" s="9"/>
      <c r="B2164" s="15"/>
      <c r="C2164" s="9">
        <f>IFERROR(__xludf.DUMMYFUNCTION("""COMPUTED_VALUE"""),44583.0085177199)</f>
        <v>44583.00852</v>
      </c>
      <c r="D2164" s="15">
        <f>IFERROR(__xludf.DUMMYFUNCTION("""COMPUTED_VALUE"""),1.001)</f>
        <v>1.001</v>
      </c>
      <c r="E2164" s="16">
        <f>IFERROR(__xludf.DUMMYFUNCTION("""COMPUTED_VALUE"""),67.0)</f>
        <v>67</v>
      </c>
      <c r="F2164" s="19" t="str">
        <f>IFERROR(__xludf.DUMMYFUNCTION("""COMPUTED_VALUE"""),"BLUE")</f>
        <v>BLUE</v>
      </c>
      <c r="G2164" s="20" t="str">
        <f>IFERROR(__xludf.DUMMYFUNCTION("""COMPUTED_VALUE"""),"Uncle Sams Cider (11/12/2021) (Blue)")</f>
        <v>Uncle Sams Cider (11/12/2021) (Blue)</v>
      </c>
      <c r="H2164" s="19"/>
    </row>
    <row r="2165">
      <c r="A2165" s="9"/>
      <c r="B2165" s="15"/>
      <c r="C2165" s="9">
        <f>IFERROR(__xludf.DUMMYFUNCTION("""COMPUTED_VALUE"""),44582.9980986342)</f>
        <v>44582.9981</v>
      </c>
      <c r="D2165" s="15">
        <f>IFERROR(__xludf.DUMMYFUNCTION("""COMPUTED_VALUE"""),1.002)</f>
        <v>1.002</v>
      </c>
      <c r="E2165" s="16">
        <f>IFERROR(__xludf.DUMMYFUNCTION("""COMPUTED_VALUE"""),67.0)</f>
        <v>67</v>
      </c>
      <c r="F2165" s="19" t="str">
        <f>IFERROR(__xludf.DUMMYFUNCTION("""COMPUTED_VALUE"""),"BLUE")</f>
        <v>BLUE</v>
      </c>
      <c r="G2165" s="20" t="str">
        <f>IFERROR(__xludf.DUMMYFUNCTION("""COMPUTED_VALUE"""),"Uncle Sams Cider (11/12/2021) (Blue)")</f>
        <v>Uncle Sams Cider (11/12/2021) (Blue)</v>
      </c>
      <c r="H2165" s="19"/>
    </row>
    <row r="2166">
      <c r="A2166" s="9"/>
      <c r="B2166" s="15"/>
      <c r="C2166" s="9">
        <f>IFERROR(__xludf.DUMMYFUNCTION("""COMPUTED_VALUE"""),44582.9876781481)</f>
        <v>44582.98768</v>
      </c>
      <c r="D2166" s="15">
        <f>IFERROR(__xludf.DUMMYFUNCTION("""COMPUTED_VALUE"""),1.001)</f>
        <v>1.001</v>
      </c>
      <c r="E2166" s="16">
        <f>IFERROR(__xludf.DUMMYFUNCTION("""COMPUTED_VALUE"""),67.0)</f>
        <v>67</v>
      </c>
      <c r="F2166" s="19" t="str">
        <f>IFERROR(__xludf.DUMMYFUNCTION("""COMPUTED_VALUE"""),"BLUE")</f>
        <v>BLUE</v>
      </c>
      <c r="G2166" s="20" t="str">
        <f>IFERROR(__xludf.DUMMYFUNCTION("""COMPUTED_VALUE"""),"Uncle Sams Cider (11/12/2021) (Blue)")</f>
        <v>Uncle Sams Cider (11/12/2021) (Blue)</v>
      </c>
      <c r="H2166" s="19"/>
    </row>
    <row r="2167">
      <c r="A2167" s="9"/>
      <c r="B2167" s="15"/>
      <c r="C2167" s="9">
        <f>IFERROR(__xludf.DUMMYFUNCTION("""COMPUTED_VALUE"""),44582.977256655)</f>
        <v>44582.97726</v>
      </c>
      <c r="D2167" s="15">
        <f>IFERROR(__xludf.DUMMYFUNCTION("""COMPUTED_VALUE"""),1.001)</f>
        <v>1.001</v>
      </c>
      <c r="E2167" s="16">
        <f>IFERROR(__xludf.DUMMYFUNCTION("""COMPUTED_VALUE"""),66.0)</f>
        <v>66</v>
      </c>
      <c r="F2167" s="19" t="str">
        <f>IFERROR(__xludf.DUMMYFUNCTION("""COMPUTED_VALUE"""),"BLUE")</f>
        <v>BLUE</v>
      </c>
      <c r="G2167" s="20" t="str">
        <f>IFERROR(__xludf.DUMMYFUNCTION("""COMPUTED_VALUE"""),"Uncle Sams Cider (11/12/2021) (Blue)")</f>
        <v>Uncle Sams Cider (11/12/2021) (Blue)</v>
      </c>
      <c r="H2167" s="19"/>
    </row>
    <row r="2168">
      <c r="A2168" s="9"/>
      <c r="B2168" s="15"/>
      <c r="C2168" s="9">
        <f>IFERROR(__xludf.DUMMYFUNCTION("""COMPUTED_VALUE"""),44582.9668367824)</f>
        <v>44582.96684</v>
      </c>
      <c r="D2168" s="15">
        <f>IFERROR(__xludf.DUMMYFUNCTION("""COMPUTED_VALUE"""),1.001)</f>
        <v>1.001</v>
      </c>
      <c r="E2168" s="16">
        <f>IFERROR(__xludf.DUMMYFUNCTION("""COMPUTED_VALUE"""),66.0)</f>
        <v>66</v>
      </c>
      <c r="F2168" s="19" t="str">
        <f>IFERROR(__xludf.DUMMYFUNCTION("""COMPUTED_VALUE"""),"BLUE")</f>
        <v>BLUE</v>
      </c>
      <c r="G2168" s="20" t="str">
        <f>IFERROR(__xludf.DUMMYFUNCTION("""COMPUTED_VALUE"""),"Uncle Sams Cider (11/12/2021) (Blue)")</f>
        <v>Uncle Sams Cider (11/12/2021) (Blue)</v>
      </c>
      <c r="H2168" s="19"/>
    </row>
    <row r="2169">
      <c r="A2169" s="9"/>
      <c r="B2169" s="15"/>
      <c r="C2169" s="9">
        <f>IFERROR(__xludf.DUMMYFUNCTION("""COMPUTED_VALUE"""),44582.9564167476)</f>
        <v>44582.95642</v>
      </c>
      <c r="D2169" s="15">
        <f>IFERROR(__xludf.DUMMYFUNCTION("""COMPUTED_VALUE"""),1.001)</f>
        <v>1.001</v>
      </c>
      <c r="E2169" s="16">
        <f>IFERROR(__xludf.DUMMYFUNCTION("""COMPUTED_VALUE"""),65.0)</f>
        <v>65</v>
      </c>
      <c r="F2169" s="19" t="str">
        <f>IFERROR(__xludf.DUMMYFUNCTION("""COMPUTED_VALUE"""),"BLUE")</f>
        <v>BLUE</v>
      </c>
      <c r="G2169" s="20" t="str">
        <f>IFERROR(__xludf.DUMMYFUNCTION("""COMPUTED_VALUE"""),"Uncle Sams Cider (11/12/2021) (Blue)")</f>
        <v>Uncle Sams Cider (11/12/2021) (Blue)</v>
      </c>
      <c r="H2169" s="19"/>
    </row>
    <row r="2170">
      <c r="A2170" s="9"/>
      <c r="B2170" s="15"/>
      <c r="C2170" s="9">
        <f>IFERROR(__xludf.DUMMYFUNCTION("""COMPUTED_VALUE"""),44582.9459956018)</f>
        <v>44582.946</v>
      </c>
      <c r="D2170" s="15">
        <f>IFERROR(__xludf.DUMMYFUNCTION("""COMPUTED_VALUE"""),1.001)</f>
        <v>1.001</v>
      </c>
      <c r="E2170" s="16">
        <f>IFERROR(__xludf.DUMMYFUNCTION("""COMPUTED_VALUE"""),65.0)</f>
        <v>65</v>
      </c>
      <c r="F2170" s="19" t="str">
        <f>IFERROR(__xludf.DUMMYFUNCTION("""COMPUTED_VALUE"""),"BLUE")</f>
        <v>BLUE</v>
      </c>
      <c r="G2170" s="20" t="str">
        <f>IFERROR(__xludf.DUMMYFUNCTION("""COMPUTED_VALUE"""),"Uncle Sams Cider (11/12/2021) (Blue)")</f>
        <v>Uncle Sams Cider (11/12/2021) (Blue)</v>
      </c>
      <c r="H2170" s="19"/>
    </row>
    <row r="2171">
      <c r="A2171" s="9"/>
      <c r="B2171" s="15"/>
      <c r="C2171" s="9">
        <f>IFERROR(__xludf.DUMMYFUNCTION("""COMPUTED_VALUE"""),44582.9355757407)</f>
        <v>44582.93558</v>
      </c>
      <c r="D2171" s="15">
        <f>IFERROR(__xludf.DUMMYFUNCTION("""COMPUTED_VALUE"""),1.001)</f>
        <v>1.001</v>
      </c>
      <c r="E2171" s="16">
        <f>IFERROR(__xludf.DUMMYFUNCTION("""COMPUTED_VALUE"""),64.0)</f>
        <v>64</v>
      </c>
      <c r="F2171" s="19" t="str">
        <f>IFERROR(__xludf.DUMMYFUNCTION("""COMPUTED_VALUE"""),"BLUE")</f>
        <v>BLUE</v>
      </c>
      <c r="G2171" s="20" t="str">
        <f>IFERROR(__xludf.DUMMYFUNCTION("""COMPUTED_VALUE"""),"Uncle Sams Cider (11/12/2021) (Blue)")</f>
        <v>Uncle Sams Cider (11/12/2021) (Blue)</v>
      </c>
      <c r="H2171" s="19"/>
    </row>
    <row r="2172">
      <c r="A2172" s="9"/>
      <c r="B2172" s="15"/>
      <c r="C2172" s="9">
        <f>IFERROR(__xludf.DUMMYFUNCTION("""COMPUTED_VALUE"""),44582.92515375)</f>
        <v>44582.92515</v>
      </c>
      <c r="D2172" s="15">
        <f>IFERROR(__xludf.DUMMYFUNCTION("""COMPUTED_VALUE"""),1.001)</f>
        <v>1.001</v>
      </c>
      <c r="E2172" s="16">
        <f>IFERROR(__xludf.DUMMYFUNCTION("""COMPUTED_VALUE"""),64.0)</f>
        <v>64</v>
      </c>
      <c r="F2172" s="19" t="str">
        <f>IFERROR(__xludf.DUMMYFUNCTION("""COMPUTED_VALUE"""),"BLUE")</f>
        <v>BLUE</v>
      </c>
      <c r="G2172" s="20" t="str">
        <f>IFERROR(__xludf.DUMMYFUNCTION("""COMPUTED_VALUE"""),"Uncle Sams Cider (11/12/2021) (Blue)")</f>
        <v>Uncle Sams Cider (11/12/2021) (Blue)</v>
      </c>
      <c r="H2172" s="19"/>
    </row>
    <row r="2173">
      <c r="A2173" s="9"/>
      <c r="B2173" s="15"/>
      <c r="C2173" s="9">
        <f>IFERROR(__xludf.DUMMYFUNCTION("""COMPUTED_VALUE"""),44582.9147319097)</f>
        <v>44582.91473</v>
      </c>
      <c r="D2173" s="15">
        <f>IFERROR(__xludf.DUMMYFUNCTION("""COMPUTED_VALUE"""),1.002)</f>
        <v>1.002</v>
      </c>
      <c r="E2173" s="16">
        <f>IFERROR(__xludf.DUMMYFUNCTION("""COMPUTED_VALUE"""),64.0)</f>
        <v>64</v>
      </c>
      <c r="F2173" s="19" t="str">
        <f>IFERROR(__xludf.DUMMYFUNCTION("""COMPUTED_VALUE"""),"BLUE")</f>
        <v>BLUE</v>
      </c>
      <c r="G2173" s="20" t="str">
        <f>IFERROR(__xludf.DUMMYFUNCTION("""COMPUTED_VALUE"""),"Uncle Sams Cider (11/12/2021) (Blue)")</f>
        <v>Uncle Sams Cider (11/12/2021) (Blue)</v>
      </c>
      <c r="H2173" s="19"/>
    </row>
    <row r="2174">
      <c r="A2174" s="9"/>
      <c r="B2174" s="15"/>
      <c r="C2174" s="9">
        <f>IFERROR(__xludf.DUMMYFUNCTION("""COMPUTED_VALUE"""),44582.9042994097)</f>
        <v>44582.9043</v>
      </c>
      <c r="D2174" s="15">
        <f>IFERROR(__xludf.DUMMYFUNCTION("""COMPUTED_VALUE"""),1.002)</f>
        <v>1.002</v>
      </c>
      <c r="E2174" s="16">
        <f>IFERROR(__xludf.DUMMYFUNCTION("""COMPUTED_VALUE"""),63.0)</f>
        <v>63</v>
      </c>
      <c r="F2174" s="19" t="str">
        <f>IFERROR(__xludf.DUMMYFUNCTION("""COMPUTED_VALUE"""),"BLUE")</f>
        <v>BLUE</v>
      </c>
      <c r="G2174" s="20" t="str">
        <f>IFERROR(__xludf.DUMMYFUNCTION("""COMPUTED_VALUE"""),"Uncle Sams Cider (11/12/2021) (Blue)")</f>
        <v>Uncle Sams Cider (11/12/2021) (Blue)</v>
      </c>
      <c r="H2174" s="19"/>
    </row>
    <row r="2175">
      <c r="A2175" s="9"/>
      <c r="B2175" s="15"/>
      <c r="C2175" s="9">
        <f>IFERROR(__xludf.DUMMYFUNCTION("""COMPUTED_VALUE"""),44582.8938788078)</f>
        <v>44582.89388</v>
      </c>
      <c r="D2175" s="15">
        <f>IFERROR(__xludf.DUMMYFUNCTION("""COMPUTED_VALUE"""),1.002)</f>
        <v>1.002</v>
      </c>
      <c r="E2175" s="16">
        <f>IFERROR(__xludf.DUMMYFUNCTION("""COMPUTED_VALUE"""),63.0)</f>
        <v>63</v>
      </c>
      <c r="F2175" s="19" t="str">
        <f>IFERROR(__xludf.DUMMYFUNCTION("""COMPUTED_VALUE"""),"BLUE")</f>
        <v>BLUE</v>
      </c>
      <c r="G2175" s="20" t="str">
        <f>IFERROR(__xludf.DUMMYFUNCTION("""COMPUTED_VALUE"""),"Uncle Sams Cider (11/12/2021) (Blue)")</f>
        <v>Uncle Sams Cider (11/12/2021) (Blue)</v>
      </c>
      <c r="H2175" s="19"/>
    </row>
    <row r="2176">
      <c r="A2176" s="9"/>
      <c r="B2176" s="15"/>
      <c r="C2176" s="9">
        <f>IFERROR(__xludf.DUMMYFUNCTION("""COMPUTED_VALUE"""),44582.8834565856)</f>
        <v>44582.88346</v>
      </c>
      <c r="D2176" s="15">
        <f>IFERROR(__xludf.DUMMYFUNCTION("""COMPUTED_VALUE"""),1.002)</f>
        <v>1.002</v>
      </c>
      <c r="E2176" s="16">
        <f>IFERROR(__xludf.DUMMYFUNCTION("""COMPUTED_VALUE"""),62.0)</f>
        <v>62</v>
      </c>
      <c r="F2176" s="19" t="str">
        <f>IFERROR(__xludf.DUMMYFUNCTION("""COMPUTED_VALUE"""),"BLUE")</f>
        <v>BLUE</v>
      </c>
      <c r="G2176" s="20" t="str">
        <f>IFERROR(__xludf.DUMMYFUNCTION("""COMPUTED_VALUE"""),"Uncle Sams Cider (11/12/2021) (Blue)")</f>
        <v>Uncle Sams Cider (11/12/2021) (Blue)</v>
      </c>
      <c r="H2176" s="19"/>
    </row>
    <row r="2177">
      <c r="A2177" s="9"/>
      <c r="B2177" s="15"/>
      <c r="C2177" s="9">
        <f>IFERROR(__xludf.DUMMYFUNCTION("""COMPUTED_VALUE"""),44582.8730366435)</f>
        <v>44582.87304</v>
      </c>
      <c r="D2177" s="15">
        <f>IFERROR(__xludf.DUMMYFUNCTION("""COMPUTED_VALUE"""),1.002)</f>
        <v>1.002</v>
      </c>
      <c r="E2177" s="16">
        <f>IFERROR(__xludf.DUMMYFUNCTION("""COMPUTED_VALUE"""),62.0)</f>
        <v>62</v>
      </c>
      <c r="F2177" s="19" t="str">
        <f>IFERROR(__xludf.DUMMYFUNCTION("""COMPUTED_VALUE"""),"BLUE")</f>
        <v>BLUE</v>
      </c>
      <c r="G2177" s="20" t="str">
        <f>IFERROR(__xludf.DUMMYFUNCTION("""COMPUTED_VALUE"""),"Uncle Sams Cider (11/12/2021) (Blue)")</f>
        <v>Uncle Sams Cider (11/12/2021) (Blue)</v>
      </c>
      <c r="H2177" s="19"/>
    </row>
    <row r="2178">
      <c r="A2178" s="9"/>
      <c r="B2178" s="15"/>
      <c r="C2178" s="9">
        <f>IFERROR(__xludf.DUMMYFUNCTION("""COMPUTED_VALUE"""),44582.8626174884)</f>
        <v>44582.86262</v>
      </c>
      <c r="D2178" s="15">
        <f>IFERROR(__xludf.DUMMYFUNCTION("""COMPUTED_VALUE"""),1.002)</f>
        <v>1.002</v>
      </c>
      <c r="E2178" s="16">
        <f>IFERROR(__xludf.DUMMYFUNCTION("""COMPUTED_VALUE"""),62.0)</f>
        <v>62</v>
      </c>
      <c r="F2178" s="19" t="str">
        <f>IFERROR(__xludf.DUMMYFUNCTION("""COMPUTED_VALUE"""),"BLUE")</f>
        <v>BLUE</v>
      </c>
      <c r="G2178" s="20" t="str">
        <f>IFERROR(__xludf.DUMMYFUNCTION("""COMPUTED_VALUE"""),"Uncle Sams Cider (11/12/2021) (Blue)")</f>
        <v>Uncle Sams Cider (11/12/2021) (Blue)</v>
      </c>
      <c r="H2178" s="19"/>
    </row>
    <row r="2179">
      <c r="A2179" s="9"/>
      <c r="B2179" s="15"/>
      <c r="C2179" s="9">
        <f>IFERROR(__xludf.DUMMYFUNCTION("""COMPUTED_VALUE"""),44582.8521954513)</f>
        <v>44582.8522</v>
      </c>
      <c r="D2179" s="15">
        <f>IFERROR(__xludf.DUMMYFUNCTION("""COMPUTED_VALUE"""),1.002)</f>
        <v>1.002</v>
      </c>
      <c r="E2179" s="16">
        <f>IFERROR(__xludf.DUMMYFUNCTION("""COMPUTED_VALUE"""),62.0)</f>
        <v>62</v>
      </c>
      <c r="F2179" s="19" t="str">
        <f>IFERROR(__xludf.DUMMYFUNCTION("""COMPUTED_VALUE"""),"BLUE")</f>
        <v>BLUE</v>
      </c>
      <c r="G2179" s="20" t="str">
        <f>IFERROR(__xludf.DUMMYFUNCTION("""COMPUTED_VALUE"""),"Uncle Sams Cider (11/12/2021) (Blue)")</f>
        <v>Uncle Sams Cider (11/12/2021) (Blue)</v>
      </c>
      <c r="H2179" s="19"/>
    </row>
    <row r="2180">
      <c r="A2180" s="9"/>
      <c r="B2180" s="15"/>
      <c r="C2180" s="9">
        <f>IFERROR(__xludf.DUMMYFUNCTION("""COMPUTED_VALUE"""),44582.8417733217)</f>
        <v>44582.84177</v>
      </c>
      <c r="D2180" s="15">
        <f>IFERROR(__xludf.DUMMYFUNCTION("""COMPUTED_VALUE"""),1.002)</f>
        <v>1.002</v>
      </c>
      <c r="E2180" s="16">
        <f>IFERROR(__xludf.DUMMYFUNCTION("""COMPUTED_VALUE"""),61.0)</f>
        <v>61</v>
      </c>
      <c r="F2180" s="19" t="str">
        <f>IFERROR(__xludf.DUMMYFUNCTION("""COMPUTED_VALUE"""),"BLUE")</f>
        <v>BLUE</v>
      </c>
      <c r="G2180" s="20" t="str">
        <f>IFERROR(__xludf.DUMMYFUNCTION("""COMPUTED_VALUE"""),"Uncle Sams Cider (11/12/2021) (Blue)")</f>
        <v>Uncle Sams Cider (11/12/2021) (Blue)</v>
      </c>
      <c r="H2180" s="19"/>
    </row>
    <row r="2181">
      <c r="A2181" s="9"/>
      <c r="B2181" s="15"/>
      <c r="C2181" s="9">
        <f>IFERROR(__xludf.DUMMYFUNCTION("""COMPUTED_VALUE"""),44582.831351574)</f>
        <v>44582.83135</v>
      </c>
      <c r="D2181" s="15">
        <f>IFERROR(__xludf.DUMMYFUNCTION("""COMPUTED_VALUE"""),1.002)</f>
        <v>1.002</v>
      </c>
      <c r="E2181" s="16">
        <f>IFERROR(__xludf.DUMMYFUNCTION("""COMPUTED_VALUE"""),62.0)</f>
        <v>62</v>
      </c>
      <c r="F2181" s="19" t="str">
        <f>IFERROR(__xludf.DUMMYFUNCTION("""COMPUTED_VALUE"""),"BLUE")</f>
        <v>BLUE</v>
      </c>
      <c r="G2181" s="20" t="str">
        <f>IFERROR(__xludf.DUMMYFUNCTION("""COMPUTED_VALUE"""),"Uncle Sams Cider (11/12/2021) (Blue)")</f>
        <v>Uncle Sams Cider (11/12/2021) (Blue)</v>
      </c>
      <c r="H2181" s="19"/>
    </row>
    <row r="2182">
      <c r="A2182" s="9"/>
      <c r="B2182" s="15"/>
      <c r="C2182" s="9">
        <f>IFERROR(__xludf.DUMMYFUNCTION("""COMPUTED_VALUE"""),44582.8209280787)</f>
        <v>44582.82093</v>
      </c>
      <c r="D2182" s="15">
        <f>IFERROR(__xludf.DUMMYFUNCTION("""COMPUTED_VALUE"""),1.002)</f>
        <v>1.002</v>
      </c>
      <c r="E2182" s="16">
        <f>IFERROR(__xludf.DUMMYFUNCTION("""COMPUTED_VALUE"""),62.0)</f>
        <v>62</v>
      </c>
      <c r="F2182" s="19" t="str">
        <f>IFERROR(__xludf.DUMMYFUNCTION("""COMPUTED_VALUE"""),"BLUE")</f>
        <v>BLUE</v>
      </c>
      <c r="G2182" s="20" t="str">
        <f>IFERROR(__xludf.DUMMYFUNCTION("""COMPUTED_VALUE"""),"Uncle Sams Cider (11/12/2021) (Blue)")</f>
        <v>Uncle Sams Cider (11/12/2021) (Blue)</v>
      </c>
      <c r="H2182" s="19"/>
    </row>
    <row r="2183">
      <c r="A2183" s="9"/>
      <c r="B2183" s="15"/>
      <c r="C2183" s="9">
        <f>IFERROR(__xludf.DUMMYFUNCTION("""COMPUTED_VALUE"""),44582.8105057638)</f>
        <v>44582.81051</v>
      </c>
      <c r="D2183" s="15">
        <f>IFERROR(__xludf.DUMMYFUNCTION("""COMPUTED_VALUE"""),1.002)</f>
        <v>1.002</v>
      </c>
      <c r="E2183" s="16">
        <f>IFERROR(__xludf.DUMMYFUNCTION("""COMPUTED_VALUE"""),62.0)</f>
        <v>62</v>
      </c>
      <c r="F2183" s="19" t="str">
        <f>IFERROR(__xludf.DUMMYFUNCTION("""COMPUTED_VALUE"""),"BLUE")</f>
        <v>BLUE</v>
      </c>
      <c r="G2183" s="20" t="str">
        <f>IFERROR(__xludf.DUMMYFUNCTION("""COMPUTED_VALUE"""),"Uncle Sams Cider (11/12/2021) (Blue)")</f>
        <v>Uncle Sams Cider (11/12/2021) (Blue)</v>
      </c>
      <c r="H2183" s="19"/>
    </row>
    <row r="2184">
      <c r="A2184" s="9"/>
      <c r="B2184" s="15"/>
      <c r="C2184" s="9">
        <f>IFERROR(__xludf.DUMMYFUNCTION("""COMPUTED_VALUE"""),44582.8000741666)</f>
        <v>44582.80007</v>
      </c>
      <c r="D2184" s="15">
        <f>IFERROR(__xludf.DUMMYFUNCTION("""COMPUTED_VALUE"""),1.002)</f>
        <v>1.002</v>
      </c>
      <c r="E2184" s="16">
        <f>IFERROR(__xludf.DUMMYFUNCTION("""COMPUTED_VALUE"""),62.0)</f>
        <v>62</v>
      </c>
      <c r="F2184" s="19" t="str">
        <f>IFERROR(__xludf.DUMMYFUNCTION("""COMPUTED_VALUE"""),"BLUE")</f>
        <v>BLUE</v>
      </c>
      <c r="G2184" s="20" t="str">
        <f>IFERROR(__xludf.DUMMYFUNCTION("""COMPUTED_VALUE"""),"Uncle Sams Cider (11/12/2021) (Blue)")</f>
        <v>Uncle Sams Cider (11/12/2021) (Blue)</v>
      </c>
      <c r="H2184" s="19"/>
    </row>
    <row r="2185">
      <c r="A2185" s="9"/>
      <c r="B2185" s="15"/>
      <c r="C2185" s="9">
        <f>IFERROR(__xludf.DUMMYFUNCTION("""COMPUTED_VALUE"""),44582.7896534606)</f>
        <v>44582.78965</v>
      </c>
      <c r="D2185" s="15">
        <f>IFERROR(__xludf.DUMMYFUNCTION("""COMPUTED_VALUE"""),1.002)</f>
        <v>1.002</v>
      </c>
      <c r="E2185" s="16">
        <f>IFERROR(__xludf.DUMMYFUNCTION("""COMPUTED_VALUE"""),62.0)</f>
        <v>62</v>
      </c>
      <c r="F2185" s="19" t="str">
        <f>IFERROR(__xludf.DUMMYFUNCTION("""COMPUTED_VALUE"""),"BLUE")</f>
        <v>BLUE</v>
      </c>
      <c r="G2185" s="20" t="str">
        <f>IFERROR(__xludf.DUMMYFUNCTION("""COMPUTED_VALUE"""),"Uncle Sams Cider (11/12/2021) (Blue)")</f>
        <v>Uncle Sams Cider (11/12/2021) (Blue)</v>
      </c>
      <c r="H2185" s="19"/>
    </row>
    <row r="2186">
      <c r="A2186" s="9"/>
      <c r="B2186" s="15"/>
      <c r="C2186" s="9">
        <f>IFERROR(__xludf.DUMMYFUNCTION("""COMPUTED_VALUE"""),44582.779233206)</f>
        <v>44582.77923</v>
      </c>
      <c r="D2186" s="15">
        <f>IFERROR(__xludf.DUMMYFUNCTION("""COMPUTED_VALUE"""),1.002)</f>
        <v>1.002</v>
      </c>
      <c r="E2186" s="16">
        <f>IFERROR(__xludf.DUMMYFUNCTION("""COMPUTED_VALUE"""),62.0)</f>
        <v>62</v>
      </c>
      <c r="F2186" s="19" t="str">
        <f>IFERROR(__xludf.DUMMYFUNCTION("""COMPUTED_VALUE"""),"BLUE")</f>
        <v>BLUE</v>
      </c>
      <c r="G2186" s="20" t="str">
        <f>IFERROR(__xludf.DUMMYFUNCTION("""COMPUTED_VALUE"""),"Uncle Sams Cider (11/12/2021) (Blue)")</f>
        <v>Uncle Sams Cider (11/12/2021) (Blue)</v>
      </c>
      <c r="H2186" s="19"/>
    </row>
    <row r="2187">
      <c r="A2187" s="9"/>
      <c r="B2187" s="15"/>
      <c r="C2187" s="9">
        <f>IFERROR(__xludf.DUMMYFUNCTION("""COMPUTED_VALUE"""),44582.768810868)</f>
        <v>44582.76881</v>
      </c>
      <c r="D2187" s="15">
        <f>IFERROR(__xludf.DUMMYFUNCTION("""COMPUTED_VALUE"""),1.002)</f>
        <v>1.002</v>
      </c>
      <c r="E2187" s="16">
        <f>IFERROR(__xludf.DUMMYFUNCTION("""COMPUTED_VALUE"""),62.0)</f>
        <v>62</v>
      </c>
      <c r="F2187" s="19" t="str">
        <f>IFERROR(__xludf.DUMMYFUNCTION("""COMPUTED_VALUE"""),"BLUE")</f>
        <v>BLUE</v>
      </c>
      <c r="G2187" s="20" t="str">
        <f>IFERROR(__xludf.DUMMYFUNCTION("""COMPUTED_VALUE"""),"Uncle Sams Cider (11/12/2021) (Blue)")</f>
        <v>Uncle Sams Cider (11/12/2021) (Blue)</v>
      </c>
      <c r="H2187" s="19"/>
    </row>
    <row r="2188">
      <c r="A2188" s="9"/>
      <c r="B2188" s="15"/>
      <c r="C2188" s="9">
        <f>IFERROR(__xludf.DUMMYFUNCTION("""COMPUTED_VALUE"""),44582.7583899537)</f>
        <v>44582.75839</v>
      </c>
      <c r="D2188" s="15">
        <f>IFERROR(__xludf.DUMMYFUNCTION("""COMPUTED_VALUE"""),1.002)</f>
        <v>1.002</v>
      </c>
      <c r="E2188" s="16">
        <f>IFERROR(__xludf.DUMMYFUNCTION("""COMPUTED_VALUE"""),62.0)</f>
        <v>62</v>
      </c>
      <c r="F2188" s="19" t="str">
        <f>IFERROR(__xludf.DUMMYFUNCTION("""COMPUTED_VALUE"""),"BLUE")</f>
        <v>BLUE</v>
      </c>
      <c r="G2188" s="20" t="str">
        <f>IFERROR(__xludf.DUMMYFUNCTION("""COMPUTED_VALUE"""),"Uncle Sams Cider (11/12/2021) (Blue)")</f>
        <v>Uncle Sams Cider (11/12/2021) (Blue)</v>
      </c>
      <c r="H2188" s="19"/>
    </row>
    <row r="2189">
      <c r="A2189" s="9"/>
      <c r="B2189" s="15"/>
      <c r="C2189" s="9">
        <f>IFERROR(__xludf.DUMMYFUNCTION("""COMPUTED_VALUE"""),44582.7479693055)</f>
        <v>44582.74797</v>
      </c>
      <c r="D2189" s="15">
        <f>IFERROR(__xludf.DUMMYFUNCTION("""COMPUTED_VALUE"""),1.002)</f>
        <v>1.002</v>
      </c>
      <c r="E2189" s="16">
        <f>IFERROR(__xludf.DUMMYFUNCTION("""COMPUTED_VALUE"""),62.0)</f>
        <v>62</v>
      </c>
      <c r="F2189" s="19" t="str">
        <f>IFERROR(__xludf.DUMMYFUNCTION("""COMPUTED_VALUE"""),"BLUE")</f>
        <v>BLUE</v>
      </c>
      <c r="G2189" s="20" t="str">
        <f>IFERROR(__xludf.DUMMYFUNCTION("""COMPUTED_VALUE"""),"Uncle Sams Cider (11/12/2021) (Blue)")</f>
        <v>Uncle Sams Cider (11/12/2021) (Blue)</v>
      </c>
      <c r="H2189" s="19"/>
    </row>
    <row r="2190">
      <c r="A2190" s="9"/>
      <c r="B2190" s="15"/>
      <c r="C2190" s="9">
        <f>IFERROR(__xludf.DUMMYFUNCTION("""COMPUTED_VALUE"""),44582.7375486805)</f>
        <v>44582.73755</v>
      </c>
      <c r="D2190" s="15">
        <f>IFERROR(__xludf.DUMMYFUNCTION("""COMPUTED_VALUE"""),1.002)</f>
        <v>1.002</v>
      </c>
      <c r="E2190" s="16">
        <f>IFERROR(__xludf.DUMMYFUNCTION("""COMPUTED_VALUE"""),62.0)</f>
        <v>62</v>
      </c>
      <c r="F2190" s="19" t="str">
        <f>IFERROR(__xludf.DUMMYFUNCTION("""COMPUTED_VALUE"""),"BLUE")</f>
        <v>BLUE</v>
      </c>
      <c r="G2190" s="20" t="str">
        <f>IFERROR(__xludf.DUMMYFUNCTION("""COMPUTED_VALUE"""),"Uncle Sams Cider (11/12/2021) (Blue)")</f>
        <v>Uncle Sams Cider (11/12/2021) (Blue)</v>
      </c>
      <c r="H2190" s="19"/>
    </row>
    <row r="2191">
      <c r="A2191" s="9"/>
      <c r="B2191" s="15"/>
      <c r="C2191" s="9">
        <f>IFERROR(__xludf.DUMMYFUNCTION("""COMPUTED_VALUE"""),44582.7271262499)</f>
        <v>44582.72713</v>
      </c>
      <c r="D2191" s="15">
        <f>IFERROR(__xludf.DUMMYFUNCTION("""COMPUTED_VALUE"""),1.002)</f>
        <v>1.002</v>
      </c>
      <c r="E2191" s="16">
        <f>IFERROR(__xludf.DUMMYFUNCTION("""COMPUTED_VALUE"""),62.0)</f>
        <v>62</v>
      </c>
      <c r="F2191" s="19" t="str">
        <f>IFERROR(__xludf.DUMMYFUNCTION("""COMPUTED_VALUE"""),"BLUE")</f>
        <v>BLUE</v>
      </c>
      <c r="G2191" s="20" t="str">
        <f>IFERROR(__xludf.DUMMYFUNCTION("""COMPUTED_VALUE"""),"Uncle Sams Cider (11/12/2021) (Blue)")</f>
        <v>Uncle Sams Cider (11/12/2021) (Blue)</v>
      </c>
      <c r="H2191" s="19"/>
    </row>
    <row r="2192">
      <c r="A2192" s="9"/>
      <c r="B2192" s="15"/>
      <c r="C2192" s="9">
        <f>IFERROR(__xludf.DUMMYFUNCTION("""COMPUTED_VALUE"""),44582.7167039236)</f>
        <v>44582.7167</v>
      </c>
      <c r="D2192" s="15">
        <f>IFERROR(__xludf.DUMMYFUNCTION("""COMPUTED_VALUE"""),1.002)</f>
        <v>1.002</v>
      </c>
      <c r="E2192" s="16">
        <f>IFERROR(__xludf.DUMMYFUNCTION("""COMPUTED_VALUE"""),62.0)</f>
        <v>62</v>
      </c>
      <c r="F2192" s="19" t="str">
        <f>IFERROR(__xludf.DUMMYFUNCTION("""COMPUTED_VALUE"""),"BLUE")</f>
        <v>BLUE</v>
      </c>
      <c r="G2192" s="20" t="str">
        <f>IFERROR(__xludf.DUMMYFUNCTION("""COMPUTED_VALUE"""),"Uncle Sams Cider (11/12/2021) (Blue)")</f>
        <v>Uncle Sams Cider (11/12/2021) (Blue)</v>
      </c>
      <c r="H2192" s="19"/>
    </row>
    <row r="2193">
      <c r="A2193" s="9"/>
      <c r="B2193" s="15"/>
      <c r="C2193" s="9">
        <f>IFERROR(__xludf.DUMMYFUNCTION("""COMPUTED_VALUE"""),44582.7062814004)</f>
        <v>44582.70628</v>
      </c>
      <c r="D2193" s="15">
        <f>IFERROR(__xludf.DUMMYFUNCTION("""COMPUTED_VALUE"""),1.002)</f>
        <v>1.002</v>
      </c>
      <c r="E2193" s="16">
        <f>IFERROR(__xludf.DUMMYFUNCTION("""COMPUTED_VALUE"""),62.0)</f>
        <v>62</v>
      </c>
      <c r="F2193" s="19" t="str">
        <f>IFERROR(__xludf.DUMMYFUNCTION("""COMPUTED_VALUE"""),"BLUE")</f>
        <v>BLUE</v>
      </c>
      <c r="G2193" s="20" t="str">
        <f>IFERROR(__xludf.DUMMYFUNCTION("""COMPUTED_VALUE"""),"Uncle Sams Cider (11/12/2021) (Blue)")</f>
        <v>Uncle Sams Cider (11/12/2021) (Blue)</v>
      </c>
      <c r="H2193" s="19"/>
    </row>
    <row r="2194">
      <c r="A2194" s="9"/>
      <c r="B2194" s="15"/>
      <c r="C2194" s="9">
        <f>IFERROR(__xludf.DUMMYFUNCTION("""COMPUTED_VALUE"""),44582.6958605902)</f>
        <v>44582.69586</v>
      </c>
      <c r="D2194" s="15">
        <f>IFERROR(__xludf.DUMMYFUNCTION("""COMPUTED_VALUE"""),1.002)</f>
        <v>1.002</v>
      </c>
      <c r="E2194" s="16">
        <f>IFERROR(__xludf.DUMMYFUNCTION("""COMPUTED_VALUE"""),62.0)</f>
        <v>62</v>
      </c>
      <c r="F2194" s="19" t="str">
        <f>IFERROR(__xludf.DUMMYFUNCTION("""COMPUTED_VALUE"""),"BLUE")</f>
        <v>BLUE</v>
      </c>
      <c r="G2194" s="20" t="str">
        <f>IFERROR(__xludf.DUMMYFUNCTION("""COMPUTED_VALUE"""),"Uncle Sams Cider (11/12/2021) (Blue)")</f>
        <v>Uncle Sams Cider (11/12/2021) (Blue)</v>
      </c>
      <c r="H2194" s="19"/>
    </row>
    <row r="2195">
      <c r="A2195" s="9"/>
      <c r="B2195" s="15"/>
      <c r="C2195" s="9">
        <f>IFERROR(__xludf.DUMMYFUNCTION("""COMPUTED_VALUE"""),44582.6854395717)</f>
        <v>44582.68544</v>
      </c>
      <c r="D2195" s="15">
        <f>IFERROR(__xludf.DUMMYFUNCTION("""COMPUTED_VALUE"""),1.002)</f>
        <v>1.002</v>
      </c>
      <c r="E2195" s="16">
        <f>IFERROR(__xludf.DUMMYFUNCTION("""COMPUTED_VALUE"""),62.0)</f>
        <v>62</v>
      </c>
      <c r="F2195" s="19" t="str">
        <f>IFERROR(__xludf.DUMMYFUNCTION("""COMPUTED_VALUE"""),"BLUE")</f>
        <v>BLUE</v>
      </c>
      <c r="G2195" s="20" t="str">
        <f>IFERROR(__xludf.DUMMYFUNCTION("""COMPUTED_VALUE"""),"Uncle Sams Cider (11/12/2021) (Blue)")</f>
        <v>Uncle Sams Cider (11/12/2021) (Blue)</v>
      </c>
      <c r="H2195" s="19"/>
    </row>
    <row r="2196">
      <c r="A2196" s="9"/>
      <c r="B2196" s="15"/>
      <c r="C2196" s="9">
        <f>IFERROR(__xludf.DUMMYFUNCTION("""COMPUTED_VALUE"""),44582.6750159606)</f>
        <v>44582.67502</v>
      </c>
      <c r="D2196" s="15">
        <f>IFERROR(__xludf.DUMMYFUNCTION("""COMPUTED_VALUE"""),1.002)</f>
        <v>1.002</v>
      </c>
      <c r="E2196" s="16">
        <f>IFERROR(__xludf.DUMMYFUNCTION("""COMPUTED_VALUE"""),62.0)</f>
        <v>62</v>
      </c>
      <c r="F2196" s="19" t="str">
        <f>IFERROR(__xludf.DUMMYFUNCTION("""COMPUTED_VALUE"""),"BLUE")</f>
        <v>BLUE</v>
      </c>
      <c r="G2196" s="20" t="str">
        <f>IFERROR(__xludf.DUMMYFUNCTION("""COMPUTED_VALUE"""),"Uncle Sams Cider (11/12/2021) (Blue)")</f>
        <v>Uncle Sams Cider (11/12/2021) (Blue)</v>
      </c>
      <c r="H2196" s="19"/>
    </row>
    <row r="2197">
      <c r="A2197" s="9"/>
      <c r="B2197" s="15"/>
      <c r="C2197" s="9">
        <f>IFERROR(__xludf.DUMMYFUNCTION("""COMPUTED_VALUE"""),44582.6645954513)</f>
        <v>44582.6646</v>
      </c>
      <c r="D2197" s="15">
        <f>IFERROR(__xludf.DUMMYFUNCTION("""COMPUTED_VALUE"""),1.002)</f>
        <v>1.002</v>
      </c>
      <c r="E2197" s="16">
        <f>IFERROR(__xludf.DUMMYFUNCTION("""COMPUTED_VALUE"""),62.0)</f>
        <v>62</v>
      </c>
      <c r="F2197" s="19" t="str">
        <f>IFERROR(__xludf.DUMMYFUNCTION("""COMPUTED_VALUE"""),"BLUE")</f>
        <v>BLUE</v>
      </c>
      <c r="G2197" s="20" t="str">
        <f>IFERROR(__xludf.DUMMYFUNCTION("""COMPUTED_VALUE"""),"Uncle Sams Cider (11/12/2021) (Blue)")</f>
        <v>Uncle Sams Cider (11/12/2021) (Blue)</v>
      </c>
      <c r="H2197" s="19"/>
    </row>
    <row r="2198">
      <c r="A2198" s="9"/>
      <c r="B2198" s="15"/>
      <c r="C2198" s="9">
        <f>IFERROR(__xludf.DUMMYFUNCTION("""COMPUTED_VALUE"""),44582.6541631249)</f>
        <v>44582.65416</v>
      </c>
      <c r="D2198" s="15">
        <f>IFERROR(__xludf.DUMMYFUNCTION("""COMPUTED_VALUE"""),1.002)</f>
        <v>1.002</v>
      </c>
      <c r="E2198" s="16">
        <f>IFERROR(__xludf.DUMMYFUNCTION("""COMPUTED_VALUE"""),62.0)</f>
        <v>62</v>
      </c>
      <c r="F2198" s="19" t="str">
        <f>IFERROR(__xludf.DUMMYFUNCTION("""COMPUTED_VALUE"""),"BLUE")</f>
        <v>BLUE</v>
      </c>
      <c r="G2198" s="20" t="str">
        <f>IFERROR(__xludf.DUMMYFUNCTION("""COMPUTED_VALUE"""),"Uncle Sams Cider (11/12/2021) (Blue)")</f>
        <v>Uncle Sams Cider (11/12/2021) (Blue)</v>
      </c>
      <c r="H2198" s="19"/>
    </row>
    <row r="2199">
      <c r="A2199" s="9"/>
      <c r="B2199" s="15"/>
      <c r="C2199" s="9">
        <f>IFERROR(__xludf.DUMMYFUNCTION("""COMPUTED_VALUE"""),44582.6437319444)</f>
        <v>44582.64373</v>
      </c>
      <c r="D2199" s="15">
        <f>IFERROR(__xludf.DUMMYFUNCTION("""COMPUTED_VALUE"""),1.002)</f>
        <v>1.002</v>
      </c>
      <c r="E2199" s="16">
        <f>IFERROR(__xludf.DUMMYFUNCTION("""COMPUTED_VALUE"""),62.0)</f>
        <v>62</v>
      </c>
      <c r="F2199" s="19" t="str">
        <f>IFERROR(__xludf.DUMMYFUNCTION("""COMPUTED_VALUE"""),"BLUE")</f>
        <v>BLUE</v>
      </c>
      <c r="G2199" s="20" t="str">
        <f>IFERROR(__xludf.DUMMYFUNCTION("""COMPUTED_VALUE"""),"Uncle Sams Cider (11/12/2021) (Blue)")</f>
        <v>Uncle Sams Cider (11/12/2021) (Blue)</v>
      </c>
      <c r="H2199" s="19"/>
    </row>
    <row r="2200">
      <c r="A2200" s="9"/>
      <c r="B2200" s="15"/>
      <c r="C2200" s="9">
        <f>IFERROR(__xludf.DUMMYFUNCTION("""COMPUTED_VALUE"""),44582.6333119097)</f>
        <v>44582.63331</v>
      </c>
      <c r="D2200" s="15">
        <f>IFERROR(__xludf.DUMMYFUNCTION("""COMPUTED_VALUE"""),1.002)</f>
        <v>1.002</v>
      </c>
      <c r="E2200" s="16">
        <f>IFERROR(__xludf.DUMMYFUNCTION("""COMPUTED_VALUE"""),62.0)</f>
        <v>62</v>
      </c>
      <c r="F2200" s="19" t="str">
        <f>IFERROR(__xludf.DUMMYFUNCTION("""COMPUTED_VALUE"""),"BLUE")</f>
        <v>BLUE</v>
      </c>
      <c r="G2200" s="20" t="str">
        <f>IFERROR(__xludf.DUMMYFUNCTION("""COMPUTED_VALUE"""),"Uncle Sams Cider (11/12/2021) (Blue)")</f>
        <v>Uncle Sams Cider (11/12/2021) (Blue)</v>
      </c>
      <c r="H2200" s="19"/>
    </row>
    <row r="2201">
      <c r="A2201" s="9"/>
      <c r="B2201" s="15"/>
      <c r="C2201" s="9">
        <f>IFERROR(__xludf.DUMMYFUNCTION("""COMPUTED_VALUE"""),44582.6228912268)</f>
        <v>44582.62289</v>
      </c>
      <c r="D2201" s="15">
        <f>IFERROR(__xludf.DUMMYFUNCTION("""COMPUTED_VALUE"""),1.002)</f>
        <v>1.002</v>
      </c>
      <c r="E2201" s="16">
        <f>IFERROR(__xludf.DUMMYFUNCTION("""COMPUTED_VALUE"""),62.0)</f>
        <v>62</v>
      </c>
      <c r="F2201" s="19" t="str">
        <f>IFERROR(__xludf.DUMMYFUNCTION("""COMPUTED_VALUE"""),"BLUE")</f>
        <v>BLUE</v>
      </c>
      <c r="G2201" s="20" t="str">
        <f>IFERROR(__xludf.DUMMYFUNCTION("""COMPUTED_VALUE"""),"Uncle Sams Cider (11/12/2021) (Blue)")</f>
        <v>Uncle Sams Cider (11/12/2021) (Blue)</v>
      </c>
      <c r="H2201" s="19"/>
    </row>
    <row r="2202">
      <c r="A2202" s="9"/>
      <c r="B2202" s="15"/>
      <c r="C2202" s="9">
        <f>IFERROR(__xludf.DUMMYFUNCTION("""COMPUTED_VALUE"""),44582.6124705324)</f>
        <v>44582.61247</v>
      </c>
      <c r="D2202" s="15">
        <f>IFERROR(__xludf.DUMMYFUNCTION("""COMPUTED_VALUE"""),1.002)</f>
        <v>1.002</v>
      </c>
      <c r="E2202" s="16">
        <f>IFERROR(__xludf.DUMMYFUNCTION("""COMPUTED_VALUE"""),62.0)</f>
        <v>62</v>
      </c>
      <c r="F2202" s="19" t="str">
        <f>IFERROR(__xludf.DUMMYFUNCTION("""COMPUTED_VALUE"""),"BLUE")</f>
        <v>BLUE</v>
      </c>
      <c r="G2202" s="20" t="str">
        <f>IFERROR(__xludf.DUMMYFUNCTION("""COMPUTED_VALUE"""),"Uncle Sams Cider (11/12/2021) (Blue)")</f>
        <v>Uncle Sams Cider (11/12/2021) (Blue)</v>
      </c>
      <c r="H2202" s="19"/>
    </row>
    <row r="2203">
      <c r="A2203" s="9"/>
      <c r="B2203" s="15"/>
      <c r="C2203" s="9">
        <f>IFERROR(__xludf.DUMMYFUNCTION("""COMPUTED_VALUE"""),44582.6020482523)</f>
        <v>44582.60205</v>
      </c>
      <c r="D2203" s="15">
        <f>IFERROR(__xludf.DUMMYFUNCTION("""COMPUTED_VALUE"""),1.002)</f>
        <v>1.002</v>
      </c>
      <c r="E2203" s="16">
        <f>IFERROR(__xludf.DUMMYFUNCTION("""COMPUTED_VALUE"""),62.0)</f>
        <v>62</v>
      </c>
      <c r="F2203" s="19" t="str">
        <f>IFERROR(__xludf.DUMMYFUNCTION("""COMPUTED_VALUE"""),"BLUE")</f>
        <v>BLUE</v>
      </c>
      <c r="G2203" s="20" t="str">
        <f>IFERROR(__xludf.DUMMYFUNCTION("""COMPUTED_VALUE"""),"Uncle Sams Cider (11/12/2021) (Blue)")</f>
        <v>Uncle Sams Cider (11/12/2021) (Blue)</v>
      </c>
      <c r="H2203" s="19"/>
    </row>
    <row r="2204">
      <c r="A2204" s="9"/>
      <c r="B2204" s="15"/>
      <c r="C2204" s="9">
        <f>IFERROR(__xludf.DUMMYFUNCTION("""COMPUTED_VALUE"""),44582.5916288078)</f>
        <v>44582.59163</v>
      </c>
      <c r="D2204" s="15">
        <f>IFERROR(__xludf.DUMMYFUNCTION("""COMPUTED_VALUE"""),1.002)</f>
        <v>1.002</v>
      </c>
      <c r="E2204" s="16">
        <f>IFERROR(__xludf.DUMMYFUNCTION("""COMPUTED_VALUE"""),62.0)</f>
        <v>62</v>
      </c>
      <c r="F2204" s="19" t="str">
        <f>IFERROR(__xludf.DUMMYFUNCTION("""COMPUTED_VALUE"""),"BLUE")</f>
        <v>BLUE</v>
      </c>
      <c r="G2204" s="20" t="str">
        <f>IFERROR(__xludf.DUMMYFUNCTION("""COMPUTED_VALUE"""),"Uncle Sams Cider (11/12/2021) (Blue)")</f>
        <v>Uncle Sams Cider (11/12/2021) (Blue)</v>
      </c>
      <c r="H2204" s="19"/>
    </row>
    <row r="2205">
      <c r="A2205" s="9"/>
      <c r="B2205" s="15"/>
      <c r="C2205" s="9">
        <f>IFERROR(__xludf.DUMMYFUNCTION("""COMPUTED_VALUE"""),44582.5812062037)</f>
        <v>44582.58121</v>
      </c>
      <c r="D2205" s="15">
        <f>IFERROR(__xludf.DUMMYFUNCTION("""COMPUTED_VALUE"""),1.002)</f>
        <v>1.002</v>
      </c>
      <c r="E2205" s="16">
        <f>IFERROR(__xludf.DUMMYFUNCTION("""COMPUTED_VALUE"""),62.0)</f>
        <v>62</v>
      </c>
      <c r="F2205" s="19" t="str">
        <f>IFERROR(__xludf.DUMMYFUNCTION("""COMPUTED_VALUE"""),"BLUE")</f>
        <v>BLUE</v>
      </c>
      <c r="G2205" s="20" t="str">
        <f>IFERROR(__xludf.DUMMYFUNCTION("""COMPUTED_VALUE"""),"Uncle Sams Cider (11/12/2021) (Blue)")</f>
        <v>Uncle Sams Cider (11/12/2021) (Blue)</v>
      </c>
      <c r="H2205" s="19"/>
    </row>
    <row r="2206">
      <c r="A2206" s="9"/>
      <c r="B2206" s="15"/>
      <c r="C2206" s="9">
        <f>IFERROR(__xludf.DUMMYFUNCTION("""COMPUTED_VALUE"""),44582.5707740393)</f>
        <v>44582.57077</v>
      </c>
      <c r="D2206" s="15">
        <f>IFERROR(__xludf.DUMMYFUNCTION("""COMPUTED_VALUE"""),1.002)</f>
        <v>1.002</v>
      </c>
      <c r="E2206" s="16">
        <f>IFERROR(__xludf.DUMMYFUNCTION("""COMPUTED_VALUE"""),62.0)</f>
        <v>62</v>
      </c>
      <c r="F2206" s="19" t="str">
        <f>IFERROR(__xludf.DUMMYFUNCTION("""COMPUTED_VALUE"""),"BLUE")</f>
        <v>BLUE</v>
      </c>
      <c r="G2206" s="20" t="str">
        <f>IFERROR(__xludf.DUMMYFUNCTION("""COMPUTED_VALUE"""),"Uncle Sams Cider (11/12/2021) (Blue)")</f>
        <v>Uncle Sams Cider (11/12/2021) (Blue)</v>
      </c>
      <c r="H2206" s="19"/>
    </row>
    <row r="2207">
      <c r="A2207" s="9"/>
      <c r="B2207" s="15"/>
      <c r="C2207" s="9">
        <f>IFERROR(__xludf.DUMMYFUNCTION("""COMPUTED_VALUE"""),44582.5603513773)</f>
        <v>44582.56035</v>
      </c>
      <c r="D2207" s="15">
        <f>IFERROR(__xludf.DUMMYFUNCTION("""COMPUTED_VALUE"""),1.002)</f>
        <v>1.002</v>
      </c>
      <c r="E2207" s="16">
        <f>IFERROR(__xludf.DUMMYFUNCTION("""COMPUTED_VALUE"""),62.0)</f>
        <v>62</v>
      </c>
      <c r="F2207" s="19" t="str">
        <f>IFERROR(__xludf.DUMMYFUNCTION("""COMPUTED_VALUE"""),"BLUE")</f>
        <v>BLUE</v>
      </c>
      <c r="G2207" s="20" t="str">
        <f>IFERROR(__xludf.DUMMYFUNCTION("""COMPUTED_VALUE"""),"Uncle Sams Cider (11/12/2021) (Blue)")</f>
        <v>Uncle Sams Cider (11/12/2021) (Blue)</v>
      </c>
      <c r="H2207" s="19"/>
    </row>
    <row r="2208">
      <c r="A2208" s="9"/>
      <c r="B2208" s="15"/>
      <c r="C2208" s="9">
        <f>IFERROR(__xludf.DUMMYFUNCTION("""COMPUTED_VALUE"""),44582.5499048726)</f>
        <v>44582.5499</v>
      </c>
      <c r="D2208" s="15">
        <f>IFERROR(__xludf.DUMMYFUNCTION("""COMPUTED_VALUE"""),1.002)</f>
        <v>1.002</v>
      </c>
      <c r="E2208" s="16">
        <f>IFERROR(__xludf.DUMMYFUNCTION("""COMPUTED_VALUE"""),62.0)</f>
        <v>62</v>
      </c>
      <c r="F2208" s="19" t="str">
        <f>IFERROR(__xludf.DUMMYFUNCTION("""COMPUTED_VALUE"""),"BLUE")</f>
        <v>BLUE</v>
      </c>
      <c r="G2208" s="20" t="str">
        <f>IFERROR(__xludf.DUMMYFUNCTION("""COMPUTED_VALUE"""),"Uncle Sams Cider (11/12/2021) (Blue)")</f>
        <v>Uncle Sams Cider (11/12/2021) (Blue)</v>
      </c>
      <c r="H2208" s="19"/>
    </row>
    <row r="2209">
      <c r="A2209" s="9"/>
      <c r="B2209" s="15"/>
      <c r="C2209" s="9">
        <f>IFERROR(__xludf.DUMMYFUNCTION("""COMPUTED_VALUE"""),44582.5394836805)</f>
        <v>44582.53948</v>
      </c>
      <c r="D2209" s="15">
        <f>IFERROR(__xludf.DUMMYFUNCTION("""COMPUTED_VALUE"""),1.002)</f>
        <v>1.002</v>
      </c>
      <c r="E2209" s="16">
        <f>IFERROR(__xludf.DUMMYFUNCTION("""COMPUTED_VALUE"""),62.0)</f>
        <v>62</v>
      </c>
      <c r="F2209" s="19" t="str">
        <f>IFERROR(__xludf.DUMMYFUNCTION("""COMPUTED_VALUE"""),"BLUE")</f>
        <v>BLUE</v>
      </c>
      <c r="G2209" s="20" t="str">
        <f>IFERROR(__xludf.DUMMYFUNCTION("""COMPUTED_VALUE"""),"Uncle Sams Cider (11/12/2021) (Blue)")</f>
        <v>Uncle Sams Cider (11/12/2021) (Blue)</v>
      </c>
      <c r="H2209" s="19"/>
    </row>
    <row r="2210">
      <c r="A2210" s="9"/>
      <c r="B2210" s="15"/>
      <c r="C2210" s="9">
        <f>IFERROR(__xludf.DUMMYFUNCTION("""COMPUTED_VALUE"""),44582.5290503935)</f>
        <v>44582.52905</v>
      </c>
      <c r="D2210" s="15">
        <f>IFERROR(__xludf.DUMMYFUNCTION("""COMPUTED_VALUE"""),1.002)</f>
        <v>1.002</v>
      </c>
      <c r="E2210" s="16">
        <f>IFERROR(__xludf.DUMMYFUNCTION("""COMPUTED_VALUE"""),62.0)</f>
        <v>62</v>
      </c>
      <c r="F2210" s="19" t="str">
        <f>IFERROR(__xludf.DUMMYFUNCTION("""COMPUTED_VALUE"""),"BLUE")</f>
        <v>BLUE</v>
      </c>
      <c r="G2210" s="20" t="str">
        <f>IFERROR(__xludf.DUMMYFUNCTION("""COMPUTED_VALUE"""),"Uncle Sams Cider (11/12/2021) (Blue)")</f>
        <v>Uncle Sams Cider (11/12/2021) (Blue)</v>
      </c>
      <c r="H2210" s="19"/>
    </row>
    <row r="2211">
      <c r="A2211" s="9"/>
      <c r="B2211" s="15"/>
      <c r="C2211" s="9">
        <f>IFERROR(__xludf.DUMMYFUNCTION("""COMPUTED_VALUE"""),44582.5186302314)</f>
        <v>44582.51863</v>
      </c>
      <c r="D2211" s="15">
        <f>IFERROR(__xludf.DUMMYFUNCTION("""COMPUTED_VALUE"""),1.002)</f>
        <v>1.002</v>
      </c>
      <c r="E2211" s="16">
        <f>IFERROR(__xludf.DUMMYFUNCTION("""COMPUTED_VALUE"""),62.0)</f>
        <v>62</v>
      </c>
      <c r="F2211" s="19" t="str">
        <f>IFERROR(__xludf.DUMMYFUNCTION("""COMPUTED_VALUE"""),"BLUE")</f>
        <v>BLUE</v>
      </c>
      <c r="G2211" s="20" t="str">
        <f>IFERROR(__xludf.DUMMYFUNCTION("""COMPUTED_VALUE"""),"Uncle Sams Cider (11/12/2021) (Blue)")</f>
        <v>Uncle Sams Cider (11/12/2021) (Blue)</v>
      </c>
      <c r="H2211" s="19"/>
    </row>
    <row r="2212">
      <c r="A2212" s="9"/>
      <c r="B2212" s="15"/>
      <c r="C2212" s="9">
        <f>IFERROR(__xludf.DUMMYFUNCTION("""COMPUTED_VALUE"""),44582.5082096296)</f>
        <v>44582.50821</v>
      </c>
      <c r="D2212" s="15">
        <f>IFERROR(__xludf.DUMMYFUNCTION("""COMPUTED_VALUE"""),1.002)</f>
        <v>1.002</v>
      </c>
      <c r="E2212" s="16">
        <f>IFERROR(__xludf.DUMMYFUNCTION("""COMPUTED_VALUE"""),62.0)</f>
        <v>62</v>
      </c>
      <c r="F2212" s="19" t="str">
        <f>IFERROR(__xludf.DUMMYFUNCTION("""COMPUTED_VALUE"""),"BLUE")</f>
        <v>BLUE</v>
      </c>
      <c r="G2212" s="20" t="str">
        <f>IFERROR(__xludf.DUMMYFUNCTION("""COMPUTED_VALUE"""),"Uncle Sams Cider (11/12/2021) (Blue)")</f>
        <v>Uncle Sams Cider (11/12/2021) (Blue)</v>
      </c>
      <c r="H2212" s="19"/>
    </row>
    <row r="2213">
      <c r="A2213" s="9"/>
      <c r="B2213" s="15"/>
      <c r="C2213" s="9">
        <f>IFERROR(__xludf.DUMMYFUNCTION("""COMPUTED_VALUE"""),44582.4977884143)</f>
        <v>44582.49779</v>
      </c>
      <c r="D2213" s="15">
        <f>IFERROR(__xludf.DUMMYFUNCTION("""COMPUTED_VALUE"""),1.002)</f>
        <v>1.002</v>
      </c>
      <c r="E2213" s="16">
        <f>IFERROR(__xludf.DUMMYFUNCTION("""COMPUTED_VALUE"""),62.0)</f>
        <v>62</v>
      </c>
      <c r="F2213" s="19" t="str">
        <f>IFERROR(__xludf.DUMMYFUNCTION("""COMPUTED_VALUE"""),"BLUE")</f>
        <v>BLUE</v>
      </c>
      <c r="G2213" s="20" t="str">
        <f>IFERROR(__xludf.DUMMYFUNCTION("""COMPUTED_VALUE"""),"Uncle Sams Cider (11/12/2021) (Blue)")</f>
        <v>Uncle Sams Cider (11/12/2021) (Blue)</v>
      </c>
      <c r="H2213" s="19"/>
    </row>
    <row r="2214">
      <c r="A2214" s="9"/>
      <c r="B2214" s="15"/>
      <c r="C2214" s="9">
        <f>IFERROR(__xludf.DUMMYFUNCTION("""COMPUTED_VALUE"""),44582.4873689699)</f>
        <v>44582.48737</v>
      </c>
      <c r="D2214" s="15">
        <f>IFERROR(__xludf.DUMMYFUNCTION("""COMPUTED_VALUE"""),1.002)</f>
        <v>1.002</v>
      </c>
      <c r="E2214" s="16">
        <f>IFERROR(__xludf.DUMMYFUNCTION("""COMPUTED_VALUE"""),62.0)</f>
        <v>62</v>
      </c>
      <c r="F2214" s="19" t="str">
        <f>IFERROR(__xludf.DUMMYFUNCTION("""COMPUTED_VALUE"""),"BLUE")</f>
        <v>BLUE</v>
      </c>
      <c r="G2214" s="20" t="str">
        <f>IFERROR(__xludf.DUMMYFUNCTION("""COMPUTED_VALUE"""),"Uncle Sams Cider (11/12/2021) (Blue)")</f>
        <v>Uncle Sams Cider (11/12/2021) (Blue)</v>
      </c>
      <c r="H2214" s="19"/>
    </row>
    <row r="2215">
      <c r="A2215" s="9"/>
      <c r="B2215" s="15"/>
      <c r="C2215" s="9">
        <f>IFERROR(__xludf.DUMMYFUNCTION("""COMPUTED_VALUE"""),44582.4769469097)</f>
        <v>44582.47695</v>
      </c>
      <c r="D2215" s="15">
        <f>IFERROR(__xludf.DUMMYFUNCTION("""COMPUTED_VALUE"""),1.002)</f>
        <v>1.002</v>
      </c>
      <c r="E2215" s="16">
        <f>IFERROR(__xludf.DUMMYFUNCTION("""COMPUTED_VALUE"""),62.0)</f>
        <v>62</v>
      </c>
      <c r="F2215" s="19" t="str">
        <f>IFERROR(__xludf.DUMMYFUNCTION("""COMPUTED_VALUE"""),"BLUE")</f>
        <v>BLUE</v>
      </c>
      <c r="G2215" s="20" t="str">
        <f>IFERROR(__xludf.DUMMYFUNCTION("""COMPUTED_VALUE"""),"Uncle Sams Cider (11/12/2021) (Blue)")</f>
        <v>Uncle Sams Cider (11/12/2021) (Blue)</v>
      </c>
      <c r="H2215" s="19"/>
    </row>
    <row r="2216">
      <c r="A2216" s="9"/>
      <c r="B2216" s="15"/>
      <c r="C2216" s="9">
        <f>IFERROR(__xludf.DUMMYFUNCTION("""COMPUTED_VALUE"""),44582.4665268865)</f>
        <v>44582.46653</v>
      </c>
      <c r="D2216" s="15">
        <f>IFERROR(__xludf.DUMMYFUNCTION("""COMPUTED_VALUE"""),1.002)</f>
        <v>1.002</v>
      </c>
      <c r="E2216" s="16">
        <f>IFERROR(__xludf.DUMMYFUNCTION("""COMPUTED_VALUE"""),62.0)</f>
        <v>62</v>
      </c>
      <c r="F2216" s="19" t="str">
        <f>IFERROR(__xludf.DUMMYFUNCTION("""COMPUTED_VALUE"""),"BLUE")</f>
        <v>BLUE</v>
      </c>
      <c r="G2216" s="20" t="str">
        <f>IFERROR(__xludf.DUMMYFUNCTION("""COMPUTED_VALUE"""),"Uncle Sams Cider (11/12/2021) (Blue)")</f>
        <v>Uncle Sams Cider (11/12/2021) (Blue)</v>
      </c>
      <c r="H2216" s="19"/>
    </row>
    <row r="2217">
      <c r="A2217" s="9"/>
      <c r="B2217" s="15"/>
      <c r="C2217" s="9">
        <f>IFERROR(__xludf.DUMMYFUNCTION("""COMPUTED_VALUE"""),44582.4561072916)</f>
        <v>44582.45611</v>
      </c>
      <c r="D2217" s="15">
        <f>IFERROR(__xludf.DUMMYFUNCTION("""COMPUTED_VALUE"""),1.002)</f>
        <v>1.002</v>
      </c>
      <c r="E2217" s="16">
        <f>IFERROR(__xludf.DUMMYFUNCTION("""COMPUTED_VALUE"""),62.0)</f>
        <v>62</v>
      </c>
      <c r="F2217" s="19" t="str">
        <f>IFERROR(__xludf.DUMMYFUNCTION("""COMPUTED_VALUE"""),"BLUE")</f>
        <v>BLUE</v>
      </c>
      <c r="G2217" s="20" t="str">
        <f>IFERROR(__xludf.DUMMYFUNCTION("""COMPUTED_VALUE"""),"Uncle Sams Cider (11/12/2021) (Blue)")</f>
        <v>Uncle Sams Cider (11/12/2021) (Blue)</v>
      </c>
      <c r="H2217" s="19"/>
    </row>
    <row r="2218">
      <c r="A2218" s="9"/>
      <c r="B2218" s="15"/>
      <c r="C2218" s="9">
        <f>IFERROR(__xludf.DUMMYFUNCTION("""COMPUTED_VALUE"""),44582.4456851851)</f>
        <v>44582.44569</v>
      </c>
      <c r="D2218" s="15">
        <f>IFERROR(__xludf.DUMMYFUNCTION("""COMPUTED_VALUE"""),1.002)</f>
        <v>1.002</v>
      </c>
      <c r="E2218" s="16">
        <f>IFERROR(__xludf.DUMMYFUNCTION("""COMPUTED_VALUE"""),62.0)</f>
        <v>62</v>
      </c>
      <c r="F2218" s="19" t="str">
        <f>IFERROR(__xludf.DUMMYFUNCTION("""COMPUTED_VALUE"""),"BLUE")</f>
        <v>BLUE</v>
      </c>
      <c r="G2218" s="20" t="str">
        <f>IFERROR(__xludf.DUMMYFUNCTION("""COMPUTED_VALUE"""),"Uncle Sams Cider (11/12/2021) (Blue)")</f>
        <v>Uncle Sams Cider (11/12/2021) (Blue)</v>
      </c>
      <c r="H2218" s="19"/>
    </row>
    <row r="2219">
      <c r="A2219" s="9"/>
      <c r="B2219" s="15"/>
      <c r="C2219" s="9">
        <f>IFERROR(__xludf.DUMMYFUNCTION("""COMPUTED_VALUE"""),44582.435265)</f>
        <v>44582.43527</v>
      </c>
      <c r="D2219" s="15">
        <f>IFERROR(__xludf.DUMMYFUNCTION("""COMPUTED_VALUE"""),1.002)</f>
        <v>1.002</v>
      </c>
      <c r="E2219" s="16">
        <f>IFERROR(__xludf.DUMMYFUNCTION("""COMPUTED_VALUE"""),62.0)</f>
        <v>62</v>
      </c>
      <c r="F2219" s="19" t="str">
        <f>IFERROR(__xludf.DUMMYFUNCTION("""COMPUTED_VALUE"""),"BLUE")</f>
        <v>BLUE</v>
      </c>
      <c r="G2219" s="20" t="str">
        <f>IFERROR(__xludf.DUMMYFUNCTION("""COMPUTED_VALUE"""),"Uncle Sams Cider (11/12/2021) (Blue)")</f>
        <v>Uncle Sams Cider (11/12/2021) (Blue)</v>
      </c>
      <c r="H2219" s="19"/>
    </row>
    <row r="2220">
      <c r="A2220" s="9"/>
      <c r="B2220" s="15"/>
      <c r="C2220" s="9">
        <f>IFERROR(__xludf.DUMMYFUNCTION("""COMPUTED_VALUE"""),44582.4248430324)</f>
        <v>44582.42484</v>
      </c>
      <c r="D2220" s="15">
        <f>IFERROR(__xludf.DUMMYFUNCTION("""COMPUTED_VALUE"""),1.002)</f>
        <v>1.002</v>
      </c>
      <c r="E2220" s="16">
        <f>IFERROR(__xludf.DUMMYFUNCTION("""COMPUTED_VALUE"""),62.0)</f>
        <v>62</v>
      </c>
      <c r="F2220" s="19" t="str">
        <f>IFERROR(__xludf.DUMMYFUNCTION("""COMPUTED_VALUE"""),"BLUE")</f>
        <v>BLUE</v>
      </c>
      <c r="G2220" s="20" t="str">
        <f>IFERROR(__xludf.DUMMYFUNCTION("""COMPUTED_VALUE"""),"Uncle Sams Cider (11/12/2021) (Blue)")</f>
        <v>Uncle Sams Cider (11/12/2021) (Blue)</v>
      </c>
      <c r="H2220" s="19"/>
    </row>
    <row r="2221">
      <c r="A2221" s="9"/>
      <c r="B2221" s="15"/>
      <c r="C2221" s="9">
        <f>IFERROR(__xludf.DUMMYFUNCTION("""COMPUTED_VALUE"""),44582.4144228703)</f>
        <v>44582.41442</v>
      </c>
      <c r="D2221" s="15">
        <f>IFERROR(__xludf.DUMMYFUNCTION("""COMPUTED_VALUE"""),1.002)</f>
        <v>1.002</v>
      </c>
      <c r="E2221" s="16">
        <f>IFERROR(__xludf.DUMMYFUNCTION("""COMPUTED_VALUE"""),62.0)</f>
        <v>62</v>
      </c>
      <c r="F2221" s="19" t="str">
        <f>IFERROR(__xludf.DUMMYFUNCTION("""COMPUTED_VALUE"""),"BLUE")</f>
        <v>BLUE</v>
      </c>
      <c r="G2221" s="20" t="str">
        <f>IFERROR(__xludf.DUMMYFUNCTION("""COMPUTED_VALUE"""),"Uncle Sams Cider (11/12/2021) (Blue)")</f>
        <v>Uncle Sams Cider (11/12/2021) (Blue)</v>
      </c>
      <c r="H2221" s="19"/>
    </row>
    <row r="2222">
      <c r="A2222" s="9"/>
      <c r="B2222" s="15"/>
      <c r="C2222" s="9">
        <f>IFERROR(__xludf.DUMMYFUNCTION("""COMPUTED_VALUE"""),44582.404003125)</f>
        <v>44582.404</v>
      </c>
      <c r="D2222" s="15">
        <f>IFERROR(__xludf.DUMMYFUNCTION("""COMPUTED_VALUE"""),1.002)</f>
        <v>1.002</v>
      </c>
      <c r="E2222" s="16">
        <f>IFERROR(__xludf.DUMMYFUNCTION("""COMPUTED_VALUE"""),62.0)</f>
        <v>62</v>
      </c>
      <c r="F2222" s="19" t="str">
        <f>IFERROR(__xludf.DUMMYFUNCTION("""COMPUTED_VALUE"""),"BLUE")</f>
        <v>BLUE</v>
      </c>
      <c r="G2222" s="20" t="str">
        <f>IFERROR(__xludf.DUMMYFUNCTION("""COMPUTED_VALUE"""),"Uncle Sams Cider (11/12/2021) (Blue)")</f>
        <v>Uncle Sams Cider (11/12/2021) (Blue)</v>
      </c>
      <c r="H2222" s="19"/>
    </row>
    <row r="2223">
      <c r="A2223" s="9"/>
      <c r="B2223" s="15"/>
      <c r="C2223" s="9">
        <f>IFERROR(__xludf.DUMMYFUNCTION("""COMPUTED_VALUE"""),44582.3935715856)</f>
        <v>44582.39357</v>
      </c>
      <c r="D2223" s="15">
        <f>IFERROR(__xludf.DUMMYFUNCTION("""COMPUTED_VALUE"""),1.002)</f>
        <v>1.002</v>
      </c>
      <c r="E2223" s="16">
        <f>IFERROR(__xludf.DUMMYFUNCTION("""COMPUTED_VALUE"""),62.0)</f>
        <v>62</v>
      </c>
      <c r="F2223" s="19" t="str">
        <f>IFERROR(__xludf.DUMMYFUNCTION("""COMPUTED_VALUE"""),"BLUE")</f>
        <v>BLUE</v>
      </c>
      <c r="G2223" s="20" t="str">
        <f>IFERROR(__xludf.DUMMYFUNCTION("""COMPUTED_VALUE"""),"Uncle Sams Cider (11/12/2021) (Blue)")</f>
        <v>Uncle Sams Cider (11/12/2021) (Blue)</v>
      </c>
      <c r="H2223" s="19"/>
    </row>
    <row r="2224">
      <c r="A2224" s="9"/>
      <c r="B2224" s="15"/>
      <c r="C2224" s="9">
        <f>IFERROR(__xludf.DUMMYFUNCTION("""COMPUTED_VALUE"""),44582.3831383217)</f>
        <v>44582.38314</v>
      </c>
      <c r="D2224" s="15">
        <f>IFERROR(__xludf.DUMMYFUNCTION("""COMPUTED_VALUE"""),1.002)</f>
        <v>1.002</v>
      </c>
      <c r="E2224" s="16">
        <f>IFERROR(__xludf.DUMMYFUNCTION("""COMPUTED_VALUE"""),62.0)</f>
        <v>62</v>
      </c>
      <c r="F2224" s="19" t="str">
        <f>IFERROR(__xludf.DUMMYFUNCTION("""COMPUTED_VALUE"""),"BLUE")</f>
        <v>BLUE</v>
      </c>
      <c r="G2224" s="20" t="str">
        <f>IFERROR(__xludf.DUMMYFUNCTION("""COMPUTED_VALUE"""),"Uncle Sams Cider (11/12/2021) (Blue)")</f>
        <v>Uncle Sams Cider (11/12/2021) (Blue)</v>
      </c>
      <c r="H2224" s="19"/>
    </row>
    <row r="2225">
      <c r="A2225" s="9"/>
      <c r="B2225" s="15"/>
      <c r="C2225" s="9">
        <f>IFERROR(__xludf.DUMMYFUNCTION("""COMPUTED_VALUE"""),44582.3727060995)</f>
        <v>44582.37271</v>
      </c>
      <c r="D2225" s="15">
        <f>IFERROR(__xludf.DUMMYFUNCTION("""COMPUTED_VALUE"""),1.002)</f>
        <v>1.002</v>
      </c>
      <c r="E2225" s="16">
        <f>IFERROR(__xludf.DUMMYFUNCTION("""COMPUTED_VALUE"""),62.0)</f>
        <v>62</v>
      </c>
      <c r="F2225" s="19" t="str">
        <f>IFERROR(__xludf.DUMMYFUNCTION("""COMPUTED_VALUE"""),"BLUE")</f>
        <v>BLUE</v>
      </c>
      <c r="G2225" s="20" t="str">
        <f>IFERROR(__xludf.DUMMYFUNCTION("""COMPUTED_VALUE"""),"Uncle Sams Cider (11/12/2021) (Blue)")</f>
        <v>Uncle Sams Cider (11/12/2021) (Blue)</v>
      </c>
      <c r="H2225" s="19"/>
    </row>
    <row r="2226">
      <c r="A2226" s="9"/>
      <c r="B2226" s="15"/>
      <c r="C2226" s="9">
        <f>IFERROR(__xludf.DUMMYFUNCTION("""COMPUTED_VALUE"""),44582.3622849074)</f>
        <v>44582.36228</v>
      </c>
      <c r="D2226" s="15">
        <f>IFERROR(__xludf.DUMMYFUNCTION("""COMPUTED_VALUE"""),1.002)</f>
        <v>1.002</v>
      </c>
      <c r="E2226" s="16">
        <f>IFERROR(__xludf.DUMMYFUNCTION("""COMPUTED_VALUE"""),62.0)</f>
        <v>62</v>
      </c>
      <c r="F2226" s="19" t="str">
        <f>IFERROR(__xludf.DUMMYFUNCTION("""COMPUTED_VALUE"""),"BLUE")</f>
        <v>BLUE</v>
      </c>
      <c r="G2226" s="20" t="str">
        <f>IFERROR(__xludf.DUMMYFUNCTION("""COMPUTED_VALUE"""),"Uncle Sams Cider (11/12/2021) (Blue)")</f>
        <v>Uncle Sams Cider (11/12/2021) (Blue)</v>
      </c>
      <c r="H2226" s="19"/>
    </row>
    <row r="2227">
      <c r="A2227" s="9"/>
      <c r="B2227" s="15"/>
      <c r="C2227" s="9">
        <f>IFERROR(__xludf.DUMMYFUNCTION("""COMPUTED_VALUE"""),44582.3518167824)</f>
        <v>44582.35182</v>
      </c>
      <c r="D2227" s="15">
        <f>IFERROR(__xludf.DUMMYFUNCTION("""COMPUTED_VALUE"""),1.002)</f>
        <v>1.002</v>
      </c>
      <c r="E2227" s="16">
        <f>IFERROR(__xludf.DUMMYFUNCTION("""COMPUTED_VALUE"""),62.0)</f>
        <v>62</v>
      </c>
      <c r="F2227" s="19" t="str">
        <f>IFERROR(__xludf.DUMMYFUNCTION("""COMPUTED_VALUE"""),"BLUE")</f>
        <v>BLUE</v>
      </c>
      <c r="G2227" s="20" t="str">
        <f>IFERROR(__xludf.DUMMYFUNCTION("""COMPUTED_VALUE"""),"Uncle Sams Cider (11/12/2021) (Blue)")</f>
        <v>Uncle Sams Cider (11/12/2021) (Blue)</v>
      </c>
      <c r="H2227" s="19"/>
    </row>
    <row r="2228">
      <c r="A2228" s="9"/>
      <c r="B2228" s="15"/>
      <c r="C2228" s="9">
        <f>IFERROR(__xludf.DUMMYFUNCTION("""COMPUTED_VALUE"""),44582.3413841782)</f>
        <v>44582.34138</v>
      </c>
      <c r="D2228" s="15">
        <f>IFERROR(__xludf.DUMMYFUNCTION("""COMPUTED_VALUE"""),1.002)</f>
        <v>1.002</v>
      </c>
      <c r="E2228" s="16">
        <f>IFERROR(__xludf.DUMMYFUNCTION("""COMPUTED_VALUE"""),62.0)</f>
        <v>62</v>
      </c>
      <c r="F2228" s="19" t="str">
        <f>IFERROR(__xludf.DUMMYFUNCTION("""COMPUTED_VALUE"""),"BLUE")</f>
        <v>BLUE</v>
      </c>
      <c r="G2228" s="20" t="str">
        <f>IFERROR(__xludf.DUMMYFUNCTION("""COMPUTED_VALUE"""),"Uncle Sams Cider (11/12/2021) (Blue)")</f>
        <v>Uncle Sams Cider (11/12/2021) (Blue)</v>
      </c>
      <c r="H2228" s="19"/>
    </row>
    <row r="2229">
      <c r="A2229" s="9"/>
      <c r="B2229" s="15"/>
      <c r="C2229" s="9">
        <f>IFERROR(__xludf.DUMMYFUNCTION("""COMPUTED_VALUE"""),44582.3309624189)</f>
        <v>44582.33096</v>
      </c>
      <c r="D2229" s="15">
        <f>IFERROR(__xludf.DUMMYFUNCTION("""COMPUTED_VALUE"""),1.002)</f>
        <v>1.002</v>
      </c>
      <c r="E2229" s="16">
        <f>IFERROR(__xludf.DUMMYFUNCTION("""COMPUTED_VALUE"""),62.0)</f>
        <v>62</v>
      </c>
      <c r="F2229" s="19" t="str">
        <f>IFERROR(__xludf.DUMMYFUNCTION("""COMPUTED_VALUE"""),"BLUE")</f>
        <v>BLUE</v>
      </c>
      <c r="G2229" s="20" t="str">
        <f>IFERROR(__xludf.DUMMYFUNCTION("""COMPUTED_VALUE"""),"Uncle Sams Cider (11/12/2021) (Blue)")</f>
        <v>Uncle Sams Cider (11/12/2021) (Blue)</v>
      </c>
      <c r="H2229" s="19"/>
    </row>
    <row r="2230">
      <c r="A2230" s="9"/>
      <c r="B2230" s="15"/>
      <c r="C2230" s="9">
        <f>IFERROR(__xludf.DUMMYFUNCTION("""COMPUTED_VALUE"""),44582.3205294328)</f>
        <v>44582.32053</v>
      </c>
      <c r="D2230" s="15">
        <f>IFERROR(__xludf.DUMMYFUNCTION("""COMPUTED_VALUE"""),1.002)</f>
        <v>1.002</v>
      </c>
      <c r="E2230" s="16">
        <f>IFERROR(__xludf.DUMMYFUNCTION("""COMPUTED_VALUE"""),62.0)</f>
        <v>62</v>
      </c>
      <c r="F2230" s="19" t="str">
        <f>IFERROR(__xludf.DUMMYFUNCTION("""COMPUTED_VALUE"""),"BLUE")</f>
        <v>BLUE</v>
      </c>
      <c r="G2230" s="20" t="str">
        <f>IFERROR(__xludf.DUMMYFUNCTION("""COMPUTED_VALUE"""),"Uncle Sams Cider (11/12/2021) (Blue)")</f>
        <v>Uncle Sams Cider (11/12/2021) (Blue)</v>
      </c>
      <c r="H2230" s="19"/>
    </row>
    <row r="2231">
      <c r="A2231" s="9"/>
      <c r="B2231" s="15"/>
      <c r="C2231" s="9">
        <f>IFERROR(__xludf.DUMMYFUNCTION("""COMPUTED_VALUE"""),44582.3101075463)</f>
        <v>44582.31011</v>
      </c>
      <c r="D2231" s="15">
        <f>IFERROR(__xludf.DUMMYFUNCTION("""COMPUTED_VALUE"""),1.002)</f>
        <v>1.002</v>
      </c>
      <c r="E2231" s="16">
        <f>IFERROR(__xludf.DUMMYFUNCTION("""COMPUTED_VALUE"""),62.0)</f>
        <v>62</v>
      </c>
      <c r="F2231" s="19" t="str">
        <f>IFERROR(__xludf.DUMMYFUNCTION("""COMPUTED_VALUE"""),"BLUE")</f>
        <v>BLUE</v>
      </c>
      <c r="G2231" s="20" t="str">
        <f>IFERROR(__xludf.DUMMYFUNCTION("""COMPUTED_VALUE"""),"Uncle Sams Cider (11/12/2021) (Blue)")</f>
        <v>Uncle Sams Cider (11/12/2021) (Blue)</v>
      </c>
      <c r="H2231" s="19"/>
    </row>
    <row r="2232">
      <c r="A2232" s="9"/>
      <c r="B2232" s="15"/>
      <c r="C2232" s="9">
        <f>IFERROR(__xludf.DUMMYFUNCTION("""COMPUTED_VALUE"""),44582.2996879976)</f>
        <v>44582.29969</v>
      </c>
      <c r="D2232" s="15">
        <f>IFERROR(__xludf.DUMMYFUNCTION("""COMPUTED_VALUE"""),1.002)</f>
        <v>1.002</v>
      </c>
      <c r="E2232" s="16">
        <f>IFERROR(__xludf.DUMMYFUNCTION("""COMPUTED_VALUE"""),62.0)</f>
        <v>62</v>
      </c>
      <c r="F2232" s="19" t="str">
        <f>IFERROR(__xludf.DUMMYFUNCTION("""COMPUTED_VALUE"""),"BLUE")</f>
        <v>BLUE</v>
      </c>
      <c r="G2232" s="20" t="str">
        <f>IFERROR(__xludf.DUMMYFUNCTION("""COMPUTED_VALUE"""),"Uncle Sams Cider (11/12/2021) (Blue)")</f>
        <v>Uncle Sams Cider (11/12/2021) (Blue)</v>
      </c>
      <c r="H2232" s="19"/>
    </row>
    <row r="2233">
      <c r="A2233" s="9"/>
      <c r="B2233" s="15"/>
      <c r="C2233" s="9">
        <f>IFERROR(__xludf.DUMMYFUNCTION("""COMPUTED_VALUE"""),44582.2892662615)</f>
        <v>44582.28927</v>
      </c>
      <c r="D2233" s="15">
        <f>IFERROR(__xludf.DUMMYFUNCTION("""COMPUTED_VALUE"""),1.002)</f>
        <v>1.002</v>
      </c>
      <c r="E2233" s="16">
        <f>IFERROR(__xludf.DUMMYFUNCTION("""COMPUTED_VALUE"""),62.0)</f>
        <v>62</v>
      </c>
      <c r="F2233" s="19" t="str">
        <f>IFERROR(__xludf.DUMMYFUNCTION("""COMPUTED_VALUE"""),"BLUE")</f>
        <v>BLUE</v>
      </c>
      <c r="G2233" s="20" t="str">
        <f>IFERROR(__xludf.DUMMYFUNCTION("""COMPUTED_VALUE"""),"Uncle Sams Cider (11/12/2021) (Blue)")</f>
        <v>Uncle Sams Cider (11/12/2021) (Blue)</v>
      </c>
      <c r="H2233" s="19"/>
    </row>
    <row r="2234">
      <c r="A2234" s="9"/>
      <c r="B2234" s="15"/>
      <c r="C2234" s="9">
        <f>IFERROR(__xludf.DUMMYFUNCTION("""COMPUTED_VALUE"""),44582.2788453472)</f>
        <v>44582.27885</v>
      </c>
      <c r="D2234" s="15">
        <f>IFERROR(__xludf.DUMMYFUNCTION("""COMPUTED_VALUE"""),1.002)</f>
        <v>1.002</v>
      </c>
      <c r="E2234" s="16">
        <f>IFERROR(__xludf.DUMMYFUNCTION("""COMPUTED_VALUE"""),62.0)</f>
        <v>62</v>
      </c>
      <c r="F2234" s="19" t="str">
        <f>IFERROR(__xludf.DUMMYFUNCTION("""COMPUTED_VALUE"""),"BLUE")</f>
        <v>BLUE</v>
      </c>
      <c r="G2234" s="20" t="str">
        <f>IFERROR(__xludf.DUMMYFUNCTION("""COMPUTED_VALUE"""),"Uncle Sams Cider (11/12/2021) (Blue)")</f>
        <v>Uncle Sams Cider (11/12/2021) (Blue)</v>
      </c>
      <c r="H2234" s="19"/>
    </row>
    <row r="2235">
      <c r="A2235" s="9"/>
      <c r="B2235" s="15"/>
      <c r="C2235" s="9">
        <f>IFERROR(__xludf.DUMMYFUNCTION("""COMPUTED_VALUE"""),44582.2684243518)</f>
        <v>44582.26842</v>
      </c>
      <c r="D2235" s="15">
        <f>IFERROR(__xludf.DUMMYFUNCTION("""COMPUTED_VALUE"""),1.002)</f>
        <v>1.002</v>
      </c>
      <c r="E2235" s="16">
        <f>IFERROR(__xludf.DUMMYFUNCTION("""COMPUTED_VALUE"""),62.0)</f>
        <v>62</v>
      </c>
      <c r="F2235" s="19" t="str">
        <f>IFERROR(__xludf.DUMMYFUNCTION("""COMPUTED_VALUE"""),"BLUE")</f>
        <v>BLUE</v>
      </c>
      <c r="G2235" s="20" t="str">
        <f>IFERROR(__xludf.DUMMYFUNCTION("""COMPUTED_VALUE"""),"Uncle Sams Cider (11/12/2021) (Blue)")</f>
        <v>Uncle Sams Cider (11/12/2021) (Blue)</v>
      </c>
      <c r="H2235" s="19"/>
    </row>
    <row r="2236">
      <c r="A2236" s="9"/>
      <c r="B2236" s="15"/>
      <c r="C2236" s="9">
        <f>IFERROR(__xludf.DUMMYFUNCTION("""COMPUTED_VALUE"""),44582.2580033564)</f>
        <v>44582.258</v>
      </c>
      <c r="D2236" s="15">
        <f>IFERROR(__xludf.DUMMYFUNCTION("""COMPUTED_VALUE"""),1.002)</f>
        <v>1.002</v>
      </c>
      <c r="E2236" s="16">
        <f>IFERROR(__xludf.DUMMYFUNCTION("""COMPUTED_VALUE"""),62.0)</f>
        <v>62</v>
      </c>
      <c r="F2236" s="19" t="str">
        <f>IFERROR(__xludf.DUMMYFUNCTION("""COMPUTED_VALUE"""),"BLUE")</f>
        <v>BLUE</v>
      </c>
      <c r="G2236" s="20" t="str">
        <f>IFERROR(__xludf.DUMMYFUNCTION("""COMPUTED_VALUE"""),"Uncle Sams Cider (11/12/2021) (Blue)")</f>
        <v>Uncle Sams Cider (11/12/2021) (Blue)</v>
      </c>
      <c r="H2236" s="19"/>
    </row>
    <row r="2237">
      <c r="A2237" s="9"/>
      <c r="B2237" s="15"/>
      <c r="C2237" s="9">
        <f>IFERROR(__xludf.DUMMYFUNCTION("""COMPUTED_VALUE"""),44582.24758125)</f>
        <v>44582.24758</v>
      </c>
      <c r="D2237" s="15">
        <f>IFERROR(__xludf.DUMMYFUNCTION("""COMPUTED_VALUE"""),1.002)</f>
        <v>1.002</v>
      </c>
      <c r="E2237" s="16">
        <f>IFERROR(__xludf.DUMMYFUNCTION("""COMPUTED_VALUE"""),62.0)</f>
        <v>62</v>
      </c>
      <c r="F2237" s="19" t="str">
        <f>IFERROR(__xludf.DUMMYFUNCTION("""COMPUTED_VALUE"""),"BLUE")</f>
        <v>BLUE</v>
      </c>
      <c r="G2237" s="20" t="str">
        <f>IFERROR(__xludf.DUMMYFUNCTION("""COMPUTED_VALUE"""),"Uncle Sams Cider (11/12/2021) (Blue)")</f>
        <v>Uncle Sams Cider (11/12/2021) (Blue)</v>
      </c>
      <c r="H2237" s="19"/>
    </row>
    <row r="2238">
      <c r="A2238" s="9"/>
      <c r="B2238" s="15"/>
      <c r="C2238" s="9">
        <f>IFERROR(__xludf.DUMMYFUNCTION("""COMPUTED_VALUE"""),44582.2371592129)</f>
        <v>44582.23716</v>
      </c>
      <c r="D2238" s="15">
        <f>IFERROR(__xludf.DUMMYFUNCTION("""COMPUTED_VALUE"""),1.002)</f>
        <v>1.002</v>
      </c>
      <c r="E2238" s="16">
        <f>IFERROR(__xludf.DUMMYFUNCTION("""COMPUTED_VALUE"""),62.0)</f>
        <v>62</v>
      </c>
      <c r="F2238" s="19" t="str">
        <f>IFERROR(__xludf.DUMMYFUNCTION("""COMPUTED_VALUE"""),"BLUE")</f>
        <v>BLUE</v>
      </c>
      <c r="G2238" s="20" t="str">
        <f>IFERROR(__xludf.DUMMYFUNCTION("""COMPUTED_VALUE"""),"Uncle Sams Cider (11/12/2021) (Blue)")</f>
        <v>Uncle Sams Cider (11/12/2021) (Blue)</v>
      </c>
      <c r="H2238" s="19"/>
    </row>
    <row r="2239">
      <c r="A2239" s="9"/>
      <c r="B2239" s="15"/>
      <c r="C2239" s="9">
        <f>IFERROR(__xludf.DUMMYFUNCTION("""COMPUTED_VALUE"""),44582.2267382291)</f>
        <v>44582.22674</v>
      </c>
      <c r="D2239" s="15">
        <f>IFERROR(__xludf.DUMMYFUNCTION("""COMPUTED_VALUE"""),1.002)</f>
        <v>1.002</v>
      </c>
      <c r="E2239" s="16">
        <f>IFERROR(__xludf.DUMMYFUNCTION("""COMPUTED_VALUE"""),62.0)</f>
        <v>62</v>
      </c>
      <c r="F2239" s="19" t="str">
        <f>IFERROR(__xludf.DUMMYFUNCTION("""COMPUTED_VALUE"""),"BLUE")</f>
        <v>BLUE</v>
      </c>
      <c r="G2239" s="20" t="str">
        <f>IFERROR(__xludf.DUMMYFUNCTION("""COMPUTED_VALUE"""),"Uncle Sams Cider (11/12/2021) (Blue)")</f>
        <v>Uncle Sams Cider (11/12/2021) (Blue)</v>
      </c>
      <c r="H2239" s="19"/>
    </row>
    <row r="2240">
      <c r="A2240" s="9"/>
      <c r="B2240" s="15"/>
      <c r="C2240" s="9">
        <f>IFERROR(__xludf.DUMMYFUNCTION("""COMPUTED_VALUE"""),44582.2163172222)</f>
        <v>44582.21632</v>
      </c>
      <c r="D2240" s="15">
        <f>IFERROR(__xludf.DUMMYFUNCTION("""COMPUTED_VALUE"""),1.002)</f>
        <v>1.002</v>
      </c>
      <c r="E2240" s="16">
        <f>IFERROR(__xludf.DUMMYFUNCTION("""COMPUTED_VALUE"""),62.0)</f>
        <v>62</v>
      </c>
      <c r="F2240" s="19" t="str">
        <f>IFERROR(__xludf.DUMMYFUNCTION("""COMPUTED_VALUE"""),"BLUE")</f>
        <v>BLUE</v>
      </c>
      <c r="G2240" s="20" t="str">
        <f>IFERROR(__xludf.DUMMYFUNCTION("""COMPUTED_VALUE"""),"Uncle Sams Cider (11/12/2021) (Blue)")</f>
        <v>Uncle Sams Cider (11/12/2021) (Blue)</v>
      </c>
      <c r="H2240" s="19"/>
    </row>
    <row r="2241">
      <c r="A2241" s="9"/>
      <c r="B2241" s="15"/>
      <c r="C2241" s="9">
        <f>IFERROR(__xludf.DUMMYFUNCTION("""COMPUTED_VALUE"""),44582.20587228)</f>
        <v>44582.20587</v>
      </c>
      <c r="D2241" s="15">
        <f>IFERROR(__xludf.DUMMYFUNCTION("""COMPUTED_VALUE"""),1.002)</f>
        <v>1.002</v>
      </c>
      <c r="E2241" s="16">
        <f>IFERROR(__xludf.DUMMYFUNCTION("""COMPUTED_VALUE"""),62.0)</f>
        <v>62</v>
      </c>
      <c r="F2241" s="19" t="str">
        <f>IFERROR(__xludf.DUMMYFUNCTION("""COMPUTED_VALUE"""),"BLUE")</f>
        <v>BLUE</v>
      </c>
      <c r="G2241" s="20" t="str">
        <f>IFERROR(__xludf.DUMMYFUNCTION("""COMPUTED_VALUE"""),"Uncle Sams Cider (11/12/2021) (Blue)")</f>
        <v>Uncle Sams Cider (11/12/2021) (Blue)</v>
      </c>
      <c r="H2241" s="19"/>
    </row>
    <row r="2242">
      <c r="A2242" s="9"/>
      <c r="B2242" s="15"/>
      <c r="C2242" s="9">
        <f>IFERROR(__xludf.DUMMYFUNCTION("""COMPUTED_VALUE"""),44582.1954529976)</f>
        <v>44582.19545</v>
      </c>
      <c r="D2242" s="15">
        <f>IFERROR(__xludf.DUMMYFUNCTION("""COMPUTED_VALUE"""),1.002)</f>
        <v>1.002</v>
      </c>
      <c r="E2242" s="16">
        <f>IFERROR(__xludf.DUMMYFUNCTION("""COMPUTED_VALUE"""),62.0)</f>
        <v>62</v>
      </c>
      <c r="F2242" s="19" t="str">
        <f>IFERROR(__xludf.DUMMYFUNCTION("""COMPUTED_VALUE"""),"BLUE")</f>
        <v>BLUE</v>
      </c>
      <c r="G2242" s="20" t="str">
        <f>IFERROR(__xludf.DUMMYFUNCTION("""COMPUTED_VALUE"""),"Uncle Sams Cider (11/12/2021) (Blue)")</f>
        <v>Uncle Sams Cider (11/12/2021) (Blue)</v>
      </c>
      <c r="H2242" s="19"/>
    </row>
    <row r="2243">
      <c r="A2243" s="9"/>
      <c r="B2243" s="15"/>
      <c r="C2243" s="9">
        <f>IFERROR(__xludf.DUMMYFUNCTION("""COMPUTED_VALUE"""),44582.1850303819)</f>
        <v>44582.18503</v>
      </c>
      <c r="D2243" s="15">
        <f>IFERROR(__xludf.DUMMYFUNCTION("""COMPUTED_VALUE"""),1.002)</f>
        <v>1.002</v>
      </c>
      <c r="E2243" s="16">
        <f>IFERROR(__xludf.DUMMYFUNCTION("""COMPUTED_VALUE"""),62.0)</f>
        <v>62</v>
      </c>
      <c r="F2243" s="19" t="str">
        <f>IFERROR(__xludf.DUMMYFUNCTION("""COMPUTED_VALUE"""),"BLUE")</f>
        <v>BLUE</v>
      </c>
      <c r="G2243" s="20" t="str">
        <f>IFERROR(__xludf.DUMMYFUNCTION("""COMPUTED_VALUE"""),"Uncle Sams Cider (11/12/2021) (Blue)")</f>
        <v>Uncle Sams Cider (11/12/2021) (Blue)</v>
      </c>
      <c r="H2243" s="19"/>
    </row>
    <row r="2244">
      <c r="A2244" s="9"/>
      <c r="B2244" s="15"/>
      <c r="C2244" s="9">
        <f>IFERROR(__xludf.DUMMYFUNCTION("""COMPUTED_VALUE"""),44582.1745964814)</f>
        <v>44582.1746</v>
      </c>
      <c r="D2244" s="15">
        <f>IFERROR(__xludf.DUMMYFUNCTION("""COMPUTED_VALUE"""),1.002)</f>
        <v>1.002</v>
      </c>
      <c r="E2244" s="16">
        <f>IFERROR(__xludf.DUMMYFUNCTION("""COMPUTED_VALUE"""),62.0)</f>
        <v>62</v>
      </c>
      <c r="F2244" s="19" t="str">
        <f>IFERROR(__xludf.DUMMYFUNCTION("""COMPUTED_VALUE"""),"BLUE")</f>
        <v>BLUE</v>
      </c>
      <c r="G2244" s="20" t="str">
        <f>IFERROR(__xludf.DUMMYFUNCTION("""COMPUTED_VALUE"""),"Uncle Sams Cider (11/12/2021) (Blue)")</f>
        <v>Uncle Sams Cider (11/12/2021) (Blue)</v>
      </c>
      <c r="H2244" s="19"/>
    </row>
    <row r="2245">
      <c r="A2245" s="9"/>
      <c r="B2245" s="15"/>
      <c r="C2245" s="9">
        <f>IFERROR(__xludf.DUMMYFUNCTION("""COMPUTED_VALUE"""),44582.1641761689)</f>
        <v>44582.16418</v>
      </c>
      <c r="D2245" s="15">
        <f>IFERROR(__xludf.DUMMYFUNCTION("""COMPUTED_VALUE"""),1.002)</f>
        <v>1.002</v>
      </c>
      <c r="E2245" s="16">
        <f>IFERROR(__xludf.DUMMYFUNCTION("""COMPUTED_VALUE"""),62.0)</f>
        <v>62</v>
      </c>
      <c r="F2245" s="19" t="str">
        <f>IFERROR(__xludf.DUMMYFUNCTION("""COMPUTED_VALUE"""),"BLUE")</f>
        <v>BLUE</v>
      </c>
      <c r="G2245" s="20" t="str">
        <f>IFERROR(__xludf.DUMMYFUNCTION("""COMPUTED_VALUE"""),"Uncle Sams Cider (11/12/2021) (Blue)")</f>
        <v>Uncle Sams Cider (11/12/2021) (Blue)</v>
      </c>
      <c r="H2245" s="19"/>
    </row>
    <row r="2246">
      <c r="A2246" s="9"/>
      <c r="B2246" s="15"/>
      <c r="C2246" s="9">
        <f>IFERROR(__xludf.DUMMYFUNCTION("""COMPUTED_VALUE"""),44582.1537458449)</f>
        <v>44582.15375</v>
      </c>
      <c r="D2246" s="15">
        <f>IFERROR(__xludf.DUMMYFUNCTION("""COMPUTED_VALUE"""),1.002)</f>
        <v>1.002</v>
      </c>
      <c r="E2246" s="16">
        <f>IFERROR(__xludf.DUMMYFUNCTION("""COMPUTED_VALUE"""),62.0)</f>
        <v>62</v>
      </c>
      <c r="F2246" s="19" t="str">
        <f>IFERROR(__xludf.DUMMYFUNCTION("""COMPUTED_VALUE"""),"BLUE")</f>
        <v>BLUE</v>
      </c>
      <c r="G2246" s="20" t="str">
        <f>IFERROR(__xludf.DUMMYFUNCTION("""COMPUTED_VALUE"""),"Uncle Sams Cider (11/12/2021) (Blue)")</f>
        <v>Uncle Sams Cider (11/12/2021) (Blue)</v>
      </c>
      <c r="H2246" s="19"/>
    </row>
    <row r="2247">
      <c r="A2247" s="9"/>
      <c r="B2247" s="15"/>
      <c r="C2247" s="9">
        <f>IFERROR(__xludf.DUMMYFUNCTION("""COMPUTED_VALUE"""),44582.1433230671)</f>
        <v>44582.14332</v>
      </c>
      <c r="D2247" s="15">
        <f>IFERROR(__xludf.DUMMYFUNCTION("""COMPUTED_VALUE"""),1.002)</f>
        <v>1.002</v>
      </c>
      <c r="E2247" s="16">
        <f>IFERROR(__xludf.DUMMYFUNCTION("""COMPUTED_VALUE"""),63.0)</f>
        <v>63</v>
      </c>
      <c r="F2247" s="19" t="str">
        <f>IFERROR(__xludf.DUMMYFUNCTION("""COMPUTED_VALUE"""),"BLUE")</f>
        <v>BLUE</v>
      </c>
      <c r="G2247" s="20" t="str">
        <f>IFERROR(__xludf.DUMMYFUNCTION("""COMPUTED_VALUE"""),"Uncle Sams Cider (11/12/2021) (Blue)")</f>
        <v>Uncle Sams Cider (11/12/2021) (Blue)</v>
      </c>
      <c r="H2247" s="19"/>
    </row>
    <row r="2248">
      <c r="A2248" s="9"/>
      <c r="B2248" s="15"/>
      <c r="C2248" s="9">
        <f>IFERROR(__xludf.DUMMYFUNCTION("""COMPUTED_VALUE"""),44582.132900949)</f>
        <v>44582.1329</v>
      </c>
      <c r="D2248" s="15">
        <f>IFERROR(__xludf.DUMMYFUNCTION("""COMPUTED_VALUE"""),1.002)</f>
        <v>1.002</v>
      </c>
      <c r="E2248" s="16">
        <f>IFERROR(__xludf.DUMMYFUNCTION("""COMPUTED_VALUE"""),63.0)</f>
        <v>63</v>
      </c>
      <c r="F2248" s="19" t="str">
        <f>IFERROR(__xludf.DUMMYFUNCTION("""COMPUTED_VALUE"""),"BLUE")</f>
        <v>BLUE</v>
      </c>
      <c r="G2248" s="20" t="str">
        <f>IFERROR(__xludf.DUMMYFUNCTION("""COMPUTED_VALUE"""),"Uncle Sams Cider (11/12/2021) (Blue)")</f>
        <v>Uncle Sams Cider (11/12/2021) (Blue)</v>
      </c>
      <c r="H2248" s="19"/>
    </row>
    <row r="2249">
      <c r="A2249" s="9"/>
      <c r="B2249" s="15"/>
      <c r="C2249" s="9">
        <f>IFERROR(__xludf.DUMMYFUNCTION("""COMPUTED_VALUE"""),44582.122480949)</f>
        <v>44582.12248</v>
      </c>
      <c r="D2249" s="15">
        <f>IFERROR(__xludf.DUMMYFUNCTION("""COMPUTED_VALUE"""),1.002)</f>
        <v>1.002</v>
      </c>
      <c r="E2249" s="16">
        <f>IFERROR(__xludf.DUMMYFUNCTION("""COMPUTED_VALUE"""),63.0)</f>
        <v>63</v>
      </c>
      <c r="F2249" s="19" t="str">
        <f>IFERROR(__xludf.DUMMYFUNCTION("""COMPUTED_VALUE"""),"BLUE")</f>
        <v>BLUE</v>
      </c>
      <c r="G2249" s="20" t="str">
        <f>IFERROR(__xludf.DUMMYFUNCTION("""COMPUTED_VALUE"""),"Uncle Sams Cider (11/12/2021) (Blue)")</f>
        <v>Uncle Sams Cider (11/12/2021) (Blue)</v>
      </c>
      <c r="H2249" s="19"/>
    </row>
    <row r="2250">
      <c r="A2250" s="9"/>
      <c r="B2250" s="15"/>
      <c r="C2250" s="9">
        <f>IFERROR(__xludf.DUMMYFUNCTION("""COMPUTED_VALUE"""),44582.1120600231)</f>
        <v>44582.11206</v>
      </c>
      <c r="D2250" s="15">
        <f>IFERROR(__xludf.DUMMYFUNCTION("""COMPUTED_VALUE"""),1.002)</f>
        <v>1.002</v>
      </c>
      <c r="E2250" s="16">
        <f>IFERROR(__xludf.DUMMYFUNCTION("""COMPUTED_VALUE"""),63.0)</f>
        <v>63</v>
      </c>
      <c r="F2250" s="19" t="str">
        <f>IFERROR(__xludf.DUMMYFUNCTION("""COMPUTED_VALUE"""),"BLUE")</f>
        <v>BLUE</v>
      </c>
      <c r="G2250" s="20" t="str">
        <f>IFERROR(__xludf.DUMMYFUNCTION("""COMPUTED_VALUE"""),"Uncle Sams Cider (11/12/2021) (Blue)")</f>
        <v>Uncle Sams Cider (11/12/2021) (Blue)</v>
      </c>
      <c r="H2250" s="19"/>
    </row>
    <row r="2251">
      <c r="A2251" s="9"/>
      <c r="B2251" s="15"/>
      <c r="C2251" s="9">
        <f>IFERROR(__xludf.DUMMYFUNCTION("""COMPUTED_VALUE"""),44582.1016369097)</f>
        <v>44582.10164</v>
      </c>
      <c r="D2251" s="15">
        <f>IFERROR(__xludf.DUMMYFUNCTION("""COMPUTED_VALUE"""),1.002)</f>
        <v>1.002</v>
      </c>
      <c r="E2251" s="16">
        <f>IFERROR(__xludf.DUMMYFUNCTION("""COMPUTED_VALUE"""),63.0)</f>
        <v>63</v>
      </c>
      <c r="F2251" s="19" t="str">
        <f>IFERROR(__xludf.DUMMYFUNCTION("""COMPUTED_VALUE"""),"BLUE")</f>
        <v>BLUE</v>
      </c>
      <c r="G2251" s="20" t="str">
        <f>IFERROR(__xludf.DUMMYFUNCTION("""COMPUTED_VALUE"""),"Uncle Sams Cider (11/12/2021) (Blue)")</f>
        <v>Uncle Sams Cider (11/12/2021) (Blue)</v>
      </c>
      <c r="H2251" s="19"/>
    </row>
    <row r="2252">
      <c r="A2252" s="9"/>
      <c r="B2252" s="15"/>
      <c r="C2252" s="9">
        <f>IFERROR(__xludf.DUMMYFUNCTION("""COMPUTED_VALUE"""),44582.091217662)</f>
        <v>44582.09122</v>
      </c>
      <c r="D2252" s="15">
        <f>IFERROR(__xludf.DUMMYFUNCTION("""COMPUTED_VALUE"""),1.002)</f>
        <v>1.002</v>
      </c>
      <c r="E2252" s="16">
        <f>IFERROR(__xludf.DUMMYFUNCTION("""COMPUTED_VALUE"""),63.0)</f>
        <v>63</v>
      </c>
      <c r="F2252" s="19" t="str">
        <f>IFERROR(__xludf.DUMMYFUNCTION("""COMPUTED_VALUE"""),"BLUE")</f>
        <v>BLUE</v>
      </c>
      <c r="G2252" s="20" t="str">
        <f>IFERROR(__xludf.DUMMYFUNCTION("""COMPUTED_VALUE"""),"Uncle Sams Cider (11/12/2021) (Blue)")</f>
        <v>Uncle Sams Cider (11/12/2021) (Blue)</v>
      </c>
      <c r="H2252" s="19"/>
    </row>
    <row r="2253">
      <c r="A2253" s="9"/>
      <c r="B2253" s="15"/>
      <c r="C2253" s="9">
        <f>IFERROR(__xludf.DUMMYFUNCTION("""COMPUTED_VALUE"""),44582.080797037)</f>
        <v>44582.0808</v>
      </c>
      <c r="D2253" s="15">
        <f>IFERROR(__xludf.DUMMYFUNCTION("""COMPUTED_VALUE"""),1.002)</f>
        <v>1.002</v>
      </c>
      <c r="E2253" s="16">
        <f>IFERROR(__xludf.DUMMYFUNCTION("""COMPUTED_VALUE"""),63.0)</f>
        <v>63</v>
      </c>
      <c r="F2253" s="19" t="str">
        <f>IFERROR(__xludf.DUMMYFUNCTION("""COMPUTED_VALUE"""),"BLUE")</f>
        <v>BLUE</v>
      </c>
      <c r="G2253" s="20" t="str">
        <f>IFERROR(__xludf.DUMMYFUNCTION("""COMPUTED_VALUE"""),"Uncle Sams Cider (11/12/2021) (Blue)")</f>
        <v>Uncle Sams Cider (11/12/2021) (Blue)</v>
      </c>
      <c r="H2253" s="19"/>
    </row>
    <row r="2254">
      <c r="A2254" s="9"/>
      <c r="B2254" s="15"/>
      <c r="C2254" s="9">
        <f>IFERROR(__xludf.DUMMYFUNCTION("""COMPUTED_VALUE"""),44582.0703761689)</f>
        <v>44582.07038</v>
      </c>
      <c r="D2254" s="15">
        <f>IFERROR(__xludf.DUMMYFUNCTION("""COMPUTED_VALUE"""),1.002)</f>
        <v>1.002</v>
      </c>
      <c r="E2254" s="16">
        <f>IFERROR(__xludf.DUMMYFUNCTION("""COMPUTED_VALUE"""),63.0)</f>
        <v>63</v>
      </c>
      <c r="F2254" s="19" t="str">
        <f>IFERROR(__xludf.DUMMYFUNCTION("""COMPUTED_VALUE"""),"BLUE")</f>
        <v>BLUE</v>
      </c>
      <c r="G2254" s="20" t="str">
        <f>IFERROR(__xludf.DUMMYFUNCTION("""COMPUTED_VALUE"""),"Uncle Sams Cider (11/12/2021) (Blue)")</f>
        <v>Uncle Sams Cider (11/12/2021) (Blue)</v>
      </c>
      <c r="H2254" s="19"/>
    </row>
    <row r="2255">
      <c r="A2255" s="9"/>
      <c r="B2255" s="15"/>
      <c r="C2255" s="9">
        <f>IFERROR(__xludf.DUMMYFUNCTION("""COMPUTED_VALUE"""),44582.0599531944)</f>
        <v>44582.05995</v>
      </c>
      <c r="D2255" s="15">
        <f>IFERROR(__xludf.DUMMYFUNCTION("""COMPUTED_VALUE"""),1.002)</f>
        <v>1.002</v>
      </c>
      <c r="E2255" s="16">
        <f>IFERROR(__xludf.DUMMYFUNCTION("""COMPUTED_VALUE"""),63.0)</f>
        <v>63</v>
      </c>
      <c r="F2255" s="19" t="str">
        <f>IFERROR(__xludf.DUMMYFUNCTION("""COMPUTED_VALUE"""),"BLUE")</f>
        <v>BLUE</v>
      </c>
      <c r="G2255" s="20" t="str">
        <f>IFERROR(__xludf.DUMMYFUNCTION("""COMPUTED_VALUE"""),"Uncle Sams Cider (11/12/2021) (Blue)")</f>
        <v>Uncle Sams Cider (11/12/2021) (Blue)</v>
      </c>
      <c r="H2255" s="19"/>
    </row>
    <row r="2256">
      <c r="A2256" s="9"/>
      <c r="B2256" s="15"/>
      <c r="C2256" s="9">
        <f>IFERROR(__xludf.DUMMYFUNCTION("""COMPUTED_VALUE"""),44582.0495304398)</f>
        <v>44582.04953</v>
      </c>
      <c r="D2256" s="15">
        <f>IFERROR(__xludf.DUMMYFUNCTION("""COMPUTED_VALUE"""),1.002)</f>
        <v>1.002</v>
      </c>
      <c r="E2256" s="16">
        <f>IFERROR(__xludf.DUMMYFUNCTION("""COMPUTED_VALUE"""),63.0)</f>
        <v>63</v>
      </c>
      <c r="F2256" s="19" t="str">
        <f>IFERROR(__xludf.DUMMYFUNCTION("""COMPUTED_VALUE"""),"BLUE")</f>
        <v>BLUE</v>
      </c>
      <c r="G2256" s="20" t="str">
        <f>IFERROR(__xludf.DUMMYFUNCTION("""COMPUTED_VALUE"""),"Uncle Sams Cider (11/12/2021) (Blue)")</f>
        <v>Uncle Sams Cider (11/12/2021) (Blue)</v>
      </c>
      <c r="H2256" s="19"/>
    </row>
    <row r="2257">
      <c r="A2257" s="9"/>
      <c r="B2257" s="15"/>
      <c r="C2257" s="9">
        <f>IFERROR(__xludf.DUMMYFUNCTION("""COMPUTED_VALUE"""),44582.0391093518)</f>
        <v>44582.03911</v>
      </c>
      <c r="D2257" s="15">
        <f>IFERROR(__xludf.DUMMYFUNCTION("""COMPUTED_VALUE"""),1.002)</f>
        <v>1.002</v>
      </c>
      <c r="E2257" s="16">
        <f>IFERROR(__xludf.DUMMYFUNCTION("""COMPUTED_VALUE"""),63.0)</f>
        <v>63</v>
      </c>
      <c r="F2257" s="19" t="str">
        <f>IFERROR(__xludf.DUMMYFUNCTION("""COMPUTED_VALUE"""),"BLUE")</f>
        <v>BLUE</v>
      </c>
      <c r="G2257" s="20" t="str">
        <f>IFERROR(__xludf.DUMMYFUNCTION("""COMPUTED_VALUE"""),"Uncle Sams Cider (11/12/2021) (Blue)")</f>
        <v>Uncle Sams Cider (11/12/2021) (Blue)</v>
      </c>
      <c r="H2257" s="19"/>
    </row>
    <row r="2258">
      <c r="A2258" s="9"/>
      <c r="B2258" s="15"/>
      <c r="C2258" s="9">
        <f>IFERROR(__xludf.DUMMYFUNCTION("""COMPUTED_VALUE"""),44582.0286876504)</f>
        <v>44582.02869</v>
      </c>
      <c r="D2258" s="15">
        <f>IFERROR(__xludf.DUMMYFUNCTION("""COMPUTED_VALUE"""),1.002)</f>
        <v>1.002</v>
      </c>
      <c r="E2258" s="16">
        <f>IFERROR(__xludf.DUMMYFUNCTION("""COMPUTED_VALUE"""),63.0)</f>
        <v>63</v>
      </c>
      <c r="F2258" s="19" t="str">
        <f>IFERROR(__xludf.DUMMYFUNCTION("""COMPUTED_VALUE"""),"BLUE")</f>
        <v>BLUE</v>
      </c>
      <c r="G2258" s="20" t="str">
        <f>IFERROR(__xludf.DUMMYFUNCTION("""COMPUTED_VALUE"""),"Uncle Sams Cider (11/12/2021) (Blue)")</f>
        <v>Uncle Sams Cider (11/12/2021) (Blue)</v>
      </c>
      <c r="H2258" s="19"/>
    </row>
    <row r="2259">
      <c r="A2259" s="9"/>
      <c r="B2259" s="15"/>
      <c r="C2259" s="9">
        <f>IFERROR(__xludf.DUMMYFUNCTION("""COMPUTED_VALUE"""),44582.0182669212)</f>
        <v>44582.01827</v>
      </c>
      <c r="D2259" s="15">
        <f>IFERROR(__xludf.DUMMYFUNCTION("""COMPUTED_VALUE"""),1.002)</f>
        <v>1.002</v>
      </c>
      <c r="E2259" s="16">
        <f>IFERROR(__xludf.DUMMYFUNCTION("""COMPUTED_VALUE"""),63.0)</f>
        <v>63</v>
      </c>
      <c r="F2259" s="19" t="str">
        <f>IFERROR(__xludf.DUMMYFUNCTION("""COMPUTED_VALUE"""),"BLUE")</f>
        <v>BLUE</v>
      </c>
      <c r="G2259" s="20" t="str">
        <f>IFERROR(__xludf.DUMMYFUNCTION("""COMPUTED_VALUE"""),"Uncle Sams Cider (11/12/2021) (Blue)")</f>
        <v>Uncle Sams Cider (11/12/2021) (Blue)</v>
      </c>
      <c r="H2259" s="19"/>
    </row>
    <row r="2260">
      <c r="A2260" s="9"/>
      <c r="B2260" s="15"/>
      <c r="C2260" s="9">
        <f>IFERROR(__xludf.DUMMYFUNCTION("""COMPUTED_VALUE"""),44582.0078341782)</f>
        <v>44582.00783</v>
      </c>
      <c r="D2260" s="15">
        <f>IFERROR(__xludf.DUMMYFUNCTION("""COMPUTED_VALUE"""),1.002)</f>
        <v>1.002</v>
      </c>
      <c r="E2260" s="16">
        <f>IFERROR(__xludf.DUMMYFUNCTION("""COMPUTED_VALUE"""),63.0)</f>
        <v>63</v>
      </c>
      <c r="F2260" s="19" t="str">
        <f>IFERROR(__xludf.DUMMYFUNCTION("""COMPUTED_VALUE"""),"BLUE")</f>
        <v>BLUE</v>
      </c>
      <c r="G2260" s="20" t="str">
        <f>IFERROR(__xludf.DUMMYFUNCTION("""COMPUTED_VALUE"""),"Uncle Sams Cider (11/12/2021) (Blue)")</f>
        <v>Uncle Sams Cider (11/12/2021) (Blue)</v>
      </c>
      <c r="H2260" s="19"/>
    </row>
    <row r="2261">
      <c r="A2261" s="9"/>
      <c r="B2261" s="15"/>
      <c r="C2261" s="9">
        <f>IFERROR(__xludf.DUMMYFUNCTION("""COMPUTED_VALUE"""),44581.9974124305)</f>
        <v>44581.99741</v>
      </c>
      <c r="D2261" s="15">
        <f>IFERROR(__xludf.DUMMYFUNCTION("""COMPUTED_VALUE"""),1.002)</f>
        <v>1.002</v>
      </c>
      <c r="E2261" s="16">
        <f>IFERROR(__xludf.DUMMYFUNCTION("""COMPUTED_VALUE"""),63.0)</f>
        <v>63</v>
      </c>
      <c r="F2261" s="19" t="str">
        <f>IFERROR(__xludf.DUMMYFUNCTION("""COMPUTED_VALUE"""),"BLUE")</f>
        <v>BLUE</v>
      </c>
      <c r="G2261" s="20" t="str">
        <f>IFERROR(__xludf.DUMMYFUNCTION("""COMPUTED_VALUE"""),"Uncle Sams Cider (11/12/2021) (Blue)")</f>
        <v>Uncle Sams Cider (11/12/2021) (Blue)</v>
      </c>
      <c r="H2261" s="19"/>
    </row>
    <row r="2262">
      <c r="A2262" s="9"/>
      <c r="B2262" s="15"/>
      <c r="C2262" s="9">
        <f>IFERROR(__xludf.DUMMYFUNCTION("""COMPUTED_VALUE"""),44581.9869913657)</f>
        <v>44581.98699</v>
      </c>
      <c r="D2262" s="15">
        <f>IFERROR(__xludf.DUMMYFUNCTION("""COMPUTED_VALUE"""),1.002)</f>
        <v>1.002</v>
      </c>
      <c r="E2262" s="16">
        <f>IFERROR(__xludf.DUMMYFUNCTION("""COMPUTED_VALUE"""),63.0)</f>
        <v>63</v>
      </c>
      <c r="F2262" s="19" t="str">
        <f>IFERROR(__xludf.DUMMYFUNCTION("""COMPUTED_VALUE"""),"BLUE")</f>
        <v>BLUE</v>
      </c>
      <c r="G2262" s="20" t="str">
        <f>IFERROR(__xludf.DUMMYFUNCTION("""COMPUTED_VALUE"""),"Uncle Sams Cider (11/12/2021) (Blue)")</f>
        <v>Uncle Sams Cider (11/12/2021) (Blue)</v>
      </c>
      <c r="H2262" s="19"/>
    </row>
    <row r="2263">
      <c r="A2263" s="9"/>
      <c r="B2263" s="15"/>
      <c r="C2263" s="9">
        <f>IFERROR(__xludf.DUMMYFUNCTION("""COMPUTED_VALUE"""),44581.9765707523)</f>
        <v>44581.97657</v>
      </c>
      <c r="D2263" s="15">
        <f>IFERROR(__xludf.DUMMYFUNCTION("""COMPUTED_VALUE"""),1.001)</f>
        <v>1.001</v>
      </c>
      <c r="E2263" s="16">
        <f>IFERROR(__xludf.DUMMYFUNCTION("""COMPUTED_VALUE"""),63.0)</f>
        <v>63</v>
      </c>
      <c r="F2263" s="19" t="str">
        <f>IFERROR(__xludf.DUMMYFUNCTION("""COMPUTED_VALUE"""),"BLUE")</f>
        <v>BLUE</v>
      </c>
      <c r="G2263" s="20" t="str">
        <f>IFERROR(__xludf.DUMMYFUNCTION("""COMPUTED_VALUE"""),"Uncle Sams Cider (11/12/2021) (Blue)")</f>
        <v>Uncle Sams Cider (11/12/2021) (Blue)</v>
      </c>
      <c r="H2263" s="19"/>
    </row>
    <row r="2264">
      <c r="A2264" s="9"/>
      <c r="B2264" s="15"/>
      <c r="C2264" s="9">
        <f>IFERROR(__xludf.DUMMYFUNCTION("""COMPUTED_VALUE"""),44581.9661506944)</f>
        <v>44581.96615</v>
      </c>
      <c r="D2264" s="15">
        <f>IFERROR(__xludf.DUMMYFUNCTION("""COMPUTED_VALUE"""),1.002)</f>
        <v>1.002</v>
      </c>
      <c r="E2264" s="16">
        <f>IFERROR(__xludf.DUMMYFUNCTION("""COMPUTED_VALUE"""),63.0)</f>
        <v>63</v>
      </c>
      <c r="F2264" s="19" t="str">
        <f>IFERROR(__xludf.DUMMYFUNCTION("""COMPUTED_VALUE"""),"BLUE")</f>
        <v>BLUE</v>
      </c>
      <c r="G2264" s="20" t="str">
        <f>IFERROR(__xludf.DUMMYFUNCTION("""COMPUTED_VALUE"""),"Uncle Sams Cider (11/12/2021) (Blue)")</f>
        <v>Uncle Sams Cider (11/12/2021) (Blue)</v>
      </c>
      <c r="H2264" s="19"/>
    </row>
    <row r="2265">
      <c r="A2265" s="9"/>
      <c r="B2265" s="15"/>
      <c r="C2265" s="9">
        <f>IFERROR(__xludf.DUMMYFUNCTION("""COMPUTED_VALUE"""),44581.9557290277)</f>
        <v>44581.95573</v>
      </c>
      <c r="D2265" s="15">
        <f>IFERROR(__xludf.DUMMYFUNCTION("""COMPUTED_VALUE"""),1.002)</f>
        <v>1.002</v>
      </c>
      <c r="E2265" s="16">
        <f>IFERROR(__xludf.DUMMYFUNCTION("""COMPUTED_VALUE"""),63.0)</f>
        <v>63</v>
      </c>
      <c r="F2265" s="19" t="str">
        <f>IFERROR(__xludf.DUMMYFUNCTION("""COMPUTED_VALUE"""),"BLUE")</f>
        <v>BLUE</v>
      </c>
      <c r="G2265" s="20" t="str">
        <f>IFERROR(__xludf.DUMMYFUNCTION("""COMPUTED_VALUE"""),"Uncle Sams Cider (11/12/2021) (Blue)")</f>
        <v>Uncle Sams Cider (11/12/2021) (Blue)</v>
      </c>
      <c r="H2265" s="19"/>
    </row>
    <row r="2266">
      <c r="A2266" s="9"/>
      <c r="B2266" s="15"/>
      <c r="C2266" s="9">
        <f>IFERROR(__xludf.DUMMYFUNCTION("""COMPUTED_VALUE"""),44581.9452970717)</f>
        <v>44581.9453</v>
      </c>
      <c r="D2266" s="15">
        <f>IFERROR(__xludf.DUMMYFUNCTION("""COMPUTED_VALUE"""),1.002)</f>
        <v>1.002</v>
      </c>
      <c r="E2266" s="16">
        <f>IFERROR(__xludf.DUMMYFUNCTION("""COMPUTED_VALUE"""),63.0)</f>
        <v>63</v>
      </c>
      <c r="F2266" s="19" t="str">
        <f>IFERROR(__xludf.DUMMYFUNCTION("""COMPUTED_VALUE"""),"BLUE")</f>
        <v>BLUE</v>
      </c>
      <c r="G2266" s="20" t="str">
        <f>IFERROR(__xludf.DUMMYFUNCTION("""COMPUTED_VALUE"""),"Uncle Sams Cider (11/12/2021) (Blue)")</f>
        <v>Uncle Sams Cider (11/12/2021) (Blue)</v>
      </c>
      <c r="H2266" s="19"/>
    </row>
    <row r="2267">
      <c r="A2267" s="9"/>
      <c r="B2267" s="15"/>
      <c r="C2267" s="9">
        <f>IFERROR(__xludf.DUMMYFUNCTION("""COMPUTED_VALUE"""),44581.9348766898)</f>
        <v>44581.93488</v>
      </c>
      <c r="D2267" s="15">
        <f>IFERROR(__xludf.DUMMYFUNCTION("""COMPUTED_VALUE"""),1.002)</f>
        <v>1.002</v>
      </c>
      <c r="E2267" s="16">
        <f>IFERROR(__xludf.DUMMYFUNCTION("""COMPUTED_VALUE"""),63.0)</f>
        <v>63</v>
      </c>
      <c r="F2267" s="19" t="str">
        <f>IFERROR(__xludf.DUMMYFUNCTION("""COMPUTED_VALUE"""),"BLUE")</f>
        <v>BLUE</v>
      </c>
      <c r="G2267" s="20" t="str">
        <f>IFERROR(__xludf.DUMMYFUNCTION("""COMPUTED_VALUE"""),"Uncle Sams Cider (11/12/2021) (Blue)")</f>
        <v>Uncle Sams Cider (11/12/2021) (Blue)</v>
      </c>
      <c r="H2267" s="19"/>
    </row>
    <row r="2268">
      <c r="A2268" s="9"/>
      <c r="B2268" s="15"/>
      <c r="C2268" s="9">
        <f>IFERROR(__xludf.DUMMYFUNCTION("""COMPUTED_VALUE"""),44581.9244566319)</f>
        <v>44581.92446</v>
      </c>
      <c r="D2268" s="15">
        <f>IFERROR(__xludf.DUMMYFUNCTION("""COMPUTED_VALUE"""),1.002)</f>
        <v>1.002</v>
      </c>
      <c r="E2268" s="16">
        <f>IFERROR(__xludf.DUMMYFUNCTION("""COMPUTED_VALUE"""),63.0)</f>
        <v>63</v>
      </c>
      <c r="F2268" s="19" t="str">
        <f>IFERROR(__xludf.DUMMYFUNCTION("""COMPUTED_VALUE"""),"BLUE")</f>
        <v>BLUE</v>
      </c>
      <c r="G2268" s="20" t="str">
        <f>IFERROR(__xludf.DUMMYFUNCTION("""COMPUTED_VALUE"""),"Uncle Sams Cider (11/12/2021) (Blue)")</f>
        <v>Uncle Sams Cider (11/12/2021) (Blue)</v>
      </c>
      <c r="H2268" s="19"/>
    </row>
    <row r="2269">
      <c r="A2269" s="9"/>
      <c r="B2269" s="15"/>
      <c r="C2269" s="9">
        <f>IFERROR(__xludf.DUMMYFUNCTION("""COMPUTED_VALUE"""),44581.9140224305)</f>
        <v>44581.91402</v>
      </c>
      <c r="D2269" s="15">
        <f>IFERROR(__xludf.DUMMYFUNCTION("""COMPUTED_VALUE"""),1.001)</f>
        <v>1.001</v>
      </c>
      <c r="E2269" s="16">
        <f>IFERROR(__xludf.DUMMYFUNCTION("""COMPUTED_VALUE"""),63.0)</f>
        <v>63</v>
      </c>
      <c r="F2269" s="19" t="str">
        <f>IFERROR(__xludf.DUMMYFUNCTION("""COMPUTED_VALUE"""),"BLUE")</f>
        <v>BLUE</v>
      </c>
      <c r="G2269" s="20" t="str">
        <f>IFERROR(__xludf.DUMMYFUNCTION("""COMPUTED_VALUE"""),"Uncle Sams Cider (11/12/2021) (Blue)")</f>
        <v>Uncle Sams Cider (11/12/2021) (Blue)</v>
      </c>
      <c r="H2269" s="19"/>
    </row>
    <row r="2270">
      <c r="A2270" s="9"/>
      <c r="B2270" s="15"/>
      <c r="C2270" s="9">
        <f>IFERROR(__xludf.DUMMYFUNCTION("""COMPUTED_VALUE"""),44581.9036026157)</f>
        <v>44581.9036</v>
      </c>
      <c r="D2270" s="15">
        <f>IFERROR(__xludf.DUMMYFUNCTION("""COMPUTED_VALUE"""),1.002)</f>
        <v>1.002</v>
      </c>
      <c r="E2270" s="16">
        <f>IFERROR(__xludf.DUMMYFUNCTION("""COMPUTED_VALUE"""),63.0)</f>
        <v>63</v>
      </c>
      <c r="F2270" s="19" t="str">
        <f>IFERROR(__xludf.DUMMYFUNCTION("""COMPUTED_VALUE"""),"BLUE")</f>
        <v>BLUE</v>
      </c>
      <c r="G2270" s="20" t="str">
        <f>IFERROR(__xludf.DUMMYFUNCTION("""COMPUTED_VALUE"""),"Uncle Sams Cider (11/12/2021) (Blue)")</f>
        <v>Uncle Sams Cider (11/12/2021) (Blue)</v>
      </c>
      <c r="H2270" s="19"/>
    </row>
    <row r="2271">
      <c r="A2271" s="9"/>
      <c r="B2271" s="15"/>
      <c r="C2271" s="9">
        <f>IFERROR(__xludf.DUMMYFUNCTION("""COMPUTED_VALUE"""),44581.8931816435)</f>
        <v>44581.89318</v>
      </c>
      <c r="D2271" s="15">
        <f>IFERROR(__xludf.DUMMYFUNCTION("""COMPUTED_VALUE"""),1.002)</f>
        <v>1.002</v>
      </c>
      <c r="E2271" s="16">
        <f>IFERROR(__xludf.DUMMYFUNCTION("""COMPUTED_VALUE"""),63.0)</f>
        <v>63</v>
      </c>
      <c r="F2271" s="19" t="str">
        <f>IFERROR(__xludf.DUMMYFUNCTION("""COMPUTED_VALUE"""),"BLUE")</f>
        <v>BLUE</v>
      </c>
      <c r="G2271" s="20" t="str">
        <f>IFERROR(__xludf.DUMMYFUNCTION("""COMPUTED_VALUE"""),"Uncle Sams Cider (11/12/2021) (Blue)")</f>
        <v>Uncle Sams Cider (11/12/2021) (Blue)</v>
      </c>
      <c r="H2271" s="19"/>
    </row>
    <row r="2272">
      <c r="A2272" s="9"/>
      <c r="B2272" s="15"/>
      <c r="C2272" s="9">
        <f>IFERROR(__xludf.DUMMYFUNCTION("""COMPUTED_VALUE"""),44581.8827598958)</f>
        <v>44581.88276</v>
      </c>
      <c r="D2272" s="15">
        <f>IFERROR(__xludf.DUMMYFUNCTION("""COMPUTED_VALUE"""),1.002)</f>
        <v>1.002</v>
      </c>
      <c r="E2272" s="16">
        <f>IFERROR(__xludf.DUMMYFUNCTION("""COMPUTED_VALUE"""),63.0)</f>
        <v>63</v>
      </c>
      <c r="F2272" s="19" t="str">
        <f>IFERROR(__xludf.DUMMYFUNCTION("""COMPUTED_VALUE"""),"BLUE")</f>
        <v>BLUE</v>
      </c>
      <c r="G2272" s="20" t="str">
        <f>IFERROR(__xludf.DUMMYFUNCTION("""COMPUTED_VALUE"""),"Uncle Sams Cider (11/12/2021) (Blue)")</f>
        <v>Uncle Sams Cider (11/12/2021) (Blue)</v>
      </c>
      <c r="H2272" s="19"/>
    </row>
    <row r="2273">
      <c r="A2273" s="9"/>
      <c r="B2273" s="15"/>
      <c r="C2273" s="9">
        <f>IFERROR(__xludf.DUMMYFUNCTION("""COMPUTED_VALUE"""),44581.8723390509)</f>
        <v>44581.87234</v>
      </c>
      <c r="D2273" s="15">
        <f>IFERROR(__xludf.DUMMYFUNCTION("""COMPUTED_VALUE"""),1.002)</f>
        <v>1.002</v>
      </c>
      <c r="E2273" s="16">
        <f>IFERROR(__xludf.DUMMYFUNCTION("""COMPUTED_VALUE"""),63.0)</f>
        <v>63</v>
      </c>
      <c r="F2273" s="19" t="str">
        <f>IFERROR(__xludf.DUMMYFUNCTION("""COMPUTED_VALUE"""),"BLUE")</f>
        <v>BLUE</v>
      </c>
      <c r="G2273" s="20" t="str">
        <f>IFERROR(__xludf.DUMMYFUNCTION("""COMPUTED_VALUE"""),"Uncle Sams Cider (11/12/2021) (Blue)")</f>
        <v>Uncle Sams Cider (11/12/2021) (Blue)</v>
      </c>
      <c r="H2273" s="19"/>
    </row>
    <row r="2274">
      <c r="A2274" s="9"/>
      <c r="B2274" s="15"/>
      <c r="C2274" s="9">
        <f>IFERROR(__xludf.DUMMYFUNCTION("""COMPUTED_VALUE"""),44581.8619160995)</f>
        <v>44581.86192</v>
      </c>
      <c r="D2274" s="15">
        <f>IFERROR(__xludf.DUMMYFUNCTION("""COMPUTED_VALUE"""),1.002)</f>
        <v>1.002</v>
      </c>
      <c r="E2274" s="16">
        <f>IFERROR(__xludf.DUMMYFUNCTION("""COMPUTED_VALUE"""),63.0)</f>
        <v>63</v>
      </c>
      <c r="F2274" s="19" t="str">
        <f>IFERROR(__xludf.DUMMYFUNCTION("""COMPUTED_VALUE"""),"BLUE")</f>
        <v>BLUE</v>
      </c>
      <c r="G2274" s="20" t="str">
        <f>IFERROR(__xludf.DUMMYFUNCTION("""COMPUTED_VALUE"""),"Uncle Sams Cider (11/12/2021) (Blue)")</f>
        <v>Uncle Sams Cider (11/12/2021) (Blue)</v>
      </c>
      <c r="H2274" s="19"/>
    </row>
    <row r="2275">
      <c r="A2275" s="9"/>
      <c r="B2275" s="15"/>
      <c r="C2275" s="9">
        <f>IFERROR(__xludf.DUMMYFUNCTION("""COMPUTED_VALUE"""),44581.8514834143)</f>
        <v>44581.85148</v>
      </c>
      <c r="D2275" s="15">
        <f>IFERROR(__xludf.DUMMYFUNCTION("""COMPUTED_VALUE"""),1.002)</f>
        <v>1.002</v>
      </c>
      <c r="E2275" s="16">
        <f>IFERROR(__xludf.DUMMYFUNCTION("""COMPUTED_VALUE"""),63.0)</f>
        <v>63</v>
      </c>
      <c r="F2275" s="19" t="str">
        <f>IFERROR(__xludf.DUMMYFUNCTION("""COMPUTED_VALUE"""),"BLUE")</f>
        <v>BLUE</v>
      </c>
      <c r="G2275" s="20" t="str">
        <f>IFERROR(__xludf.DUMMYFUNCTION("""COMPUTED_VALUE"""),"Uncle Sams Cider (11/12/2021) (Blue)")</f>
        <v>Uncle Sams Cider (11/12/2021) (Blue)</v>
      </c>
      <c r="H2275" s="19"/>
    </row>
    <row r="2276">
      <c r="A2276" s="9"/>
      <c r="B2276" s="15"/>
      <c r="C2276" s="9">
        <f>IFERROR(__xludf.DUMMYFUNCTION("""COMPUTED_VALUE"""),44581.8410620023)</f>
        <v>44581.84106</v>
      </c>
      <c r="D2276" s="15">
        <f>IFERROR(__xludf.DUMMYFUNCTION("""COMPUTED_VALUE"""),1.002)</f>
        <v>1.002</v>
      </c>
      <c r="E2276" s="16">
        <f>IFERROR(__xludf.DUMMYFUNCTION("""COMPUTED_VALUE"""),63.0)</f>
        <v>63</v>
      </c>
      <c r="F2276" s="19" t="str">
        <f>IFERROR(__xludf.DUMMYFUNCTION("""COMPUTED_VALUE"""),"BLUE")</f>
        <v>BLUE</v>
      </c>
      <c r="G2276" s="20" t="str">
        <f>IFERROR(__xludf.DUMMYFUNCTION("""COMPUTED_VALUE"""),"Uncle Sams Cider (11/12/2021) (Blue)")</f>
        <v>Uncle Sams Cider (11/12/2021) (Blue)</v>
      </c>
      <c r="H2276" s="19"/>
    </row>
    <row r="2277">
      <c r="A2277" s="9"/>
      <c r="B2277" s="15"/>
      <c r="C2277" s="9">
        <f>IFERROR(__xludf.DUMMYFUNCTION("""COMPUTED_VALUE"""),44581.8306405902)</f>
        <v>44581.83064</v>
      </c>
      <c r="D2277" s="15">
        <f>IFERROR(__xludf.DUMMYFUNCTION("""COMPUTED_VALUE"""),1.002)</f>
        <v>1.002</v>
      </c>
      <c r="E2277" s="16">
        <f>IFERROR(__xludf.DUMMYFUNCTION("""COMPUTED_VALUE"""),63.0)</f>
        <v>63</v>
      </c>
      <c r="F2277" s="19" t="str">
        <f>IFERROR(__xludf.DUMMYFUNCTION("""COMPUTED_VALUE"""),"BLUE")</f>
        <v>BLUE</v>
      </c>
      <c r="G2277" s="20" t="str">
        <f>IFERROR(__xludf.DUMMYFUNCTION("""COMPUTED_VALUE"""),"Uncle Sams Cider (11/12/2021) (Blue)")</f>
        <v>Uncle Sams Cider (11/12/2021) (Blue)</v>
      </c>
      <c r="H2277" s="19"/>
    </row>
    <row r="2278">
      <c r="A2278" s="9"/>
      <c r="B2278" s="15"/>
      <c r="C2278" s="9">
        <f>IFERROR(__xludf.DUMMYFUNCTION("""COMPUTED_VALUE"""),44581.8202196875)</f>
        <v>44581.82022</v>
      </c>
      <c r="D2278" s="15">
        <f>IFERROR(__xludf.DUMMYFUNCTION("""COMPUTED_VALUE"""),1.002)</f>
        <v>1.002</v>
      </c>
      <c r="E2278" s="16">
        <f>IFERROR(__xludf.DUMMYFUNCTION("""COMPUTED_VALUE"""),63.0)</f>
        <v>63</v>
      </c>
      <c r="F2278" s="19" t="str">
        <f>IFERROR(__xludf.DUMMYFUNCTION("""COMPUTED_VALUE"""),"BLUE")</f>
        <v>BLUE</v>
      </c>
      <c r="G2278" s="20" t="str">
        <f>IFERROR(__xludf.DUMMYFUNCTION("""COMPUTED_VALUE"""),"Uncle Sams Cider (11/12/2021) (Blue)")</f>
        <v>Uncle Sams Cider (11/12/2021) (Blue)</v>
      </c>
      <c r="H2278" s="19"/>
    </row>
    <row r="2279">
      <c r="A2279" s="9"/>
      <c r="B2279" s="15"/>
      <c r="C2279" s="9">
        <f>IFERROR(__xludf.DUMMYFUNCTION("""COMPUTED_VALUE"""),44581.8097980555)</f>
        <v>44581.8098</v>
      </c>
      <c r="D2279" s="15">
        <f>IFERROR(__xludf.DUMMYFUNCTION("""COMPUTED_VALUE"""),1.002)</f>
        <v>1.002</v>
      </c>
      <c r="E2279" s="16">
        <f>IFERROR(__xludf.DUMMYFUNCTION("""COMPUTED_VALUE"""),63.0)</f>
        <v>63</v>
      </c>
      <c r="F2279" s="19" t="str">
        <f>IFERROR(__xludf.DUMMYFUNCTION("""COMPUTED_VALUE"""),"BLUE")</f>
        <v>BLUE</v>
      </c>
      <c r="G2279" s="20" t="str">
        <f>IFERROR(__xludf.DUMMYFUNCTION("""COMPUTED_VALUE"""),"Uncle Sams Cider (11/12/2021) (Blue)")</f>
        <v>Uncle Sams Cider (11/12/2021) (Blue)</v>
      </c>
      <c r="H2279" s="19"/>
    </row>
    <row r="2280">
      <c r="A2280" s="9"/>
      <c r="B2280" s="15"/>
      <c r="C2280" s="9">
        <f>IFERROR(__xludf.DUMMYFUNCTION("""COMPUTED_VALUE"""),44581.7993775347)</f>
        <v>44581.79938</v>
      </c>
      <c r="D2280" s="15">
        <f>IFERROR(__xludf.DUMMYFUNCTION("""COMPUTED_VALUE"""),1.002)</f>
        <v>1.002</v>
      </c>
      <c r="E2280" s="16">
        <f>IFERROR(__xludf.DUMMYFUNCTION("""COMPUTED_VALUE"""),63.0)</f>
        <v>63</v>
      </c>
      <c r="F2280" s="19" t="str">
        <f>IFERROR(__xludf.DUMMYFUNCTION("""COMPUTED_VALUE"""),"BLUE")</f>
        <v>BLUE</v>
      </c>
      <c r="G2280" s="20" t="str">
        <f>IFERROR(__xludf.DUMMYFUNCTION("""COMPUTED_VALUE"""),"Uncle Sams Cider (11/12/2021) (Blue)")</f>
        <v>Uncle Sams Cider (11/12/2021) (Blue)</v>
      </c>
      <c r="H2280" s="19"/>
    </row>
    <row r="2281">
      <c r="A2281" s="9"/>
      <c r="B2281" s="15"/>
      <c r="C2281" s="9">
        <f>IFERROR(__xludf.DUMMYFUNCTION("""COMPUTED_VALUE"""),44581.788956956)</f>
        <v>44581.78896</v>
      </c>
      <c r="D2281" s="15">
        <f>IFERROR(__xludf.DUMMYFUNCTION("""COMPUTED_VALUE"""),1.001)</f>
        <v>1.001</v>
      </c>
      <c r="E2281" s="16">
        <f>IFERROR(__xludf.DUMMYFUNCTION("""COMPUTED_VALUE"""),63.0)</f>
        <v>63</v>
      </c>
      <c r="F2281" s="19" t="str">
        <f>IFERROR(__xludf.DUMMYFUNCTION("""COMPUTED_VALUE"""),"BLUE")</f>
        <v>BLUE</v>
      </c>
      <c r="G2281" s="20" t="str">
        <f>IFERROR(__xludf.DUMMYFUNCTION("""COMPUTED_VALUE"""),"Uncle Sams Cider (11/12/2021) (Blue)")</f>
        <v>Uncle Sams Cider (11/12/2021) (Blue)</v>
      </c>
      <c r="H2281" s="19"/>
    </row>
    <row r="2282">
      <c r="A2282" s="9"/>
      <c r="B2282" s="15"/>
      <c r="C2282" s="9">
        <f>IFERROR(__xludf.DUMMYFUNCTION("""COMPUTED_VALUE"""),44581.7785348148)</f>
        <v>44581.77853</v>
      </c>
      <c r="D2282" s="15">
        <f>IFERROR(__xludf.DUMMYFUNCTION("""COMPUTED_VALUE"""),1.002)</f>
        <v>1.002</v>
      </c>
      <c r="E2282" s="16">
        <f>IFERROR(__xludf.DUMMYFUNCTION("""COMPUTED_VALUE"""),64.0)</f>
        <v>64</v>
      </c>
      <c r="F2282" s="19" t="str">
        <f>IFERROR(__xludf.DUMMYFUNCTION("""COMPUTED_VALUE"""),"BLUE")</f>
        <v>BLUE</v>
      </c>
      <c r="G2282" s="20" t="str">
        <f>IFERROR(__xludf.DUMMYFUNCTION("""COMPUTED_VALUE"""),"Uncle Sams Cider (11/12/2021) (Blue)")</f>
        <v>Uncle Sams Cider (11/12/2021) (Blue)</v>
      </c>
      <c r="H2282" s="19"/>
    </row>
    <row r="2283">
      <c r="A2283" s="9"/>
      <c r="B2283" s="15"/>
      <c r="C2283" s="9">
        <f>IFERROR(__xludf.DUMMYFUNCTION("""COMPUTED_VALUE"""),44581.7681144907)</f>
        <v>44581.76811</v>
      </c>
      <c r="D2283" s="15">
        <f>IFERROR(__xludf.DUMMYFUNCTION("""COMPUTED_VALUE"""),1.002)</f>
        <v>1.002</v>
      </c>
      <c r="E2283" s="16">
        <f>IFERROR(__xludf.DUMMYFUNCTION("""COMPUTED_VALUE"""),63.0)</f>
        <v>63</v>
      </c>
      <c r="F2283" s="19" t="str">
        <f>IFERROR(__xludf.DUMMYFUNCTION("""COMPUTED_VALUE"""),"BLUE")</f>
        <v>BLUE</v>
      </c>
      <c r="G2283" s="20" t="str">
        <f>IFERROR(__xludf.DUMMYFUNCTION("""COMPUTED_VALUE"""),"Uncle Sams Cider (11/12/2021) (Blue)")</f>
        <v>Uncle Sams Cider (11/12/2021) (Blue)</v>
      </c>
      <c r="H2283" s="19"/>
    </row>
    <row r="2284">
      <c r="A2284" s="9"/>
      <c r="B2284" s="15"/>
      <c r="C2284" s="9">
        <f>IFERROR(__xludf.DUMMYFUNCTION("""COMPUTED_VALUE"""),44581.7576817361)</f>
        <v>44581.75768</v>
      </c>
      <c r="D2284" s="15">
        <f>IFERROR(__xludf.DUMMYFUNCTION("""COMPUTED_VALUE"""),1.002)</f>
        <v>1.002</v>
      </c>
      <c r="E2284" s="16">
        <f>IFERROR(__xludf.DUMMYFUNCTION("""COMPUTED_VALUE"""),63.0)</f>
        <v>63</v>
      </c>
      <c r="F2284" s="19" t="str">
        <f>IFERROR(__xludf.DUMMYFUNCTION("""COMPUTED_VALUE"""),"BLUE")</f>
        <v>BLUE</v>
      </c>
      <c r="G2284" s="20" t="str">
        <f>IFERROR(__xludf.DUMMYFUNCTION("""COMPUTED_VALUE"""),"Uncle Sams Cider (11/12/2021) (Blue)")</f>
        <v>Uncle Sams Cider (11/12/2021) (Blue)</v>
      </c>
      <c r="H2284" s="19"/>
    </row>
    <row r="2285">
      <c r="A2285" s="9"/>
      <c r="B2285" s="15"/>
      <c r="C2285" s="9">
        <f>IFERROR(__xludf.DUMMYFUNCTION("""COMPUTED_VALUE"""),44581.7472504513)</f>
        <v>44581.74725</v>
      </c>
      <c r="D2285" s="15">
        <f>IFERROR(__xludf.DUMMYFUNCTION("""COMPUTED_VALUE"""),1.001)</f>
        <v>1.001</v>
      </c>
      <c r="E2285" s="16">
        <f>IFERROR(__xludf.DUMMYFUNCTION("""COMPUTED_VALUE"""),64.0)</f>
        <v>64</v>
      </c>
      <c r="F2285" s="19" t="str">
        <f>IFERROR(__xludf.DUMMYFUNCTION("""COMPUTED_VALUE"""),"BLUE")</f>
        <v>BLUE</v>
      </c>
      <c r="G2285" s="20" t="str">
        <f>IFERROR(__xludf.DUMMYFUNCTION("""COMPUTED_VALUE"""),"Uncle Sams Cider (11/12/2021) (Blue)")</f>
        <v>Uncle Sams Cider (11/12/2021) (Blue)</v>
      </c>
      <c r="H2285" s="19"/>
    </row>
    <row r="2286">
      <c r="A2286" s="9"/>
      <c r="B2286" s="15"/>
      <c r="C2286" s="9">
        <f>IFERROR(__xludf.DUMMYFUNCTION("""COMPUTED_VALUE"""),44581.7368287499)</f>
        <v>44581.73683</v>
      </c>
      <c r="D2286" s="15">
        <f>IFERROR(__xludf.DUMMYFUNCTION("""COMPUTED_VALUE"""),1.002)</f>
        <v>1.002</v>
      </c>
      <c r="E2286" s="16">
        <f>IFERROR(__xludf.DUMMYFUNCTION("""COMPUTED_VALUE"""),64.0)</f>
        <v>64</v>
      </c>
      <c r="F2286" s="19" t="str">
        <f>IFERROR(__xludf.DUMMYFUNCTION("""COMPUTED_VALUE"""),"BLUE")</f>
        <v>BLUE</v>
      </c>
      <c r="G2286" s="20" t="str">
        <f>IFERROR(__xludf.DUMMYFUNCTION("""COMPUTED_VALUE"""),"Uncle Sams Cider (11/12/2021) (Blue)")</f>
        <v>Uncle Sams Cider (11/12/2021) (Blue)</v>
      </c>
      <c r="H2286" s="19"/>
    </row>
    <row r="2287">
      <c r="A2287" s="9"/>
      <c r="B2287" s="15"/>
      <c r="C2287" s="9">
        <f>IFERROR(__xludf.DUMMYFUNCTION("""COMPUTED_VALUE"""),44581.726406875)</f>
        <v>44581.72641</v>
      </c>
      <c r="D2287" s="15">
        <f>IFERROR(__xludf.DUMMYFUNCTION("""COMPUTED_VALUE"""),1.002)</f>
        <v>1.002</v>
      </c>
      <c r="E2287" s="16">
        <f>IFERROR(__xludf.DUMMYFUNCTION("""COMPUTED_VALUE"""),64.0)</f>
        <v>64</v>
      </c>
      <c r="F2287" s="19" t="str">
        <f>IFERROR(__xludf.DUMMYFUNCTION("""COMPUTED_VALUE"""),"BLUE")</f>
        <v>BLUE</v>
      </c>
      <c r="G2287" s="20" t="str">
        <f>IFERROR(__xludf.DUMMYFUNCTION("""COMPUTED_VALUE"""),"Uncle Sams Cider (11/12/2021) (Blue)")</f>
        <v>Uncle Sams Cider (11/12/2021) (Blue)</v>
      </c>
      <c r="H2287" s="19"/>
    </row>
    <row r="2288">
      <c r="A2288" s="9"/>
      <c r="B2288" s="15"/>
      <c r="C2288" s="9">
        <f>IFERROR(__xludf.DUMMYFUNCTION("""COMPUTED_VALUE"""),44581.7159863773)</f>
        <v>44581.71599</v>
      </c>
      <c r="D2288" s="15">
        <f>IFERROR(__xludf.DUMMYFUNCTION("""COMPUTED_VALUE"""),1.002)</f>
        <v>1.002</v>
      </c>
      <c r="E2288" s="16">
        <f>IFERROR(__xludf.DUMMYFUNCTION("""COMPUTED_VALUE"""),64.0)</f>
        <v>64</v>
      </c>
      <c r="F2288" s="19" t="str">
        <f>IFERROR(__xludf.DUMMYFUNCTION("""COMPUTED_VALUE"""),"BLUE")</f>
        <v>BLUE</v>
      </c>
      <c r="G2288" s="20" t="str">
        <f>IFERROR(__xludf.DUMMYFUNCTION("""COMPUTED_VALUE"""),"Uncle Sams Cider (11/12/2021) (Blue)")</f>
        <v>Uncle Sams Cider (11/12/2021) (Blue)</v>
      </c>
      <c r="H2288" s="19"/>
    </row>
    <row r="2289">
      <c r="A2289" s="9"/>
      <c r="B2289" s="15"/>
      <c r="C2289" s="9">
        <f>IFERROR(__xludf.DUMMYFUNCTION("""COMPUTED_VALUE"""),44581.705567199)</f>
        <v>44581.70557</v>
      </c>
      <c r="D2289" s="15">
        <f>IFERROR(__xludf.DUMMYFUNCTION("""COMPUTED_VALUE"""),1.002)</f>
        <v>1.002</v>
      </c>
      <c r="E2289" s="16">
        <f>IFERROR(__xludf.DUMMYFUNCTION("""COMPUTED_VALUE"""),64.0)</f>
        <v>64</v>
      </c>
      <c r="F2289" s="19" t="str">
        <f>IFERROR(__xludf.DUMMYFUNCTION("""COMPUTED_VALUE"""),"BLUE")</f>
        <v>BLUE</v>
      </c>
      <c r="G2289" s="20" t="str">
        <f>IFERROR(__xludf.DUMMYFUNCTION("""COMPUTED_VALUE"""),"Uncle Sams Cider (11/12/2021) (Blue)")</f>
        <v>Uncle Sams Cider (11/12/2021) (Blue)</v>
      </c>
      <c r="H2289" s="19"/>
    </row>
    <row r="2290">
      <c r="A2290" s="9"/>
      <c r="B2290" s="15"/>
      <c r="C2290" s="9">
        <f>IFERROR(__xludf.DUMMYFUNCTION("""COMPUTED_VALUE"""),44581.6950997222)</f>
        <v>44581.6951</v>
      </c>
      <c r="D2290" s="15">
        <f>IFERROR(__xludf.DUMMYFUNCTION("""COMPUTED_VALUE"""),1.002)</f>
        <v>1.002</v>
      </c>
      <c r="E2290" s="16">
        <f>IFERROR(__xludf.DUMMYFUNCTION("""COMPUTED_VALUE"""),64.0)</f>
        <v>64</v>
      </c>
      <c r="F2290" s="19" t="str">
        <f>IFERROR(__xludf.DUMMYFUNCTION("""COMPUTED_VALUE"""),"BLUE")</f>
        <v>BLUE</v>
      </c>
      <c r="G2290" s="20" t="str">
        <f>IFERROR(__xludf.DUMMYFUNCTION("""COMPUTED_VALUE"""),"Uncle Sams Cider (11/12/2021) (Blue)")</f>
        <v>Uncle Sams Cider (11/12/2021) (Blue)</v>
      </c>
      <c r="H2290" s="19"/>
    </row>
    <row r="2291">
      <c r="A2291" s="9"/>
      <c r="B2291" s="15"/>
      <c r="C2291" s="9">
        <f>IFERROR(__xludf.DUMMYFUNCTION("""COMPUTED_VALUE"""),44581.6846545949)</f>
        <v>44581.68465</v>
      </c>
      <c r="D2291" s="15">
        <f>IFERROR(__xludf.DUMMYFUNCTION("""COMPUTED_VALUE"""),1.002)</f>
        <v>1.002</v>
      </c>
      <c r="E2291" s="16">
        <f>IFERROR(__xludf.DUMMYFUNCTION("""COMPUTED_VALUE"""),64.0)</f>
        <v>64</v>
      </c>
      <c r="F2291" s="19" t="str">
        <f>IFERROR(__xludf.DUMMYFUNCTION("""COMPUTED_VALUE"""),"BLUE")</f>
        <v>BLUE</v>
      </c>
      <c r="G2291" s="20" t="str">
        <f>IFERROR(__xludf.DUMMYFUNCTION("""COMPUTED_VALUE"""),"Uncle Sams Cider (11/12/2021) (Blue)")</f>
        <v>Uncle Sams Cider (11/12/2021) (Blue)</v>
      </c>
      <c r="H2291" s="19"/>
    </row>
    <row r="2292">
      <c r="A2292" s="9"/>
      <c r="B2292" s="15"/>
      <c r="C2292" s="9">
        <f>IFERROR(__xludf.DUMMYFUNCTION("""COMPUTED_VALUE"""),44581.6742223148)</f>
        <v>44581.67422</v>
      </c>
      <c r="D2292" s="15">
        <f>IFERROR(__xludf.DUMMYFUNCTION("""COMPUTED_VALUE"""),1.002)</f>
        <v>1.002</v>
      </c>
      <c r="E2292" s="16">
        <f>IFERROR(__xludf.DUMMYFUNCTION("""COMPUTED_VALUE"""),64.0)</f>
        <v>64</v>
      </c>
      <c r="F2292" s="19" t="str">
        <f>IFERROR(__xludf.DUMMYFUNCTION("""COMPUTED_VALUE"""),"BLUE")</f>
        <v>BLUE</v>
      </c>
      <c r="G2292" s="20" t="str">
        <f>IFERROR(__xludf.DUMMYFUNCTION("""COMPUTED_VALUE"""),"Uncle Sams Cider (11/12/2021) (Blue)")</f>
        <v>Uncle Sams Cider (11/12/2021) (Blue)</v>
      </c>
      <c r="H2292" s="19"/>
    </row>
    <row r="2293">
      <c r="A2293" s="9"/>
      <c r="B2293" s="15"/>
      <c r="C2293" s="9">
        <f>IFERROR(__xludf.DUMMYFUNCTION("""COMPUTED_VALUE"""),44581.6637999189)</f>
        <v>44581.6638</v>
      </c>
      <c r="D2293" s="15">
        <f>IFERROR(__xludf.DUMMYFUNCTION("""COMPUTED_VALUE"""),1.002)</f>
        <v>1.002</v>
      </c>
      <c r="E2293" s="16">
        <f>IFERROR(__xludf.DUMMYFUNCTION("""COMPUTED_VALUE"""),64.0)</f>
        <v>64</v>
      </c>
      <c r="F2293" s="19" t="str">
        <f>IFERROR(__xludf.DUMMYFUNCTION("""COMPUTED_VALUE"""),"BLUE")</f>
        <v>BLUE</v>
      </c>
      <c r="G2293" s="20" t="str">
        <f>IFERROR(__xludf.DUMMYFUNCTION("""COMPUTED_VALUE"""),"Uncle Sams Cider (11/12/2021) (Blue)")</f>
        <v>Uncle Sams Cider (11/12/2021) (Blue)</v>
      </c>
      <c r="H2293" s="19"/>
    </row>
    <row r="2294">
      <c r="A2294" s="9"/>
      <c r="B2294" s="15"/>
      <c r="C2294" s="9">
        <f>IFERROR(__xludf.DUMMYFUNCTION("""COMPUTED_VALUE"""),44581.6533778703)</f>
        <v>44581.65338</v>
      </c>
      <c r="D2294" s="15">
        <f>IFERROR(__xludf.DUMMYFUNCTION("""COMPUTED_VALUE"""),1.002)</f>
        <v>1.002</v>
      </c>
      <c r="E2294" s="16">
        <f>IFERROR(__xludf.DUMMYFUNCTION("""COMPUTED_VALUE"""),64.0)</f>
        <v>64</v>
      </c>
      <c r="F2294" s="19" t="str">
        <f>IFERROR(__xludf.DUMMYFUNCTION("""COMPUTED_VALUE"""),"BLUE")</f>
        <v>BLUE</v>
      </c>
      <c r="G2294" s="20" t="str">
        <f>IFERROR(__xludf.DUMMYFUNCTION("""COMPUTED_VALUE"""),"Uncle Sams Cider (11/12/2021) (Blue)")</f>
        <v>Uncle Sams Cider (11/12/2021) (Blue)</v>
      </c>
      <c r="H2294" s="19"/>
    </row>
    <row r="2295">
      <c r="A2295" s="9"/>
      <c r="B2295" s="15"/>
      <c r="C2295" s="9">
        <f>IFERROR(__xludf.DUMMYFUNCTION("""COMPUTED_VALUE"""),44581.6429562731)</f>
        <v>44581.64296</v>
      </c>
      <c r="D2295" s="15">
        <f>IFERROR(__xludf.DUMMYFUNCTION("""COMPUTED_VALUE"""),1.002)</f>
        <v>1.002</v>
      </c>
      <c r="E2295" s="16">
        <f>IFERROR(__xludf.DUMMYFUNCTION("""COMPUTED_VALUE"""),64.0)</f>
        <v>64</v>
      </c>
      <c r="F2295" s="19" t="str">
        <f>IFERROR(__xludf.DUMMYFUNCTION("""COMPUTED_VALUE"""),"BLUE")</f>
        <v>BLUE</v>
      </c>
      <c r="G2295" s="20" t="str">
        <f>IFERROR(__xludf.DUMMYFUNCTION("""COMPUTED_VALUE"""),"Uncle Sams Cider (11/12/2021) (Blue)")</f>
        <v>Uncle Sams Cider (11/12/2021) (Blue)</v>
      </c>
      <c r="H2295" s="19"/>
    </row>
    <row r="2296">
      <c r="A2296" s="9"/>
      <c r="B2296" s="15"/>
      <c r="C2296" s="9">
        <f>IFERROR(__xludf.DUMMYFUNCTION("""COMPUTED_VALUE"""),44581.6325349305)</f>
        <v>44581.63253</v>
      </c>
      <c r="D2296" s="15">
        <f>IFERROR(__xludf.DUMMYFUNCTION("""COMPUTED_VALUE"""),1.002)</f>
        <v>1.002</v>
      </c>
      <c r="E2296" s="16">
        <f>IFERROR(__xludf.DUMMYFUNCTION("""COMPUTED_VALUE"""),64.0)</f>
        <v>64</v>
      </c>
      <c r="F2296" s="19" t="str">
        <f>IFERROR(__xludf.DUMMYFUNCTION("""COMPUTED_VALUE"""),"BLUE")</f>
        <v>BLUE</v>
      </c>
      <c r="G2296" s="20" t="str">
        <f>IFERROR(__xludf.DUMMYFUNCTION("""COMPUTED_VALUE"""),"Uncle Sams Cider (11/12/2021) (Blue)")</f>
        <v>Uncle Sams Cider (11/12/2021) (Blue)</v>
      </c>
      <c r="H2296" s="19"/>
    </row>
    <row r="2297">
      <c r="A2297" s="9"/>
      <c r="B2297" s="15"/>
      <c r="C2297" s="9">
        <f>IFERROR(__xludf.DUMMYFUNCTION("""COMPUTED_VALUE"""),44581.6221155787)</f>
        <v>44581.62212</v>
      </c>
      <c r="D2297" s="15">
        <f>IFERROR(__xludf.DUMMYFUNCTION("""COMPUTED_VALUE"""),1.002)</f>
        <v>1.002</v>
      </c>
      <c r="E2297" s="16">
        <f>IFERROR(__xludf.DUMMYFUNCTION("""COMPUTED_VALUE"""),64.0)</f>
        <v>64</v>
      </c>
      <c r="F2297" s="19" t="str">
        <f>IFERROR(__xludf.DUMMYFUNCTION("""COMPUTED_VALUE"""),"BLUE")</f>
        <v>BLUE</v>
      </c>
      <c r="G2297" s="20" t="str">
        <f>IFERROR(__xludf.DUMMYFUNCTION("""COMPUTED_VALUE"""),"Uncle Sams Cider (11/12/2021) (Blue)")</f>
        <v>Uncle Sams Cider (11/12/2021) (Blue)</v>
      </c>
      <c r="H2297" s="19"/>
    </row>
    <row r="2298">
      <c r="A2298" s="9"/>
      <c r="B2298" s="15"/>
      <c r="C2298" s="9">
        <f>IFERROR(__xludf.DUMMYFUNCTION("""COMPUTED_VALUE"""),44581.6116840277)</f>
        <v>44581.61168</v>
      </c>
      <c r="D2298" s="15">
        <f>IFERROR(__xludf.DUMMYFUNCTION("""COMPUTED_VALUE"""),1.002)</f>
        <v>1.002</v>
      </c>
      <c r="E2298" s="16">
        <f>IFERROR(__xludf.DUMMYFUNCTION("""COMPUTED_VALUE"""),64.0)</f>
        <v>64</v>
      </c>
      <c r="F2298" s="19" t="str">
        <f>IFERROR(__xludf.DUMMYFUNCTION("""COMPUTED_VALUE"""),"BLUE")</f>
        <v>BLUE</v>
      </c>
      <c r="G2298" s="20" t="str">
        <f>IFERROR(__xludf.DUMMYFUNCTION("""COMPUTED_VALUE"""),"Uncle Sams Cider (11/12/2021) (Blue)")</f>
        <v>Uncle Sams Cider (11/12/2021) (Blue)</v>
      </c>
      <c r="H2298" s="19"/>
    </row>
    <row r="2299">
      <c r="A2299" s="9"/>
      <c r="B2299" s="15"/>
      <c r="C2299" s="9">
        <f>IFERROR(__xludf.DUMMYFUNCTION("""COMPUTED_VALUE"""),44581.6012626967)</f>
        <v>44581.60126</v>
      </c>
      <c r="D2299" s="15">
        <f>IFERROR(__xludf.DUMMYFUNCTION("""COMPUTED_VALUE"""),1.002)</f>
        <v>1.002</v>
      </c>
      <c r="E2299" s="16">
        <f>IFERROR(__xludf.DUMMYFUNCTION("""COMPUTED_VALUE"""),64.0)</f>
        <v>64</v>
      </c>
      <c r="F2299" s="19" t="str">
        <f>IFERROR(__xludf.DUMMYFUNCTION("""COMPUTED_VALUE"""),"BLUE")</f>
        <v>BLUE</v>
      </c>
      <c r="G2299" s="20" t="str">
        <f>IFERROR(__xludf.DUMMYFUNCTION("""COMPUTED_VALUE"""),"Uncle Sams Cider (11/12/2021) (Blue)")</f>
        <v>Uncle Sams Cider (11/12/2021) (Blue)</v>
      </c>
      <c r="H2299" s="19"/>
    </row>
    <row r="2300">
      <c r="A2300" s="9"/>
      <c r="B2300" s="15"/>
      <c r="C2300" s="9">
        <f>IFERROR(__xludf.DUMMYFUNCTION("""COMPUTED_VALUE"""),44581.5908426157)</f>
        <v>44581.59084</v>
      </c>
      <c r="D2300" s="15">
        <f>IFERROR(__xludf.DUMMYFUNCTION("""COMPUTED_VALUE"""),1.002)</f>
        <v>1.002</v>
      </c>
      <c r="E2300" s="16">
        <f>IFERROR(__xludf.DUMMYFUNCTION("""COMPUTED_VALUE"""),64.0)</f>
        <v>64</v>
      </c>
      <c r="F2300" s="19" t="str">
        <f>IFERROR(__xludf.DUMMYFUNCTION("""COMPUTED_VALUE"""),"BLUE")</f>
        <v>BLUE</v>
      </c>
      <c r="G2300" s="20" t="str">
        <f>IFERROR(__xludf.DUMMYFUNCTION("""COMPUTED_VALUE"""),"Uncle Sams Cider (11/12/2021) (Blue)")</f>
        <v>Uncle Sams Cider (11/12/2021) (Blue)</v>
      </c>
      <c r="H2300" s="19"/>
    </row>
    <row r="2301">
      <c r="A2301" s="9"/>
      <c r="B2301" s="15"/>
      <c r="C2301" s="9">
        <f>IFERROR(__xludf.DUMMYFUNCTION("""COMPUTED_VALUE"""),44581.5804085995)</f>
        <v>44581.58041</v>
      </c>
      <c r="D2301" s="15">
        <f>IFERROR(__xludf.DUMMYFUNCTION("""COMPUTED_VALUE"""),1.002)</f>
        <v>1.002</v>
      </c>
      <c r="E2301" s="16">
        <f>IFERROR(__xludf.DUMMYFUNCTION("""COMPUTED_VALUE"""),64.0)</f>
        <v>64</v>
      </c>
      <c r="F2301" s="19" t="str">
        <f>IFERROR(__xludf.DUMMYFUNCTION("""COMPUTED_VALUE"""),"BLUE")</f>
        <v>BLUE</v>
      </c>
      <c r="G2301" s="20" t="str">
        <f>IFERROR(__xludf.DUMMYFUNCTION("""COMPUTED_VALUE"""),"Uncle Sams Cider (11/12/2021) (Blue)")</f>
        <v>Uncle Sams Cider (11/12/2021) (Blue)</v>
      </c>
      <c r="H2301" s="19"/>
    </row>
    <row r="2302">
      <c r="A2302" s="9"/>
      <c r="B2302" s="15"/>
      <c r="C2302" s="9">
        <f>IFERROR(__xludf.DUMMYFUNCTION("""COMPUTED_VALUE"""),44581.5699645023)</f>
        <v>44581.56996</v>
      </c>
      <c r="D2302" s="15">
        <f>IFERROR(__xludf.DUMMYFUNCTION("""COMPUTED_VALUE"""),1.002)</f>
        <v>1.002</v>
      </c>
      <c r="E2302" s="16">
        <f>IFERROR(__xludf.DUMMYFUNCTION("""COMPUTED_VALUE"""),64.0)</f>
        <v>64</v>
      </c>
      <c r="F2302" s="19" t="str">
        <f>IFERROR(__xludf.DUMMYFUNCTION("""COMPUTED_VALUE"""),"BLUE")</f>
        <v>BLUE</v>
      </c>
      <c r="G2302" s="20" t="str">
        <f>IFERROR(__xludf.DUMMYFUNCTION("""COMPUTED_VALUE"""),"Uncle Sams Cider (11/12/2021) (Blue)")</f>
        <v>Uncle Sams Cider (11/12/2021) (Blue)</v>
      </c>
      <c r="H2302" s="19"/>
    </row>
    <row r="2303">
      <c r="A2303" s="9"/>
      <c r="B2303" s="15"/>
      <c r="C2303" s="9">
        <f>IFERROR(__xludf.DUMMYFUNCTION("""COMPUTED_VALUE"""),44581.5595426041)</f>
        <v>44581.55954</v>
      </c>
      <c r="D2303" s="15">
        <f>IFERROR(__xludf.DUMMYFUNCTION("""COMPUTED_VALUE"""),1.002)</f>
        <v>1.002</v>
      </c>
      <c r="E2303" s="16">
        <f>IFERROR(__xludf.DUMMYFUNCTION("""COMPUTED_VALUE"""),64.0)</f>
        <v>64</v>
      </c>
      <c r="F2303" s="19" t="str">
        <f>IFERROR(__xludf.DUMMYFUNCTION("""COMPUTED_VALUE"""),"BLUE")</f>
        <v>BLUE</v>
      </c>
      <c r="G2303" s="20" t="str">
        <f>IFERROR(__xludf.DUMMYFUNCTION("""COMPUTED_VALUE"""),"Uncle Sams Cider (11/12/2021) (Blue)")</f>
        <v>Uncle Sams Cider (11/12/2021) (Blue)</v>
      </c>
      <c r="H2303" s="19"/>
    </row>
    <row r="2304">
      <c r="A2304" s="9"/>
      <c r="B2304" s="15"/>
      <c r="C2304" s="9">
        <f>IFERROR(__xludf.DUMMYFUNCTION("""COMPUTED_VALUE"""),44581.5491099421)</f>
        <v>44581.54911</v>
      </c>
      <c r="D2304" s="15">
        <f>IFERROR(__xludf.DUMMYFUNCTION("""COMPUTED_VALUE"""),1.002)</f>
        <v>1.002</v>
      </c>
      <c r="E2304" s="16">
        <f>IFERROR(__xludf.DUMMYFUNCTION("""COMPUTED_VALUE"""),64.0)</f>
        <v>64</v>
      </c>
      <c r="F2304" s="19" t="str">
        <f>IFERROR(__xludf.DUMMYFUNCTION("""COMPUTED_VALUE"""),"BLUE")</f>
        <v>BLUE</v>
      </c>
      <c r="G2304" s="20" t="str">
        <f>IFERROR(__xludf.DUMMYFUNCTION("""COMPUTED_VALUE"""),"Uncle Sams Cider (11/12/2021) (Blue)")</f>
        <v>Uncle Sams Cider (11/12/2021) (Blue)</v>
      </c>
      <c r="H2304" s="19"/>
    </row>
    <row r="2305">
      <c r="A2305" s="9"/>
      <c r="B2305" s="15"/>
      <c r="C2305" s="9">
        <f>IFERROR(__xludf.DUMMYFUNCTION("""COMPUTED_VALUE"""),44581.5386890509)</f>
        <v>44581.53869</v>
      </c>
      <c r="D2305" s="15">
        <f>IFERROR(__xludf.DUMMYFUNCTION("""COMPUTED_VALUE"""),1.002)</f>
        <v>1.002</v>
      </c>
      <c r="E2305" s="16">
        <f>IFERROR(__xludf.DUMMYFUNCTION("""COMPUTED_VALUE"""),64.0)</f>
        <v>64</v>
      </c>
      <c r="F2305" s="19" t="str">
        <f>IFERROR(__xludf.DUMMYFUNCTION("""COMPUTED_VALUE"""),"BLUE")</f>
        <v>BLUE</v>
      </c>
      <c r="G2305" s="20" t="str">
        <f>IFERROR(__xludf.DUMMYFUNCTION("""COMPUTED_VALUE"""),"Uncle Sams Cider (11/12/2021) (Blue)")</f>
        <v>Uncle Sams Cider (11/12/2021) (Blue)</v>
      </c>
      <c r="H2305" s="19"/>
    </row>
    <row r="2306">
      <c r="A2306" s="9"/>
      <c r="B2306" s="15"/>
      <c r="C2306" s="9">
        <f>IFERROR(__xludf.DUMMYFUNCTION("""COMPUTED_VALUE"""),44581.5282679166)</f>
        <v>44581.52827</v>
      </c>
      <c r="D2306" s="15">
        <f>IFERROR(__xludf.DUMMYFUNCTION("""COMPUTED_VALUE"""),1.002)</f>
        <v>1.002</v>
      </c>
      <c r="E2306" s="16">
        <f>IFERROR(__xludf.DUMMYFUNCTION("""COMPUTED_VALUE"""),64.0)</f>
        <v>64</v>
      </c>
      <c r="F2306" s="19" t="str">
        <f>IFERROR(__xludf.DUMMYFUNCTION("""COMPUTED_VALUE"""),"BLUE")</f>
        <v>BLUE</v>
      </c>
      <c r="G2306" s="20" t="str">
        <f>IFERROR(__xludf.DUMMYFUNCTION("""COMPUTED_VALUE"""),"Uncle Sams Cider (11/12/2021) (Blue)")</f>
        <v>Uncle Sams Cider (11/12/2021) (Blue)</v>
      </c>
      <c r="H2306" s="19"/>
    </row>
    <row r="2307">
      <c r="A2307" s="9"/>
      <c r="B2307" s="15"/>
      <c r="C2307" s="9">
        <f>IFERROR(__xludf.DUMMYFUNCTION("""COMPUTED_VALUE"""),44581.5178465161)</f>
        <v>44581.51785</v>
      </c>
      <c r="D2307" s="15">
        <f>IFERROR(__xludf.DUMMYFUNCTION("""COMPUTED_VALUE"""),1.002)</f>
        <v>1.002</v>
      </c>
      <c r="E2307" s="16">
        <f>IFERROR(__xludf.DUMMYFUNCTION("""COMPUTED_VALUE"""),64.0)</f>
        <v>64</v>
      </c>
      <c r="F2307" s="19" t="str">
        <f>IFERROR(__xludf.DUMMYFUNCTION("""COMPUTED_VALUE"""),"BLUE")</f>
        <v>BLUE</v>
      </c>
      <c r="G2307" s="20" t="str">
        <f>IFERROR(__xludf.DUMMYFUNCTION("""COMPUTED_VALUE"""),"Uncle Sams Cider (11/12/2021) (Blue)")</f>
        <v>Uncle Sams Cider (11/12/2021) (Blue)</v>
      </c>
      <c r="H2307" s="19"/>
    </row>
    <row r="2308">
      <c r="A2308" s="9"/>
      <c r="B2308" s="15"/>
      <c r="C2308" s="9">
        <f>IFERROR(__xludf.DUMMYFUNCTION("""COMPUTED_VALUE"""),44581.5074243171)</f>
        <v>44581.50742</v>
      </c>
      <c r="D2308" s="15">
        <f>IFERROR(__xludf.DUMMYFUNCTION("""COMPUTED_VALUE"""),1.002)</f>
        <v>1.002</v>
      </c>
      <c r="E2308" s="16">
        <f>IFERROR(__xludf.DUMMYFUNCTION("""COMPUTED_VALUE"""),64.0)</f>
        <v>64</v>
      </c>
      <c r="F2308" s="19" t="str">
        <f>IFERROR(__xludf.DUMMYFUNCTION("""COMPUTED_VALUE"""),"BLUE")</f>
        <v>BLUE</v>
      </c>
      <c r="G2308" s="20" t="str">
        <f>IFERROR(__xludf.DUMMYFUNCTION("""COMPUTED_VALUE"""),"Uncle Sams Cider (11/12/2021) (Blue)")</f>
        <v>Uncle Sams Cider (11/12/2021) (Blue)</v>
      </c>
      <c r="H2308" s="19"/>
    </row>
    <row r="2309">
      <c r="A2309" s="9"/>
      <c r="B2309" s="15"/>
      <c r="C2309" s="9">
        <f>IFERROR(__xludf.DUMMYFUNCTION("""COMPUTED_VALUE"""),44581.4970036111)</f>
        <v>44581.497</v>
      </c>
      <c r="D2309" s="15">
        <f>IFERROR(__xludf.DUMMYFUNCTION("""COMPUTED_VALUE"""),1.002)</f>
        <v>1.002</v>
      </c>
      <c r="E2309" s="16">
        <f>IFERROR(__xludf.DUMMYFUNCTION("""COMPUTED_VALUE"""),64.0)</f>
        <v>64</v>
      </c>
      <c r="F2309" s="19" t="str">
        <f>IFERROR(__xludf.DUMMYFUNCTION("""COMPUTED_VALUE"""),"BLUE")</f>
        <v>BLUE</v>
      </c>
      <c r="G2309" s="20" t="str">
        <f>IFERROR(__xludf.DUMMYFUNCTION("""COMPUTED_VALUE"""),"Uncle Sams Cider (11/12/2021) (Blue)")</f>
        <v>Uncle Sams Cider (11/12/2021) (Blue)</v>
      </c>
      <c r="H2309" s="19"/>
    </row>
    <row r="2310">
      <c r="A2310" s="9"/>
      <c r="B2310" s="15"/>
      <c r="C2310" s="9">
        <f>IFERROR(__xludf.DUMMYFUNCTION("""COMPUTED_VALUE"""),44581.4865828472)</f>
        <v>44581.48658</v>
      </c>
      <c r="D2310" s="15">
        <f>IFERROR(__xludf.DUMMYFUNCTION("""COMPUTED_VALUE"""),1.002)</f>
        <v>1.002</v>
      </c>
      <c r="E2310" s="16">
        <f>IFERROR(__xludf.DUMMYFUNCTION("""COMPUTED_VALUE"""),64.0)</f>
        <v>64</v>
      </c>
      <c r="F2310" s="19" t="str">
        <f>IFERROR(__xludf.DUMMYFUNCTION("""COMPUTED_VALUE"""),"BLUE")</f>
        <v>BLUE</v>
      </c>
      <c r="G2310" s="20" t="str">
        <f>IFERROR(__xludf.DUMMYFUNCTION("""COMPUTED_VALUE"""),"Uncle Sams Cider (11/12/2021) (Blue)")</f>
        <v>Uncle Sams Cider (11/12/2021) (Blue)</v>
      </c>
      <c r="H2310" s="19"/>
    </row>
    <row r="2311">
      <c r="A2311" s="9"/>
      <c r="B2311" s="15"/>
      <c r="C2311" s="9">
        <f>IFERROR(__xludf.DUMMYFUNCTION("""COMPUTED_VALUE"""),44581.476161655)</f>
        <v>44581.47616</v>
      </c>
      <c r="D2311" s="15">
        <f>IFERROR(__xludf.DUMMYFUNCTION("""COMPUTED_VALUE"""),1.002)</f>
        <v>1.002</v>
      </c>
      <c r="E2311" s="16">
        <f>IFERROR(__xludf.DUMMYFUNCTION("""COMPUTED_VALUE"""),64.0)</f>
        <v>64</v>
      </c>
      <c r="F2311" s="19" t="str">
        <f>IFERROR(__xludf.DUMMYFUNCTION("""COMPUTED_VALUE"""),"BLUE")</f>
        <v>BLUE</v>
      </c>
      <c r="G2311" s="20" t="str">
        <f>IFERROR(__xludf.DUMMYFUNCTION("""COMPUTED_VALUE"""),"Uncle Sams Cider (11/12/2021) (Blue)")</f>
        <v>Uncle Sams Cider (11/12/2021) (Blue)</v>
      </c>
      <c r="H2311" s="19"/>
    </row>
    <row r="2312">
      <c r="A2312" s="9"/>
      <c r="B2312" s="15"/>
      <c r="C2312" s="9">
        <f>IFERROR(__xludf.DUMMYFUNCTION("""COMPUTED_VALUE"""),44581.4657416435)</f>
        <v>44581.46574</v>
      </c>
      <c r="D2312" s="15">
        <f>IFERROR(__xludf.DUMMYFUNCTION("""COMPUTED_VALUE"""),1.002)</f>
        <v>1.002</v>
      </c>
      <c r="E2312" s="16">
        <f>IFERROR(__xludf.DUMMYFUNCTION("""COMPUTED_VALUE"""),64.0)</f>
        <v>64</v>
      </c>
      <c r="F2312" s="19" t="str">
        <f>IFERROR(__xludf.DUMMYFUNCTION("""COMPUTED_VALUE"""),"BLUE")</f>
        <v>BLUE</v>
      </c>
      <c r="G2312" s="20" t="str">
        <f>IFERROR(__xludf.DUMMYFUNCTION("""COMPUTED_VALUE"""),"Uncle Sams Cider (11/12/2021) (Blue)")</f>
        <v>Uncle Sams Cider (11/12/2021) (Blue)</v>
      </c>
      <c r="H2312" s="19"/>
    </row>
    <row r="2313">
      <c r="A2313" s="9"/>
      <c r="B2313" s="15"/>
      <c r="C2313" s="9">
        <f>IFERROR(__xludf.DUMMYFUNCTION("""COMPUTED_VALUE"""),44581.4553089699)</f>
        <v>44581.45531</v>
      </c>
      <c r="D2313" s="15">
        <f>IFERROR(__xludf.DUMMYFUNCTION("""COMPUTED_VALUE"""),1.002)</f>
        <v>1.002</v>
      </c>
      <c r="E2313" s="16">
        <f>IFERROR(__xludf.DUMMYFUNCTION("""COMPUTED_VALUE"""),64.0)</f>
        <v>64</v>
      </c>
      <c r="F2313" s="19" t="str">
        <f>IFERROR(__xludf.DUMMYFUNCTION("""COMPUTED_VALUE"""),"BLUE")</f>
        <v>BLUE</v>
      </c>
      <c r="G2313" s="20" t="str">
        <f>IFERROR(__xludf.DUMMYFUNCTION("""COMPUTED_VALUE"""),"Uncle Sams Cider (11/12/2021) (Blue)")</f>
        <v>Uncle Sams Cider (11/12/2021) (Blue)</v>
      </c>
      <c r="H2313" s="19"/>
    </row>
    <row r="2314">
      <c r="A2314" s="9"/>
      <c r="B2314" s="15"/>
      <c r="C2314" s="9">
        <f>IFERROR(__xludf.DUMMYFUNCTION("""COMPUTED_VALUE"""),44581.4448892361)</f>
        <v>44581.44489</v>
      </c>
      <c r="D2314" s="15">
        <f>IFERROR(__xludf.DUMMYFUNCTION("""COMPUTED_VALUE"""),1.001)</f>
        <v>1.001</v>
      </c>
      <c r="E2314" s="16">
        <f>IFERROR(__xludf.DUMMYFUNCTION("""COMPUTED_VALUE"""),64.0)</f>
        <v>64</v>
      </c>
      <c r="F2314" s="19" t="str">
        <f>IFERROR(__xludf.DUMMYFUNCTION("""COMPUTED_VALUE"""),"BLUE")</f>
        <v>BLUE</v>
      </c>
      <c r="G2314" s="20" t="str">
        <f>IFERROR(__xludf.DUMMYFUNCTION("""COMPUTED_VALUE"""),"Uncle Sams Cider (11/12/2021) (Blue)")</f>
        <v>Uncle Sams Cider (11/12/2021) (Blue)</v>
      </c>
      <c r="H2314" s="19"/>
    </row>
    <row r="2315">
      <c r="A2315" s="9"/>
      <c r="B2315" s="15"/>
      <c r="C2315" s="9">
        <f>IFERROR(__xludf.DUMMYFUNCTION("""COMPUTED_VALUE"""),44581.4344561226)</f>
        <v>44581.43446</v>
      </c>
      <c r="D2315" s="15">
        <f>IFERROR(__xludf.DUMMYFUNCTION("""COMPUTED_VALUE"""),1.002)</f>
        <v>1.002</v>
      </c>
      <c r="E2315" s="16">
        <f>IFERROR(__xludf.DUMMYFUNCTION("""COMPUTED_VALUE"""),64.0)</f>
        <v>64</v>
      </c>
      <c r="F2315" s="19" t="str">
        <f>IFERROR(__xludf.DUMMYFUNCTION("""COMPUTED_VALUE"""),"BLUE")</f>
        <v>BLUE</v>
      </c>
      <c r="G2315" s="20" t="str">
        <f>IFERROR(__xludf.DUMMYFUNCTION("""COMPUTED_VALUE"""),"Uncle Sams Cider (11/12/2021) (Blue)")</f>
        <v>Uncle Sams Cider (11/12/2021) (Blue)</v>
      </c>
      <c r="H2315" s="19"/>
    </row>
    <row r="2316">
      <c r="A2316" s="9"/>
      <c r="B2316" s="15"/>
      <c r="C2316" s="9">
        <f>IFERROR(__xludf.DUMMYFUNCTION("""COMPUTED_VALUE"""),44581.4240112037)</f>
        <v>44581.42401</v>
      </c>
      <c r="D2316" s="15">
        <f>IFERROR(__xludf.DUMMYFUNCTION("""COMPUTED_VALUE"""),1.002)</f>
        <v>1.002</v>
      </c>
      <c r="E2316" s="16">
        <f>IFERROR(__xludf.DUMMYFUNCTION("""COMPUTED_VALUE"""),64.0)</f>
        <v>64</v>
      </c>
      <c r="F2316" s="19" t="str">
        <f>IFERROR(__xludf.DUMMYFUNCTION("""COMPUTED_VALUE"""),"BLUE")</f>
        <v>BLUE</v>
      </c>
      <c r="G2316" s="20" t="str">
        <f>IFERROR(__xludf.DUMMYFUNCTION("""COMPUTED_VALUE"""),"Uncle Sams Cider (11/12/2021) (Blue)")</f>
        <v>Uncle Sams Cider (11/12/2021) (Blue)</v>
      </c>
      <c r="H2316" s="19"/>
    </row>
    <row r="2317">
      <c r="A2317" s="9"/>
      <c r="B2317" s="15"/>
      <c r="C2317" s="9">
        <f>IFERROR(__xludf.DUMMYFUNCTION("""COMPUTED_VALUE"""),44581.4135792708)</f>
        <v>44581.41358</v>
      </c>
      <c r="D2317" s="15">
        <f>IFERROR(__xludf.DUMMYFUNCTION("""COMPUTED_VALUE"""),1.002)</f>
        <v>1.002</v>
      </c>
      <c r="E2317" s="16">
        <f>IFERROR(__xludf.DUMMYFUNCTION("""COMPUTED_VALUE"""),64.0)</f>
        <v>64</v>
      </c>
      <c r="F2317" s="19" t="str">
        <f>IFERROR(__xludf.DUMMYFUNCTION("""COMPUTED_VALUE"""),"BLUE")</f>
        <v>BLUE</v>
      </c>
      <c r="G2317" s="20" t="str">
        <f>IFERROR(__xludf.DUMMYFUNCTION("""COMPUTED_VALUE"""),"Uncle Sams Cider (11/12/2021) (Blue)")</f>
        <v>Uncle Sams Cider (11/12/2021) (Blue)</v>
      </c>
      <c r="H2317" s="19"/>
    </row>
    <row r="2318">
      <c r="A2318" s="9"/>
      <c r="B2318" s="15"/>
      <c r="C2318" s="9">
        <f>IFERROR(__xludf.DUMMYFUNCTION("""COMPUTED_VALUE"""),44581.4031573263)</f>
        <v>44581.40316</v>
      </c>
      <c r="D2318" s="15">
        <f>IFERROR(__xludf.DUMMYFUNCTION("""COMPUTED_VALUE"""),1.002)</f>
        <v>1.002</v>
      </c>
      <c r="E2318" s="16">
        <f>IFERROR(__xludf.DUMMYFUNCTION("""COMPUTED_VALUE"""),64.0)</f>
        <v>64</v>
      </c>
      <c r="F2318" s="19" t="str">
        <f>IFERROR(__xludf.DUMMYFUNCTION("""COMPUTED_VALUE"""),"BLUE")</f>
        <v>BLUE</v>
      </c>
      <c r="G2318" s="20" t="str">
        <f>IFERROR(__xludf.DUMMYFUNCTION("""COMPUTED_VALUE"""),"Uncle Sams Cider (11/12/2021) (Blue)")</f>
        <v>Uncle Sams Cider (11/12/2021) (Blue)</v>
      </c>
      <c r="H2318" s="19"/>
    </row>
    <row r="2319">
      <c r="A2319" s="9"/>
      <c r="B2319" s="15"/>
      <c r="C2319" s="9">
        <f>IFERROR(__xludf.DUMMYFUNCTION("""COMPUTED_VALUE"""),44581.3927356944)</f>
        <v>44581.39274</v>
      </c>
      <c r="D2319" s="15">
        <f>IFERROR(__xludf.DUMMYFUNCTION("""COMPUTED_VALUE"""),1.002)</f>
        <v>1.002</v>
      </c>
      <c r="E2319" s="16">
        <f>IFERROR(__xludf.DUMMYFUNCTION("""COMPUTED_VALUE"""),64.0)</f>
        <v>64</v>
      </c>
      <c r="F2319" s="19" t="str">
        <f>IFERROR(__xludf.DUMMYFUNCTION("""COMPUTED_VALUE"""),"BLUE")</f>
        <v>BLUE</v>
      </c>
      <c r="G2319" s="20" t="str">
        <f>IFERROR(__xludf.DUMMYFUNCTION("""COMPUTED_VALUE"""),"Uncle Sams Cider (11/12/2021) (Blue)")</f>
        <v>Uncle Sams Cider (11/12/2021) (Blue)</v>
      </c>
      <c r="H2319" s="19"/>
    </row>
    <row r="2320">
      <c r="A2320" s="9"/>
      <c r="B2320" s="15"/>
      <c r="C2320" s="9">
        <f>IFERROR(__xludf.DUMMYFUNCTION("""COMPUTED_VALUE"""),44581.3823138657)</f>
        <v>44581.38231</v>
      </c>
      <c r="D2320" s="15">
        <f>IFERROR(__xludf.DUMMYFUNCTION("""COMPUTED_VALUE"""),1.002)</f>
        <v>1.002</v>
      </c>
      <c r="E2320" s="16">
        <f>IFERROR(__xludf.DUMMYFUNCTION("""COMPUTED_VALUE"""),64.0)</f>
        <v>64</v>
      </c>
      <c r="F2320" s="19" t="str">
        <f>IFERROR(__xludf.DUMMYFUNCTION("""COMPUTED_VALUE"""),"BLUE")</f>
        <v>BLUE</v>
      </c>
      <c r="G2320" s="20" t="str">
        <f>IFERROR(__xludf.DUMMYFUNCTION("""COMPUTED_VALUE"""),"Uncle Sams Cider (11/12/2021) (Blue)")</f>
        <v>Uncle Sams Cider (11/12/2021) (Blue)</v>
      </c>
      <c r="H2320" s="19"/>
    </row>
    <row r="2321">
      <c r="A2321" s="9"/>
      <c r="B2321" s="15"/>
      <c r="C2321" s="9">
        <f>IFERROR(__xludf.DUMMYFUNCTION("""COMPUTED_VALUE"""),44581.3718927777)</f>
        <v>44581.37189</v>
      </c>
      <c r="D2321" s="15">
        <f>IFERROR(__xludf.DUMMYFUNCTION("""COMPUTED_VALUE"""),1.002)</f>
        <v>1.002</v>
      </c>
      <c r="E2321" s="16">
        <f>IFERROR(__xludf.DUMMYFUNCTION("""COMPUTED_VALUE"""),64.0)</f>
        <v>64</v>
      </c>
      <c r="F2321" s="19" t="str">
        <f>IFERROR(__xludf.DUMMYFUNCTION("""COMPUTED_VALUE"""),"BLUE")</f>
        <v>BLUE</v>
      </c>
      <c r="G2321" s="20" t="str">
        <f>IFERROR(__xludf.DUMMYFUNCTION("""COMPUTED_VALUE"""),"Uncle Sams Cider (11/12/2021) (Blue)")</f>
        <v>Uncle Sams Cider (11/12/2021) (Blue)</v>
      </c>
      <c r="H2321" s="19"/>
    </row>
    <row r="2322">
      <c r="A2322" s="9"/>
      <c r="B2322" s="15"/>
      <c r="C2322" s="9">
        <f>IFERROR(__xludf.DUMMYFUNCTION("""COMPUTED_VALUE"""),44581.3614735532)</f>
        <v>44581.36147</v>
      </c>
      <c r="D2322" s="15">
        <f>IFERROR(__xludf.DUMMYFUNCTION("""COMPUTED_VALUE"""),1.002)</f>
        <v>1.002</v>
      </c>
      <c r="E2322" s="16">
        <f>IFERROR(__xludf.DUMMYFUNCTION("""COMPUTED_VALUE"""),64.0)</f>
        <v>64</v>
      </c>
      <c r="F2322" s="19" t="str">
        <f>IFERROR(__xludf.DUMMYFUNCTION("""COMPUTED_VALUE"""),"BLUE")</f>
        <v>BLUE</v>
      </c>
      <c r="G2322" s="20" t="str">
        <f>IFERROR(__xludf.DUMMYFUNCTION("""COMPUTED_VALUE"""),"Uncle Sams Cider (11/12/2021) (Blue)")</f>
        <v>Uncle Sams Cider (11/12/2021) (Blue)</v>
      </c>
      <c r="H2322" s="19"/>
    </row>
    <row r="2323">
      <c r="A2323" s="9"/>
      <c r="B2323" s="15"/>
      <c r="C2323" s="9">
        <f>IFERROR(__xludf.DUMMYFUNCTION("""COMPUTED_VALUE"""),44581.3510522453)</f>
        <v>44581.35105</v>
      </c>
      <c r="D2323" s="15">
        <f>IFERROR(__xludf.DUMMYFUNCTION("""COMPUTED_VALUE"""),1.002)</f>
        <v>1.002</v>
      </c>
      <c r="E2323" s="16">
        <f>IFERROR(__xludf.DUMMYFUNCTION("""COMPUTED_VALUE"""),64.0)</f>
        <v>64</v>
      </c>
      <c r="F2323" s="19" t="str">
        <f>IFERROR(__xludf.DUMMYFUNCTION("""COMPUTED_VALUE"""),"BLUE")</f>
        <v>BLUE</v>
      </c>
      <c r="G2323" s="20" t="str">
        <f>IFERROR(__xludf.DUMMYFUNCTION("""COMPUTED_VALUE"""),"Uncle Sams Cider (11/12/2021) (Blue)")</f>
        <v>Uncle Sams Cider (11/12/2021) (Blue)</v>
      </c>
      <c r="H2323" s="19"/>
    </row>
    <row r="2324">
      <c r="A2324" s="9"/>
      <c r="B2324" s="15"/>
      <c r="C2324" s="9">
        <f>IFERROR(__xludf.DUMMYFUNCTION("""COMPUTED_VALUE"""),44581.3406329166)</f>
        <v>44581.34063</v>
      </c>
      <c r="D2324" s="15">
        <f>IFERROR(__xludf.DUMMYFUNCTION("""COMPUTED_VALUE"""),1.002)</f>
        <v>1.002</v>
      </c>
      <c r="E2324" s="16">
        <f>IFERROR(__xludf.DUMMYFUNCTION("""COMPUTED_VALUE"""),64.0)</f>
        <v>64</v>
      </c>
      <c r="F2324" s="19" t="str">
        <f>IFERROR(__xludf.DUMMYFUNCTION("""COMPUTED_VALUE"""),"BLUE")</f>
        <v>BLUE</v>
      </c>
      <c r="G2324" s="20" t="str">
        <f>IFERROR(__xludf.DUMMYFUNCTION("""COMPUTED_VALUE"""),"Uncle Sams Cider (11/12/2021) (Blue)")</f>
        <v>Uncle Sams Cider (11/12/2021) (Blue)</v>
      </c>
      <c r="H2324" s="19"/>
    </row>
    <row r="2325">
      <c r="A2325" s="9"/>
      <c r="B2325" s="15"/>
      <c r="C2325" s="9">
        <f>IFERROR(__xludf.DUMMYFUNCTION("""COMPUTED_VALUE"""),44581.3301990162)</f>
        <v>44581.3302</v>
      </c>
      <c r="D2325" s="15">
        <f>IFERROR(__xludf.DUMMYFUNCTION("""COMPUTED_VALUE"""),1.002)</f>
        <v>1.002</v>
      </c>
      <c r="E2325" s="16">
        <f>IFERROR(__xludf.DUMMYFUNCTION("""COMPUTED_VALUE"""),65.0)</f>
        <v>65</v>
      </c>
      <c r="F2325" s="19" t="str">
        <f>IFERROR(__xludf.DUMMYFUNCTION("""COMPUTED_VALUE"""),"BLUE")</f>
        <v>BLUE</v>
      </c>
      <c r="G2325" s="20" t="str">
        <f>IFERROR(__xludf.DUMMYFUNCTION("""COMPUTED_VALUE"""),"Uncle Sams Cider (11/12/2021) (Blue)")</f>
        <v>Uncle Sams Cider (11/12/2021) (Blue)</v>
      </c>
      <c r="H2325" s="19"/>
    </row>
    <row r="2326">
      <c r="A2326" s="9"/>
      <c r="B2326" s="15"/>
      <c r="C2326" s="9">
        <f>IFERROR(__xludf.DUMMYFUNCTION("""COMPUTED_VALUE"""),44581.3197770254)</f>
        <v>44581.31978</v>
      </c>
      <c r="D2326" s="15">
        <f>IFERROR(__xludf.DUMMYFUNCTION("""COMPUTED_VALUE"""),1.002)</f>
        <v>1.002</v>
      </c>
      <c r="E2326" s="16">
        <f>IFERROR(__xludf.DUMMYFUNCTION("""COMPUTED_VALUE"""),65.0)</f>
        <v>65</v>
      </c>
      <c r="F2326" s="19" t="str">
        <f>IFERROR(__xludf.DUMMYFUNCTION("""COMPUTED_VALUE"""),"BLUE")</f>
        <v>BLUE</v>
      </c>
      <c r="G2326" s="20" t="str">
        <f>IFERROR(__xludf.DUMMYFUNCTION("""COMPUTED_VALUE"""),"Uncle Sams Cider (11/12/2021) (Blue)")</f>
        <v>Uncle Sams Cider (11/12/2021) (Blue)</v>
      </c>
      <c r="H2326" s="19"/>
    </row>
    <row r="2327">
      <c r="A2327" s="9"/>
      <c r="B2327" s="15"/>
      <c r="C2327" s="9">
        <f>IFERROR(__xludf.DUMMYFUNCTION("""COMPUTED_VALUE"""),44581.3093573495)</f>
        <v>44581.30936</v>
      </c>
      <c r="D2327" s="15">
        <f>IFERROR(__xludf.DUMMYFUNCTION("""COMPUTED_VALUE"""),1.002)</f>
        <v>1.002</v>
      </c>
      <c r="E2327" s="16">
        <f>IFERROR(__xludf.DUMMYFUNCTION("""COMPUTED_VALUE"""),65.0)</f>
        <v>65</v>
      </c>
      <c r="F2327" s="19" t="str">
        <f>IFERROR(__xludf.DUMMYFUNCTION("""COMPUTED_VALUE"""),"BLUE")</f>
        <v>BLUE</v>
      </c>
      <c r="G2327" s="20" t="str">
        <f>IFERROR(__xludf.DUMMYFUNCTION("""COMPUTED_VALUE"""),"Uncle Sams Cider (11/12/2021) (Blue)")</f>
        <v>Uncle Sams Cider (11/12/2021) (Blue)</v>
      </c>
      <c r="H2327" s="19"/>
    </row>
    <row r="2328">
      <c r="A2328" s="9"/>
      <c r="B2328" s="15"/>
      <c r="C2328" s="9">
        <f>IFERROR(__xludf.DUMMYFUNCTION("""COMPUTED_VALUE"""),44581.2989373611)</f>
        <v>44581.29894</v>
      </c>
      <c r="D2328" s="15">
        <f>IFERROR(__xludf.DUMMYFUNCTION("""COMPUTED_VALUE"""),1.002)</f>
        <v>1.002</v>
      </c>
      <c r="E2328" s="16">
        <f>IFERROR(__xludf.DUMMYFUNCTION("""COMPUTED_VALUE"""),65.0)</f>
        <v>65</v>
      </c>
      <c r="F2328" s="19" t="str">
        <f>IFERROR(__xludf.DUMMYFUNCTION("""COMPUTED_VALUE"""),"BLUE")</f>
        <v>BLUE</v>
      </c>
      <c r="G2328" s="20" t="str">
        <f>IFERROR(__xludf.DUMMYFUNCTION("""COMPUTED_VALUE"""),"Uncle Sams Cider (11/12/2021) (Blue)")</f>
        <v>Uncle Sams Cider (11/12/2021) (Blue)</v>
      </c>
      <c r="H2328" s="19"/>
    </row>
    <row r="2329">
      <c r="A2329" s="9"/>
      <c r="B2329" s="15"/>
      <c r="C2329" s="9">
        <f>IFERROR(__xludf.DUMMYFUNCTION("""COMPUTED_VALUE"""),44581.2885157638)</f>
        <v>44581.28852</v>
      </c>
      <c r="D2329" s="15">
        <f>IFERROR(__xludf.DUMMYFUNCTION("""COMPUTED_VALUE"""),1.002)</f>
        <v>1.002</v>
      </c>
      <c r="E2329" s="16">
        <f>IFERROR(__xludf.DUMMYFUNCTION("""COMPUTED_VALUE"""),65.0)</f>
        <v>65</v>
      </c>
      <c r="F2329" s="19" t="str">
        <f>IFERROR(__xludf.DUMMYFUNCTION("""COMPUTED_VALUE"""),"BLUE")</f>
        <v>BLUE</v>
      </c>
      <c r="G2329" s="20" t="str">
        <f>IFERROR(__xludf.DUMMYFUNCTION("""COMPUTED_VALUE"""),"Uncle Sams Cider (11/12/2021) (Blue)")</f>
        <v>Uncle Sams Cider (11/12/2021) (Blue)</v>
      </c>
      <c r="H2329" s="19"/>
    </row>
    <row r="2330">
      <c r="A2330" s="9"/>
      <c r="B2330" s="15"/>
      <c r="C2330" s="9">
        <f>IFERROR(__xludf.DUMMYFUNCTION("""COMPUTED_VALUE"""),44581.2780948611)</f>
        <v>44581.27809</v>
      </c>
      <c r="D2330" s="15">
        <f>IFERROR(__xludf.DUMMYFUNCTION("""COMPUTED_VALUE"""),1.002)</f>
        <v>1.002</v>
      </c>
      <c r="E2330" s="16">
        <f>IFERROR(__xludf.DUMMYFUNCTION("""COMPUTED_VALUE"""),65.0)</f>
        <v>65</v>
      </c>
      <c r="F2330" s="19" t="str">
        <f>IFERROR(__xludf.DUMMYFUNCTION("""COMPUTED_VALUE"""),"BLUE")</f>
        <v>BLUE</v>
      </c>
      <c r="G2330" s="20" t="str">
        <f>IFERROR(__xludf.DUMMYFUNCTION("""COMPUTED_VALUE"""),"Uncle Sams Cider (11/12/2021) (Blue)")</f>
        <v>Uncle Sams Cider (11/12/2021) (Blue)</v>
      </c>
      <c r="H2330" s="19"/>
    </row>
    <row r="2331">
      <c r="A2331" s="9"/>
      <c r="B2331" s="15"/>
      <c r="C2331" s="9">
        <f>IFERROR(__xludf.DUMMYFUNCTION("""COMPUTED_VALUE"""),44581.267674155)</f>
        <v>44581.26767</v>
      </c>
      <c r="D2331" s="15">
        <f>IFERROR(__xludf.DUMMYFUNCTION("""COMPUTED_VALUE"""),1.002)</f>
        <v>1.002</v>
      </c>
      <c r="E2331" s="16">
        <f>IFERROR(__xludf.DUMMYFUNCTION("""COMPUTED_VALUE"""),65.0)</f>
        <v>65</v>
      </c>
      <c r="F2331" s="19" t="str">
        <f>IFERROR(__xludf.DUMMYFUNCTION("""COMPUTED_VALUE"""),"BLUE")</f>
        <v>BLUE</v>
      </c>
      <c r="G2331" s="20" t="str">
        <f>IFERROR(__xludf.DUMMYFUNCTION("""COMPUTED_VALUE"""),"Uncle Sams Cider (11/12/2021) (Blue)")</f>
        <v>Uncle Sams Cider (11/12/2021) (Blue)</v>
      </c>
      <c r="H2331" s="19"/>
    </row>
    <row r="2332">
      <c r="A2332" s="9"/>
      <c r="B2332" s="15"/>
      <c r="C2332" s="9">
        <f>IFERROR(__xludf.DUMMYFUNCTION("""COMPUTED_VALUE"""),44581.2572393287)</f>
        <v>44581.25724</v>
      </c>
      <c r="D2332" s="15">
        <f>IFERROR(__xludf.DUMMYFUNCTION("""COMPUTED_VALUE"""),1.002)</f>
        <v>1.002</v>
      </c>
      <c r="E2332" s="16">
        <f>IFERROR(__xludf.DUMMYFUNCTION("""COMPUTED_VALUE"""),65.0)</f>
        <v>65</v>
      </c>
      <c r="F2332" s="19" t="str">
        <f>IFERROR(__xludf.DUMMYFUNCTION("""COMPUTED_VALUE"""),"BLUE")</f>
        <v>BLUE</v>
      </c>
      <c r="G2332" s="20" t="str">
        <f>IFERROR(__xludf.DUMMYFUNCTION("""COMPUTED_VALUE"""),"Uncle Sams Cider (11/12/2021) (Blue)")</f>
        <v>Uncle Sams Cider (11/12/2021) (Blue)</v>
      </c>
      <c r="H2332" s="19"/>
    </row>
    <row r="2333">
      <c r="A2333" s="9"/>
      <c r="B2333" s="15"/>
      <c r="C2333" s="9">
        <f>IFERROR(__xludf.DUMMYFUNCTION("""COMPUTED_VALUE"""),44581.2468175462)</f>
        <v>44581.24682</v>
      </c>
      <c r="D2333" s="15">
        <f>IFERROR(__xludf.DUMMYFUNCTION("""COMPUTED_VALUE"""),1.002)</f>
        <v>1.002</v>
      </c>
      <c r="E2333" s="16">
        <f>IFERROR(__xludf.DUMMYFUNCTION("""COMPUTED_VALUE"""),65.0)</f>
        <v>65</v>
      </c>
      <c r="F2333" s="19" t="str">
        <f>IFERROR(__xludf.DUMMYFUNCTION("""COMPUTED_VALUE"""),"BLUE")</f>
        <v>BLUE</v>
      </c>
      <c r="G2333" s="20" t="str">
        <f>IFERROR(__xludf.DUMMYFUNCTION("""COMPUTED_VALUE"""),"Uncle Sams Cider (11/12/2021) (Blue)")</f>
        <v>Uncle Sams Cider (11/12/2021) (Blue)</v>
      </c>
      <c r="H2333" s="19"/>
    </row>
    <row r="2334">
      <c r="A2334" s="9"/>
      <c r="B2334" s="15"/>
      <c r="C2334" s="9">
        <f>IFERROR(__xludf.DUMMYFUNCTION("""COMPUTED_VALUE"""),44581.2363951967)</f>
        <v>44581.2364</v>
      </c>
      <c r="D2334" s="15">
        <f>IFERROR(__xludf.DUMMYFUNCTION("""COMPUTED_VALUE"""),1.002)</f>
        <v>1.002</v>
      </c>
      <c r="E2334" s="16">
        <f>IFERROR(__xludf.DUMMYFUNCTION("""COMPUTED_VALUE"""),65.0)</f>
        <v>65</v>
      </c>
      <c r="F2334" s="19" t="str">
        <f>IFERROR(__xludf.DUMMYFUNCTION("""COMPUTED_VALUE"""),"BLUE")</f>
        <v>BLUE</v>
      </c>
      <c r="G2334" s="20" t="str">
        <f>IFERROR(__xludf.DUMMYFUNCTION("""COMPUTED_VALUE"""),"Uncle Sams Cider (11/12/2021) (Blue)")</f>
        <v>Uncle Sams Cider (11/12/2021) (Blue)</v>
      </c>
      <c r="H2334" s="19"/>
    </row>
    <row r="2335">
      <c r="A2335" s="9"/>
      <c r="B2335" s="15"/>
      <c r="C2335" s="9">
        <f>IFERROR(__xludf.DUMMYFUNCTION("""COMPUTED_VALUE"""),44581.2259746527)</f>
        <v>44581.22597</v>
      </c>
      <c r="D2335" s="15">
        <f>IFERROR(__xludf.DUMMYFUNCTION("""COMPUTED_VALUE"""),1.002)</f>
        <v>1.002</v>
      </c>
      <c r="E2335" s="16">
        <f>IFERROR(__xludf.DUMMYFUNCTION("""COMPUTED_VALUE"""),65.0)</f>
        <v>65</v>
      </c>
      <c r="F2335" s="19" t="str">
        <f>IFERROR(__xludf.DUMMYFUNCTION("""COMPUTED_VALUE"""),"BLUE")</f>
        <v>BLUE</v>
      </c>
      <c r="G2335" s="20" t="str">
        <f>IFERROR(__xludf.DUMMYFUNCTION("""COMPUTED_VALUE"""),"Uncle Sams Cider (11/12/2021) (Blue)")</f>
        <v>Uncle Sams Cider (11/12/2021) (Blue)</v>
      </c>
      <c r="H2335" s="19"/>
    </row>
    <row r="2336">
      <c r="A2336" s="9"/>
      <c r="B2336" s="15"/>
      <c r="C2336" s="9">
        <f>IFERROR(__xludf.DUMMYFUNCTION("""COMPUTED_VALUE"""),44581.2155541087)</f>
        <v>44581.21555</v>
      </c>
      <c r="D2336" s="15">
        <f>IFERROR(__xludf.DUMMYFUNCTION("""COMPUTED_VALUE"""),1.002)</f>
        <v>1.002</v>
      </c>
      <c r="E2336" s="16">
        <f>IFERROR(__xludf.DUMMYFUNCTION("""COMPUTED_VALUE"""),65.0)</f>
        <v>65</v>
      </c>
      <c r="F2336" s="19" t="str">
        <f>IFERROR(__xludf.DUMMYFUNCTION("""COMPUTED_VALUE"""),"BLUE")</f>
        <v>BLUE</v>
      </c>
      <c r="G2336" s="20" t="str">
        <f>IFERROR(__xludf.DUMMYFUNCTION("""COMPUTED_VALUE"""),"Uncle Sams Cider (11/12/2021) (Blue)")</f>
        <v>Uncle Sams Cider (11/12/2021) (Blue)</v>
      </c>
      <c r="H2336" s="19"/>
    </row>
    <row r="2337">
      <c r="A2337" s="9"/>
      <c r="B2337" s="15"/>
      <c r="C2337" s="9">
        <f>IFERROR(__xludf.DUMMYFUNCTION("""COMPUTED_VALUE"""),44581.2051317245)</f>
        <v>44581.20513</v>
      </c>
      <c r="D2337" s="15">
        <f>IFERROR(__xludf.DUMMYFUNCTION("""COMPUTED_VALUE"""),1.002)</f>
        <v>1.002</v>
      </c>
      <c r="E2337" s="16">
        <f>IFERROR(__xludf.DUMMYFUNCTION("""COMPUTED_VALUE"""),65.0)</f>
        <v>65</v>
      </c>
      <c r="F2337" s="19" t="str">
        <f>IFERROR(__xludf.DUMMYFUNCTION("""COMPUTED_VALUE"""),"BLUE")</f>
        <v>BLUE</v>
      </c>
      <c r="G2337" s="20" t="str">
        <f>IFERROR(__xludf.DUMMYFUNCTION("""COMPUTED_VALUE"""),"Uncle Sams Cider (11/12/2021) (Blue)")</f>
        <v>Uncle Sams Cider (11/12/2021) (Blue)</v>
      </c>
      <c r="H2337" s="19"/>
    </row>
    <row r="2338">
      <c r="A2338" s="9"/>
      <c r="B2338" s="15"/>
      <c r="C2338" s="9">
        <f>IFERROR(__xludf.DUMMYFUNCTION("""COMPUTED_VALUE"""),44581.1946766782)</f>
        <v>44581.19468</v>
      </c>
      <c r="D2338" s="15">
        <f>IFERROR(__xludf.DUMMYFUNCTION("""COMPUTED_VALUE"""),1.002)</f>
        <v>1.002</v>
      </c>
      <c r="E2338" s="16">
        <f>IFERROR(__xludf.DUMMYFUNCTION("""COMPUTED_VALUE"""),65.0)</f>
        <v>65</v>
      </c>
      <c r="F2338" s="19" t="str">
        <f>IFERROR(__xludf.DUMMYFUNCTION("""COMPUTED_VALUE"""),"BLUE")</f>
        <v>BLUE</v>
      </c>
      <c r="G2338" s="20" t="str">
        <f>IFERROR(__xludf.DUMMYFUNCTION("""COMPUTED_VALUE"""),"Uncle Sams Cider (11/12/2021) (Blue)")</f>
        <v>Uncle Sams Cider (11/12/2021) (Blue)</v>
      </c>
      <c r="H2338" s="19"/>
    </row>
    <row r="2339">
      <c r="A2339" s="9"/>
      <c r="B2339" s="15"/>
      <c r="C2339" s="9">
        <f>IFERROR(__xludf.DUMMYFUNCTION("""COMPUTED_VALUE"""),44581.1842548263)</f>
        <v>44581.18425</v>
      </c>
      <c r="D2339" s="15">
        <f>IFERROR(__xludf.DUMMYFUNCTION("""COMPUTED_VALUE"""),1.002)</f>
        <v>1.002</v>
      </c>
      <c r="E2339" s="16">
        <f>IFERROR(__xludf.DUMMYFUNCTION("""COMPUTED_VALUE"""),65.0)</f>
        <v>65</v>
      </c>
      <c r="F2339" s="19" t="str">
        <f>IFERROR(__xludf.DUMMYFUNCTION("""COMPUTED_VALUE"""),"BLUE")</f>
        <v>BLUE</v>
      </c>
      <c r="G2339" s="20" t="str">
        <f>IFERROR(__xludf.DUMMYFUNCTION("""COMPUTED_VALUE"""),"Uncle Sams Cider (11/12/2021) (Blue)")</f>
        <v>Uncle Sams Cider (11/12/2021) (Blue)</v>
      </c>
      <c r="H2339" s="19"/>
    </row>
    <row r="2340">
      <c r="A2340" s="9"/>
      <c r="B2340" s="15"/>
      <c r="C2340" s="9">
        <f>IFERROR(__xludf.DUMMYFUNCTION("""COMPUTED_VALUE"""),44581.1738344444)</f>
        <v>44581.17383</v>
      </c>
      <c r="D2340" s="15">
        <f>IFERROR(__xludf.DUMMYFUNCTION("""COMPUTED_VALUE"""),1.002)</f>
        <v>1.002</v>
      </c>
      <c r="E2340" s="16">
        <f>IFERROR(__xludf.DUMMYFUNCTION("""COMPUTED_VALUE"""),65.0)</f>
        <v>65</v>
      </c>
      <c r="F2340" s="19" t="str">
        <f>IFERROR(__xludf.DUMMYFUNCTION("""COMPUTED_VALUE"""),"BLUE")</f>
        <v>BLUE</v>
      </c>
      <c r="G2340" s="20" t="str">
        <f>IFERROR(__xludf.DUMMYFUNCTION("""COMPUTED_VALUE"""),"Uncle Sams Cider (11/12/2021) (Blue)")</f>
        <v>Uncle Sams Cider (11/12/2021) (Blue)</v>
      </c>
      <c r="H2340" s="19"/>
    </row>
    <row r="2341">
      <c r="A2341" s="9"/>
      <c r="B2341" s="15"/>
      <c r="C2341" s="9">
        <f>IFERROR(__xludf.DUMMYFUNCTION("""COMPUTED_VALUE"""),44581.1634139699)</f>
        <v>44581.16341</v>
      </c>
      <c r="D2341" s="15">
        <f>IFERROR(__xludf.DUMMYFUNCTION("""COMPUTED_VALUE"""),1.002)</f>
        <v>1.002</v>
      </c>
      <c r="E2341" s="16">
        <f>IFERROR(__xludf.DUMMYFUNCTION("""COMPUTED_VALUE"""),65.0)</f>
        <v>65</v>
      </c>
      <c r="F2341" s="19" t="str">
        <f>IFERROR(__xludf.DUMMYFUNCTION("""COMPUTED_VALUE"""),"BLUE")</f>
        <v>BLUE</v>
      </c>
      <c r="G2341" s="20" t="str">
        <f>IFERROR(__xludf.DUMMYFUNCTION("""COMPUTED_VALUE"""),"Uncle Sams Cider (11/12/2021) (Blue)")</f>
        <v>Uncle Sams Cider (11/12/2021) (Blue)</v>
      </c>
      <c r="H2341" s="19"/>
    </row>
    <row r="2342">
      <c r="A2342" s="9"/>
      <c r="B2342" s="15"/>
      <c r="C2342" s="9">
        <f>IFERROR(__xludf.DUMMYFUNCTION("""COMPUTED_VALUE"""),44581.152981412)</f>
        <v>44581.15298</v>
      </c>
      <c r="D2342" s="15">
        <f>IFERROR(__xludf.DUMMYFUNCTION("""COMPUTED_VALUE"""),1.002)</f>
        <v>1.002</v>
      </c>
      <c r="E2342" s="16">
        <f>IFERROR(__xludf.DUMMYFUNCTION("""COMPUTED_VALUE"""),65.0)</f>
        <v>65</v>
      </c>
      <c r="F2342" s="19" t="str">
        <f>IFERROR(__xludf.DUMMYFUNCTION("""COMPUTED_VALUE"""),"BLUE")</f>
        <v>BLUE</v>
      </c>
      <c r="G2342" s="20" t="str">
        <f>IFERROR(__xludf.DUMMYFUNCTION("""COMPUTED_VALUE"""),"Uncle Sams Cider (11/12/2021) (Blue)")</f>
        <v>Uncle Sams Cider (11/12/2021) (Blue)</v>
      </c>
      <c r="H2342" s="19"/>
    </row>
    <row r="2343">
      <c r="A2343" s="9"/>
      <c r="B2343" s="15"/>
      <c r="C2343" s="9">
        <f>IFERROR(__xludf.DUMMYFUNCTION("""COMPUTED_VALUE"""),44581.1425600231)</f>
        <v>44581.14256</v>
      </c>
      <c r="D2343" s="15">
        <f>IFERROR(__xludf.DUMMYFUNCTION("""COMPUTED_VALUE"""),1.002)</f>
        <v>1.002</v>
      </c>
      <c r="E2343" s="16">
        <f>IFERROR(__xludf.DUMMYFUNCTION("""COMPUTED_VALUE"""),65.0)</f>
        <v>65</v>
      </c>
      <c r="F2343" s="19" t="str">
        <f>IFERROR(__xludf.DUMMYFUNCTION("""COMPUTED_VALUE"""),"BLUE")</f>
        <v>BLUE</v>
      </c>
      <c r="G2343" s="20" t="str">
        <f>IFERROR(__xludf.DUMMYFUNCTION("""COMPUTED_VALUE"""),"Uncle Sams Cider (11/12/2021) (Blue)")</f>
        <v>Uncle Sams Cider (11/12/2021) (Blue)</v>
      </c>
      <c r="H2343" s="19"/>
    </row>
    <row r="2344">
      <c r="A2344" s="9"/>
      <c r="B2344" s="15"/>
      <c r="C2344" s="9">
        <f>IFERROR(__xludf.DUMMYFUNCTION("""COMPUTED_VALUE"""),44581.1321382754)</f>
        <v>44581.13214</v>
      </c>
      <c r="D2344" s="15">
        <f>IFERROR(__xludf.DUMMYFUNCTION("""COMPUTED_VALUE"""),1.002)</f>
        <v>1.002</v>
      </c>
      <c r="E2344" s="16">
        <f>IFERROR(__xludf.DUMMYFUNCTION("""COMPUTED_VALUE"""),65.0)</f>
        <v>65</v>
      </c>
      <c r="F2344" s="19" t="str">
        <f>IFERROR(__xludf.DUMMYFUNCTION("""COMPUTED_VALUE"""),"BLUE")</f>
        <v>BLUE</v>
      </c>
      <c r="G2344" s="20" t="str">
        <f>IFERROR(__xludf.DUMMYFUNCTION("""COMPUTED_VALUE"""),"Uncle Sams Cider (11/12/2021) (Blue)")</f>
        <v>Uncle Sams Cider (11/12/2021) (Blue)</v>
      </c>
      <c r="H2344" s="19"/>
    </row>
    <row r="2345">
      <c r="A2345" s="9"/>
      <c r="B2345" s="15"/>
      <c r="C2345" s="9">
        <f>IFERROR(__xludf.DUMMYFUNCTION("""COMPUTED_VALUE"""),44581.1217061111)</f>
        <v>44581.12171</v>
      </c>
      <c r="D2345" s="15">
        <f>IFERROR(__xludf.DUMMYFUNCTION("""COMPUTED_VALUE"""),1.002)</f>
        <v>1.002</v>
      </c>
      <c r="E2345" s="16">
        <f>IFERROR(__xludf.DUMMYFUNCTION("""COMPUTED_VALUE"""),65.0)</f>
        <v>65</v>
      </c>
      <c r="F2345" s="19" t="str">
        <f>IFERROR(__xludf.DUMMYFUNCTION("""COMPUTED_VALUE"""),"BLUE")</f>
        <v>BLUE</v>
      </c>
      <c r="G2345" s="20" t="str">
        <f>IFERROR(__xludf.DUMMYFUNCTION("""COMPUTED_VALUE"""),"Uncle Sams Cider (11/12/2021) (Blue)")</f>
        <v>Uncle Sams Cider (11/12/2021) (Blue)</v>
      </c>
      <c r="H2345" s="19"/>
    </row>
    <row r="2346">
      <c r="A2346" s="9"/>
      <c r="B2346" s="15"/>
      <c r="C2346" s="9">
        <f>IFERROR(__xludf.DUMMYFUNCTION("""COMPUTED_VALUE"""),44581.1112843055)</f>
        <v>44581.11128</v>
      </c>
      <c r="D2346" s="15">
        <f>IFERROR(__xludf.DUMMYFUNCTION("""COMPUTED_VALUE"""),1.002)</f>
        <v>1.002</v>
      </c>
      <c r="E2346" s="16">
        <f>IFERROR(__xludf.DUMMYFUNCTION("""COMPUTED_VALUE"""),65.0)</f>
        <v>65</v>
      </c>
      <c r="F2346" s="19" t="str">
        <f>IFERROR(__xludf.DUMMYFUNCTION("""COMPUTED_VALUE"""),"BLUE")</f>
        <v>BLUE</v>
      </c>
      <c r="G2346" s="20" t="str">
        <f>IFERROR(__xludf.DUMMYFUNCTION("""COMPUTED_VALUE"""),"Uncle Sams Cider (11/12/2021) (Blue)")</f>
        <v>Uncle Sams Cider (11/12/2021) (Blue)</v>
      </c>
      <c r="H2346" s="19"/>
    </row>
    <row r="2347">
      <c r="A2347" s="9"/>
      <c r="B2347" s="15"/>
      <c r="C2347" s="9">
        <f>IFERROR(__xludf.DUMMYFUNCTION("""COMPUTED_VALUE"""),44581.1008639351)</f>
        <v>44581.10086</v>
      </c>
      <c r="D2347" s="15">
        <f>IFERROR(__xludf.DUMMYFUNCTION("""COMPUTED_VALUE"""),1.002)</f>
        <v>1.002</v>
      </c>
      <c r="E2347" s="16">
        <f>IFERROR(__xludf.DUMMYFUNCTION("""COMPUTED_VALUE"""),65.0)</f>
        <v>65</v>
      </c>
      <c r="F2347" s="19" t="str">
        <f>IFERROR(__xludf.DUMMYFUNCTION("""COMPUTED_VALUE"""),"BLUE")</f>
        <v>BLUE</v>
      </c>
      <c r="G2347" s="20" t="str">
        <f>IFERROR(__xludf.DUMMYFUNCTION("""COMPUTED_VALUE"""),"Uncle Sams Cider (11/12/2021) (Blue)")</f>
        <v>Uncle Sams Cider (11/12/2021) (Blue)</v>
      </c>
      <c r="H2347" s="19"/>
    </row>
    <row r="2348">
      <c r="A2348" s="9"/>
      <c r="B2348" s="15"/>
      <c r="C2348" s="9">
        <f>IFERROR(__xludf.DUMMYFUNCTION("""COMPUTED_VALUE"""),44581.0904308333)</f>
        <v>44581.09043</v>
      </c>
      <c r="D2348" s="15">
        <f>IFERROR(__xludf.DUMMYFUNCTION("""COMPUTED_VALUE"""),1.002)</f>
        <v>1.002</v>
      </c>
      <c r="E2348" s="16">
        <f>IFERROR(__xludf.DUMMYFUNCTION("""COMPUTED_VALUE"""),65.0)</f>
        <v>65</v>
      </c>
      <c r="F2348" s="19" t="str">
        <f>IFERROR(__xludf.DUMMYFUNCTION("""COMPUTED_VALUE"""),"BLUE")</f>
        <v>BLUE</v>
      </c>
      <c r="G2348" s="20" t="str">
        <f>IFERROR(__xludf.DUMMYFUNCTION("""COMPUTED_VALUE"""),"Uncle Sams Cider (11/12/2021) (Blue)")</f>
        <v>Uncle Sams Cider (11/12/2021) (Blue)</v>
      </c>
      <c r="H2348" s="19"/>
    </row>
    <row r="2349">
      <c r="A2349" s="9"/>
      <c r="B2349" s="15"/>
      <c r="C2349" s="9">
        <f>IFERROR(__xludf.DUMMYFUNCTION("""COMPUTED_VALUE"""),44581.0799983101)</f>
        <v>44581.08</v>
      </c>
      <c r="D2349" s="15">
        <f>IFERROR(__xludf.DUMMYFUNCTION("""COMPUTED_VALUE"""),1.002)</f>
        <v>1.002</v>
      </c>
      <c r="E2349" s="16">
        <f>IFERROR(__xludf.DUMMYFUNCTION("""COMPUTED_VALUE"""),65.0)</f>
        <v>65</v>
      </c>
      <c r="F2349" s="19" t="str">
        <f>IFERROR(__xludf.DUMMYFUNCTION("""COMPUTED_VALUE"""),"BLUE")</f>
        <v>BLUE</v>
      </c>
      <c r="G2349" s="20" t="str">
        <f>IFERROR(__xludf.DUMMYFUNCTION("""COMPUTED_VALUE"""),"Uncle Sams Cider (11/12/2021) (Blue)")</f>
        <v>Uncle Sams Cider (11/12/2021) (Blue)</v>
      </c>
      <c r="H2349" s="19"/>
    </row>
    <row r="2350">
      <c r="A2350" s="9"/>
      <c r="B2350" s="15"/>
      <c r="C2350" s="9">
        <f>IFERROR(__xludf.DUMMYFUNCTION("""COMPUTED_VALUE"""),44581.0695768865)</f>
        <v>44581.06958</v>
      </c>
      <c r="D2350" s="15">
        <f>IFERROR(__xludf.DUMMYFUNCTION("""COMPUTED_VALUE"""),1.002)</f>
        <v>1.002</v>
      </c>
      <c r="E2350" s="16">
        <f>IFERROR(__xludf.DUMMYFUNCTION("""COMPUTED_VALUE"""),65.0)</f>
        <v>65</v>
      </c>
      <c r="F2350" s="19" t="str">
        <f>IFERROR(__xludf.DUMMYFUNCTION("""COMPUTED_VALUE"""),"BLUE")</f>
        <v>BLUE</v>
      </c>
      <c r="G2350" s="20" t="str">
        <f>IFERROR(__xludf.DUMMYFUNCTION("""COMPUTED_VALUE"""),"Uncle Sams Cider (11/12/2021) (Blue)")</f>
        <v>Uncle Sams Cider (11/12/2021) (Blue)</v>
      </c>
      <c r="H2350" s="19"/>
    </row>
    <row r="2351">
      <c r="A2351" s="9"/>
      <c r="B2351" s="15"/>
      <c r="C2351" s="9">
        <f>IFERROR(__xludf.DUMMYFUNCTION("""COMPUTED_VALUE"""),44581.0591572337)</f>
        <v>44581.05916</v>
      </c>
      <c r="D2351" s="15">
        <f>IFERROR(__xludf.DUMMYFUNCTION("""COMPUTED_VALUE"""),1.002)</f>
        <v>1.002</v>
      </c>
      <c r="E2351" s="16">
        <f>IFERROR(__xludf.DUMMYFUNCTION("""COMPUTED_VALUE"""),65.0)</f>
        <v>65</v>
      </c>
      <c r="F2351" s="19" t="str">
        <f>IFERROR(__xludf.DUMMYFUNCTION("""COMPUTED_VALUE"""),"BLUE")</f>
        <v>BLUE</v>
      </c>
      <c r="G2351" s="20" t="str">
        <f>IFERROR(__xludf.DUMMYFUNCTION("""COMPUTED_VALUE"""),"Uncle Sams Cider (11/12/2021) (Blue)")</f>
        <v>Uncle Sams Cider (11/12/2021) (Blue)</v>
      </c>
      <c r="H2351" s="19"/>
    </row>
    <row r="2352">
      <c r="A2352" s="9"/>
      <c r="B2352" s="15"/>
      <c r="C2352" s="9">
        <f>IFERROR(__xludf.DUMMYFUNCTION("""COMPUTED_VALUE"""),44581.0487362268)</f>
        <v>44581.04874</v>
      </c>
      <c r="D2352" s="15">
        <f>IFERROR(__xludf.DUMMYFUNCTION("""COMPUTED_VALUE"""),1.001)</f>
        <v>1.001</v>
      </c>
      <c r="E2352" s="16">
        <f>IFERROR(__xludf.DUMMYFUNCTION("""COMPUTED_VALUE"""),65.0)</f>
        <v>65</v>
      </c>
      <c r="F2352" s="19" t="str">
        <f>IFERROR(__xludf.DUMMYFUNCTION("""COMPUTED_VALUE"""),"BLUE")</f>
        <v>BLUE</v>
      </c>
      <c r="G2352" s="20" t="str">
        <f>IFERROR(__xludf.DUMMYFUNCTION("""COMPUTED_VALUE"""),"Uncle Sams Cider (11/12/2021) (Blue)")</f>
        <v>Uncle Sams Cider (11/12/2021) (Blue)</v>
      </c>
      <c r="H2352" s="19"/>
    </row>
    <row r="2353">
      <c r="A2353" s="9"/>
      <c r="B2353" s="15"/>
      <c r="C2353" s="9">
        <f>IFERROR(__xludf.DUMMYFUNCTION("""COMPUTED_VALUE"""),44581.0383151504)</f>
        <v>44581.03832</v>
      </c>
      <c r="D2353" s="15">
        <f>IFERROR(__xludf.DUMMYFUNCTION("""COMPUTED_VALUE"""),1.002)</f>
        <v>1.002</v>
      </c>
      <c r="E2353" s="16">
        <f>IFERROR(__xludf.DUMMYFUNCTION("""COMPUTED_VALUE"""),65.0)</f>
        <v>65</v>
      </c>
      <c r="F2353" s="19" t="str">
        <f>IFERROR(__xludf.DUMMYFUNCTION("""COMPUTED_VALUE"""),"BLUE")</f>
        <v>BLUE</v>
      </c>
      <c r="G2353" s="20" t="str">
        <f>IFERROR(__xludf.DUMMYFUNCTION("""COMPUTED_VALUE"""),"Uncle Sams Cider (11/12/2021) (Blue)")</f>
        <v>Uncle Sams Cider (11/12/2021) (Blue)</v>
      </c>
      <c r="H2353" s="19"/>
    </row>
    <row r="2354">
      <c r="A2354" s="9"/>
      <c r="B2354" s="15"/>
      <c r="C2354" s="9">
        <f>IFERROR(__xludf.DUMMYFUNCTION("""COMPUTED_VALUE"""),44581.0278943171)</f>
        <v>44581.02789</v>
      </c>
      <c r="D2354" s="15">
        <f>IFERROR(__xludf.DUMMYFUNCTION("""COMPUTED_VALUE"""),1.002)</f>
        <v>1.002</v>
      </c>
      <c r="E2354" s="16">
        <f>IFERROR(__xludf.DUMMYFUNCTION("""COMPUTED_VALUE"""),65.0)</f>
        <v>65</v>
      </c>
      <c r="F2354" s="19" t="str">
        <f>IFERROR(__xludf.DUMMYFUNCTION("""COMPUTED_VALUE"""),"BLUE")</f>
        <v>BLUE</v>
      </c>
      <c r="G2354" s="20" t="str">
        <f>IFERROR(__xludf.DUMMYFUNCTION("""COMPUTED_VALUE"""),"Uncle Sams Cider (11/12/2021) (Blue)")</f>
        <v>Uncle Sams Cider (11/12/2021) (Blue)</v>
      </c>
      <c r="H2354" s="19"/>
    </row>
    <row r="2355">
      <c r="A2355" s="9"/>
      <c r="B2355" s="15"/>
      <c r="C2355" s="9">
        <f>IFERROR(__xludf.DUMMYFUNCTION("""COMPUTED_VALUE"""),44581.0174712268)</f>
        <v>44581.01747</v>
      </c>
      <c r="D2355" s="15">
        <f>IFERROR(__xludf.DUMMYFUNCTION("""COMPUTED_VALUE"""),1.002)</f>
        <v>1.002</v>
      </c>
      <c r="E2355" s="16">
        <f>IFERROR(__xludf.DUMMYFUNCTION("""COMPUTED_VALUE"""),65.0)</f>
        <v>65</v>
      </c>
      <c r="F2355" s="19" t="str">
        <f>IFERROR(__xludf.DUMMYFUNCTION("""COMPUTED_VALUE"""),"BLUE")</f>
        <v>BLUE</v>
      </c>
      <c r="G2355" s="20" t="str">
        <f>IFERROR(__xludf.DUMMYFUNCTION("""COMPUTED_VALUE"""),"Uncle Sams Cider (11/12/2021) (Blue)")</f>
        <v>Uncle Sams Cider (11/12/2021) (Blue)</v>
      </c>
      <c r="H2355" s="19"/>
    </row>
    <row r="2356">
      <c r="A2356" s="9"/>
      <c r="B2356" s="15"/>
      <c r="C2356" s="9">
        <f>IFERROR(__xludf.DUMMYFUNCTION("""COMPUTED_VALUE"""),44581.0070498148)</f>
        <v>44581.00705</v>
      </c>
      <c r="D2356" s="15">
        <f>IFERROR(__xludf.DUMMYFUNCTION("""COMPUTED_VALUE"""),1.002)</f>
        <v>1.002</v>
      </c>
      <c r="E2356" s="16">
        <f>IFERROR(__xludf.DUMMYFUNCTION("""COMPUTED_VALUE"""),65.0)</f>
        <v>65</v>
      </c>
      <c r="F2356" s="19" t="str">
        <f>IFERROR(__xludf.DUMMYFUNCTION("""COMPUTED_VALUE"""),"BLUE")</f>
        <v>BLUE</v>
      </c>
      <c r="G2356" s="20" t="str">
        <f>IFERROR(__xludf.DUMMYFUNCTION("""COMPUTED_VALUE"""),"Uncle Sams Cider (11/12/2021) (Blue)")</f>
        <v>Uncle Sams Cider (11/12/2021) (Blue)</v>
      </c>
      <c r="H2356" s="19"/>
    </row>
    <row r="2357">
      <c r="A2357" s="9"/>
      <c r="B2357" s="15"/>
      <c r="C2357" s="9">
        <f>IFERROR(__xludf.DUMMYFUNCTION("""COMPUTED_VALUE"""),44580.9966164814)</f>
        <v>44580.99662</v>
      </c>
      <c r="D2357" s="15">
        <f>IFERROR(__xludf.DUMMYFUNCTION("""COMPUTED_VALUE"""),1.002)</f>
        <v>1.002</v>
      </c>
      <c r="E2357" s="16">
        <f>IFERROR(__xludf.DUMMYFUNCTION("""COMPUTED_VALUE"""),66.0)</f>
        <v>66</v>
      </c>
      <c r="F2357" s="19" t="str">
        <f>IFERROR(__xludf.DUMMYFUNCTION("""COMPUTED_VALUE"""),"BLUE")</f>
        <v>BLUE</v>
      </c>
      <c r="G2357" s="20" t="str">
        <f>IFERROR(__xludf.DUMMYFUNCTION("""COMPUTED_VALUE"""),"Uncle Sams Cider (11/12/2021) (Blue)")</f>
        <v>Uncle Sams Cider (11/12/2021) (Blue)</v>
      </c>
      <c r="H2357" s="19"/>
    </row>
    <row r="2358">
      <c r="A2358" s="9"/>
      <c r="B2358" s="15"/>
      <c r="C2358" s="9">
        <f>IFERROR(__xludf.DUMMYFUNCTION("""COMPUTED_VALUE"""),44580.9861959606)</f>
        <v>44580.9862</v>
      </c>
      <c r="D2358" s="15">
        <f>IFERROR(__xludf.DUMMYFUNCTION("""COMPUTED_VALUE"""),1.002)</f>
        <v>1.002</v>
      </c>
      <c r="E2358" s="16">
        <f>IFERROR(__xludf.DUMMYFUNCTION("""COMPUTED_VALUE"""),65.0)</f>
        <v>65</v>
      </c>
      <c r="F2358" s="19" t="str">
        <f>IFERROR(__xludf.DUMMYFUNCTION("""COMPUTED_VALUE"""),"BLUE")</f>
        <v>BLUE</v>
      </c>
      <c r="G2358" s="20" t="str">
        <f>IFERROR(__xludf.DUMMYFUNCTION("""COMPUTED_VALUE"""),"Uncle Sams Cider (11/12/2021) (Blue)")</f>
        <v>Uncle Sams Cider (11/12/2021) (Blue)</v>
      </c>
      <c r="H2358" s="19"/>
    </row>
    <row r="2359">
      <c r="A2359" s="9"/>
      <c r="B2359" s="15"/>
      <c r="C2359" s="9">
        <f>IFERROR(__xludf.DUMMYFUNCTION("""COMPUTED_VALUE"""),44580.9757733101)</f>
        <v>44580.97577</v>
      </c>
      <c r="D2359" s="15">
        <f>IFERROR(__xludf.DUMMYFUNCTION("""COMPUTED_VALUE"""),1.002)</f>
        <v>1.002</v>
      </c>
      <c r="E2359" s="16">
        <f>IFERROR(__xludf.DUMMYFUNCTION("""COMPUTED_VALUE"""),65.0)</f>
        <v>65</v>
      </c>
      <c r="F2359" s="19" t="str">
        <f>IFERROR(__xludf.DUMMYFUNCTION("""COMPUTED_VALUE"""),"BLUE")</f>
        <v>BLUE</v>
      </c>
      <c r="G2359" s="20" t="str">
        <f>IFERROR(__xludf.DUMMYFUNCTION("""COMPUTED_VALUE"""),"Uncle Sams Cider (11/12/2021) (Blue)")</f>
        <v>Uncle Sams Cider (11/12/2021) (Blue)</v>
      </c>
      <c r="H2359" s="19"/>
    </row>
    <row r="2360">
      <c r="A2360" s="9"/>
      <c r="B2360" s="15"/>
      <c r="C2360" s="9">
        <f>IFERROR(__xludf.DUMMYFUNCTION("""COMPUTED_VALUE"""),44580.9653519444)</f>
        <v>44580.96535</v>
      </c>
      <c r="D2360" s="15">
        <f>IFERROR(__xludf.DUMMYFUNCTION("""COMPUTED_VALUE"""),1.002)</f>
        <v>1.002</v>
      </c>
      <c r="E2360" s="16">
        <f>IFERROR(__xludf.DUMMYFUNCTION("""COMPUTED_VALUE"""),66.0)</f>
        <v>66</v>
      </c>
      <c r="F2360" s="19" t="str">
        <f>IFERROR(__xludf.DUMMYFUNCTION("""COMPUTED_VALUE"""),"BLUE")</f>
        <v>BLUE</v>
      </c>
      <c r="G2360" s="20" t="str">
        <f>IFERROR(__xludf.DUMMYFUNCTION("""COMPUTED_VALUE"""),"Uncle Sams Cider (11/12/2021) (Blue)")</f>
        <v>Uncle Sams Cider (11/12/2021) (Blue)</v>
      </c>
      <c r="H2360" s="19"/>
    </row>
    <row r="2361">
      <c r="A2361" s="9"/>
      <c r="B2361" s="15"/>
      <c r="C2361" s="9">
        <f>IFERROR(__xludf.DUMMYFUNCTION("""COMPUTED_VALUE"""),44580.9548823148)</f>
        <v>44580.95488</v>
      </c>
      <c r="D2361" s="15">
        <f>IFERROR(__xludf.DUMMYFUNCTION("""COMPUTED_VALUE"""),1.001)</f>
        <v>1.001</v>
      </c>
      <c r="E2361" s="16">
        <f>IFERROR(__xludf.DUMMYFUNCTION("""COMPUTED_VALUE"""),66.0)</f>
        <v>66</v>
      </c>
      <c r="F2361" s="19" t="str">
        <f>IFERROR(__xludf.DUMMYFUNCTION("""COMPUTED_VALUE"""),"BLUE")</f>
        <v>BLUE</v>
      </c>
      <c r="G2361" s="20" t="str">
        <f>IFERROR(__xludf.DUMMYFUNCTION("""COMPUTED_VALUE"""),"Uncle Sams Cider (11/12/2021) (Blue)")</f>
        <v>Uncle Sams Cider (11/12/2021) (Blue)</v>
      </c>
      <c r="H2361" s="19"/>
    </row>
    <row r="2362">
      <c r="A2362" s="9"/>
      <c r="B2362" s="15"/>
      <c r="C2362" s="9">
        <f>IFERROR(__xludf.DUMMYFUNCTION("""COMPUTED_VALUE"""),44580.9444493287)</f>
        <v>44580.94445</v>
      </c>
      <c r="D2362" s="15">
        <f>IFERROR(__xludf.DUMMYFUNCTION("""COMPUTED_VALUE"""),1.002)</f>
        <v>1.002</v>
      </c>
      <c r="E2362" s="16">
        <f>IFERROR(__xludf.DUMMYFUNCTION("""COMPUTED_VALUE"""),66.0)</f>
        <v>66</v>
      </c>
      <c r="F2362" s="19" t="str">
        <f>IFERROR(__xludf.DUMMYFUNCTION("""COMPUTED_VALUE"""),"BLUE")</f>
        <v>BLUE</v>
      </c>
      <c r="G2362" s="20" t="str">
        <f>IFERROR(__xludf.DUMMYFUNCTION("""COMPUTED_VALUE"""),"Uncle Sams Cider (11/12/2021) (Blue)")</f>
        <v>Uncle Sams Cider (11/12/2021) (Blue)</v>
      </c>
      <c r="H2362" s="19"/>
    </row>
    <row r="2363">
      <c r="A2363" s="9"/>
      <c r="B2363" s="15"/>
      <c r="C2363" s="9">
        <f>IFERROR(__xludf.DUMMYFUNCTION("""COMPUTED_VALUE"""),44580.9340297106)</f>
        <v>44580.93403</v>
      </c>
      <c r="D2363" s="15">
        <f>IFERROR(__xludf.DUMMYFUNCTION("""COMPUTED_VALUE"""),1.002)</f>
        <v>1.002</v>
      </c>
      <c r="E2363" s="16">
        <f>IFERROR(__xludf.DUMMYFUNCTION("""COMPUTED_VALUE"""),66.0)</f>
        <v>66</v>
      </c>
      <c r="F2363" s="19" t="str">
        <f>IFERROR(__xludf.DUMMYFUNCTION("""COMPUTED_VALUE"""),"BLUE")</f>
        <v>BLUE</v>
      </c>
      <c r="G2363" s="20" t="str">
        <f>IFERROR(__xludf.DUMMYFUNCTION("""COMPUTED_VALUE"""),"Uncle Sams Cider (11/12/2021) (Blue)")</f>
        <v>Uncle Sams Cider (11/12/2021) (Blue)</v>
      </c>
      <c r="H2363" s="19"/>
    </row>
    <row r="2364">
      <c r="A2364" s="9"/>
      <c r="B2364" s="15"/>
      <c r="C2364" s="9">
        <f>IFERROR(__xludf.DUMMYFUNCTION("""COMPUTED_VALUE"""),44580.9236108449)</f>
        <v>44580.92361</v>
      </c>
      <c r="D2364" s="15">
        <f>IFERROR(__xludf.DUMMYFUNCTION("""COMPUTED_VALUE"""),1.001)</f>
        <v>1.001</v>
      </c>
      <c r="E2364" s="16">
        <f>IFERROR(__xludf.DUMMYFUNCTION("""COMPUTED_VALUE"""),66.0)</f>
        <v>66</v>
      </c>
      <c r="F2364" s="19" t="str">
        <f>IFERROR(__xludf.DUMMYFUNCTION("""COMPUTED_VALUE"""),"BLUE")</f>
        <v>BLUE</v>
      </c>
      <c r="G2364" s="20" t="str">
        <f>IFERROR(__xludf.DUMMYFUNCTION("""COMPUTED_VALUE"""),"Uncle Sams Cider (11/12/2021) (Blue)")</f>
        <v>Uncle Sams Cider (11/12/2021) (Blue)</v>
      </c>
      <c r="H2364" s="19"/>
    </row>
    <row r="2365">
      <c r="A2365" s="9"/>
      <c r="B2365" s="15"/>
      <c r="C2365" s="9">
        <f>IFERROR(__xludf.DUMMYFUNCTION("""COMPUTED_VALUE"""),44580.9131883564)</f>
        <v>44580.91319</v>
      </c>
      <c r="D2365" s="15">
        <f>IFERROR(__xludf.DUMMYFUNCTION("""COMPUTED_VALUE"""),1.001)</f>
        <v>1.001</v>
      </c>
      <c r="E2365" s="16">
        <f>IFERROR(__xludf.DUMMYFUNCTION("""COMPUTED_VALUE"""),66.0)</f>
        <v>66</v>
      </c>
      <c r="F2365" s="19" t="str">
        <f>IFERROR(__xludf.DUMMYFUNCTION("""COMPUTED_VALUE"""),"BLUE")</f>
        <v>BLUE</v>
      </c>
      <c r="G2365" s="20" t="str">
        <f>IFERROR(__xludf.DUMMYFUNCTION("""COMPUTED_VALUE"""),"Uncle Sams Cider (11/12/2021) (Blue)")</f>
        <v>Uncle Sams Cider (11/12/2021) (Blue)</v>
      </c>
      <c r="H2365" s="19"/>
    </row>
    <row r="2366">
      <c r="A2366" s="9"/>
      <c r="B2366" s="15"/>
      <c r="C2366" s="9">
        <f>IFERROR(__xludf.DUMMYFUNCTION("""COMPUTED_VALUE"""),44580.9027680555)</f>
        <v>44580.90277</v>
      </c>
      <c r="D2366" s="15">
        <f>IFERROR(__xludf.DUMMYFUNCTION("""COMPUTED_VALUE"""),1.002)</f>
        <v>1.002</v>
      </c>
      <c r="E2366" s="16">
        <f>IFERROR(__xludf.DUMMYFUNCTION("""COMPUTED_VALUE"""),66.0)</f>
        <v>66</v>
      </c>
      <c r="F2366" s="19" t="str">
        <f>IFERROR(__xludf.DUMMYFUNCTION("""COMPUTED_VALUE"""),"BLUE")</f>
        <v>BLUE</v>
      </c>
      <c r="G2366" s="20" t="str">
        <f>IFERROR(__xludf.DUMMYFUNCTION("""COMPUTED_VALUE"""),"Uncle Sams Cider (11/12/2021) (Blue)")</f>
        <v>Uncle Sams Cider (11/12/2021) (Blue)</v>
      </c>
      <c r="H2366" s="19"/>
    </row>
    <row r="2367">
      <c r="A2367" s="9"/>
      <c r="B2367" s="15"/>
      <c r="C2367" s="9">
        <f>IFERROR(__xludf.DUMMYFUNCTION("""COMPUTED_VALUE"""),44580.8923466782)</f>
        <v>44580.89235</v>
      </c>
      <c r="D2367" s="15">
        <f>IFERROR(__xludf.DUMMYFUNCTION("""COMPUTED_VALUE"""),1.002)</f>
        <v>1.002</v>
      </c>
      <c r="E2367" s="16">
        <f>IFERROR(__xludf.DUMMYFUNCTION("""COMPUTED_VALUE"""),66.0)</f>
        <v>66</v>
      </c>
      <c r="F2367" s="19" t="str">
        <f>IFERROR(__xludf.DUMMYFUNCTION("""COMPUTED_VALUE"""),"BLUE")</f>
        <v>BLUE</v>
      </c>
      <c r="G2367" s="20" t="str">
        <f>IFERROR(__xludf.DUMMYFUNCTION("""COMPUTED_VALUE"""),"Uncle Sams Cider (11/12/2021) (Blue)")</f>
        <v>Uncle Sams Cider (11/12/2021) (Blue)</v>
      </c>
      <c r="H2367" s="19"/>
    </row>
    <row r="2368">
      <c r="A2368" s="9"/>
      <c r="B2368" s="15"/>
      <c r="C2368" s="9">
        <f>IFERROR(__xludf.DUMMYFUNCTION("""COMPUTED_VALUE"""),44580.8819023495)</f>
        <v>44580.8819</v>
      </c>
      <c r="D2368" s="15">
        <f>IFERROR(__xludf.DUMMYFUNCTION("""COMPUTED_VALUE"""),1.002)</f>
        <v>1.002</v>
      </c>
      <c r="E2368" s="16">
        <f>IFERROR(__xludf.DUMMYFUNCTION("""COMPUTED_VALUE"""),66.0)</f>
        <v>66</v>
      </c>
      <c r="F2368" s="19" t="str">
        <f>IFERROR(__xludf.DUMMYFUNCTION("""COMPUTED_VALUE"""),"BLUE")</f>
        <v>BLUE</v>
      </c>
      <c r="G2368" s="20" t="str">
        <f>IFERROR(__xludf.DUMMYFUNCTION("""COMPUTED_VALUE"""),"Uncle Sams Cider (11/12/2021) (Blue)")</f>
        <v>Uncle Sams Cider (11/12/2021) (Blue)</v>
      </c>
      <c r="H2368" s="19"/>
    </row>
    <row r="2369">
      <c r="A2369" s="9"/>
      <c r="B2369" s="15"/>
      <c r="C2369" s="9">
        <f>IFERROR(__xludf.DUMMYFUNCTION("""COMPUTED_VALUE"""),44580.8714809259)</f>
        <v>44580.87148</v>
      </c>
      <c r="D2369" s="15">
        <f>IFERROR(__xludf.DUMMYFUNCTION("""COMPUTED_VALUE"""),1.002)</f>
        <v>1.002</v>
      </c>
      <c r="E2369" s="16">
        <f>IFERROR(__xludf.DUMMYFUNCTION("""COMPUTED_VALUE"""),66.0)</f>
        <v>66</v>
      </c>
      <c r="F2369" s="19" t="str">
        <f>IFERROR(__xludf.DUMMYFUNCTION("""COMPUTED_VALUE"""),"BLUE")</f>
        <v>BLUE</v>
      </c>
      <c r="G2369" s="20" t="str">
        <f>IFERROR(__xludf.DUMMYFUNCTION("""COMPUTED_VALUE"""),"Uncle Sams Cider (11/12/2021) (Blue)")</f>
        <v>Uncle Sams Cider (11/12/2021) (Blue)</v>
      </c>
      <c r="H2369" s="19"/>
    </row>
    <row r="2370">
      <c r="A2370" s="9"/>
      <c r="B2370" s="15"/>
      <c r="C2370" s="9">
        <f>IFERROR(__xludf.DUMMYFUNCTION("""COMPUTED_VALUE"""),44580.8610344675)</f>
        <v>44580.86103</v>
      </c>
      <c r="D2370" s="15">
        <f>IFERROR(__xludf.DUMMYFUNCTION("""COMPUTED_VALUE"""),1.002)</f>
        <v>1.002</v>
      </c>
      <c r="E2370" s="16">
        <f>IFERROR(__xludf.DUMMYFUNCTION("""COMPUTED_VALUE"""),66.0)</f>
        <v>66</v>
      </c>
      <c r="F2370" s="19" t="str">
        <f>IFERROR(__xludf.DUMMYFUNCTION("""COMPUTED_VALUE"""),"BLUE")</f>
        <v>BLUE</v>
      </c>
      <c r="G2370" s="20" t="str">
        <f>IFERROR(__xludf.DUMMYFUNCTION("""COMPUTED_VALUE"""),"Uncle Sams Cider (11/12/2021) (Blue)")</f>
        <v>Uncle Sams Cider (11/12/2021) (Blue)</v>
      </c>
      <c r="H2370" s="19"/>
    </row>
    <row r="2371">
      <c r="A2371" s="9"/>
      <c r="B2371" s="15"/>
      <c r="C2371" s="9">
        <f>IFERROR(__xludf.DUMMYFUNCTION("""COMPUTED_VALUE"""),44580.8506137268)</f>
        <v>44580.85061</v>
      </c>
      <c r="D2371" s="15">
        <f>IFERROR(__xludf.DUMMYFUNCTION("""COMPUTED_VALUE"""),1.002)</f>
        <v>1.002</v>
      </c>
      <c r="E2371" s="16">
        <f>IFERROR(__xludf.DUMMYFUNCTION("""COMPUTED_VALUE"""),66.0)</f>
        <v>66</v>
      </c>
      <c r="F2371" s="19" t="str">
        <f>IFERROR(__xludf.DUMMYFUNCTION("""COMPUTED_VALUE"""),"BLUE")</f>
        <v>BLUE</v>
      </c>
      <c r="G2371" s="20" t="str">
        <f>IFERROR(__xludf.DUMMYFUNCTION("""COMPUTED_VALUE"""),"Uncle Sams Cider (11/12/2021) (Blue)")</f>
        <v>Uncle Sams Cider (11/12/2021) (Blue)</v>
      </c>
      <c r="H2371" s="19"/>
    </row>
    <row r="2372">
      <c r="A2372" s="9"/>
      <c r="B2372" s="15"/>
      <c r="C2372" s="9">
        <f>IFERROR(__xludf.DUMMYFUNCTION("""COMPUTED_VALUE"""),44580.8401929629)</f>
        <v>44580.84019</v>
      </c>
      <c r="D2372" s="15">
        <f>IFERROR(__xludf.DUMMYFUNCTION("""COMPUTED_VALUE"""),1.002)</f>
        <v>1.002</v>
      </c>
      <c r="E2372" s="16">
        <f>IFERROR(__xludf.DUMMYFUNCTION("""COMPUTED_VALUE"""),66.0)</f>
        <v>66</v>
      </c>
      <c r="F2372" s="19" t="str">
        <f>IFERROR(__xludf.DUMMYFUNCTION("""COMPUTED_VALUE"""),"BLUE")</f>
        <v>BLUE</v>
      </c>
      <c r="G2372" s="20" t="str">
        <f>IFERROR(__xludf.DUMMYFUNCTION("""COMPUTED_VALUE"""),"Uncle Sams Cider (11/12/2021) (Blue)")</f>
        <v>Uncle Sams Cider (11/12/2021) (Blue)</v>
      </c>
      <c r="H2372" s="19"/>
    </row>
    <row r="2373">
      <c r="A2373" s="9"/>
      <c r="B2373" s="15"/>
      <c r="C2373" s="9">
        <f>IFERROR(__xludf.DUMMYFUNCTION("""COMPUTED_VALUE"""),44580.8297714004)</f>
        <v>44580.82977</v>
      </c>
      <c r="D2373" s="15">
        <f>IFERROR(__xludf.DUMMYFUNCTION("""COMPUTED_VALUE"""),1.002)</f>
        <v>1.002</v>
      </c>
      <c r="E2373" s="16">
        <f>IFERROR(__xludf.DUMMYFUNCTION("""COMPUTED_VALUE"""),66.0)</f>
        <v>66</v>
      </c>
      <c r="F2373" s="19" t="str">
        <f>IFERROR(__xludf.DUMMYFUNCTION("""COMPUTED_VALUE"""),"BLUE")</f>
        <v>BLUE</v>
      </c>
      <c r="G2373" s="20" t="str">
        <f>IFERROR(__xludf.DUMMYFUNCTION("""COMPUTED_VALUE"""),"Uncle Sams Cider (11/12/2021) (Blue)")</f>
        <v>Uncle Sams Cider (11/12/2021) (Blue)</v>
      </c>
      <c r="H2373" s="19"/>
    </row>
    <row r="2374">
      <c r="A2374" s="9"/>
      <c r="B2374" s="15"/>
      <c r="C2374" s="9">
        <f>IFERROR(__xludf.DUMMYFUNCTION("""COMPUTED_VALUE"""),44580.8193497685)</f>
        <v>44580.81935</v>
      </c>
      <c r="D2374" s="15">
        <f>IFERROR(__xludf.DUMMYFUNCTION("""COMPUTED_VALUE"""),1.002)</f>
        <v>1.002</v>
      </c>
      <c r="E2374" s="16">
        <f>IFERROR(__xludf.DUMMYFUNCTION("""COMPUTED_VALUE"""),66.0)</f>
        <v>66</v>
      </c>
      <c r="F2374" s="19" t="str">
        <f>IFERROR(__xludf.DUMMYFUNCTION("""COMPUTED_VALUE"""),"BLUE")</f>
        <v>BLUE</v>
      </c>
      <c r="G2374" s="20" t="str">
        <f>IFERROR(__xludf.DUMMYFUNCTION("""COMPUTED_VALUE"""),"Uncle Sams Cider (11/12/2021) (Blue)")</f>
        <v>Uncle Sams Cider (11/12/2021) (Blue)</v>
      </c>
      <c r="H2374" s="19"/>
    </row>
    <row r="2375">
      <c r="A2375" s="9"/>
      <c r="B2375" s="15"/>
      <c r="C2375" s="9">
        <f>IFERROR(__xludf.DUMMYFUNCTION("""COMPUTED_VALUE"""),44580.8089161574)</f>
        <v>44580.80892</v>
      </c>
      <c r="D2375" s="15">
        <f>IFERROR(__xludf.DUMMYFUNCTION("""COMPUTED_VALUE"""),1.002)</f>
        <v>1.002</v>
      </c>
      <c r="E2375" s="16">
        <f>IFERROR(__xludf.DUMMYFUNCTION("""COMPUTED_VALUE"""),66.0)</f>
        <v>66</v>
      </c>
      <c r="F2375" s="19" t="str">
        <f>IFERROR(__xludf.DUMMYFUNCTION("""COMPUTED_VALUE"""),"BLUE")</f>
        <v>BLUE</v>
      </c>
      <c r="G2375" s="20" t="str">
        <f>IFERROR(__xludf.DUMMYFUNCTION("""COMPUTED_VALUE"""),"Uncle Sams Cider (11/12/2021) (Blue)")</f>
        <v>Uncle Sams Cider (11/12/2021) (Blue)</v>
      </c>
      <c r="H2375" s="19"/>
    </row>
    <row r="2376">
      <c r="A2376" s="9"/>
      <c r="B2376" s="15"/>
      <c r="C2376" s="9">
        <f>IFERROR(__xludf.DUMMYFUNCTION("""COMPUTED_VALUE"""),44580.79849625)</f>
        <v>44580.7985</v>
      </c>
      <c r="D2376" s="15">
        <f>IFERROR(__xludf.DUMMYFUNCTION("""COMPUTED_VALUE"""),1.001)</f>
        <v>1.001</v>
      </c>
      <c r="E2376" s="16">
        <f>IFERROR(__xludf.DUMMYFUNCTION("""COMPUTED_VALUE"""),66.0)</f>
        <v>66</v>
      </c>
      <c r="F2376" s="19" t="str">
        <f>IFERROR(__xludf.DUMMYFUNCTION("""COMPUTED_VALUE"""),"BLUE")</f>
        <v>BLUE</v>
      </c>
      <c r="G2376" s="20" t="str">
        <f>IFERROR(__xludf.DUMMYFUNCTION("""COMPUTED_VALUE"""),"Uncle Sams Cider (11/12/2021) (Blue)")</f>
        <v>Uncle Sams Cider (11/12/2021) (Blue)</v>
      </c>
      <c r="H2376" s="19"/>
    </row>
    <row r="2377">
      <c r="A2377" s="9"/>
      <c r="B2377" s="15"/>
      <c r="C2377" s="9">
        <f>IFERROR(__xludf.DUMMYFUNCTION("""COMPUTED_VALUE"""),44580.7880746874)</f>
        <v>44580.78807</v>
      </c>
      <c r="D2377" s="15">
        <f>IFERROR(__xludf.DUMMYFUNCTION("""COMPUTED_VALUE"""),1.002)</f>
        <v>1.002</v>
      </c>
      <c r="E2377" s="16">
        <f>IFERROR(__xludf.DUMMYFUNCTION("""COMPUTED_VALUE"""),66.0)</f>
        <v>66</v>
      </c>
      <c r="F2377" s="19" t="str">
        <f>IFERROR(__xludf.DUMMYFUNCTION("""COMPUTED_VALUE"""),"BLUE")</f>
        <v>BLUE</v>
      </c>
      <c r="G2377" s="20" t="str">
        <f>IFERROR(__xludf.DUMMYFUNCTION("""COMPUTED_VALUE"""),"Uncle Sams Cider (11/12/2021) (Blue)")</f>
        <v>Uncle Sams Cider (11/12/2021) (Blue)</v>
      </c>
      <c r="H2377" s="19"/>
    </row>
    <row r="2378">
      <c r="A2378" s="9"/>
      <c r="B2378" s="15"/>
      <c r="C2378" s="9">
        <f>IFERROR(__xludf.DUMMYFUNCTION("""COMPUTED_VALUE"""),44580.7776509606)</f>
        <v>44580.77765</v>
      </c>
      <c r="D2378" s="15">
        <f>IFERROR(__xludf.DUMMYFUNCTION("""COMPUTED_VALUE"""),1.002)</f>
        <v>1.002</v>
      </c>
      <c r="E2378" s="16">
        <f>IFERROR(__xludf.DUMMYFUNCTION("""COMPUTED_VALUE"""),66.0)</f>
        <v>66</v>
      </c>
      <c r="F2378" s="19" t="str">
        <f>IFERROR(__xludf.DUMMYFUNCTION("""COMPUTED_VALUE"""),"BLUE")</f>
        <v>BLUE</v>
      </c>
      <c r="G2378" s="20" t="str">
        <f>IFERROR(__xludf.DUMMYFUNCTION("""COMPUTED_VALUE"""),"Uncle Sams Cider (11/12/2021) (Blue)")</f>
        <v>Uncle Sams Cider (11/12/2021) (Blue)</v>
      </c>
      <c r="H2378" s="19"/>
    </row>
    <row r="2379">
      <c r="A2379" s="9"/>
      <c r="B2379" s="15"/>
      <c r="C2379" s="9">
        <f>IFERROR(__xludf.DUMMYFUNCTION("""COMPUTED_VALUE"""),44580.7672288194)</f>
        <v>44580.76723</v>
      </c>
      <c r="D2379" s="15">
        <f>IFERROR(__xludf.DUMMYFUNCTION("""COMPUTED_VALUE"""),1.002)</f>
        <v>1.002</v>
      </c>
      <c r="E2379" s="16">
        <f>IFERROR(__xludf.DUMMYFUNCTION("""COMPUTED_VALUE"""),66.0)</f>
        <v>66</v>
      </c>
      <c r="F2379" s="19" t="str">
        <f>IFERROR(__xludf.DUMMYFUNCTION("""COMPUTED_VALUE"""),"BLUE")</f>
        <v>BLUE</v>
      </c>
      <c r="G2379" s="20" t="str">
        <f>IFERROR(__xludf.DUMMYFUNCTION("""COMPUTED_VALUE"""),"Uncle Sams Cider (11/12/2021) (Blue)")</f>
        <v>Uncle Sams Cider (11/12/2021) (Blue)</v>
      </c>
      <c r="H2379" s="19"/>
    </row>
    <row r="2380">
      <c r="A2380" s="9"/>
      <c r="B2380" s="15"/>
      <c r="C2380" s="9">
        <f>IFERROR(__xludf.DUMMYFUNCTION("""COMPUTED_VALUE"""),44580.7567982175)</f>
        <v>44580.7568</v>
      </c>
      <c r="D2380" s="15">
        <f>IFERROR(__xludf.DUMMYFUNCTION("""COMPUTED_VALUE"""),1.002)</f>
        <v>1.002</v>
      </c>
      <c r="E2380" s="16">
        <f>IFERROR(__xludf.DUMMYFUNCTION("""COMPUTED_VALUE"""),66.0)</f>
        <v>66</v>
      </c>
      <c r="F2380" s="19" t="str">
        <f>IFERROR(__xludf.DUMMYFUNCTION("""COMPUTED_VALUE"""),"BLUE")</f>
        <v>BLUE</v>
      </c>
      <c r="G2380" s="20" t="str">
        <f>IFERROR(__xludf.DUMMYFUNCTION("""COMPUTED_VALUE"""),"Uncle Sams Cider (11/12/2021) (Blue)")</f>
        <v>Uncle Sams Cider (11/12/2021) (Blue)</v>
      </c>
      <c r="H2380" s="19"/>
    </row>
    <row r="2381">
      <c r="A2381" s="9"/>
      <c r="B2381" s="15"/>
      <c r="C2381" s="9">
        <f>IFERROR(__xludf.DUMMYFUNCTION("""COMPUTED_VALUE"""),44580.7463763078)</f>
        <v>44580.74638</v>
      </c>
      <c r="D2381" s="15">
        <f>IFERROR(__xludf.DUMMYFUNCTION("""COMPUTED_VALUE"""),1.001)</f>
        <v>1.001</v>
      </c>
      <c r="E2381" s="16">
        <f>IFERROR(__xludf.DUMMYFUNCTION("""COMPUTED_VALUE"""),66.0)</f>
        <v>66</v>
      </c>
      <c r="F2381" s="19" t="str">
        <f>IFERROR(__xludf.DUMMYFUNCTION("""COMPUTED_VALUE"""),"BLUE")</f>
        <v>BLUE</v>
      </c>
      <c r="G2381" s="20" t="str">
        <f>IFERROR(__xludf.DUMMYFUNCTION("""COMPUTED_VALUE"""),"Uncle Sams Cider (11/12/2021) (Blue)")</f>
        <v>Uncle Sams Cider (11/12/2021) (Blue)</v>
      </c>
      <c r="H2381" s="19"/>
    </row>
    <row r="2382">
      <c r="A2382" s="9"/>
      <c r="B2382" s="15"/>
      <c r="C2382" s="9">
        <f>IFERROR(__xludf.DUMMYFUNCTION("""COMPUTED_VALUE"""),44580.7359545833)</f>
        <v>44580.73595</v>
      </c>
      <c r="D2382" s="15">
        <f>IFERROR(__xludf.DUMMYFUNCTION("""COMPUTED_VALUE"""),1.002)</f>
        <v>1.002</v>
      </c>
      <c r="E2382" s="16">
        <f>IFERROR(__xludf.DUMMYFUNCTION("""COMPUTED_VALUE"""),66.0)</f>
        <v>66</v>
      </c>
      <c r="F2382" s="19" t="str">
        <f>IFERROR(__xludf.DUMMYFUNCTION("""COMPUTED_VALUE"""),"BLUE")</f>
        <v>BLUE</v>
      </c>
      <c r="G2382" s="20" t="str">
        <f>IFERROR(__xludf.DUMMYFUNCTION("""COMPUTED_VALUE"""),"Uncle Sams Cider (11/12/2021) (Blue)")</f>
        <v>Uncle Sams Cider (11/12/2021) (Blue)</v>
      </c>
      <c r="H2382" s="19"/>
    </row>
    <row r="2383">
      <c r="A2383" s="9"/>
      <c r="B2383" s="15"/>
      <c r="C2383" s="9">
        <f>IFERROR(__xludf.DUMMYFUNCTION("""COMPUTED_VALUE"""),44580.7255098842)</f>
        <v>44580.72551</v>
      </c>
      <c r="D2383" s="15">
        <f>IFERROR(__xludf.DUMMYFUNCTION("""COMPUTED_VALUE"""),1.002)</f>
        <v>1.002</v>
      </c>
      <c r="E2383" s="16">
        <f>IFERROR(__xludf.DUMMYFUNCTION("""COMPUTED_VALUE"""),66.0)</f>
        <v>66</v>
      </c>
      <c r="F2383" s="19" t="str">
        <f>IFERROR(__xludf.DUMMYFUNCTION("""COMPUTED_VALUE"""),"BLUE")</f>
        <v>BLUE</v>
      </c>
      <c r="G2383" s="20" t="str">
        <f>IFERROR(__xludf.DUMMYFUNCTION("""COMPUTED_VALUE"""),"Uncle Sams Cider (11/12/2021) (Blue)")</f>
        <v>Uncle Sams Cider (11/12/2021) (Blue)</v>
      </c>
      <c r="H2383" s="19"/>
    </row>
    <row r="2384">
      <c r="A2384" s="9"/>
      <c r="B2384" s="15"/>
      <c r="C2384" s="9">
        <f>IFERROR(__xludf.DUMMYFUNCTION("""COMPUTED_VALUE"""),44580.7150888888)</f>
        <v>44580.71509</v>
      </c>
      <c r="D2384" s="15">
        <f>IFERROR(__xludf.DUMMYFUNCTION("""COMPUTED_VALUE"""),1.002)</f>
        <v>1.002</v>
      </c>
      <c r="E2384" s="16">
        <f>IFERROR(__xludf.DUMMYFUNCTION("""COMPUTED_VALUE"""),66.0)</f>
        <v>66</v>
      </c>
      <c r="F2384" s="19" t="str">
        <f>IFERROR(__xludf.DUMMYFUNCTION("""COMPUTED_VALUE"""),"BLUE")</f>
        <v>BLUE</v>
      </c>
      <c r="G2384" s="20" t="str">
        <f>IFERROR(__xludf.DUMMYFUNCTION("""COMPUTED_VALUE"""),"Uncle Sams Cider (11/12/2021) (Blue)")</f>
        <v>Uncle Sams Cider (11/12/2021) (Blue)</v>
      </c>
      <c r="H2384" s="19"/>
    </row>
    <row r="2385">
      <c r="A2385" s="9"/>
      <c r="B2385" s="15"/>
      <c r="C2385" s="9">
        <f>IFERROR(__xludf.DUMMYFUNCTION("""COMPUTED_VALUE"""),44580.7046708101)</f>
        <v>44580.70467</v>
      </c>
      <c r="D2385" s="15">
        <f>IFERROR(__xludf.DUMMYFUNCTION("""COMPUTED_VALUE"""),1.002)</f>
        <v>1.002</v>
      </c>
      <c r="E2385" s="16">
        <f>IFERROR(__xludf.DUMMYFUNCTION("""COMPUTED_VALUE"""),66.0)</f>
        <v>66</v>
      </c>
      <c r="F2385" s="19" t="str">
        <f>IFERROR(__xludf.DUMMYFUNCTION("""COMPUTED_VALUE"""),"BLUE")</f>
        <v>BLUE</v>
      </c>
      <c r="G2385" s="20" t="str">
        <f>IFERROR(__xludf.DUMMYFUNCTION("""COMPUTED_VALUE"""),"Uncle Sams Cider (11/12/2021) (Blue)")</f>
        <v>Uncle Sams Cider (11/12/2021) (Blue)</v>
      </c>
      <c r="H2385" s="19"/>
    </row>
    <row r="2386">
      <c r="A2386" s="9"/>
      <c r="B2386" s="15"/>
      <c r="C2386" s="9">
        <f>IFERROR(__xludf.DUMMYFUNCTION("""COMPUTED_VALUE"""),44580.6942500347)</f>
        <v>44580.69425</v>
      </c>
      <c r="D2386" s="15">
        <f>IFERROR(__xludf.DUMMYFUNCTION("""COMPUTED_VALUE"""),1.002)</f>
        <v>1.002</v>
      </c>
      <c r="E2386" s="16">
        <f>IFERROR(__xludf.DUMMYFUNCTION("""COMPUTED_VALUE"""),66.0)</f>
        <v>66</v>
      </c>
      <c r="F2386" s="19" t="str">
        <f>IFERROR(__xludf.DUMMYFUNCTION("""COMPUTED_VALUE"""),"BLUE")</f>
        <v>BLUE</v>
      </c>
      <c r="G2386" s="20" t="str">
        <f>IFERROR(__xludf.DUMMYFUNCTION("""COMPUTED_VALUE"""),"Uncle Sams Cider (11/12/2021) (Blue)")</f>
        <v>Uncle Sams Cider (11/12/2021) (Blue)</v>
      </c>
      <c r="H2386" s="19"/>
    </row>
    <row r="2387">
      <c r="A2387" s="9"/>
      <c r="B2387" s="15"/>
      <c r="C2387" s="9">
        <f>IFERROR(__xludf.DUMMYFUNCTION("""COMPUTED_VALUE"""),44580.6838291088)</f>
        <v>44580.68383</v>
      </c>
      <c r="D2387" s="15">
        <f>IFERROR(__xludf.DUMMYFUNCTION("""COMPUTED_VALUE"""),1.002)</f>
        <v>1.002</v>
      </c>
      <c r="E2387" s="16">
        <f>IFERROR(__xludf.DUMMYFUNCTION("""COMPUTED_VALUE"""),66.0)</f>
        <v>66</v>
      </c>
      <c r="F2387" s="19" t="str">
        <f>IFERROR(__xludf.DUMMYFUNCTION("""COMPUTED_VALUE"""),"BLUE")</f>
        <v>BLUE</v>
      </c>
      <c r="G2387" s="20" t="str">
        <f>IFERROR(__xludf.DUMMYFUNCTION("""COMPUTED_VALUE"""),"Uncle Sams Cider (11/12/2021) (Blue)")</f>
        <v>Uncle Sams Cider (11/12/2021) (Blue)</v>
      </c>
      <c r="H2387" s="19"/>
    </row>
    <row r="2388">
      <c r="A2388" s="9"/>
      <c r="B2388" s="15"/>
      <c r="C2388" s="9">
        <f>IFERROR(__xludf.DUMMYFUNCTION("""COMPUTED_VALUE"""),44580.6733953009)</f>
        <v>44580.6734</v>
      </c>
      <c r="D2388" s="15">
        <f>IFERROR(__xludf.DUMMYFUNCTION("""COMPUTED_VALUE"""),1.002)</f>
        <v>1.002</v>
      </c>
      <c r="E2388" s="16">
        <f>IFERROR(__xludf.DUMMYFUNCTION("""COMPUTED_VALUE"""),66.0)</f>
        <v>66</v>
      </c>
      <c r="F2388" s="19" t="str">
        <f>IFERROR(__xludf.DUMMYFUNCTION("""COMPUTED_VALUE"""),"BLUE")</f>
        <v>BLUE</v>
      </c>
      <c r="G2388" s="20" t="str">
        <f>IFERROR(__xludf.DUMMYFUNCTION("""COMPUTED_VALUE"""),"Uncle Sams Cider (11/12/2021) (Blue)")</f>
        <v>Uncle Sams Cider (11/12/2021) (Blue)</v>
      </c>
      <c r="H2388" s="19"/>
    </row>
    <row r="2389">
      <c r="A2389" s="9"/>
      <c r="B2389" s="15"/>
      <c r="C2389" s="9">
        <f>IFERROR(__xludf.DUMMYFUNCTION("""COMPUTED_VALUE"""),44580.6629738773)</f>
        <v>44580.66297</v>
      </c>
      <c r="D2389" s="15">
        <f>IFERROR(__xludf.DUMMYFUNCTION("""COMPUTED_VALUE"""),1.001)</f>
        <v>1.001</v>
      </c>
      <c r="E2389" s="16">
        <f>IFERROR(__xludf.DUMMYFUNCTION("""COMPUTED_VALUE"""),67.0)</f>
        <v>67</v>
      </c>
      <c r="F2389" s="19" t="str">
        <f>IFERROR(__xludf.DUMMYFUNCTION("""COMPUTED_VALUE"""),"BLUE")</f>
        <v>BLUE</v>
      </c>
      <c r="G2389" s="20" t="str">
        <f>IFERROR(__xludf.DUMMYFUNCTION("""COMPUTED_VALUE"""),"Uncle Sams Cider (11/12/2021) (Blue)")</f>
        <v>Uncle Sams Cider (11/12/2021) (Blue)</v>
      </c>
      <c r="H2389" s="19"/>
    </row>
    <row r="2390">
      <c r="A2390" s="9"/>
      <c r="B2390" s="15"/>
      <c r="C2390" s="9">
        <f>IFERROR(__xludf.DUMMYFUNCTION("""COMPUTED_VALUE"""),44580.6525540162)</f>
        <v>44580.65255</v>
      </c>
      <c r="D2390" s="15">
        <f>IFERROR(__xludf.DUMMYFUNCTION("""COMPUTED_VALUE"""),1.002)</f>
        <v>1.002</v>
      </c>
      <c r="E2390" s="16">
        <f>IFERROR(__xludf.DUMMYFUNCTION("""COMPUTED_VALUE"""),67.0)</f>
        <v>67</v>
      </c>
      <c r="F2390" s="19" t="str">
        <f>IFERROR(__xludf.DUMMYFUNCTION("""COMPUTED_VALUE"""),"BLUE")</f>
        <v>BLUE</v>
      </c>
      <c r="G2390" s="20" t="str">
        <f>IFERROR(__xludf.DUMMYFUNCTION("""COMPUTED_VALUE"""),"Uncle Sams Cider (11/12/2021) (Blue)")</f>
        <v>Uncle Sams Cider (11/12/2021) (Blue)</v>
      </c>
      <c r="H2390" s="19"/>
    </row>
    <row r="2391">
      <c r="A2391" s="9"/>
      <c r="B2391" s="15"/>
      <c r="C2391" s="9">
        <f>IFERROR(__xludf.DUMMYFUNCTION("""COMPUTED_VALUE"""),44580.6421318055)</f>
        <v>44580.64213</v>
      </c>
      <c r="D2391" s="15">
        <f>IFERROR(__xludf.DUMMYFUNCTION("""COMPUTED_VALUE"""),1.001)</f>
        <v>1.001</v>
      </c>
      <c r="E2391" s="16">
        <f>IFERROR(__xludf.DUMMYFUNCTION("""COMPUTED_VALUE"""),67.0)</f>
        <v>67</v>
      </c>
      <c r="F2391" s="19" t="str">
        <f>IFERROR(__xludf.DUMMYFUNCTION("""COMPUTED_VALUE"""),"BLUE")</f>
        <v>BLUE</v>
      </c>
      <c r="G2391" s="20" t="str">
        <f>IFERROR(__xludf.DUMMYFUNCTION("""COMPUTED_VALUE"""),"Uncle Sams Cider (11/12/2021) (Blue)")</f>
        <v>Uncle Sams Cider (11/12/2021) (Blue)</v>
      </c>
      <c r="H2391" s="19"/>
    </row>
    <row r="2392">
      <c r="A2392" s="9"/>
      <c r="B2392" s="15"/>
      <c r="C2392" s="9">
        <f>IFERROR(__xludf.DUMMYFUNCTION("""COMPUTED_VALUE"""),44580.6317105902)</f>
        <v>44580.63171</v>
      </c>
      <c r="D2392" s="15">
        <f>IFERROR(__xludf.DUMMYFUNCTION("""COMPUTED_VALUE"""),1.002)</f>
        <v>1.002</v>
      </c>
      <c r="E2392" s="16">
        <f>IFERROR(__xludf.DUMMYFUNCTION("""COMPUTED_VALUE"""),67.0)</f>
        <v>67</v>
      </c>
      <c r="F2392" s="19" t="str">
        <f>IFERROR(__xludf.DUMMYFUNCTION("""COMPUTED_VALUE"""),"BLUE")</f>
        <v>BLUE</v>
      </c>
      <c r="G2392" s="20" t="str">
        <f>IFERROR(__xludf.DUMMYFUNCTION("""COMPUTED_VALUE"""),"Uncle Sams Cider (11/12/2021) (Blue)")</f>
        <v>Uncle Sams Cider (11/12/2021) (Blue)</v>
      </c>
      <c r="H2392" s="19"/>
    </row>
    <row r="2393">
      <c r="A2393" s="9"/>
      <c r="B2393" s="15"/>
      <c r="C2393" s="9">
        <f>IFERROR(__xludf.DUMMYFUNCTION("""COMPUTED_VALUE"""),44580.6212779282)</f>
        <v>44580.62128</v>
      </c>
      <c r="D2393" s="15">
        <f>IFERROR(__xludf.DUMMYFUNCTION("""COMPUTED_VALUE"""),1.002)</f>
        <v>1.002</v>
      </c>
      <c r="E2393" s="16">
        <f>IFERROR(__xludf.DUMMYFUNCTION("""COMPUTED_VALUE"""),67.0)</f>
        <v>67</v>
      </c>
      <c r="F2393" s="19" t="str">
        <f>IFERROR(__xludf.DUMMYFUNCTION("""COMPUTED_VALUE"""),"BLUE")</f>
        <v>BLUE</v>
      </c>
      <c r="G2393" s="20" t="str">
        <f>IFERROR(__xludf.DUMMYFUNCTION("""COMPUTED_VALUE"""),"Uncle Sams Cider (11/12/2021) (Blue)")</f>
        <v>Uncle Sams Cider (11/12/2021) (Blue)</v>
      </c>
      <c r="H2393" s="19"/>
    </row>
    <row r="2394">
      <c r="A2394" s="9"/>
      <c r="B2394" s="15"/>
      <c r="C2394" s="9">
        <f>IFERROR(__xludf.DUMMYFUNCTION("""COMPUTED_VALUE"""),44580.6108340046)</f>
        <v>44580.61083</v>
      </c>
      <c r="D2394" s="15">
        <f>IFERROR(__xludf.DUMMYFUNCTION("""COMPUTED_VALUE"""),1.001)</f>
        <v>1.001</v>
      </c>
      <c r="E2394" s="16">
        <f>IFERROR(__xludf.DUMMYFUNCTION("""COMPUTED_VALUE"""),67.0)</f>
        <v>67</v>
      </c>
      <c r="F2394" s="19" t="str">
        <f>IFERROR(__xludf.DUMMYFUNCTION("""COMPUTED_VALUE"""),"BLUE")</f>
        <v>BLUE</v>
      </c>
      <c r="G2394" s="20" t="str">
        <f>IFERROR(__xludf.DUMMYFUNCTION("""COMPUTED_VALUE"""),"Uncle Sams Cider (11/12/2021) (Blue)")</f>
        <v>Uncle Sams Cider (11/12/2021) (Blue)</v>
      </c>
      <c r="H2394" s="19"/>
    </row>
    <row r="2395">
      <c r="A2395" s="9"/>
      <c r="B2395" s="15"/>
      <c r="C2395" s="9">
        <f>IFERROR(__xludf.DUMMYFUNCTION("""COMPUTED_VALUE"""),44580.6004140972)</f>
        <v>44580.60041</v>
      </c>
      <c r="D2395" s="15">
        <f>IFERROR(__xludf.DUMMYFUNCTION("""COMPUTED_VALUE"""),1.002)</f>
        <v>1.002</v>
      </c>
      <c r="E2395" s="16">
        <f>IFERROR(__xludf.DUMMYFUNCTION("""COMPUTED_VALUE"""),67.0)</f>
        <v>67</v>
      </c>
      <c r="F2395" s="19" t="str">
        <f>IFERROR(__xludf.DUMMYFUNCTION("""COMPUTED_VALUE"""),"BLUE")</f>
        <v>BLUE</v>
      </c>
      <c r="G2395" s="20" t="str">
        <f>IFERROR(__xludf.DUMMYFUNCTION("""COMPUTED_VALUE"""),"Uncle Sams Cider (11/12/2021) (Blue)")</f>
        <v>Uncle Sams Cider (11/12/2021) (Blue)</v>
      </c>
      <c r="H2395" s="19"/>
    </row>
    <row r="2396">
      <c r="A2396" s="9"/>
      <c r="B2396" s="15"/>
      <c r="C2396" s="9">
        <f>IFERROR(__xludf.DUMMYFUNCTION("""COMPUTED_VALUE"""),44580.5899916782)</f>
        <v>44580.58999</v>
      </c>
      <c r="D2396" s="15">
        <f>IFERROR(__xludf.DUMMYFUNCTION("""COMPUTED_VALUE"""),1.001)</f>
        <v>1.001</v>
      </c>
      <c r="E2396" s="16">
        <f>IFERROR(__xludf.DUMMYFUNCTION("""COMPUTED_VALUE"""),67.0)</f>
        <v>67</v>
      </c>
      <c r="F2396" s="19" t="str">
        <f>IFERROR(__xludf.DUMMYFUNCTION("""COMPUTED_VALUE"""),"BLUE")</f>
        <v>BLUE</v>
      </c>
      <c r="G2396" s="20" t="str">
        <f>IFERROR(__xludf.DUMMYFUNCTION("""COMPUTED_VALUE"""),"Uncle Sams Cider (11/12/2021) (Blue)")</f>
        <v>Uncle Sams Cider (11/12/2021) (Blue)</v>
      </c>
      <c r="H2396" s="19"/>
    </row>
    <row r="2397">
      <c r="A2397" s="9"/>
      <c r="B2397" s="15"/>
      <c r="C2397" s="9">
        <f>IFERROR(__xludf.DUMMYFUNCTION("""COMPUTED_VALUE"""),44580.57955853)</f>
        <v>44580.57956</v>
      </c>
      <c r="D2397" s="15">
        <f>IFERROR(__xludf.DUMMYFUNCTION("""COMPUTED_VALUE"""),1.002)</f>
        <v>1.002</v>
      </c>
      <c r="E2397" s="16">
        <f>IFERROR(__xludf.DUMMYFUNCTION("""COMPUTED_VALUE"""),67.0)</f>
        <v>67</v>
      </c>
      <c r="F2397" s="19" t="str">
        <f>IFERROR(__xludf.DUMMYFUNCTION("""COMPUTED_VALUE"""),"BLUE")</f>
        <v>BLUE</v>
      </c>
      <c r="G2397" s="20" t="str">
        <f>IFERROR(__xludf.DUMMYFUNCTION("""COMPUTED_VALUE"""),"Uncle Sams Cider (11/12/2021) (Blue)")</f>
        <v>Uncle Sams Cider (11/12/2021) (Blue)</v>
      </c>
      <c r="H2397" s="19"/>
    </row>
    <row r="2398">
      <c r="A2398" s="9"/>
      <c r="B2398" s="15"/>
      <c r="C2398" s="9">
        <f>IFERROR(__xludf.DUMMYFUNCTION("""COMPUTED_VALUE"""),44580.5691369675)</f>
        <v>44580.56914</v>
      </c>
      <c r="D2398" s="15">
        <f>IFERROR(__xludf.DUMMYFUNCTION("""COMPUTED_VALUE"""),1.001)</f>
        <v>1.001</v>
      </c>
      <c r="E2398" s="16">
        <f>IFERROR(__xludf.DUMMYFUNCTION("""COMPUTED_VALUE"""),67.0)</f>
        <v>67</v>
      </c>
      <c r="F2398" s="19" t="str">
        <f>IFERROR(__xludf.DUMMYFUNCTION("""COMPUTED_VALUE"""),"BLUE")</f>
        <v>BLUE</v>
      </c>
      <c r="G2398" s="20" t="str">
        <f>IFERROR(__xludf.DUMMYFUNCTION("""COMPUTED_VALUE"""),"Uncle Sams Cider (11/12/2021) (Blue)")</f>
        <v>Uncle Sams Cider (11/12/2021) (Blue)</v>
      </c>
      <c r="H2398" s="19"/>
    </row>
    <row r="2399">
      <c r="A2399" s="9"/>
      <c r="B2399" s="15"/>
      <c r="C2399" s="9">
        <f>IFERROR(__xludf.DUMMYFUNCTION("""COMPUTED_VALUE"""),44580.5587155324)</f>
        <v>44580.55872</v>
      </c>
      <c r="D2399" s="15">
        <f>IFERROR(__xludf.DUMMYFUNCTION("""COMPUTED_VALUE"""),1.002)</f>
        <v>1.002</v>
      </c>
      <c r="E2399" s="16">
        <f>IFERROR(__xludf.DUMMYFUNCTION("""COMPUTED_VALUE"""),67.0)</f>
        <v>67</v>
      </c>
      <c r="F2399" s="19" t="str">
        <f>IFERROR(__xludf.DUMMYFUNCTION("""COMPUTED_VALUE"""),"BLUE")</f>
        <v>BLUE</v>
      </c>
      <c r="G2399" s="20" t="str">
        <f>IFERROR(__xludf.DUMMYFUNCTION("""COMPUTED_VALUE"""),"Uncle Sams Cider (11/12/2021) (Blue)")</f>
        <v>Uncle Sams Cider (11/12/2021) (Blue)</v>
      </c>
      <c r="H2399" s="19"/>
    </row>
    <row r="2400">
      <c r="A2400" s="9"/>
      <c r="B2400" s="15"/>
      <c r="C2400" s="9">
        <f>IFERROR(__xludf.DUMMYFUNCTION("""COMPUTED_VALUE"""),44580.5482940625)</f>
        <v>44580.54829</v>
      </c>
      <c r="D2400" s="15">
        <f>IFERROR(__xludf.DUMMYFUNCTION("""COMPUTED_VALUE"""),1.002)</f>
        <v>1.002</v>
      </c>
      <c r="E2400" s="16">
        <f>IFERROR(__xludf.DUMMYFUNCTION("""COMPUTED_VALUE"""),67.0)</f>
        <v>67</v>
      </c>
      <c r="F2400" s="19" t="str">
        <f>IFERROR(__xludf.DUMMYFUNCTION("""COMPUTED_VALUE"""),"BLUE")</f>
        <v>BLUE</v>
      </c>
      <c r="G2400" s="20" t="str">
        <f>IFERROR(__xludf.DUMMYFUNCTION("""COMPUTED_VALUE"""),"Uncle Sams Cider (11/12/2021) (Blue)")</f>
        <v>Uncle Sams Cider (11/12/2021) (Blue)</v>
      </c>
      <c r="H2400" s="19"/>
    </row>
    <row r="2401">
      <c r="A2401" s="9"/>
      <c r="B2401" s="15"/>
      <c r="C2401" s="9">
        <f>IFERROR(__xludf.DUMMYFUNCTION("""COMPUTED_VALUE"""),44580.537871331)</f>
        <v>44580.53787</v>
      </c>
      <c r="D2401" s="15">
        <f>IFERROR(__xludf.DUMMYFUNCTION("""COMPUTED_VALUE"""),1.001)</f>
        <v>1.001</v>
      </c>
      <c r="E2401" s="16">
        <f>IFERROR(__xludf.DUMMYFUNCTION("""COMPUTED_VALUE"""),67.0)</f>
        <v>67</v>
      </c>
      <c r="F2401" s="19" t="str">
        <f>IFERROR(__xludf.DUMMYFUNCTION("""COMPUTED_VALUE"""),"BLUE")</f>
        <v>BLUE</v>
      </c>
      <c r="G2401" s="20" t="str">
        <f>IFERROR(__xludf.DUMMYFUNCTION("""COMPUTED_VALUE"""),"Uncle Sams Cider (11/12/2021) (Blue)")</f>
        <v>Uncle Sams Cider (11/12/2021) (Blue)</v>
      </c>
      <c r="H2401" s="19"/>
    </row>
    <row r="2402">
      <c r="A2402" s="9"/>
      <c r="B2402" s="15"/>
      <c r="C2402" s="9">
        <f>IFERROR(__xludf.DUMMYFUNCTION("""COMPUTED_VALUE"""),44580.52742728)</f>
        <v>44580.52743</v>
      </c>
      <c r="D2402" s="15">
        <f>IFERROR(__xludf.DUMMYFUNCTION("""COMPUTED_VALUE"""),1.002)</f>
        <v>1.002</v>
      </c>
      <c r="E2402" s="16">
        <f>IFERROR(__xludf.DUMMYFUNCTION("""COMPUTED_VALUE"""),67.0)</f>
        <v>67</v>
      </c>
      <c r="F2402" s="19" t="str">
        <f>IFERROR(__xludf.DUMMYFUNCTION("""COMPUTED_VALUE"""),"BLUE")</f>
        <v>BLUE</v>
      </c>
      <c r="G2402" s="20" t="str">
        <f>IFERROR(__xludf.DUMMYFUNCTION("""COMPUTED_VALUE"""),"Uncle Sams Cider (11/12/2021) (Blue)")</f>
        <v>Uncle Sams Cider (11/12/2021) (Blue)</v>
      </c>
      <c r="H2402" s="19"/>
    </row>
    <row r="2403">
      <c r="A2403" s="9"/>
      <c r="B2403" s="15"/>
      <c r="C2403" s="9">
        <f>IFERROR(__xludf.DUMMYFUNCTION("""COMPUTED_VALUE"""),44580.5170055787)</f>
        <v>44580.51701</v>
      </c>
      <c r="D2403" s="15">
        <f>IFERROR(__xludf.DUMMYFUNCTION("""COMPUTED_VALUE"""),1.001)</f>
        <v>1.001</v>
      </c>
      <c r="E2403" s="16">
        <f>IFERROR(__xludf.DUMMYFUNCTION("""COMPUTED_VALUE"""),67.0)</f>
        <v>67</v>
      </c>
      <c r="F2403" s="19" t="str">
        <f>IFERROR(__xludf.DUMMYFUNCTION("""COMPUTED_VALUE"""),"BLUE")</f>
        <v>BLUE</v>
      </c>
      <c r="G2403" s="20" t="str">
        <f>IFERROR(__xludf.DUMMYFUNCTION("""COMPUTED_VALUE"""),"Uncle Sams Cider (11/12/2021) (Blue)")</f>
        <v>Uncle Sams Cider (11/12/2021) (Blue)</v>
      </c>
      <c r="H2403" s="19"/>
    </row>
    <row r="2404">
      <c r="A2404" s="9"/>
      <c r="B2404" s="15"/>
      <c r="C2404" s="9">
        <f>IFERROR(__xludf.DUMMYFUNCTION("""COMPUTED_VALUE"""),44580.5065725925)</f>
        <v>44580.50657</v>
      </c>
      <c r="D2404" s="15">
        <f>IFERROR(__xludf.DUMMYFUNCTION("""COMPUTED_VALUE"""),1.002)</f>
        <v>1.002</v>
      </c>
      <c r="E2404" s="16">
        <f>IFERROR(__xludf.DUMMYFUNCTION("""COMPUTED_VALUE"""),67.0)</f>
        <v>67</v>
      </c>
      <c r="F2404" s="19" t="str">
        <f>IFERROR(__xludf.DUMMYFUNCTION("""COMPUTED_VALUE"""),"BLUE")</f>
        <v>BLUE</v>
      </c>
      <c r="G2404" s="20" t="str">
        <f>IFERROR(__xludf.DUMMYFUNCTION("""COMPUTED_VALUE"""),"Uncle Sams Cider (11/12/2021) (Blue)")</f>
        <v>Uncle Sams Cider (11/12/2021) (Blue)</v>
      </c>
      <c r="H2404" s="19"/>
    </row>
    <row r="2405">
      <c r="A2405" s="9"/>
      <c r="B2405" s="15"/>
      <c r="C2405" s="9">
        <f>IFERROR(__xludf.DUMMYFUNCTION("""COMPUTED_VALUE"""),44580.496128368)</f>
        <v>44580.49613</v>
      </c>
      <c r="D2405" s="15">
        <f>IFERROR(__xludf.DUMMYFUNCTION("""COMPUTED_VALUE"""),1.001)</f>
        <v>1.001</v>
      </c>
      <c r="E2405" s="16">
        <f>IFERROR(__xludf.DUMMYFUNCTION("""COMPUTED_VALUE"""),67.0)</f>
        <v>67</v>
      </c>
      <c r="F2405" s="19" t="str">
        <f>IFERROR(__xludf.DUMMYFUNCTION("""COMPUTED_VALUE"""),"BLUE")</f>
        <v>BLUE</v>
      </c>
      <c r="G2405" s="20" t="str">
        <f>IFERROR(__xludf.DUMMYFUNCTION("""COMPUTED_VALUE"""),"Uncle Sams Cider (11/12/2021) (Blue)")</f>
        <v>Uncle Sams Cider (11/12/2021) (Blue)</v>
      </c>
      <c r="H2405" s="19"/>
    </row>
    <row r="2406">
      <c r="A2406" s="9"/>
      <c r="B2406" s="15"/>
      <c r="C2406" s="9">
        <f>IFERROR(__xludf.DUMMYFUNCTION("""COMPUTED_VALUE"""),44580.4857081597)</f>
        <v>44580.48571</v>
      </c>
      <c r="D2406" s="15">
        <f>IFERROR(__xludf.DUMMYFUNCTION("""COMPUTED_VALUE"""),1.001)</f>
        <v>1.001</v>
      </c>
      <c r="E2406" s="16">
        <f>IFERROR(__xludf.DUMMYFUNCTION("""COMPUTED_VALUE"""),67.0)</f>
        <v>67</v>
      </c>
      <c r="F2406" s="19" t="str">
        <f>IFERROR(__xludf.DUMMYFUNCTION("""COMPUTED_VALUE"""),"BLUE")</f>
        <v>BLUE</v>
      </c>
      <c r="G2406" s="20" t="str">
        <f>IFERROR(__xludf.DUMMYFUNCTION("""COMPUTED_VALUE"""),"Uncle Sams Cider (11/12/2021) (Blue)")</f>
        <v>Uncle Sams Cider (11/12/2021) (Blue)</v>
      </c>
      <c r="H2406" s="19"/>
    </row>
    <row r="2407">
      <c r="A2407" s="9"/>
      <c r="B2407" s="15"/>
      <c r="C2407" s="9">
        <f>IFERROR(__xludf.DUMMYFUNCTION("""COMPUTED_VALUE"""),44580.4752868518)</f>
        <v>44580.47529</v>
      </c>
      <c r="D2407" s="15">
        <f>IFERROR(__xludf.DUMMYFUNCTION("""COMPUTED_VALUE"""),1.002)</f>
        <v>1.002</v>
      </c>
      <c r="E2407" s="16">
        <f>IFERROR(__xludf.DUMMYFUNCTION("""COMPUTED_VALUE"""),67.0)</f>
        <v>67</v>
      </c>
      <c r="F2407" s="19" t="str">
        <f>IFERROR(__xludf.DUMMYFUNCTION("""COMPUTED_VALUE"""),"BLUE")</f>
        <v>BLUE</v>
      </c>
      <c r="G2407" s="20" t="str">
        <f>IFERROR(__xludf.DUMMYFUNCTION("""COMPUTED_VALUE"""),"Uncle Sams Cider (11/12/2021) (Blue)")</f>
        <v>Uncle Sams Cider (11/12/2021) (Blue)</v>
      </c>
      <c r="H2407" s="19"/>
    </row>
    <row r="2408">
      <c r="A2408" s="9"/>
      <c r="B2408" s="15"/>
      <c r="C2408" s="9">
        <f>IFERROR(__xludf.DUMMYFUNCTION("""COMPUTED_VALUE"""),44580.4648433333)</f>
        <v>44580.46484</v>
      </c>
      <c r="D2408" s="15">
        <f>IFERROR(__xludf.DUMMYFUNCTION("""COMPUTED_VALUE"""),1.002)</f>
        <v>1.002</v>
      </c>
      <c r="E2408" s="16">
        <f>IFERROR(__xludf.DUMMYFUNCTION("""COMPUTED_VALUE"""),67.0)</f>
        <v>67</v>
      </c>
      <c r="F2408" s="19" t="str">
        <f>IFERROR(__xludf.DUMMYFUNCTION("""COMPUTED_VALUE"""),"BLUE")</f>
        <v>BLUE</v>
      </c>
      <c r="G2408" s="20" t="str">
        <f>IFERROR(__xludf.DUMMYFUNCTION("""COMPUTED_VALUE"""),"Uncle Sams Cider (11/12/2021) (Blue)")</f>
        <v>Uncle Sams Cider (11/12/2021) (Blue)</v>
      </c>
      <c r="H2408" s="19"/>
    </row>
    <row r="2409">
      <c r="A2409" s="9"/>
      <c r="B2409" s="15"/>
      <c r="C2409" s="9">
        <f>IFERROR(__xludf.DUMMYFUNCTION("""COMPUTED_VALUE"""),44580.454422199)</f>
        <v>44580.45442</v>
      </c>
      <c r="D2409" s="15">
        <f>IFERROR(__xludf.DUMMYFUNCTION("""COMPUTED_VALUE"""),1.002)</f>
        <v>1.002</v>
      </c>
      <c r="E2409" s="16">
        <f>IFERROR(__xludf.DUMMYFUNCTION("""COMPUTED_VALUE"""),67.0)</f>
        <v>67</v>
      </c>
      <c r="F2409" s="19" t="str">
        <f>IFERROR(__xludf.DUMMYFUNCTION("""COMPUTED_VALUE"""),"BLUE")</f>
        <v>BLUE</v>
      </c>
      <c r="G2409" s="20" t="str">
        <f>IFERROR(__xludf.DUMMYFUNCTION("""COMPUTED_VALUE"""),"Uncle Sams Cider (11/12/2021) (Blue)")</f>
        <v>Uncle Sams Cider (11/12/2021) (Blue)</v>
      </c>
      <c r="H2409" s="19"/>
    </row>
    <row r="2410">
      <c r="A2410" s="9"/>
      <c r="B2410" s="15"/>
      <c r="C2410" s="9">
        <f>IFERROR(__xludf.DUMMYFUNCTION("""COMPUTED_VALUE"""),44580.4440017013)</f>
        <v>44580.444</v>
      </c>
      <c r="D2410" s="15">
        <f>IFERROR(__xludf.DUMMYFUNCTION("""COMPUTED_VALUE"""),1.002)</f>
        <v>1.002</v>
      </c>
      <c r="E2410" s="16">
        <f>IFERROR(__xludf.DUMMYFUNCTION("""COMPUTED_VALUE"""),67.0)</f>
        <v>67</v>
      </c>
      <c r="F2410" s="19" t="str">
        <f>IFERROR(__xludf.DUMMYFUNCTION("""COMPUTED_VALUE"""),"BLUE")</f>
        <v>BLUE</v>
      </c>
      <c r="G2410" s="20" t="str">
        <f>IFERROR(__xludf.DUMMYFUNCTION("""COMPUTED_VALUE"""),"Uncle Sams Cider (11/12/2021) (Blue)")</f>
        <v>Uncle Sams Cider (11/12/2021) (Blue)</v>
      </c>
      <c r="H2410" s="19"/>
    </row>
    <row r="2411">
      <c r="A2411" s="9"/>
      <c r="B2411" s="15"/>
      <c r="C2411" s="9">
        <f>IFERROR(__xludf.DUMMYFUNCTION("""COMPUTED_VALUE"""),44580.4335808912)</f>
        <v>44580.43358</v>
      </c>
      <c r="D2411" s="15">
        <f>IFERROR(__xludf.DUMMYFUNCTION("""COMPUTED_VALUE"""),1.002)</f>
        <v>1.002</v>
      </c>
      <c r="E2411" s="16">
        <f>IFERROR(__xludf.DUMMYFUNCTION("""COMPUTED_VALUE"""),67.0)</f>
        <v>67</v>
      </c>
      <c r="F2411" s="19" t="str">
        <f>IFERROR(__xludf.DUMMYFUNCTION("""COMPUTED_VALUE"""),"BLUE")</f>
        <v>BLUE</v>
      </c>
      <c r="G2411" s="20" t="str">
        <f>IFERROR(__xludf.DUMMYFUNCTION("""COMPUTED_VALUE"""),"Uncle Sams Cider (11/12/2021) (Blue)")</f>
        <v>Uncle Sams Cider (11/12/2021) (Blue)</v>
      </c>
      <c r="H2411" s="19"/>
    </row>
    <row r="2412">
      <c r="A2412" s="9"/>
      <c r="B2412" s="15"/>
      <c r="C2412" s="9">
        <f>IFERROR(__xludf.DUMMYFUNCTION("""COMPUTED_VALUE"""),44580.4231455787)</f>
        <v>44580.42315</v>
      </c>
      <c r="D2412" s="15">
        <f>IFERROR(__xludf.DUMMYFUNCTION("""COMPUTED_VALUE"""),1.002)</f>
        <v>1.002</v>
      </c>
      <c r="E2412" s="16">
        <f>IFERROR(__xludf.DUMMYFUNCTION("""COMPUTED_VALUE"""),67.0)</f>
        <v>67</v>
      </c>
      <c r="F2412" s="19" t="str">
        <f>IFERROR(__xludf.DUMMYFUNCTION("""COMPUTED_VALUE"""),"BLUE")</f>
        <v>BLUE</v>
      </c>
      <c r="G2412" s="20" t="str">
        <f>IFERROR(__xludf.DUMMYFUNCTION("""COMPUTED_VALUE"""),"Uncle Sams Cider (11/12/2021) (Blue)")</f>
        <v>Uncle Sams Cider (11/12/2021) (Blue)</v>
      </c>
      <c r="H2412" s="19"/>
    </row>
    <row r="2413">
      <c r="A2413" s="9"/>
      <c r="B2413" s="15"/>
      <c r="C2413" s="9">
        <f>IFERROR(__xludf.DUMMYFUNCTION("""COMPUTED_VALUE"""),44580.4127126157)</f>
        <v>44580.41271</v>
      </c>
      <c r="D2413" s="15">
        <f>IFERROR(__xludf.DUMMYFUNCTION("""COMPUTED_VALUE"""),1.002)</f>
        <v>1.002</v>
      </c>
      <c r="E2413" s="16">
        <f>IFERROR(__xludf.DUMMYFUNCTION("""COMPUTED_VALUE"""),67.0)</f>
        <v>67</v>
      </c>
      <c r="F2413" s="19" t="str">
        <f>IFERROR(__xludf.DUMMYFUNCTION("""COMPUTED_VALUE"""),"BLUE")</f>
        <v>BLUE</v>
      </c>
      <c r="G2413" s="20" t="str">
        <f>IFERROR(__xludf.DUMMYFUNCTION("""COMPUTED_VALUE"""),"Uncle Sams Cider (11/12/2021) (Blue)")</f>
        <v>Uncle Sams Cider (11/12/2021) (Blue)</v>
      </c>
      <c r="H2413" s="19"/>
    </row>
    <row r="2414">
      <c r="A2414" s="9"/>
      <c r="B2414" s="15"/>
      <c r="C2414" s="9">
        <f>IFERROR(__xludf.DUMMYFUNCTION("""COMPUTED_VALUE"""),44580.4022918287)</f>
        <v>44580.40229</v>
      </c>
      <c r="D2414" s="15">
        <f>IFERROR(__xludf.DUMMYFUNCTION("""COMPUTED_VALUE"""),1.002)</f>
        <v>1.002</v>
      </c>
      <c r="E2414" s="16">
        <f>IFERROR(__xludf.DUMMYFUNCTION("""COMPUTED_VALUE"""),68.0)</f>
        <v>68</v>
      </c>
      <c r="F2414" s="19" t="str">
        <f>IFERROR(__xludf.DUMMYFUNCTION("""COMPUTED_VALUE"""),"BLUE")</f>
        <v>BLUE</v>
      </c>
      <c r="G2414" s="20" t="str">
        <f>IFERROR(__xludf.DUMMYFUNCTION("""COMPUTED_VALUE"""),"Uncle Sams Cider (11/12/2021) (Blue)")</f>
        <v>Uncle Sams Cider (11/12/2021) (Blue)</v>
      </c>
      <c r="H2414" s="19"/>
    </row>
    <row r="2415">
      <c r="A2415" s="9"/>
      <c r="B2415" s="15"/>
      <c r="C2415" s="9">
        <f>IFERROR(__xludf.DUMMYFUNCTION("""COMPUTED_VALUE"""),44580.3918696412)</f>
        <v>44580.39187</v>
      </c>
      <c r="D2415" s="15">
        <f>IFERROR(__xludf.DUMMYFUNCTION("""COMPUTED_VALUE"""),1.002)</f>
        <v>1.002</v>
      </c>
      <c r="E2415" s="16">
        <f>IFERROR(__xludf.DUMMYFUNCTION("""COMPUTED_VALUE"""),68.0)</f>
        <v>68</v>
      </c>
      <c r="F2415" s="19" t="str">
        <f>IFERROR(__xludf.DUMMYFUNCTION("""COMPUTED_VALUE"""),"BLUE")</f>
        <v>BLUE</v>
      </c>
      <c r="G2415" s="20" t="str">
        <f>IFERROR(__xludf.DUMMYFUNCTION("""COMPUTED_VALUE"""),"Uncle Sams Cider (11/12/2021) (Blue)")</f>
        <v>Uncle Sams Cider (11/12/2021) (Blue)</v>
      </c>
      <c r="H2415" s="19"/>
    </row>
    <row r="2416">
      <c r="A2416" s="9"/>
      <c r="B2416" s="15"/>
      <c r="C2416" s="9">
        <f>IFERROR(__xludf.DUMMYFUNCTION("""COMPUTED_VALUE"""),44580.3814487384)</f>
        <v>44580.38145</v>
      </c>
      <c r="D2416" s="15">
        <f>IFERROR(__xludf.DUMMYFUNCTION("""COMPUTED_VALUE"""),1.002)</f>
        <v>1.002</v>
      </c>
      <c r="E2416" s="16">
        <f>IFERROR(__xludf.DUMMYFUNCTION("""COMPUTED_VALUE"""),68.0)</f>
        <v>68</v>
      </c>
      <c r="F2416" s="19" t="str">
        <f>IFERROR(__xludf.DUMMYFUNCTION("""COMPUTED_VALUE"""),"BLUE")</f>
        <v>BLUE</v>
      </c>
      <c r="G2416" s="20" t="str">
        <f>IFERROR(__xludf.DUMMYFUNCTION("""COMPUTED_VALUE"""),"Uncle Sams Cider (11/12/2021) (Blue)")</f>
        <v>Uncle Sams Cider (11/12/2021) (Blue)</v>
      </c>
      <c r="H2416" s="19"/>
    </row>
    <row r="2417">
      <c r="A2417" s="9"/>
      <c r="B2417" s="15"/>
      <c r="C2417" s="9">
        <f>IFERROR(__xludf.DUMMYFUNCTION("""COMPUTED_VALUE"""),44580.3710280208)</f>
        <v>44580.37103</v>
      </c>
      <c r="D2417" s="15">
        <f>IFERROR(__xludf.DUMMYFUNCTION("""COMPUTED_VALUE"""),1.002)</f>
        <v>1.002</v>
      </c>
      <c r="E2417" s="16">
        <f>IFERROR(__xludf.DUMMYFUNCTION("""COMPUTED_VALUE"""),68.0)</f>
        <v>68</v>
      </c>
      <c r="F2417" s="19" t="str">
        <f>IFERROR(__xludf.DUMMYFUNCTION("""COMPUTED_VALUE"""),"BLUE")</f>
        <v>BLUE</v>
      </c>
      <c r="G2417" s="20" t="str">
        <f>IFERROR(__xludf.DUMMYFUNCTION("""COMPUTED_VALUE"""),"Uncle Sams Cider (11/12/2021) (Blue)")</f>
        <v>Uncle Sams Cider (11/12/2021) (Blue)</v>
      </c>
      <c r="H2417" s="19"/>
    </row>
    <row r="2418">
      <c r="A2418" s="9"/>
      <c r="B2418" s="15"/>
      <c r="C2418" s="9">
        <f>IFERROR(__xludf.DUMMYFUNCTION("""COMPUTED_VALUE"""),44580.3606077314)</f>
        <v>44580.36061</v>
      </c>
      <c r="D2418" s="15">
        <f>IFERROR(__xludf.DUMMYFUNCTION("""COMPUTED_VALUE"""),1.002)</f>
        <v>1.002</v>
      </c>
      <c r="E2418" s="16">
        <f>IFERROR(__xludf.DUMMYFUNCTION("""COMPUTED_VALUE"""),67.0)</f>
        <v>67</v>
      </c>
      <c r="F2418" s="19" t="str">
        <f>IFERROR(__xludf.DUMMYFUNCTION("""COMPUTED_VALUE"""),"BLUE")</f>
        <v>BLUE</v>
      </c>
      <c r="G2418" s="20" t="str">
        <f>IFERROR(__xludf.DUMMYFUNCTION("""COMPUTED_VALUE"""),"Uncle Sams Cider (11/12/2021) (Blue)")</f>
        <v>Uncle Sams Cider (11/12/2021) (Blue)</v>
      </c>
      <c r="H2418" s="19"/>
    </row>
    <row r="2419">
      <c r="A2419" s="9"/>
      <c r="B2419" s="15"/>
      <c r="C2419" s="9">
        <f>IFERROR(__xludf.DUMMYFUNCTION("""COMPUTED_VALUE"""),44580.3501623495)</f>
        <v>44580.35016</v>
      </c>
      <c r="D2419" s="15">
        <f>IFERROR(__xludf.DUMMYFUNCTION("""COMPUTED_VALUE"""),1.002)</f>
        <v>1.002</v>
      </c>
      <c r="E2419" s="16">
        <f>IFERROR(__xludf.DUMMYFUNCTION("""COMPUTED_VALUE"""),67.0)</f>
        <v>67</v>
      </c>
      <c r="F2419" s="19" t="str">
        <f>IFERROR(__xludf.DUMMYFUNCTION("""COMPUTED_VALUE"""),"BLUE")</f>
        <v>BLUE</v>
      </c>
      <c r="G2419" s="20" t="str">
        <f>IFERROR(__xludf.DUMMYFUNCTION("""COMPUTED_VALUE"""),"Uncle Sams Cider (11/12/2021) (Blue)")</f>
        <v>Uncle Sams Cider (11/12/2021) (Blue)</v>
      </c>
      <c r="H2419" s="19"/>
    </row>
    <row r="2420">
      <c r="A2420" s="9"/>
      <c r="B2420" s="15"/>
      <c r="C2420" s="9">
        <f>IFERROR(__xludf.DUMMYFUNCTION("""COMPUTED_VALUE"""),44580.3397408449)</f>
        <v>44580.33974</v>
      </c>
      <c r="D2420" s="15">
        <f>IFERROR(__xludf.DUMMYFUNCTION("""COMPUTED_VALUE"""),1.002)</f>
        <v>1.002</v>
      </c>
      <c r="E2420" s="16">
        <f>IFERROR(__xludf.DUMMYFUNCTION("""COMPUTED_VALUE"""),66.0)</f>
        <v>66</v>
      </c>
      <c r="F2420" s="19" t="str">
        <f>IFERROR(__xludf.DUMMYFUNCTION("""COMPUTED_VALUE"""),"BLUE")</f>
        <v>BLUE</v>
      </c>
      <c r="G2420" s="20" t="str">
        <f>IFERROR(__xludf.DUMMYFUNCTION("""COMPUTED_VALUE"""),"Uncle Sams Cider (11/12/2021) (Blue)")</f>
        <v>Uncle Sams Cider (11/12/2021) (Blue)</v>
      </c>
      <c r="H2420" s="19"/>
    </row>
    <row r="2421">
      <c r="A2421" s="9"/>
      <c r="B2421" s="15"/>
      <c r="C2421" s="9">
        <f>IFERROR(__xludf.DUMMYFUNCTION("""COMPUTED_VALUE"""),44580.3293203935)</f>
        <v>44580.32932</v>
      </c>
      <c r="D2421" s="15">
        <f>IFERROR(__xludf.DUMMYFUNCTION("""COMPUTED_VALUE"""),1.002)</f>
        <v>1.002</v>
      </c>
      <c r="E2421" s="16">
        <f>IFERROR(__xludf.DUMMYFUNCTION("""COMPUTED_VALUE"""),66.0)</f>
        <v>66</v>
      </c>
      <c r="F2421" s="19" t="str">
        <f>IFERROR(__xludf.DUMMYFUNCTION("""COMPUTED_VALUE"""),"BLUE")</f>
        <v>BLUE</v>
      </c>
      <c r="G2421" s="20" t="str">
        <f>IFERROR(__xludf.DUMMYFUNCTION("""COMPUTED_VALUE"""),"Uncle Sams Cider (11/12/2021) (Blue)")</f>
        <v>Uncle Sams Cider (11/12/2021) (Blue)</v>
      </c>
      <c r="H2421" s="19"/>
    </row>
    <row r="2422">
      <c r="A2422" s="9"/>
      <c r="B2422" s="15"/>
      <c r="C2422" s="9">
        <f>IFERROR(__xludf.DUMMYFUNCTION("""COMPUTED_VALUE"""),44580.3188848842)</f>
        <v>44580.31888</v>
      </c>
      <c r="D2422" s="15">
        <f>IFERROR(__xludf.DUMMYFUNCTION("""COMPUTED_VALUE"""),1.002)</f>
        <v>1.002</v>
      </c>
      <c r="E2422" s="16">
        <f>IFERROR(__xludf.DUMMYFUNCTION("""COMPUTED_VALUE"""),65.0)</f>
        <v>65</v>
      </c>
      <c r="F2422" s="19" t="str">
        <f>IFERROR(__xludf.DUMMYFUNCTION("""COMPUTED_VALUE"""),"BLUE")</f>
        <v>BLUE</v>
      </c>
      <c r="G2422" s="20" t="str">
        <f>IFERROR(__xludf.DUMMYFUNCTION("""COMPUTED_VALUE"""),"Uncle Sams Cider (11/12/2021) (Blue)")</f>
        <v>Uncle Sams Cider (11/12/2021) (Blue)</v>
      </c>
      <c r="H2422" s="19"/>
    </row>
    <row r="2423">
      <c r="A2423" s="9"/>
      <c r="B2423" s="15"/>
      <c r="C2423" s="9">
        <f>IFERROR(__xludf.DUMMYFUNCTION("""COMPUTED_VALUE"""),44580.3084175231)</f>
        <v>44580.30842</v>
      </c>
      <c r="D2423" s="15">
        <f>IFERROR(__xludf.DUMMYFUNCTION("""COMPUTED_VALUE"""),1.002)</f>
        <v>1.002</v>
      </c>
      <c r="E2423" s="16">
        <f>IFERROR(__xludf.DUMMYFUNCTION("""COMPUTED_VALUE"""),65.0)</f>
        <v>65</v>
      </c>
      <c r="F2423" s="19" t="str">
        <f>IFERROR(__xludf.DUMMYFUNCTION("""COMPUTED_VALUE"""),"BLUE")</f>
        <v>BLUE</v>
      </c>
      <c r="G2423" s="20" t="str">
        <f>IFERROR(__xludf.DUMMYFUNCTION("""COMPUTED_VALUE"""),"Uncle Sams Cider (11/12/2021) (Blue)")</f>
        <v>Uncle Sams Cider (11/12/2021) (Blue)</v>
      </c>
      <c r="H2423" s="19"/>
    </row>
    <row r="2424">
      <c r="A2424" s="9"/>
      <c r="B2424" s="15"/>
      <c r="C2424" s="9">
        <f>IFERROR(__xludf.DUMMYFUNCTION("""COMPUTED_VALUE"""),44580.2979958796)</f>
        <v>44580.298</v>
      </c>
      <c r="D2424" s="15">
        <f>IFERROR(__xludf.DUMMYFUNCTION("""COMPUTED_VALUE"""),1.002)</f>
        <v>1.002</v>
      </c>
      <c r="E2424" s="16">
        <f>IFERROR(__xludf.DUMMYFUNCTION("""COMPUTED_VALUE"""),65.0)</f>
        <v>65</v>
      </c>
      <c r="F2424" s="19" t="str">
        <f>IFERROR(__xludf.DUMMYFUNCTION("""COMPUTED_VALUE"""),"BLUE")</f>
        <v>BLUE</v>
      </c>
      <c r="G2424" s="20" t="str">
        <f>IFERROR(__xludf.DUMMYFUNCTION("""COMPUTED_VALUE"""),"Uncle Sams Cider (11/12/2021) (Blue)")</f>
        <v>Uncle Sams Cider (11/12/2021) (Blue)</v>
      </c>
      <c r="H2424" s="19"/>
    </row>
    <row r="2425">
      <c r="A2425" s="9"/>
      <c r="B2425" s="15"/>
      <c r="C2425" s="9">
        <f>IFERROR(__xludf.DUMMYFUNCTION("""COMPUTED_VALUE"""),44580.2875745486)</f>
        <v>44580.28757</v>
      </c>
      <c r="D2425" s="15">
        <f>IFERROR(__xludf.DUMMYFUNCTION("""COMPUTED_VALUE"""),1.002)</f>
        <v>1.002</v>
      </c>
      <c r="E2425" s="16">
        <f>IFERROR(__xludf.DUMMYFUNCTION("""COMPUTED_VALUE"""),64.0)</f>
        <v>64</v>
      </c>
      <c r="F2425" s="19" t="str">
        <f>IFERROR(__xludf.DUMMYFUNCTION("""COMPUTED_VALUE"""),"BLUE")</f>
        <v>BLUE</v>
      </c>
      <c r="G2425" s="20" t="str">
        <f>IFERROR(__xludf.DUMMYFUNCTION("""COMPUTED_VALUE"""),"Uncle Sams Cider (11/12/2021) (Blue)")</f>
        <v>Uncle Sams Cider (11/12/2021) (Blue)</v>
      </c>
      <c r="H2425" s="19"/>
    </row>
    <row r="2426">
      <c r="A2426" s="9"/>
      <c r="B2426" s="15"/>
      <c r="C2426" s="9">
        <f>IFERROR(__xludf.DUMMYFUNCTION("""COMPUTED_VALUE"""),44580.2771431018)</f>
        <v>44580.27714</v>
      </c>
      <c r="D2426" s="15">
        <f>IFERROR(__xludf.DUMMYFUNCTION("""COMPUTED_VALUE"""),1.002)</f>
        <v>1.002</v>
      </c>
      <c r="E2426" s="16">
        <f>IFERROR(__xludf.DUMMYFUNCTION("""COMPUTED_VALUE"""),64.0)</f>
        <v>64</v>
      </c>
      <c r="F2426" s="19" t="str">
        <f>IFERROR(__xludf.DUMMYFUNCTION("""COMPUTED_VALUE"""),"BLUE")</f>
        <v>BLUE</v>
      </c>
      <c r="G2426" s="20" t="str">
        <f>IFERROR(__xludf.DUMMYFUNCTION("""COMPUTED_VALUE"""),"Uncle Sams Cider (11/12/2021) (Blue)")</f>
        <v>Uncle Sams Cider (11/12/2021) (Blue)</v>
      </c>
      <c r="H2426" s="19"/>
    </row>
    <row r="2427">
      <c r="A2427" s="9"/>
      <c r="B2427" s="15"/>
      <c r="C2427" s="9">
        <f>IFERROR(__xludf.DUMMYFUNCTION("""COMPUTED_VALUE"""),44580.2667201041)</f>
        <v>44580.26672</v>
      </c>
      <c r="D2427" s="15">
        <f>IFERROR(__xludf.DUMMYFUNCTION("""COMPUTED_VALUE"""),1.002)</f>
        <v>1.002</v>
      </c>
      <c r="E2427" s="16">
        <f>IFERROR(__xludf.DUMMYFUNCTION("""COMPUTED_VALUE"""),63.0)</f>
        <v>63</v>
      </c>
      <c r="F2427" s="19" t="str">
        <f>IFERROR(__xludf.DUMMYFUNCTION("""COMPUTED_VALUE"""),"BLUE")</f>
        <v>BLUE</v>
      </c>
      <c r="G2427" s="20" t="str">
        <f>IFERROR(__xludf.DUMMYFUNCTION("""COMPUTED_VALUE"""),"Uncle Sams Cider (11/12/2021) (Blue)")</f>
        <v>Uncle Sams Cider (11/12/2021) (Blue)</v>
      </c>
      <c r="H2427" s="19"/>
    </row>
    <row r="2428">
      <c r="A2428" s="9"/>
      <c r="B2428" s="15"/>
      <c r="C2428" s="9">
        <f>IFERROR(__xludf.DUMMYFUNCTION("""COMPUTED_VALUE"""),44580.2562993402)</f>
        <v>44580.2563</v>
      </c>
      <c r="D2428" s="15">
        <f>IFERROR(__xludf.DUMMYFUNCTION("""COMPUTED_VALUE"""),1.002)</f>
        <v>1.002</v>
      </c>
      <c r="E2428" s="16">
        <f>IFERROR(__xludf.DUMMYFUNCTION("""COMPUTED_VALUE"""),63.0)</f>
        <v>63</v>
      </c>
      <c r="F2428" s="19" t="str">
        <f>IFERROR(__xludf.DUMMYFUNCTION("""COMPUTED_VALUE"""),"BLUE")</f>
        <v>BLUE</v>
      </c>
      <c r="G2428" s="20" t="str">
        <f>IFERROR(__xludf.DUMMYFUNCTION("""COMPUTED_VALUE"""),"Uncle Sams Cider (11/12/2021) (Blue)")</f>
        <v>Uncle Sams Cider (11/12/2021) (Blue)</v>
      </c>
      <c r="H2428" s="19"/>
    </row>
    <row r="2429">
      <c r="A2429" s="9"/>
      <c r="B2429" s="15"/>
      <c r="C2429" s="9">
        <f>IFERROR(__xludf.DUMMYFUNCTION("""COMPUTED_VALUE"""),44580.2458803703)</f>
        <v>44580.24588</v>
      </c>
      <c r="D2429" s="15">
        <f>IFERROR(__xludf.DUMMYFUNCTION("""COMPUTED_VALUE"""),1.002)</f>
        <v>1.002</v>
      </c>
      <c r="E2429" s="16">
        <f>IFERROR(__xludf.DUMMYFUNCTION("""COMPUTED_VALUE"""),62.0)</f>
        <v>62</v>
      </c>
      <c r="F2429" s="19" t="str">
        <f>IFERROR(__xludf.DUMMYFUNCTION("""COMPUTED_VALUE"""),"BLUE")</f>
        <v>BLUE</v>
      </c>
      <c r="G2429" s="20" t="str">
        <f>IFERROR(__xludf.DUMMYFUNCTION("""COMPUTED_VALUE"""),"Uncle Sams Cider (11/12/2021) (Blue)")</f>
        <v>Uncle Sams Cider (11/12/2021) (Blue)</v>
      </c>
      <c r="H2429" s="19"/>
    </row>
    <row r="2430">
      <c r="A2430" s="9"/>
      <c r="B2430" s="15"/>
      <c r="C2430" s="9">
        <f>IFERROR(__xludf.DUMMYFUNCTION("""COMPUTED_VALUE"""),44580.2354487731)</f>
        <v>44580.23545</v>
      </c>
      <c r="D2430" s="15">
        <f>IFERROR(__xludf.DUMMYFUNCTION("""COMPUTED_VALUE"""),1.002)</f>
        <v>1.002</v>
      </c>
      <c r="E2430" s="16">
        <f>IFERROR(__xludf.DUMMYFUNCTION("""COMPUTED_VALUE"""),62.0)</f>
        <v>62</v>
      </c>
      <c r="F2430" s="19" t="str">
        <f>IFERROR(__xludf.DUMMYFUNCTION("""COMPUTED_VALUE"""),"BLUE")</f>
        <v>BLUE</v>
      </c>
      <c r="G2430" s="20" t="str">
        <f>IFERROR(__xludf.DUMMYFUNCTION("""COMPUTED_VALUE"""),"Uncle Sams Cider (11/12/2021) (Blue)")</f>
        <v>Uncle Sams Cider (11/12/2021) (Blue)</v>
      </c>
      <c r="H2430" s="19"/>
    </row>
    <row r="2431">
      <c r="A2431" s="9"/>
      <c r="B2431" s="15"/>
      <c r="C2431" s="9">
        <f>IFERROR(__xludf.DUMMYFUNCTION("""COMPUTED_VALUE"""),44580.2250262268)</f>
        <v>44580.22503</v>
      </c>
      <c r="D2431" s="15">
        <f>IFERROR(__xludf.DUMMYFUNCTION("""COMPUTED_VALUE"""),1.002)</f>
        <v>1.002</v>
      </c>
      <c r="E2431" s="16">
        <f>IFERROR(__xludf.DUMMYFUNCTION("""COMPUTED_VALUE"""),62.0)</f>
        <v>62</v>
      </c>
      <c r="F2431" s="19" t="str">
        <f>IFERROR(__xludf.DUMMYFUNCTION("""COMPUTED_VALUE"""),"BLUE")</f>
        <v>BLUE</v>
      </c>
      <c r="G2431" s="20" t="str">
        <f>IFERROR(__xludf.DUMMYFUNCTION("""COMPUTED_VALUE"""),"Uncle Sams Cider (11/12/2021) (Blue)")</f>
        <v>Uncle Sams Cider (11/12/2021) (Blue)</v>
      </c>
      <c r="H2431" s="19"/>
    </row>
    <row r="2432">
      <c r="A2432" s="9"/>
      <c r="B2432" s="15"/>
      <c r="C2432" s="9">
        <f>IFERROR(__xludf.DUMMYFUNCTION("""COMPUTED_VALUE"""),44580.2146046874)</f>
        <v>44580.2146</v>
      </c>
      <c r="D2432" s="15">
        <f>IFERROR(__xludf.DUMMYFUNCTION("""COMPUTED_VALUE"""),1.002)</f>
        <v>1.002</v>
      </c>
      <c r="E2432" s="16">
        <f>IFERROR(__xludf.DUMMYFUNCTION("""COMPUTED_VALUE"""),61.0)</f>
        <v>61</v>
      </c>
      <c r="F2432" s="19" t="str">
        <f>IFERROR(__xludf.DUMMYFUNCTION("""COMPUTED_VALUE"""),"BLUE")</f>
        <v>BLUE</v>
      </c>
      <c r="G2432" s="20" t="str">
        <f>IFERROR(__xludf.DUMMYFUNCTION("""COMPUTED_VALUE"""),"Uncle Sams Cider (11/12/2021) (Blue)")</f>
        <v>Uncle Sams Cider (11/12/2021) (Blue)</v>
      </c>
      <c r="H2432" s="19"/>
    </row>
    <row r="2433">
      <c r="A2433" s="9"/>
      <c r="B2433" s="15"/>
      <c r="C2433" s="9">
        <f>IFERROR(__xludf.DUMMYFUNCTION("""COMPUTED_VALUE"""),44580.2041840393)</f>
        <v>44580.20418</v>
      </c>
      <c r="D2433" s="15">
        <f>IFERROR(__xludf.DUMMYFUNCTION("""COMPUTED_VALUE"""),1.002)</f>
        <v>1.002</v>
      </c>
      <c r="E2433" s="16">
        <f>IFERROR(__xludf.DUMMYFUNCTION("""COMPUTED_VALUE"""),61.0)</f>
        <v>61</v>
      </c>
      <c r="F2433" s="19" t="str">
        <f>IFERROR(__xludf.DUMMYFUNCTION("""COMPUTED_VALUE"""),"BLUE")</f>
        <v>BLUE</v>
      </c>
      <c r="G2433" s="20" t="str">
        <f>IFERROR(__xludf.DUMMYFUNCTION("""COMPUTED_VALUE"""),"Uncle Sams Cider (11/12/2021) (Blue)")</f>
        <v>Uncle Sams Cider (11/12/2021) (Blue)</v>
      </c>
      <c r="H2433" s="19"/>
    </row>
    <row r="2434">
      <c r="A2434" s="9"/>
      <c r="B2434" s="15"/>
      <c r="C2434" s="9">
        <f>IFERROR(__xludf.DUMMYFUNCTION("""COMPUTED_VALUE"""),44580.1937510416)</f>
        <v>44580.19375</v>
      </c>
      <c r="D2434" s="15">
        <f>IFERROR(__xludf.DUMMYFUNCTION("""COMPUTED_VALUE"""),1.002)</f>
        <v>1.002</v>
      </c>
      <c r="E2434" s="16">
        <f>IFERROR(__xludf.DUMMYFUNCTION("""COMPUTED_VALUE"""),61.0)</f>
        <v>61</v>
      </c>
      <c r="F2434" s="19" t="str">
        <f>IFERROR(__xludf.DUMMYFUNCTION("""COMPUTED_VALUE"""),"BLUE")</f>
        <v>BLUE</v>
      </c>
      <c r="G2434" s="20" t="str">
        <f>IFERROR(__xludf.DUMMYFUNCTION("""COMPUTED_VALUE"""),"Uncle Sams Cider (11/12/2021) (Blue)")</f>
        <v>Uncle Sams Cider (11/12/2021) (Blue)</v>
      </c>
      <c r="H2434" s="19"/>
    </row>
    <row r="2435">
      <c r="A2435" s="9"/>
      <c r="B2435" s="15"/>
      <c r="C2435" s="9">
        <f>IFERROR(__xludf.DUMMYFUNCTION("""COMPUTED_VALUE"""),44580.1833312731)</f>
        <v>44580.18333</v>
      </c>
      <c r="D2435" s="15">
        <f>IFERROR(__xludf.DUMMYFUNCTION("""COMPUTED_VALUE"""),1.002)</f>
        <v>1.002</v>
      </c>
      <c r="E2435" s="16">
        <f>IFERROR(__xludf.DUMMYFUNCTION("""COMPUTED_VALUE"""),62.0)</f>
        <v>62</v>
      </c>
      <c r="F2435" s="19" t="str">
        <f>IFERROR(__xludf.DUMMYFUNCTION("""COMPUTED_VALUE"""),"BLUE")</f>
        <v>BLUE</v>
      </c>
      <c r="G2435" s="20" t="str">
        <f>IFERROR(__xludf.DUMMYFUNCTION("""COMPUTED_VALUE"""),"Uncle Sams Cider (11/12/2021) (Blue)")</f>
        <v>Uncle Sams Cider (11/12/2021) (Blue)</v>
      </c>
      <c r="H2435" s="19"/>
    </row>
    <row r="2436">
      <c r="A2436" s="9"/>
      <c r="B2436" s="15"/>
      <c r="C2436" s="9">
        <f>IFERROR(__xludf.DUMMYFUNCTION("""COMPUTED_VALUE"""),44580.1729096759)</f>
        <v>44580.17291</v>
      </c>
      <c r="D2436" s="15">
        <f>IFERROR(__xludf.DUMMYFUNCTION("""COMPUTED_VALUE"""),1.002)</f>
        <v>1.002</v>
      </c>
      <c r="E2436" s="16">
        <f>IFERROR(__xludf.DUMMYFUNCTION("""COMPUTED_VALUE"""),61.0)</f>
        <v>61</v>
      </c>
      <c r="F2436" s="19" t="str">
        <f>IFERROR(__xludf.DUMMYFUNCTION("""COMPUTED_VALUE"""),"BLUE")</f>
        <v>BLUE</v>
      </c>
      <c r="G2436" s="20" t="str">
        <f>IFERROR(__xludf.DUMMYFUNCTION("""COMPUTED_VALUE"""),"Uncle Sams Cider (11/12/2021) (Blue)")</f>
        <v>Uncle Sams Cider (11/12/2021) (Blue)</v>
      </c>
      <c r="H2436" s="19"/>
    </row>
    <row r="2437">
      <c r="A2437" s="9"/>
      <c r="B2437" s="15"/>
      <c r="C2437" s="9">
        <f>IFERROR(__xludf.DUMMYFUNCTION("""COMPUTED_VALUE"""),44580.1624891203)</f>
        <v>44580.16249</v>
      </c>
      <c r="D2437" s="15">
        <f>IFERROR(__xludf.DUMMYFUNCTION("""COMPUTED_VALUE"""),1.002)</f>
        <v>1.002</v>
      </c>
      <c r="E2437" s="16">
        <f>IFERROR(__xludf.DUMMYFUNCTION("""COMPUTED_VALUE"""),62.0)</f>
        <v>62</v>
      </c>
      <c r="F2437" s="19" t="str">
        <f>IFERROR(__xludf.DUMMYFUNCTION("""COMPUTED_VALUE"""),"BLUE")</f>
        <v>BLUE</v>
      </c>
      <c r="G2437" s="20" t="str">
        <f>IFERROR(__xludf.DUMMYFUNCTION("""COMPUTED_VALUE"""),"Uncle Sams Cider (11/12/2021) (Blue)")</f>
        <v>Uncle Sams Cider (11/12/2021) (Blue)</v>
      </c>
      <c r="H2437" s="19"/>
    </row>
    <row r="2438">
      <c r="A2438" s="9"/>
      <c r="B2438" s="15"/>
      <c r="C2438" s="9">
        <f>IFERROR(__xludf.DUMMYFUNCTION("""COMPUTED_VALUE"""),44580.1520428935)</f>
        <v>44580.15204</v>
      </c>
      <c r="D2438" s="15">
        <f>IFERROR(__xludf.DUMMYFUNCTION("""COMPUTED_VALUE"""),1.003)</f>
        <v>1.003</v>
      </c>
      <c r="E2438" s="16">
        <f>IFERROR(__xludf.DUMMYFUNCTION("""COMPUTED_VALUE"""),61.0)</f>
        <v>61</v>
      </c>
      <c r="F2438" s="19" t="str">
        <f>IFERROR(__xludf.DUMMYFUNCTION("""COMPUTED_VALUE"""),"BLUE")</f>
        <v>BLUE</v>
      </c>
      <c r="G2438" s="20" t="str">
        <f>IFERROR(__xludf.DUMMYFUNCTION("""COMPUTED_VALUE"""),"Uncle Sams Cider (11/12/2021) (Blue)")</f>
        <v>Uncle Sams Cider (11/12/2021) (Blue)</v>
      </c>
      <c r="H2438" s="19"/>
    </row>
    <row r="2439">
      <c r="A2439" s="9"/>
      <c r="B2439" s="15"/>
      <c r="C2439" s="9">
        <f>IFERROR(__xludf.DUMMYFUNCTION("""COMPUTED_VALUE"""),44580.1416098379)</f>
        <v>44580.14161</v>
      </c>
      <c r="D2439" s="15">
        <f>IFERROR(__xludf.DUMMYFUNCTION("""COMPUTED_VALUE"""),1.002)</f>
        <v>1.002</v>
      </c>
      <c r="E2439" s="16">
        <f>IFERROR(__xludf.DUMMYFUNCTION("""COMPUTED_VALUE"""),62.0)</f>
        <v>62</v>
      </c>
      <c r="F2439" s="19" t="str">
        <f>IFERROR(__xludf.DUMMYFUNCTION("""COMPUTED_VALUE"""),"BLUE")</f>
        <v>BLUE</v>
      </c>
      <c r="G2439" s="20" t="str">
        <f>IFERROR(__xludf.DUMMYFUNCTION("""COMPUTED_VALUE"""),"Uncle Sams Cider (11/12/2021) (Blue)")</f>
        <v>Uncle Sams Cider (11/12/2021) (Blue)</v>
      </c>
      <c r="H2439" s="19"/>
    </row>
    <row r="2440">
      <c r="A2440" s="9"/>
      <c r="B2440" s="15"/>
      <c r="C2440" s="9">
        <f>IFERROR(__xludf.DUMMYFUNCTION("""COMPUTED_VALUE"""),44580.131177662)</f>
        <v>44580.13118</v>
      </c>
      <c r="D2440" s="15">
        <f>IFERROR(__xludf.DUMMYFUNCTION("""COMPUTED_VALUE"""),1.002)</f>
        <v>1.002</v>
      </c>
      <c r="E2440" s="16">
        <f>IFERROR(__xludf.DUMMYFUNCTION("""COMPUTED_VALUE"""),62.0)</f>
        <v>62</v>
      </c>
      <c r="F2440" s="19" t="str">
        <f>IFERROR(__xludf.DUMMYFUNCTION("""COMPUTED_VALUE"""),"BLUE")</f>
        <v>BLUE</v>
      </c>
      <c r="G2440" s="20" t="str">
        <f>IFERROR(__xludf.DUMMYFUNCTION("""COMPUTED_VALUE"""),"Uncle Sams Cider (11/12/2021) (Blue)")</f>
        <v>Uncle Sams Cider (11/12/2021) (Blue)</v>
      </c>
      <c r="H2440" s="19"/>
    </row>
    <row r="2441">
      <c r="A2441" s="9"/>
      <c r="B2441" s="15"/>
      <c r="C2441" s="9">
        <f>IFERROR(__xludf.DUMMYFUNCTION("""COMPUTED_VALUE"""),44580.1207557175)</f>
        <v>44580.12076</v>
      </c>
      <c r="D2441" s="15">
        <f>IFERROR(__xludf.DUMMYFUNCTION("""COMPUTED_VALUE"""),1.002)</f>
        <v>1.002</v>
      </c>
      <c r="E2441" s="16">
        <f>IFERROR(__xludf.DUMMYFUNCTION("""COMPUTED_VALUE"""),62.0)</f>
        <v>62</v>
      </c>
      <c r="F2441" s="19" t="str">
        <f>IFERROR(__xludf.DUMMYFUNCTION("""COMPUTED_VALUE"""),"BLUE")</f>
        <v>BLUE</v>
      </c>
      <c r="G2441" s="20" t="str">
        <f>IFERROR(__xludf.DUMMYFUNCTION("""COMPUTED_VALUE"""),"Uncle Sams Cider (11/12/2021) (Blue)")</f>
        <v>Uncle Sams Cider (11/12/2021) (Blue)</v>
      </c>
      <c r="H2441" s="19"/>
    </row>
    <row r="2442">
      <c r="A2442" s="9"/>
      <c r="B2442" s="15"/>
      <c r="C2442" s="9">
        <f>IFERROR(__xludf.DUMMYFUNCTION("""COMPUTED_VALUE"""),44580.1103232754)</f>
        <v>44580.11032</v>
      </c>
      <c r="D2442" s="15">
        <f>IFERROR(__xludf.DUMMYFUNCTION("""COMPUTED_VALUE"""),1.002)</f>
        <v>1.002</v>
      </c>
      <c r="E2442" s="16">
        <f>IFERROR(__xludf.DUMMYFUNCTION("""COMPUTED_VALUE"""),62.0)</f>
        <v>62</v>
      </c>
      <c r="F2442" s="19" t="str">
        <f>IFERROR(__xludf.DUMMYFUNCTION("""COMPUTED_VALUE"""),"BLUE")</f>
        <v>BLUE</v>
      </c>
      <c r="G2442" s="20" t="str">
        <f>IFERROR(__xludf.DUMMYFUNCTION("""COMPUTED_VALUE"""),"Uncle Sams Cider (11/12/2021) (Blue)")</f>
        <v>Uncle Sams Cider (11/12/2021) (Blue)</v>
      </c>
      <c r="H2442" s="19"/>
    </row>
    <row r="2443">
      <c r="A2443" s="9"/>
      <c r="B2443" s="15"/>
      <c r="C2443" s="9">
        <f>IFERROR(__xludf.DUMMYFUNCTION("""COMPUTED_VALUE"""),44580.0999004745)</f>
        <v>44580.0999</v>
      </c>
      <c r="D2443" s="15">
        <f>IFERROR(__xludf.DUMMYFUNCTION("""COMPUTED_VALUE"""),1.002)</f>
        <v>1.002</v>
      </c>
      <c r="E2443" s="16">
        <f>IFERROR(__xludf.DUMMYFUNCTION("""COMPUTED_VALUE"""),62.0)</f>
        <v>62</v>
      </c>
      <c r="F2443" s="19" t="str">
        <f>IFERROR(__xludf.DUMMYFUNCTION("""COMPUTED_VALUE"""),"BLUE")</f>
        <v>BLUE</v>
      </c>
      <c r="G2443" s="20" t="str">
        <f>IFERROR(__xludf.DUMMYFUNCTION("""COMPUTED_VALUE"""),"Uncle Sams Cider (11/12/2021) (Blue)")</f>
        <v>Uncle Sams Cider (11/12/2021) (Blue)</v>
      </c>
      <c r="H2443" s="19"/>
    </row>
    <row r="2444">
      <c r="A2444" s="9"/>
      <c r="B2444" s="15"/>
      <c r="C2444" s="9">
        <f>IFERROR(__xludf.DUMMYFUNCTION("""COMPUTED_VALUE"""),44580.0894798611)</f>
        <v>44580.08948</v>
      </c>
      <c r="D2444" s="15">
        <f>IFERROR(__xludf.DUMMYFUNCTION("""COMPUTED_VALUE"""),1.003)</f>
        <v>1.003</v>
      </c>
      <c r="E2444" s="16">
        <f>IFERROR(__xludf.DUMMYFUNCTION("""COMPUTED_VALUE"""),62.0)</f>
        <v>62</v>
      </c>
      <c r="F2444" s="19" t="str">
        <f>IFERROR(__xludf.DUMMYFUNCTION("""COMPUTED_VALUE"""),"BLUE")</f>
        <v>BLUE</v>
      </c>
      <c r="G2444" s="20" t="str">
        <f>IFERROR(__xludf.DUMMYFUNCTION("""COMPUTED_VALUE"""),"Uncle Sams Cider (11/12/2021) (Blue)")</f>
        <v>Uncle Sams Cider (11/12/2021) (Blue)</v>
      </c>
      <c r="H2444" s="19"/>
    </row>
    <row r="2445">
      <c r="A2445" s="9"/>
      <c r="B2445" s="15"/>
      <c r="C2445" s="9">
        <f>IFERROR(__xludf.DUMMYFUNCTION("""COMPUTED_VALUE"""),44580.0790576388)</f>
        <v>44580.07906</v>
      </c>
      <c r="D2445" s="15">
        <f>IFERROR(__xludf.DUMMYFUNCTION("""COMPUTED_VALUE"""),1.002)</f>
        <v>1.002</v>
      </c>
      <c r="E2445" s="16">
        <f>IFERROR(__xludf.DUMMYFUNCTION("""COMPUTED_VALUE"""),62.0)</f>
        <v>62</v>
      </c>
      <c r="F2445" s="19" t="str">
        <f>IFERROR(__xludf.DUMMYFUNCTION("""COMPUTED_VALUE"""),"BLUE")</f>
        <v>BLUE</v>
      </c>
      <c r="G2445" s="20" t="str">
        <f>IFERROR(__xludf.DUMMYFUNCTION("""COMPUTED_VALUE"""),"Uncle Sams Cider (11/12/2021) (Blue)")</f>
        <v>Uncle Sams Cider (11/12/2021) (Blue)</v>
      </c>
      <c r="H2445" s="19"/>
    </row>
    <row r="2446">
      <c r="A2446" s="9"/>
      <c r="B2446" s="15"/>
      <c r="C2446" s="9">
        <f>IFERROR(__xludf.DUMMYFUNCTION("""COMPUTED_VALUE"""),44580.0686241319)</f>
        <v>44580.06862</v>
      </c>
      <c r="D2446" s="15">
        <f>IFERROR(__xludf.DUMMYFUNCTION("""COMPUTED_VALUE"""),1.002)</f>
        <v>1.002</v>
      </c>
      <c r="E2446" s="16">
        <f>IFERROR(__xludf.DUMMYFUNCTION("""COMPUTED_VALUE"""),62.0)</f>
        <v>62</v>
      </c>
      <c r="F2446" s="19" t="str">
        <f>IFERROR(__xludf.DUMMYFUNCTION("""COMPUTED_VALUE"""),"BLUE")</f>
        <v>BLUE</v>
      </c>
      <c r="G2446" s="20" t="str">
        <f>IFERROR(__xludf.DUMMYFUNCTION("""COMPUTED_VALUE"""),"Uncle Sams Cider (11/12/2021) (Blue)")</f>
        <v>Uncle Sams Cider (11/12/2021) (Blue)</v>
      </c>
      <c r="H2446" s="19"/>
    </row>
    <row r="2447">
      <c r="A2447" s="9"/>
      <c r="B2447" s="15"/>
      <c r="C2447" s="9">
        <f>IFERROR(__xludf.DUMMYFUNCTION("""COMPUTED_VALUE"""),44580.0582036342)</f>
        <v>44580.0582</v>
      </c>
      <c r="D2447" s="15">
        <f>IFERROR(__xludf.DUMMYFUNCTION("""COMPUTED_VALUE"""),1.003)</f>
        <v>1.003</v>
      </c>
      <c r="E2447" s="16">
        <f>IFERROR(__xludf.DUMMYFUNCTION("""COMPUTED_VALUE"""),62.0)</f>
        <v>62</v>
      </c>
      <c r="F2447" s="19" t="str">
        <f>IFERROR(__xludf.DUMMYFUNCTION("""COMPUTED_VALUE"""),"BLUE")</f>
        <v>BLUE</v>
      </c>
      <c r="G2447" s="20" t="str">
        <f>IFERROR(__xludf.DUMMYFUNCTION("""COMPUTED_VALUE"""),"Uncle Sams Cider (11/12/2021) (Blue)")</f>
        <v>Uncle Sams Cider (11/12/2021) (Blue)</v>
      </c>
      <c r="H2447" s="19"/>
    </row>
    <row r="2448">
      <c r="A2448" s="9"/>
      <c r="B2448" s="15"/>
      <c r="C2448" s="9">
        <f>IFERROR(__xludf.DUMMYFUNCTION("""COMPUTED_VALUE"""),44580.0477823611)</f>
        <v>44580.04778</v>
      </c>
      <c r="D2448" s="15">
        <f>IFERROR(__xludf.DUMMYFUNCTION("""COMPUTED_VALUE"""),1.002)</f>
        <v>1.002</v>
      </c>
      <c r="E2448" s="16">
        <f>IFERROR(__xludf.DUMMYFUNCTION("""COMPUTED_VALUE"""),62.0)</f>
        <v>62</v>
      </c>
      <c r="F2448" s="19" t="str">
        <f>IFERROR(__xludf.DUMMYFUNCTION("""COMPUTED_VALUE"""),"BLUE")</f>
        <v>BLUE</v>
      </c>
      <c r="G2448" s="20" t="str">
        <f>IFERROR(__xludf.DUMMYFUNCTION("""COMPUTED_VALUE"""),"Uncle Sams Cider (11/12/2021) (Blue)")</f>
        <v>Uncle Sams Cider (11/12/2021) (Blue)</v>
      </c>
      <c r="H2448" s="19"/>
    </row>
    <row r="2449">
      <c r="A2449" s="9"/>
      <c r="B2449" s="15"/>
      <c r="C2449" s="9">
        <f>IFERROR(__xludf.DUMMYFUNCTION("""COMPUTED_VALUE"""),44580.0373611689)</f>
        <v>44580.03736</v>
      </c>
      <c r="D2449" s="15">
        <f>IFERROR(__xludf.DUMMYFUNCTION("""COMPUTED_VALUE"""),1.002)</f>
        <v>1.002</v>
      </c>
      <c r="E2449" s="16">
        <f>IFERROR(__xludf.DUMMYFUNCTION("""COMPUTED_VALUE"""),62.0)</f>
        <v>62</v>
      </c>
      <c r="F2449" s="19" t="str">
        <f>IFERROR(__xludf.DUMMYFUNCTION("""COMPUTED_VALUE"""),"BLUE")</f>
        <v>BLUE</v>
      </c>
      <c r="G2449" s="20" t="str">
        <f>IFERROR(__xludf.DUMMYFUNCTION("""COMPUTED_VALUE"""),"Uncle Sams Cider (11/12/2021) (Blue)")</f>
        <v>Uncle Sams Cider (11/12/2021) (Blue)</v>
      </c>
      <c r="H2449" s="19"/>
    </row>
    <row r="2450">
      <c r="A2450" s="9"/>
      <c r="B2450" s="15"/>
      <c r="C2450" s="9">
        <f>IFERROR(__xludf.DUMMYFUNCTION("""COMPUTED_VALUE"""),44580.0269390972)</f>
        <v>44580.02694</v>
      </c>
      <c r="D2450" s="15">
        <f>IFERROR(__xludf.DUMMYFUNCTION("""COMPUTED_VALUE"""),1.002)</f>
        <v>1.002</v>
      </c>
      <c r="E2450" s="16">
        <f>IFERROR(__xludf.DUMMYFUNCTION("""COMPUTED_VALUE"""),62.0)</f>
        <v>62</v>
      </c>
      <c r="F2450" s="19" t="str">
        <f>IFERROR(__xludf.DUMMYFUNCTION("""COMPUTED_VALUE"""),"BLUE")</f>
        <v>BLUE</v>
      </c>
      <c r="G2450" s="20" t="str">
        <f>IFERROR(__xludf.DUMMYFUNCTION("""COMPUTED_VALUE"""),"Uncle Sams Cider (11/12/2021) (Blue)")</f>
        <v>Uncle Sams Cider (11/12/2021) (Blue)</v>
      </c>
      <c r="H2450" s="19"/>
    </row>
    <row r="2451">
      <c r="A2451" s="9"/>
      <c r="B2451" s="15"/>
      <c r="C2451" s="9">
        <f>IFERROR(__xludf.DUMMYFUNCTION("""COMPUTED_VALUE"""),44580.016518368)</f>
        <v>44580.01652</v>
      </c>
      <c r="D2451" s="15">
        <f>IFERROR(__xludf.DUMMYFUNCTION("""COMPUTED_VALUE"""),1.002)</f>
        <v>1.002</v>
      </c>
      <c r="E2451" s="16">
        <f>IFERROR(__xludf.DUMMYFUNCTION("""COMPUTED_VALUE"""),62.0)</f>
        <v>62</v>
      </c>
      <c r="F2451" s="19" t="str">
        <f>IFERROR(__xludf.DUMMYFUNCTION("""COMPUTED_VALUE"""),"BLUE")</f>
        <v>BLUE</v>
      </c>
      <c r="G2451" s="20" t="str">
        <f>IFERROR(__xludf.DUMMYFUNCTION("""COMPUTED_VALUE"""),"Uncle Sams Cider (11/12/2021) (Blue)")</f>
        <v>Uncle Sams Cider (11/12/2021) (Blue)</v>
      </c>
      <c r="H2451" s="19"/>
    </row>
    <row r="2452">
      <c r="A2452" s="9"/>
      <c r="B2452" s="15"/>
      <c r="C2452" s="9">
        <f>IFERROR(__xludf.DUMMYFUNCTION("""COMPUTED_VALUE"""),44580.0060967476)</f>
        <v>44580.0061</v>
      </c>
      <c r="D2452" s="15">
        <f>IFERROR(__xludf.DUMMYFUNCTION("""COMPUTED_VALUE"""),1.002)</f>
        <v>1.002</v>
      </c>
      <c r="E2452" s="16">
        <f>IFERROR(__xludf.DUMMYFUNCTION("""COMPUTED_VALUE"""),62.0)</f>
        <v>62</v>
      </c>
      <c r="F2452" s="19" t="str">
        <f>IFERROR(__xludf.DUMMYFUNCTION("""COMPUTED_VALUE"""),"BLUE")</f>
        <v>BLUE</v>
      </c>
      <c r="G2452" s="20" t="str">
        <f>IFERROR(__xludf.DUMMYFUNCTION("""COMPUTED_VALUE"""),"Uncle Sams Cider (11/12/2021) (Blue)")</f>
        <v>Uncle Sams Cider (11/12/2021) (Blue)</v>
      </c>
      <c r="H2452" s="19"/>
    </row>
    <row r="2453">
      <c r="A2453" s="9"/>
      <c r="B2453" s="15"/>
      <c r="C2453" s="9">
        <f>IFERROR(__xludf.DUMMYFUNCTION("""COMPUTED_VALUE"""),44579.9956748263)</f>
        <v>44579.99567</v>
      </c>
      <c r="D2453" s="15">
        <f>IFERROR(__xludf.DUMMYFUNCTION("""COMPUTED_VALUE"""),1.002)</f>
        <v>1.002</v>
      </c>
      <c r="E2453" s="16">
        <f>IFERROR(__xludf.DUMMYFUNCTION("""COMPUTED_VALUE"""),62.0)</f>
        <v>62</v>
      </c>
      <c r="F2453" s="19" t="str">
        <f>IFERROR(__xludf.DUMMYFUNCTION("""COMPUTED_VALUE"""),"BLUE")</f>
        <v>BLUE</v>
      </c>
      <c r="G2453" s="20" t="str">
        <f>IFERROR(__xludf.DUMMYFUNCTION("""COMPUTED_VALUE"""),"Uncle Sams Cider (11/12/2021) (Blue)")</f>
        <v>Uncle Sams Cider (11/12/2021) (Blue)</v>
      </c>
      <c r="H2453" s="19"/>
    </row>
    <row r="2454">
      <c r="A2454" s="9"/>
      <c r="B2454" s="15"/>
      <c r="C2454" s="9">
        <f>IFERROR(__xludf.DUMMYFUNCTION("""COMPUTED_VALUE"""),44579.9852313773)</f>
        <v>44579.98523</v>
      </c>
      <c r="D2454" s="15">
        <f>IFERROR(__xludf.DUMMYFUNCTION("""COMPUTED_VALUE"""),1.002)</f>
        <v>1.002</v>
      </c>
      <c r="E2454" s="16">
        <f>IFERROR(__xludf.DUMMYFUNCTION("""COMPUTED_VALUE"""),62.0)</f>
        <v>62</v>
      </c>
      <c r="F2454" s="19" t="str">
        <f>IFERROR(__xludf.DUMMYFUNCTION("""COMPUTED_VALUE"""),"BLUE")</f>
        <v>BLUE</v>
      </c>
      <c r="G2454" s="20" t="str">
        <f>IFERROR(__xludf.DUMMYFUNCTION("""COMPUTED_VALUE"""),"Uncle Sams Cider (11/12/2021) (Blue)")</f>
        <v>Uncle Sams Cider (11/12/2021) (Blue)</v>
      </c>
      <c r="H2454" s="19"/>
    </row>
    <row r="2455">
      <c r="A2455" s="9"/>
      <c r="B2455" s="15"/>
      <c r="C2455" s="9">
        <f>IFERROR(__xludf.DUMMYFUNCTION("""COMPUTED_VALUE"""),44579.9748082986)</f>
        <v>44579.97481</v>
      </c>
      <c r="D2455" s="15">
        <f>IFERROR(__xludf.DUMMYFUNCTION("""COMPUTED_VALUE"""),1.002)</f>
        <v>1.002</v>
      </c>
      <c r="E2455" s="16">
        <f>IFERROR(__xludf.DUMMYFUNCTION("""COMPUTED_VALUE"""),62.0)</f>
        <v>62</v>
      </c>
      <c r="F2455" s="19" t="str">
        <f>IFERROR(__xludf.DUMMYFUNCTION("""COMPUTED_VALUE"""),"BLUE")</f>
        <v>BLUE</v>
      </c>
      <c r="G2455" s="20" t="str">
        <f>IFERROR(__xludf.DUMMYFUNCTION("""COMPUTED_VALUE"""),"Uncle Sams Cider (11/12/2021) (Blue)")</f>
        <v>Uncle Sams Cider (11/12/2021) (Blue)</v>
      </c>
      <c r="H2455" s="19"/>
    </row>
    <row r="2456">
      <c r="A2456" s="9"/>
      <c r="B2456" s="15"/>
      <c r="C2456" s="9">
        <f>IFERROR(__xludf.DUMMYFUNCTION("""COMPUTED_VALUE"""),44579.9643867129)</f>
        <v>44579.96439</v>
      </c>
      <c r="D2456" s="15">
        <f>IFERROR(__xludf.DUMMYFUNCTION("""COMPUTED_VALUE"""),1.002)</f>
        <v>1.002</v>
      </c>
      <c r="E2456" s="16">
        <f>IFERROR(__xludf.DUMMYFUNCTION("""COMPUTED_VALUE"""),62.0)</f>
        <v>62</v>
      </c>
      <c r="F2456" s="19" t="str">
        <f>IFERROR(__xludf.DUMMYFUNCTION("""COMPUTED_VALUE"""),"BLUE")</f>
        <v>BLUE</v>
      </c>
      <c r="G2456" s="20" t="str">
        <f>IFERROR(__xludf.DUMMYFUNCTION("""COMPUTED_VALUE"""),"Uncle Sams Cider (11/12/2021) (Blue)")</f>
        <v>Uncle Sams Cider (11/12/2021) (Blue)</v>
      </c>
      <c r="H2456" s="19"/>
    </row>
    <row r="2457">
      <c r="A2457" s="9"/>
      <c r="B2457" s="15"/>
      <c r="C2457" s="9">
        <f>IFERROR(__xludf.DUMMYFUNCTION("""COMPUTED_VALUE"""),44579.9539527893)</f>
        <v>44579.95395</v>
      </c>
      <c r="D2457" s="15">
        <f>IFERROR(__xludf.DUMMYFUNCTION("""COMPUTED_VALUE"""),1.002)</f>
        <v>1.002</v>
      </c>
      <c r="E2457" s="16">
        <f>IFERROR(__xludf.DUMMYFUNCTION("""COMPUTED_VALUE"""),62.0)</f>
        <v>62</v>
      </c>
      <c r="F2457" s="19" t="str">
        <f>IFERROR(__xludf.DUMMYFUNCTION("""COMPUTED_VALUE"""),"BLUE")</f>
        <v>BLUE</v>
      </c>
      <c r="G2457" s="20" t="str">
        <f>IFERROR(__xludf.DUMMYFUNCTION("""COMPUTED_VALUE"""),"Uncle Sams Cider (11/12/2021) (Blue)")</f>
        <v>Uncle Sams Cider (11/12/2021) (Blue)</v>
      </c>
      <c r="H2457" s="19"/>
    </row>
    <row r="2458">
      <c r="A2458" s="9"/>
      <c r="B2458" s="15"/>
      <c r="C2458" s="9">
        <f>IFERROR(__xludf.DUMMYFUNCTION("""COMPUTED_VALUE"""),44579.9435313541)</f>
        <v>44579.94353</v>
      </c>
      <c r="D2458" s="15">
        <f>IFERROR(__xludf.DUMMYFUNCTION("""COMPUTED_VALUE"""),1.002)</f>
        <v>1.002</v>
      </c>
      <c r="E2458" s="16">
        <f>IFERROR(__xludf.DUMMYFUNCTION("""COMPUTED_VALUE"""),62.0)</f>
        <v>62</v>
      </c>
      <c r="F2458" s="19" t="str">
        <f>IFERROR(__xludf.DUMMYFUNCTION("""COMPUTED_VALUE"""),"BLUE")</f>
        <v>BLUE</v>
      </c>
      <c r="G2458" s="20" t="str">
        <f>IFERROR(__xludf.DUMMYFUNCTION("""COMPUTED_VALUE"""),"Uncle Sams Cider (11/12/2021) (Blue)")</f>
        <v>Uncle Sams Cider (11/12/2021) (Blue)</v>
      </c>
      <c r="H2458" s="19"/>
    </row>
    <row r="2459">
      <c r="A2459" s="9"/>
      <c r="B2459" s="15"/>
      <c r="C2459" s="9">
        <f>IFERROR(__xludf.DUMMYFUNCTION("""COMPUTED_VALUE"""),44579.9331097337)</f>
        <v>44579.93311</v>
      </c>
      <c r="D2459" s="15">
        <f>IFERROR(__xludf.DUMMYFUNCTION("""COMPUTED_VALUE"""),1.002)</f>
        <v>1.002</v>
      </c>
      <c r="E2459" s="16">
        <f>IFERROR(__xludf.DUMMYFUNCTION("""COMPUTED_VALUE"""),62.0)</f>
        <v>62</v>
      </c>
      <c r="F2459" s="19" t="str">
        <f>IFERROR(__xludf.DUMMYFUNCTION("""COMPUTED_VALUE"""),"BLUE")</f>
        <v>BLUE</v>
      </c>
      <c r="G2459" s="20" t="str">
        <f>IFERROR(__xludf.DUMMYFUNCTION("""COMPUTED_VALUE"""),"Uncle Sams Cider (11/12/2021) (Blue)")</f>
        <v>Uncle Sams Cider (11/12/2021) (Blue)</v>
      </c>
      <c r="H2459" s="19"/>
    </row>
    <row r="2460">
      <c r="A2460" s="9"/>
      <c r="B2460" s="15"/>
      <c r="C2460" s="9">
        <f>IFERROR(__xludf.DUMMYFUNCTION("""COMPUTED_VALUE"""),44579.9226893518)</f>
        <v>44579.92269</v>
      </c>
      <c r="D2460" s="15">
        <f>IFERROR(__xludf.DUMMYFUNCTION("""COMPUTED_VALUE"""),1.002)</f>
        <v>1.002</v>
      </c>
      <c r="E2460" s="16">
        <f>IFERROR(__xludf.DUMMYFUNCTION("""COMPUTED_VALUE"""),62.0)</f>
        <v>62</v>
      </c>
      <c r="F2460" s="19" t="str">
        <f>IFERROR(__xludf.DUMMYFUNCTION("""COMPUTED_VALUE"""),"BLUE")</f>
        <v>BLUE</v>
      </c>
      <c r="G2460" s="20" t="str">
        <f>IFERROR(__xludf.DUMMYFUNCTION("""COMPUTED_VALUE"""),"Uncle Sams Cider (11/12/2021) (Blue)")</f>
        <v>Uncle Sams Cider (11/12/2021) (Blue)</v>
      </c>
      <c r="H2460" s="19"/>
    </row>
    <row r="2461">
      <c r="A2461" s="9"/>
      <c r="B2461" s="15"/>
      <c r="C2461" s="9">
        <f>IFERROR(__xludf.DUMMYFUNCTION("""COMPUTED_VALUE"""),44579.9122442476)</f>
        <v>44579.91224</v>
      </c>
      <c r="D2461" s="15">
        <f>IFERROR(__xludf.DUMMYFUNCTION("""COMPUTED_VALUE"""),1.002)</f>
        <v>1.002</v>
      </c>
      <c r="E2461" s="16">
        <f>IFERROR(__xludf.DUMMYFUNCTION("""COMPUTED_VALUE"""),62.0)</f>
        <v>62</v>
      </c>
      <c r="F2461" s="19" t="str">
        <f>IFERROR(__xludf.DUMMYFUNCTION("""COMPUTED_VALUE"""),"BLUE")</f>
        <v>BLUE</v>
      </c>
      <c r="G2461" s="20" t="str">
        <f>IFERROR(__xludf.DUMMYFUNCTION("""COMPUTED_VALUE"""),"Uncle Sams Cider (11/12/2021) (Blue)")</f>
        <v>Uncle Sams Cider (11/12/2021) (Blue)</v>
      </c>
      <c r="H2461" s="19"/>
    </row>
    <row r="2462">
      <c r="A2462" s="9"/>
      <c r="B2462" s="15"/>
      <c r="C2462" s="9">
        <f>IFERROR(__xludf.DUMMYFUNCTION("""COMPUTED_VALUE"""),44579.9018224884)</f>
        <v>44579.90182</v>
      </c>
      <c r="D2462" s="15">
        <f>IFERROR(__xludf.DUMMYFUNCTION("""COMPUTED_VALUE"""),1.002)</f>
        <v>1.002</v>
      </c>
      <c r="E2462" s="16">
        <f>IFERROR(__xludf.DUMMYFUNCTION("""COMPUTED_VALUE"""),62.0)</f>
        <v>62</v>
      </c>
      <c r="F2462" s="19" t="str">
        <f>IFERROR(__xludf.DUMMYFUNCTION("""COMPUTED_VALUE"""),"BLUE")</f>
        <v>BLUE</v>
      </c>
      <c r="G2462" s="20" t="str">
        <f>IFERROR(__xludf.DUMMYFUNCTION("""COMPUTED_VALUE"""),"Uncle Sams Cider (11/12/2021) (Blue)")</f>
        <v>Uncle Sams Cider (11/12/2021) (Blue)</v>
      </c>
      <c r="H2462" s="19"/>
    </row>
    <row r="2463">
      <c r="A2463" s="9"/>
      <c r="B2463" s="15"/>
      <c r="C2463" s="9">
        <f>IFERROR(__xludf.DUMMYFUNCTION("""COMPUTED_VALUE"""),44579.8914002083)</f>
        <v>44579.8914</v>
      </c>
      <c r="D2463" s="15">
        <f>IFERROR(__xludf.DUMMYFUNCTION("""COMPUTED_VALUE"""),1.002)</f>
        <v>1.002</v>
      </c>
      <c r="E2463" s="16">
        <f>IFERROR(__xludf.DUMMYFUNCTION("""COMPUTED_VALUE"""),62.0)</f>
        <v>62</v>
      </c>
      <c r="F2463" s="19" t="str">
        <f>IFERROR(__xludf.DUMMYFUNCTION("""COMPUTED_VALUE"""),"BLUE")</f>
        <v>BLUE</v>
      </c>
      <c r="G2463" s="20" t="str">
        <f>IFERROR(__xludf.DUMMYFUNCTION("""COMPUTED_VALUE"""),"Uncle Sams Cider (11/12/2021) (Blue)")</f>
        <v>Uncle Sams Cider (11/12/2021) (Blue)</v>
      </c>
      <c r="H2463" s="19"/>
    </row>
    <row r="2464">
      <c r="A2464" s="9"/>
      <c r="B2464" s="15"/>
      <c r="C2464" s="9">
        <f>IFERROR(__xludf.DUMMYFUNCTION("""COMPUTED_VALUE"""),44579.8809671296)</f>
        <v>44579.88097</v>
      </c>
      <c r="D2464" s="15">
        <f>IFERROR(__xludf.DUMMYFUNCTION("""COMPUTED_VALUE"""),1.002)</f>
        <v>1.002</v>
      </c>
      <c r="E2464" s="16">
        <f>IFERROR(__xludf.DUMMYFUNCTION("""COMPUTED_VALUE"""),62.0)</f>
        <v>62</v>
      </c>
      <c r="F2464" s="19" t="str">
        <f>IFERROR(__xludf.DUMMYFUNCTION("""COMPUTED_VALUE"""),"BLUE")</f>
        <v>BLUE</v>
      </c>
      <c r="G2464" s="20" t="str">
        <f>IFERROR(__xludf.DUMMYFUNCTION("""COMPUTED_VALUE"""),"Uncle Sams Cider (11/12/2021) (Blue)")</f>
        <v>Uncle Sams Cider (11/12/2021) (Blue)</v>
      </c>
      <c r="H2464" s="19"/>
    </row>
    <row r="2465">
      <c r="A2465" s="9"/>
      <c r="B2465" s="15"/>
      <c r="C2465" s="9">
        <f>IFERROR(__xludf.DUMMYFUNCTION("""COMPUTED_VALUE"""),44579.8705474421)</f>
        <v>44579.87055</v>
      </c>
      <c r="D2465" s="15">
        <f>IFERROR(__xludf.DUMMYFUNCTION("""COMPUTED_VALUE"""),1.002)</f>
        <v>1.002</v>
      </c>
      <c r="E2465" s="16">
        <f>IFERROR(__xludf.DUMMYFUNCTION("""COMPUTED_VALUE"""),62.0)</f>
        <v>62</v>
      </c>
      <c r="F2465" s="19" t="str">
        <f>IFERROR(__xludf.DUMMYFUNCTION("""COMPUTED_VALUE"""),"BLUE")</f>
        <v>BLUE</v>
      </c>
      <c r="G2465" s="20" t="str">
        <f>IFERROR(__xludf.DUMMYFUNCTION("""COMPUTED_VALUE"""),"Uncle Sams Cider (11/12/2021) (Blue)")</f>
        <v>Uncle Sams Cider (11/12/2021) (Blue)</v>
      </c>
      <c r="H2465" s="19"/>
    </row>
    <row r="2466">
      <c r="A2466" s="9"/>
      <c r="B2466" s="15"/>
      <c r="C2466" s="9">
        <f>IFERROR(__xludf.DUMMYFUNCTION("""COMPUTED_VALUE"""),44579.8601262499)</f>
        <v>44579.86013</v>
      </c>
      <c r="D2466" s="15">
        <f>IFERROR(__xludf.DUMMYFUNCTION("""COMPUTED_VALUE"""),1.002)</f>
        <v>1.002</v>
      </c>
      <c r="E2466" s="16">
        <f>IFERROR(__xludf.DUMMYFUNCTION("""COMPUTED_VALUE"""),62.0)</f>
        <v>62</v>
      </c>
      <c r="F2466" s="19" t="str">
        <f>IFERROR(__xludf.DUMMYFUNCTION("""COMPUTED_VALUE"""),"BLUE")</f>
        <v>BLUE</v>
      </c>
      <c r="G2466" s="20" t="str">
        <f>IFERROR(__xludf.DUMMYFUNCTION("""COMPUTED_VALUE"""),"Uncle Sams Cider (11/12/2021) (Blue)")</f>
        <v>Uncle Sams Cider (11/12/2021) (Blue)</v>
      </c>
      <c r="H2466" s="19"/>
    </row>
    <row r="2467">
      <c r="A2467" s="9"/>
      <c r="B2467" s="15"/>
      <c r="C2467" s="9">
        <f>IFERROR(__xludf.DUMMYFUNCTION("""COMPUTED_VALUE"""),44579.8497040625)</f>
        <v>44579.8497</v>
      </c>
      <c r="D2467" s="15">
        <f>IFERROR(__xludf.DUMMYFUNCTION("""COMPUTED_VALUE"""),1.002)</f>
        <v>1.002</v>
      </c>
      <c r="E2467" s="16">
        <f>IFERROR(__xludf.DUMMYFUNCTION("""COMPUTED_VALUE"""),62.0)</f>
        <v>62</v>
      </c>
      <c r="F2467" s="19" t="str">
        <f>IFERROR(__xludf.DUMMYFUNCTION("""COMPUTED_VALUE"""),"BLUE")</f>
        <v>BLUE</v>
      </c>
      <c r="G2467" s="20" t="str">
        <f>IFERROR(__xludf.DUMMYFUNCTION("""COMPUTED_VALUE"""),"Uncle Sams Cider (11/12/2021) (Blue)")</f>
        <v>Uncle Sams Cider (11/12/2021) (Blue)</v>
      </c>
      <c r="H2467" s="19"/>
    </row>
    <row r="2468">
      <c r="A2468" s="9"/>
      <c r="B2468" s="15"/>
      <c r="C2468" s="9">
        <f>IFERROR(__xludf.DUMMYFUNCTION("""COMPUTED_VALUE"""),44579.8392471296)</f>
        <v>44579.83925</v>
      </c>
      <c r="D2468" s="15">
        <f>IFERROR(__xludf.DUMMYFUNCTION("""COMPUTED_VALUE"""),1.002)</f>
        <v>1.002</v>
      </c>
      <c r="E2468" s="16">
        <f>IFERROR(__xludf.DUMMYFUNCTION("""COMPUTED_VALUE"""),62.0)</f>
        <v>62</v>
      </c>
      <c r="F2468" s="19" t="str">
        <f>IFERROR(__xludf.DUMMYFUNCTION("""COMPUTED_VALUE"""),"BLUE")</f>
        <v>BLUE</v>
      </c>
      <c r="G2468" s="20" t="str">
        <f>IFERROR(__xludf.DUMMYFUNCTION("""COMPUTED_VALUE"""),"Uncle Sams Cider (11/12/2021) (Blue)")</f>
        <v>Uncle Sams Cider (11/12/2021) (Blue)</v>
      </c>
      <c r="H2468" s="19"/>
    </row>
    <row r="2469">
      <c r="A2469" s="9"/>
      <c r="B2469" s="15"/>
      <c r="C2469" s="9">
        <f>IFERROR(__xludf.DUMMYFUNCTION("""COMPUTED_VALUE"""),44579.8288249652)</f>
        <v>44579.82882</v>
      </c>
      <c r="D2469" s="15">
        <f>IFERROR(__xludf.DUMMYFUNCTION("""COMPUTED_VALUE"""),1.003)</f>
        <v>1.003</v>
      </c>
      <c r="E2469" s="16">
        <f>IFERROR(__xludf.DUMMYFUNCTION("""COMPUTED_VALUE"""),62.0)</f>
        <v>62</v>
      </c>
      <c r="F2469" s="19" t="str">
        <f>IFERROR(__xludf.DUMMYFUNCTION("""COMPUTED_VALUE"""),"BLUE")</f>
        <v>BLUE</v>
      </c>
      <c r="G2469" s="20" t="str">
        <f>IFERROR(__xludf.DUMMYFUNCTION("""COMPUTED_VALUE"""),"Uncle Sams Cider (11/12/2021) (Blue)")</f>
        <v>Uncle Sams Cider (11/12/2021) (Blue)</v>
      </c>
      <c r="H2469" s="19"/>
    </row>
    <row r="2470">
      <c r="A2470" s="9"/>
      <c r="B2470" s="15"/>
      <c r="C2470" s="9">
        <f>IFERROR(__xludf.DUMMYFUNCTION("""COMPUTED_VALUE"""),44579.8184040162)</f>
        <v>44579.8184</v>
      </c>
      <c r="D2470" s="15">
        <f>IFERROR(__xludf.DUMMYFUNCTION("""COMPUTED_VALUE"""),1.002)</f>
        <v>1.002</v>
      </c>
      <c r="E2470" s="16">
        <f>IFERROR(__xludf.DUMMYFUNCTION("""COMPUTED_VALUE"""),62.0)</f>
        <v>62</v>
      </c>
      <c r="F2470" s="19" t="str">
        <f>IFERROR(__xludf.DUMMYFUNCTION("""COMPUTED_VALUE"""),"BLUE")</f>
        <v>BLUE</v>
      </c>
      <c r="G2470" s="20" t="str">
        <f>IFERROR(__xludf.DUMMYFUNCTION("""COMPUTED_VALUE"""),"Uncle Sams Cider (11/12/2021) (Blue)")</f>
        <v>Uncle Sams Cider (11/12/2021) (Blue)</v>
      </c>
      <c r="H2470" s="19"/>
    </row>
    <row r="2471">
      <c r="A2471" s="9"/>
      <c r="B2471" s="15"/>
      <c r="C2471" s="9">
        <f>IFERROR(__xludf.DUMMYFUNCTION("""COMPUTED_VALUE"""),44579.8079840972)</f>
        <v>44579.80798</v>
      </c>
      <c r="D2471" s="15">
        <f>IFERROR(__xludf.DUMMYFUNCTION("""COMPUTED_VALUE"""),1.002)</f>
        <v>1.002</v>
      </c>
      <c r="E2471" s="16">
        <f>IFERROR(__xludf.DUMMYFUNCTION("""COMPUTED_VALUE"""),62.0)</f>
        <v>62</v>
      </c>
      <c r="F2471" s="19" t="str">
        <f>IFERROR(__xludf.DUMMYFUNCTION("""COMPUTED_VALUE"""),"BLUE")</f>
        <v>BLUE</v>
      </c>
      <c r="G2471" s="20" t="str">
        <f>IFERROR(__xludf.DUMMYFUNCTION("""COMPUTED_VALUE"""),"Uncle Sams Cider (11/12/2021) (Blue)")</f>
        <v>Uncle Sams Cider (11/12/2021) (Blue)</v>
      </c>
      <c r="H2471" s="19"/>
    </row>
    <row r="2472">
      <c r="A2472" s="9"/>
      <c r="B2472" s="15"/>
      <c r="C2472" s="9">
        <f>IFERROR(__xludf.DUMMYFUNCTION("""COMPUTED_VALUE"""),44579.7975622453)</f>
        <v>44579.79756</v>
      </c>
      <c r="D2472" s="15">
        <f>IFERROR(__xludf.DUMMYFUNCTION("""COMPUTED_VALUE"""),1.002)</f>
        <v>1.002</v>
      </c>
      <c r="E2472" s="16">
        <f>IFERROR(__xludf.DUMMYFUNCTION("""COMPUTED_VALUE"""),62.0)</f>
        <v>62</v>
      </c>
      <c r="F2472" s="19" t="str">
        <f>IFERROR(__xludf.DUMMYFUNCTION("""COMPUTED_VALUE"""),"BLUE")</f>
        <v>BLUE</v>
      </c>
      <c r="G2472" s="20" t="str">
        <f>IFERROR(__xludf.DUMMYFUNCTION("""COMPUTED_VALUE"""),"Uncle Sams Cider (11/12/2021) (Blue)")</f>
        <v>Uncle Sams Cider (11/12/2021) (Blue)</v>
      </c>
      <c r="H2472" s="19"/>
    </row>
    <row r="2473">
      <c r="A2473" s="9"/>
      <c r="B2473" s="15"/>
      <c r="C2473" s="9">
        <f>IFERROR(__xludf.DUMMYFUNCTION("""COMPUTED_VALUE"""),44579.7871417245)</f>
        <v>44579.78714</v>
      </c>
      <c r="D2473" s="15">
        <f>IFERROR(__xludf.DUMMYFUNCTION("""COMPUTED_VALUE"""),1.002)</f>
        <v>1.002</v>
      </c>
      <c r="E2473" s="16">
        <f>IFERROR(__xludf.DUMMYFUNCTION("""COMPUTED_VALUE"""),62.0)</f>
        <v>62</v>
      </c>
      <c r="F2473" s="19" t="str">
        <f>IFERROR(__xludf.DUMMYFUNCTION("""COMPUTED_VALUE"""),"BLUE")</f>
        <v>BLUE</v>
      </c>
      <c r="G2473" s="20" t="str">
        <f>IFERROR(__xludf.DUMMYFUNCTION("""COMPUTED_VALUE"""),"Uncle Sams Cider (11/12/2021) (Blue)")</f>
        <v>Uncle Sams Cider (11/12/2021) (Blue)</v>
      </c>
      <c r="H2473" s="19"/>
    </row>
    <row r="2474">
      <c r="A2474" s="9"/>
      <c r="B2474" s="15"/>
      <c r="C2474" s="9">
        <f>IFERROR(__xludf.DUMMYFUNCTION("""COMPUTED_VALUE"""),44579.7767223148)</f>
        <v>44579.77672</v>
      </c>
      <c r="D2474" s="15">
        <f>IFERROR(__xludf.DUMMYFUNCTION("""COMPUTED_VALUE"""),1.002)</f>
        <v>1.002</v>
      </c>
      <c r="E2474" s="16">
        <f>IFERROR(__xludf.DUMMYFUNCTION("""COMPUTED_VALUE"""),62.0)</f>
        <v>62</v>
      </c>
      <c r="F2474" s="19" t="str">
        <f>IFERROR(__xludf.DUMMYFUNCTION("""COMPUTED_VALUE"""),"BLUE")</f>
        <v>BLUE</v>
      </c>
      <c r="G2474" s="20" t="str">
        <f>IFERROR(__xludf.DUMMYFUNCTION("""COMPUTED_VALUE"""),"Uncle Sams Cider (11/12/2021) (Blue)")</f>
        <v>Uncle Sams Cider (11/12/2021) (Blue)</v>
      </c>
      <c r="H2474" s="19"/>
    </row>
    <row r="2475">
      <c r="A2475" s="9"/>
      <c r="B2475" s="15"/>
      <c r="C2475" s="9">
        <f>IFERROR(__xludf.DUMMYFUNCTION("""COMPUTED_VALUE"""),44579.7662989236)</f>
        <v>44579.7663</v>
      </c>
      <c r="D2475" s="15">
        <f>IFERROR(__xludf.DUMMYFUNCTION("""COMPUTED_VALUE"""),1.002)</f>
        <v>1.002</v>
      </c>
      <c r="E2475" s="16">
        <f>IFERROR(__xludf.DUMMYFUNCTION("""COMPUTED_VALUE"""),62.0)</f>
        <v>62</v>
      </c>
      <c r="F2475" s="19" t="str">
        <f>IFERROR(__xludf.DUMMYFUNCTION("""COMPUTED_VALUE"""),"BLUE")</f>
        <v>BLUE</v>
      </c>
      <c r="G2475" s="20" t="str">
        <f>IFERROR(__xludf.DUMMYFUNCTION("""COMPUTED_VALUE"""),"Uncle Sams Cider (11/12/2021) (Blue)")</f>
        <v>Uncle Sams Cider (11/12/2021) (Blue)</v>
      </c>
      <c r="H2475" s="19"/>
    </row>
    <row r="2476">
      <c r="A2476" s="9"/>
      <c r="B2476" s="15"/>
      <c r="C2476" s="9">
        <f>IFERROR(__xludf.DUMMYFUNCTION("""COMPUTED_VALUE"""),44579.7558777662)</f>
        <v>44579.75588</v>
      </c>
      <c r="D2476" s="15">
        <f>IFERROR(__xludf.DUMMYFUNCTION("""COMPUTED_VALUE"""),1.002)</f>
        <v>1.002</v>
      </c>
      <c r="E2476" s="16">
        <f>IFERROR(__xludf.DUMMYFUNCTION("""COMPUTED_VALUE"""),62.0)</f>
        <v>62</v>
      </c>
      <c r="F2476" s="19" t="str">
        <f>IFERROR(__xludf.DUMMYFUNCTION("""COMPUTED_VALUE"""),"BLUE")</f>
        <v>BLUE</v>
      </c>
      <c r="G2476" s="20" t="str">
        <f>IFERROR(__xludf.DUMMYFUNCTION("""COMPUTED_VALUE"""),"Uncle Sams Cider (11/12/2021) (Blue)")</f>
        <v>Uncle Sams Cider (11/12/2021) (Blue)</v>
      </c>
      <c r="H2476" s="19"/>
    </row>
    <row r="2477">
      <c r="A2477" s="9"/>
      <c r="B2477" s="15"/>
      <c r="C2477" s="9">
        <f>IFERROR(__xludf.DUMMYFUNCTION("""COMPUTED_VALUE"""),44579.7454453703)</f>
        <v>44579.74545</v>
      </c>
      <c r="D2477" s="15">
        <f>IFERROR(__xludf.DUMMYFUNCTION("""COMPUTED_VALUE"""),1.002)</f>
        <v>1.002</v>
      </c>
      <c r="E2477" s="16">
        <f>IFERROR(__xludf.DUMMYFUNCTION("""COMPUTED_VALUE"""),62.0)</f>
        <v>62</v>
      </c>
      <c r="F2477" s="19" t="str">
        <f>IFERROR(__xludf.DUMMYFUNCTION("""COMPUTED_VALUE"""),"BLUE")</f>
        <v>BLUE</v>
      </c>
      <c r="G2477" s="20" t="str">
        <f>IFERROR(__xludf.DUMMYFUNCTION("""COMPUTED_VALUE"""),"Uncle Sams Cider (11/12/2021) (Blue)")</f>
        <v>Uncle Sams Cider (11/12/2021) (Blue)</v>
      </c>
      <c r="H2477" s="19"/>
    </row>
    <row r="2478">
      <c r="A2478" s="9"/>
      <c r="B2478" s="15"/>
      <c r="C2478" s="9">
        <f>IFERROR(__xludf.DUMMYFUNCTION("""COMPUTED_VALUE"""),44579.735024375)</f>
        <v>44579.73502</v>
      </c>
      <c r="D2478" s="15">
        <f>IFERROR(__xludf.DUMMYFUNCTION("""COMPUTED_VALUE"""),1.002)</f>
        <v>1.002</v>
      </c>
      <c r="E2478" s="16">
        <f>IFERROR(__xludf.DUMMYFUNCTION("""COMPUTED_VALUE"""),62.0)</f>
        <v>62</v>
      </c>
      <c r="F2478" s="19" t="str">
        <f>IFERROR(__xludf.DUMMYFUNCTION("""COMPUTED_VALUE"""),"BLUE")</f>
        <v>BLUE</v>
      </c>
      <c r="G2478" s="20" t="str">
        <f>IFERROR(__xludf.DUMMYFUNCTION("""COMPUTED_VALUE"""),"Uncle Sams Cider (11/12/2021) (Blue)")</f>
        <v>Uncle Sams Cider (11/12/2021) (Blue)</v>
      </c>
      <c r="H2478" s="19"/>
    </row>
    <row r="2479">
      <c r="A2479" s="9"/>
      <c r="B2479" s="15"/>
      <c r="C2479" s="9">
        <f>IFERROR(__xludf.DUMMYFUNCTION("""COMPUTED_VALUE"""),44579.7246039814)</f>
        <v>44579.7246</v>
      </c>
      <c r="D2479" s="15">
        <f>IFERROR(__xludf.DUMMYFUNCTION("""COMPUTED_VALUE"""),1.002)</f>
        <v>1.002</v>
      </c>
      <c r="E2479" s="16">
        <f>IFERROR(__xludf.DUMMYFUNCTION("""COMPUTED_VALUE"""),62.0)</f>
        <v>62</v>
      </c>
      <c r="F2479" s="19" t="str">
        <f>IFERROR(__xludf.DUMMYFUNCTION("""COMPUTED_VALUE"""),"BLUE")</f>
        <v>BLUE</v>
      </c>
      <c r="G2479" s="20" t="str">
        <f>IFERROR(__xludf.DUMMYFUNCTION("""COMPUTED_VALUE"""),"Uncle Sams Cider (11/12/2021) (Blue)")</f>
        <v>Uncle Sams Cider (11/12/2021) (Blue)</v>
      </c>
      <c r="H2479" s="19"/>
    </row>
    <row r="2480">
      <c r="A2480" s="9"/>
      <c r="B2480" s="15"/>
      <c r="C2480" s="9">
        <f>IFERROR(__xludf.DUMMYFUNCTION("""COMPUTED_VALUE"""),44579.7141826967)</f>
        <v>44579.71418</v>
      </c>
      <c r="D2480" s="15">
        <f>IFERROR(__xludf.DUMMYFUNCTION("""COMPUTED_VALUE"""),1.002)</f>
        <v>1.002</v>
      </c>
      <c r="E2480" s="16">
        <f>IFERROR(__xludf.DUMMYFUNCTION("""COMPUTED_VALUE"""),62.0)</f>
        <v>62</v>
      </c>
      <c r="F2480" s="19" t="str">
        <f>IFERROR(__xludf.DUMMYFUNCTION("""COMPUTED_VALUE"""),"BLUE")</f>
        <v>BLUE</v>
      </c>
      <c r="G2480" s="20" t="str">
        <f>IFERROR(__xludf.DUMMYFUNCTION("""COMPUTED_VALUE"""),"Uncle Sams Cider (11/12/2021) (Blue)")</f>
        <v>Uncle Sams Cider (11/12/2021) (Blue)</v>
      </c>
      <c r="H2480" s="19"/>
    </row>
    <row r="2481">
      <c r="A2481" s="9"/>
      <c r="B2481" s="15"/>
      <c r="C2481" s="9">
        <f>IFERROR(__xludf.DUMMYFUNCTION("""COMPUTED_VALUE"""),44579.7037504745)</f>
        <v>44579.70375</v>
      </c>
      <c r="D2481" s="15">
        <f>IFERROR(__xludf.DUMMYFUNCTION("""COMPUTED_VALUE"""),1.002)</f>
        <v>1.002</v>
      </c>
      <c r="E2481" s="16">
        <f>IFERROR(__xludf.DUMMYFUNCTION("""COMPUTED_VALUE"""),62.0)</f>
        <v>62</v>
      </c>
      <c r="F2481" s="19" t="str">
        <f>IFERROR(__xludf.DUMMYFUNCTION("""COMPUTED_VALUE"""),"BLUE")</f>
        <v>BLUE</v>
      </c>
      <c r="G2481" s="20" t="str">
        <f>IFERROR(__xludf.DUMMYFUNCTION("""COMPUTED_VALUE"""),"Uncle Sams Cider (11/12/2021) (Blue)")</f>
        <v>Uncle Sams Cider (11/12/2021) (Blue)</v>
      </c>
      <c r="H2481" s="19"/>
    </row>
    <row r="2482">
      <c r="A2482" s="9"/>
      <c r="B2482" s="15"/>
      <c r="C2482" s="9">
        <f>IFERROR(__xludf.DUMMYFUNCTION("""COMPUTED_VALUE"""),44579.6933275)</f>
        <v>44579.69333</v>
      </c>
      <c r="D2482" s="15">
        <f>IFERROR(__xludf.DUMMYFUNCTION("""COMPUTED_VALUE"""),1.002)</f>
        <v>1.002</v>
      </c>
      <c r="E2482" s="16">
        <f>IFERROR(__xludf.DUMMYFUNCTION("""COMPUTED_VALUE"""),62.0)</f>
        <v>62</v>
      </c>
      <c r="F2482" s="19" t="str">
        <f>IFERROR(__xludf.DUMMYFUNCTION("""COMPUTED_VALUE"""),"BLUE")</f>
        <v>BLUE</v>
      </c>
      <c r="G2482" s="20" t="str">
        <f>IFERROR(__xludf.DUMMYFUNCTION("""COMPUTED_VALUE"""),"Uncle Sams Cider (11/12/2021) (Blue)")</f>
        <v>Uncle Sams Cider (11/12/2021) (Blue)</v>
      </c>
      <c r="H2482" s="19"/>
    </row>
    <row r="2483">
      <c r="A2483" s="9"/>
      <c r="B2483" s="15"/>
      <c r="C2483" s="9">
        <f>IFERROR(__xludf.DUMMYFUNCTION("""COMPUTED_VALUE"""),44579.6829067245)</f>
        <v>44579.68291</v>
      </c>
      <c r="D2483" s="15">
        <f>IFERROR(__xludf.DUMMYFUNCTION("""COMPUTED_VALUE"""),1.002)</f>
        <v>1.002</v>
      </c>
      <c r="E2483" s="16">
        <f>IFERROR(__xludf.DUMMYFUNCTION("""COMPUTED_VALUE"""),62.0)</f>
        <v>62</v>
      </c>
      <c r="F2483" s="19" t="str">
        <f>IFERROR(__xludf.DUMMYFUNCTION("""COMPUTED_VALUE"""),"BLUE")</f>
        <v>BLUE</v>
      </c>
      <c r="G2483" s="20" t="str">
        <f>IFERROR(__xludf.DUMMYFUNCTION("""COMPUTED_VALUE"""),"Uncle Sams Cider (11/12/2021) (Blue)")</f>
        <v>Uncle Sams Cider (11/12/2021) (Blue)</v>
      </c>
      <c r="H2483" s="19"/>
    </row>
    <row r="2484">
      <c r="A2484" s="9"/>
      <c r="B2484" s="15"/>
      <c r="C2484" s="9">
        <f>IFERROR(__xludf.DUMMYFUNCTION("""COMPUTED_VALUE"""),44579.672485081)</f>
        <v>44579.67249</v>
      </c>
      <c r="D2484" s="15">
        <f>IFERROR(__xludf.DUMMYFUNCTION("""COMPUTED_VALUE"""),1.002)</f>
        <v>1.002</v>
      </c>
      <c r="E2484" s="16">
        <f>IFERROR(__xludf.DUMMYFUNCTION("""COMPUTED_VALUE"""),62.0)</f>
        <v>62</v>
      </c>
      <c r="F2484" s="19" t="str">
        <f>IFERROR(__xludf.DUMMYFUNCTION("""COMPUTED_VALUE"""),"BLUE")</f>
        <v>BLUE</v>
      </c>
      <c r="G2484" s="20" t="str">
        <f>IFERROR(__xludf.DUMMYFUNCTION("""COMPUTED_VALUE"""),"Uncle Sams Cider (11/12/2021) (Blue)")</f>
        <v>Uncle Sams Cider (11/12/2021) (Blue)</v>
      </c>
      <c r="H2484" s="19"/>
    </row>
    <row r="2485">
      <c r="A2485" s="9"/>
      <c r="B2485" s="15"/>
      <c r="C2485" s="9">
        <f>IFERROR(__xludf.DUMMYFUNCTION("""COMPUTED_VALUE"""),44579.6620636226)</f>
        <v>44579.66206</v>
      </c>
      <c r="D2485" s="15">
        <f>IFERROR(__xludf.DUMMYFUNCTION("""COMPUTED_VALUE"""),1.002)</f>
        <v>1.002</v>
      </c>
      <c r="E2485" s="16">
        <f>IFERROR(__xludf.DUMMYFUNCTION("""COMPUTED_VALUE"""),62.0)</f>
        <v>62</v>
      </c>
      <c r="F2485" s="19" t="str">
        <f>IFERROR(__xludf.DUMMYFUNCTION("""COMPUTED_VALUE"""),"BLUE")</f>
        <v>BLUE</v>
      </c>
      <c r="G2485" s="20" t="str">
        <f>IFERROR(__xludf.DUMMYFUNCTION("""COMPUTED_VALUE"""),"Uncle Sams Cider (11/12/2021) (Blue)")</f>
        <v>Uncle Sams Cider (11/12/2021) (Blue)</v>
      </c>
      <c r="H2485" s="19"/>
    </row>
    <row r="2486">
      <c r="A2486" s="9"/>
      <c r="B2486" s="15"/>
      <c r="C2486" s="9">
        <f>IFERROR(__xludf.DUMMYFUNCTION("""COMPUTED_VALUE"""),44579.6516423611)</f>
        <v>44579.65164</v>
      </c>
      <c r="D2486" s="15">
        <f>IFERROR(__xludf.DUMMYFUNCTION("""COMPUTED_VALUE"""),1.002)</f>
        <v>1.002</v>
      </c>
      <c r="E2486" s="16">
        <f>IFERROR(__xludf.DUMMYFUNCTION("""COMPUTED_VALUE"""),62.0)</f>
        <v>62</v>
      </c>
      <c r="F2486" s="19" t="str">
        <f>IFERROR(__xludf.DUMMYFUNCTION("""COMPUTED_VALUE"""),"BLUE")</f>
        <v>BLUE</v>
      </c>
      <c r="G2486" s="20" t="str">
        <f>IFERROR(__xludf.DUMMYFUNCTION("""COMPUTED_VALUE"""),"Uncle Sams Cider (11/12/2021) (Blue)")</f>
        <v>Uncle Sams Cider (11/12/2021) (Blue)</v>
      </c>
      <c r="H2486" s="19"/>
    </row>
    <row r="2487">
      <c r="A2487" s="9"/>
      <c r="B2487" s="15"/>
      <c r="C2487" s="9">
        <f>IFERROR(__xludf.DUMMYFUNCTION("""COMPUTED_VALUE"""),44579.6412225694)</f>
        <v>44579.64122</v>
      </c>
      <c r="D2487" s="15">
        <f>IFERROR(__xludf.DUMMYFUNCTION("""COMPUTED_VALUE"""),1.002)</f>
        <v>1.002</v>
      </c>
      <c r="E2487" s="16">
        <f>IFERROR(__xludf.DUMMYFUNCTION("""COMPUTED_VALUE"""),62.0)</f>
        <v>62</v>
      </c>
      <c r="F2487" s="19" t="str">
        <f>IFERROR(__xludf.DUMMYFUNCTION("""COMPUTED_VALUE"""),"BLUE")</f>
        <v>BLUE</v>
      </c>
      <c r="G2487" s="20" t="str">
        <f>IFERROR(__xludf.DUMMYFUNCTION("""COMPUTED_VALUE"""),"Uncle Sams Cider (11/12/2021) (Blue)")</f>
        <v>Uncle Sams Cider (11/12/2021) (Blue)</v>
      </c>
      <c r="H2487" s="19"/>
    </row>
    <row r="2488">
      <c r="A2488" s="9"/>
      <c r="B2488" s="15"/>
      <c r="C2488" s="9">
        <f>IFERROR(__xludf.DUMMYFUNCTION("""COMPUTED_VALUE"""),44579.6308005902)</f>
        <v>44579.6308</v>
      </c>
      <c r="D2488" s="15">
        <f>IFERROR(__xludf.DUMMYFUNCTION("""COMPUTED_VALUE"""),1.002)</f>
        <v>1.002</v>
      </c>
      <c r="E2488" s="16">
        <f>IFERROR(__xludf.DUMMYFUNCTION("""COMPUTED_VALUE"""),62.0)</f>
        <v>62</v>
      </c>
      <c r="F2488" s="19" t="str">
        <f>IFERROR(__xludf.DUMMYFUNCTION("""COMPUTED_VALUE"""),"BLUE")</f>
        <v>BLUE</v>
      </c>
      <c r="G2488" s="20" t="str">
        <f>IFERROR(__xludf.DUMMYFUNCTION("""COMPUTED_VALUE"""),"Uncle Sams Cider (11/12/2021) (Blue)")</f>
        <v>Uncle Sams Cider (11/12/2021) (Blue)</v>
      </c>
      <c r="H2488" s="19"/>
    </row>
    <row r="2489">
      <c r="A2489" s="9"/>
      <c r="B2489" s="15"/>
      <c r="C2489" s="9">
        <f>IFERROR(__xludf.DUMMYFUNCTION("""COMPUTED_VALUE"""),44579.6203791898)</f>
        <v>44579.62038</v>
      </c>
      <c r="D2489" s="15">
        <f>IFERROR(__xludf.DUMMYFUNCTION("""COMPUTED_VALUE"""),1.002)</f>
        <v>1.002</v>
      </c>
      <c r="E2489" s="16">
        <f>IFERROR(__xludf.DUMMYFUNCTION("""COMPUTED_VALUE"""),62.0)</f>
        <v>62</v>
      </c>
      <c r="F2489" s="19" t="str">
        <f>IFERROR(__xludf.DUMMYFUNCTION("""COMPUTED_VALUE"""),"BLUE")</f>
        <v>BLUE</v>
      </c>
      <c r="G2489" s="20" t="str">
        <f>IFERROR(__xludf.DUMMYFUNCTION("""COMPUTED_VALUE"""),"Uncle Sams Cider (11/12/2021) (Blue)")</f>
        <v>Uncle Sams Cider (11/12/2021) (Blue)</v>
      </c>
      <c r="H2489" s="19"/>
    </row>
    <row r="2490">
      <c r="A2490" s="9"/>
      <c r="B2490" s="15"/>
      <c r="C2490" s="9">
        <f>IFERROR(__xludf.DUMMYFUNCTION("""COMPUTED_VALUE"""),44579.6099568518)</f>
        <v>44579.60996</v>
      </c>
      <c r="D2490" s="15">
        <f>IFERROR(__xludf.DUMMYFUNCTION("""COMPUTED_VALUE"""),1.002)</f>
        <v>1.002</v>
      </c>
      <c r="E2490" s="16">
        <f>IFERROR(__xludf.DUMMYFUNCTION("""COMPUTED_VALUE"""),62.0)</f>
        <v>62</v>
      </c>
      <c r="F2490" s="19" t="str">
        <f>IFERROR(__xludf.DUMMYFUNCTION("""COMPUTED_VALUE"""),"BLUE")</f>
        <v>BLUE</v>
      </c>
      <c r="G2490" s="20" t="str">
        <f>IFERROR(__xludf.DUMMYFUNCTION("""COMPUTED_VALUE"""),"Uncle Sams Cider (11/12/2021) (Blue)")</f>
        <v>Uncle Sams Cider (11/12/2021) (Blue)</v>
      </c>
      <c r="H2490" s="19"/>
    </row>
    <row r="2491">
      <c r="A2491" s="9"/>
      <c r="B2491" s="15"/>
      <c r="C2491" s="9">
        <f>IFERROR(__xludf.DUMMYFUNCTION("""COMPUTED_VALUE"""),44579.5995361574)</f>
        <v>44579.59954</v>
      </c>
      <c r="D2491" s="15">
        <f>IFERROR(__xludf.DUMMYFUNCTION("""COMPUTED_VALUE"""),1.002)</f>
        <v>1.002</v>
      </c>
      <c r="E2491" s="16">
        <f>IFERROR(__xludf.DUMMYFUNCTION("""COMPUTED_VALUE"""),62.0)</f>
        <v>62</v>
      </c>
      <c r="F2491" s="19" t="str">
        <f>IFERROR(__xludf.DUMMYFUNCTION("""COMPUTED_VALUE"""),"BLUE")</f>
        <v>BLUE</v>
      </c>
      <c r="G2491" s="20" t="str">
        <f>IFERROR(__xludf.DUMMYFUNCTION("""COMPUTED_VALUE"""),"Uncle Sams Cider (11/12/2021) (Blue)")</f>
        <v>Uncle Sams Cider (11/12/2021) (Blue)</v>
      </c>
      <c r="H2491" s="19"/>
    </row>
    <row r="2492">
      <c r="A2492" s="9"/>
      <c r="B2492" s="15"/>
      <c r="C2492" s="9">
        <f>IFERROR(__xludf.DUMMYFUNCTION("""COMPUTED_VALUE"""),44579.5891168981)</f>
        <v>44579.58912</v>
      </c>
      <c r="D2492" s="15">
        <f>IFERROR(__xludf.DUMMYFUNCTION("""COMPUTED_VALUE"""),1.002)</f>
        <v>1.002</v>
      </c>
      <c r="E2492" s="16">
        <f>IFERROR(__xludf.DUMMYFUNCTION("""COMPUTED_VALUE"""),62.0)</f>
        <v>62</v>
      </c>
      <c r="F2492" s="19" t="str">
        <f>IFERROR(__xludf.DUMMYFUNCTION("""COMPUTED_VALUE"""),"BLUE")</f>
        <v>BLUE</v>
      </c>
      <c r="G2492" s="20" t="str">
        <f>IFERROR(__xludf.DUMMYFUNCTION("""COMPUTED_VALUE"""),"Uncle Sams Cider (11/12/2021) (Blue)")</f>
        <v>Uncle Sams Cider (11/12/2021) (Blue)</v>
      </c>
      <c r="H2492" s="19"/>
    </row>
    <row r="2493">
      <c r="A2493" s="9"/>
      <c r="B2493" s="15"/>
      <c r="C2493" s="9">
        <f>IFERROR(__xludf.DUMMYFUNCTION("""COMPUTED_VALUE"""),44579.5786952661)</f>
        <v>44579.5787</v>
      </c>
      <c r="D2493" s="15">
        <f>IFERROR(__xludf.DUMMYFUNCTION("""COMPUTED_VALUE"""),1.002)</f>
        <v>1.002</v>
      </c>
      <c r="E2493" s="16">
        <f>IFERROR(__xludf.DUMMYFUNCTION("""COMPUTED_VALUE"""),62.0)</f>
        <v>62</v>
      </c>
      <c r="F2493" s="19" t="str">
        <f>IFERROR(__xludf.DUMMYFUNCTION("""COMPUTED_VALUE"""),"BLUE")</f>
        <v>BLUE</v>
      </c>
      <c r="G2493" s="20" t="str">
        <f>IFERROR(__xludf.DUMMYFUNCTION("""COMPUTED_VALUE"""),"Uncle Sams Cider (11/12/2021) (Blue)")</f>
        <v>Uncle Sams Cider (11/12/2021) (Blue)</v>
      </c>
      <c r="H2493" s="19"/>
    </row>
    <row r="2494">
      <c r="A2494" s="9"/>
      <c r="B2494" s="15"/>
      <c r="C2494" s="9">
        <f>IFERROR(__xludf.DUMMYFUNCTION("""COMPUTED_VALUE"""),44579.5682258564)</f>
        <v>44579.56823</v>
      </c>
      <c r="D2494" s="15">
        <f>IFERROR(__xludf.DUMMYFUNCTION("""COMPUTED_VALUE"""),1.003)</f>
        <v>1.003</v>
      </c>
      <c r="E2494" s="16">
        <f>IFERROR(__xludf.DUMMYFUNCTION("""COMPUTED_VALUE"""),62.0)</f>
        <v>62</v>
      </c>
      <c r="F2494" s="19" t="str">
        <f>IFERROR(__xludf.DUMMYFUNCTION("""COMPUTED_VALUE"""),"BLUE")</f>
        <v>BLUE</v>
      </c>
      <c r="G2494" s="20" t="str">
        <f>IFERROR(__xludf.DUMMYFUNCTION("""COMPUTED_VALUE"""),"Uncle Sams Cider (11/12/2021) (Blue)")</f>
        <v>Uncle Sams Cider (11/12/2021) (Blue)</v>
      </c>
      <c r="H2494" s="19"/>
    </row>
    <row r="2495">
      <c r="A2495" s="9"/>
      <c r="B2495" s="15"/>
      <c r="C2495" s="9">
        <f>IFERROR(__xludf.DUMMYFUNCTION("""COMPUTED_VALUE"""),44579.5578056018)</f>
        <v>44579.55781</v>
      </c>
      <c r="D2495" s="15">
        <f>IFERROR(__xludf.DUMMYFUNCTION("""COMPUTED_VALUE"""),1.002)</f>
        <v>1.002</v>
      </c>
      <c r="E2495" s="16">
        <f>IFERROR(__xludf.DUMMYFUNCTION("""COMPUTED_VALUE"""),62.0)</f>
        <v>62</v>
      </c>
      <c r="F2495" s="19" t="str">
        <f>IFERROR(__xludf.DUMMYFUNCTION("""COMPUTED_VALUE"""),"BLUE")</f>
        <v>BLUE</v>
      </c>
      <c r="G2495" s="20" t="str">
        <f>IFERROR(__xludf.DUMMYFUNCTION("""COMPUTED_VALUE"""),"Uncle Sams Cider (11/12/2021) (Blue)")</f>
        <v>Uncle Sams Cider (11/12/2021) (Blue)</v>
      </c>
      <c r="H2495" s="19"/>
    </row>
    <row r="2496">
      <c r="A2496" s="9"/>
      <c r="B2496" s="15"/>
      <c r="C2496" s="9">
        <f>IFERROR(__xludf.DUMMYFUNCTION("""COMPUTED_VALUE"""),44579.5473839467)</f>
        <v>44579.54738</v>
      </c>
      <c r="D2496" s="15">
        <f>IFERROR(__xludf.DUMMYFUNCTION("""COMPUTED_VALUE"""),1.002)</f>
        <v>1.002</v>
      </c>
      <c r="E2496" s="16">
        <f>IFERROR(__xludf.DUMMYFUNCTION("""COMPUTED_VALUE"""),62.0)</f>
        <v>62</v>
      </c>
      <c r="F2496" s="19" t="str">
        <f>IFERROR(__xludf.DUMMYFUNCTION("""COMPUTED_VALUE"""),"BLUE")</f>
        <v>BLUE</v>
      </c>
      <c r="G2496" s="20" t="str">
        <f>IFERROR(__xludf.DUMMYFUNCTION("""COMPUTED_VALUE"""),"Uncle Sams Cider (11/12/2021) (Blue)")</f>
        <v>Uncle Sams Cider (11/12/2021) (Blue)</v>
      </c>
      <c r="H2496" s="19"/>
    </row>
    <row r="2497">
      <c r="A2497" s="9"/>
      <c r="B2497" s="15"/>
      <c r="C2497" s="9">
        <f>IFERROR(__xludf.DUMMYFUNCTION("""COMPUTED_VALUE"""),44579.5369621412)</f>
        <v>44579.53696</v>
      </c>
      <c r="D2497" s="15">
        <f>IFERROR(__xludf.DUMMYFUNCTION("""COMPUTED_VALUE"""),1.002)</f>
        <v>1.002</v>
      </c>
      <c r="E2497" s="16">
        <f>IFERROR(__xludf.DUMMYFUNCTION("""COMPUTED_VALUE"""),62.0)</f>
        <v>62</v>
      </c>
      <c r="F2497" s="19" t="str">
        <f>IFERROR(__xludf.DUMMYFUNCTION("""COMPUTED_VALUE"""),"BLUE")</f>
        <v>BLUE</v>
      </c>
      <c r="G2497" s="20" t="str">
        <f>IFERROR(__xludf.DUMMYFUNCTION("""COMPUTED_VALUE"""),"Uncle Sams Cider (11/12/2021) (Blue)")</f>
        <v>Uncle Sams Cider (11/12/2021) (Blue)</v>
      </c>
      <c r="H2497" s="19"/>
    </row>
    <row r="2498">
      <c r="A2498" s="9"/>
      <c r="B2498" s="15"/>
      <c r="C2498" s="9">
        <f>IFERROR(__xludf.DUMMYFUNCTION("""COMPUTED_VALUE"""),44579.5265412268)</f>
        <v>44579.52654</v>
      </c>
      <c r="D2498" s="15">
        <f>IFERROR(__xludf.DUMMYFUNCTION("""COMPUTED_VALUE"""),1.002)</f>
        <v>1.002</v>
      </c>
      <c r="E2498" s="16">
        <f>IFERROR(__xludf.DUMMYFUNCTION("""COMPUTED_VALUE"""),62.0)</f>
        <v>62</v>
      </c>
      <c r="F2498" s="19" t="str">
        <f>IFERROR(__xludf.DUMMYFUNCTION("""COMPUTED_VALUE"""),"BLUE")</f>
        <v>BLUE</v>
      </c>
      <c r="G2498" s="20" t="str">
        <f>IFERROR(__xludf.DUMMYFUNCTION("""COMPUTED_VALUE"""),"Uncle Sams Cider (11/12/2021) (Blue)")</f>
        <v>Uncle Sams Cider (11/12/2021) (Blue)</v>
      </c>
      <c r="H2498" s="19"/>
    </row>
    <row r="2499">
      <c r="A2499" s="9"/>
      <c r="B2499" s="15"/>
      <c r="C2499" s="9">
        <f>IFERROR(__xludf.DUMMYFUNCTION("""COMPUTED_VALUE"""),44579.5161191203)</f>
        <v>44579.51612</v>
      </c>
      <c r="D2499" s="15">
        <f>IFERROR(__xludf.DUMMYFUNCTION("""COMPUTED_VALUE"""),1.002)</f>
        <v>1.002</v>
      </c>
      <c r="E2499" s="16">
        <f>IFERROR(__xludf.DUMMYFUNCTION("""COMPUTED_VALUE"""),62.0)</f>
        <v>62</v>
      </c>
      <c r="F2499" s="19" t="str">
        <f>IFERROR(__xludf.DUMMYFUNCTION("""COMPUTED_VALUE"""),"BLUE")</f>
        <v>BLUE</v>
      </c>
      <c r="G2499" s="20" t="str">
        <f>IFERROR(__xludf.DUMMYFUNCTION("""COMPUTED_VALUE"""),"Uncle Sams Cider (11/12/2021) (Blue)")</f>
        <v>Uncle Sams Cider (11/12/2021) (Blue)</v>
      </c>
      <c r="H2499" s="19"/>
    </row>
    <row r="2500">
      <c r="A2500" s="9"/>
      <c r="B2500" s="15"/>
      <c r="C2500" s="9">
        <f>IFERROR(__xludf.DUMMYFUNCTION("""COMPUTED_VALUE"""),44579.5056977661)</f>
        <v>44579.5057</v>
      </c>
      <c r="D2500" s="15">
        <f>IFERROR(__xludf.DUMMYFUNCTION("""COMPUTED_VALUE"""),1.002)</f>
        <v>1.002</v>
      </c>
      <c r="E2500" s="16">
        <f>IFERROR(__xludf.DUMMYFUNCTION("""COMPUTED_VALUE"""),62.0)</f>
        <v>62</v>
      </c>
      <c r="F2500" s="19" t="str">
        <f>IFERROR(__xludf.DUMMYFUNCTION("""COMPUTED_VALUE"""),"BLUE")</f>
        <v>BLUE</v>
      </c>
      <c r="G2500" s="20" t="str">
        <f>IFERROR(__xludf.DUMMYFUNCTION("""COMPUTED_VALUE"""),"Uncle Sams Cider (11/12/2021) (Blue)")</f>
        <v>Uncle Sams Cider (11/12/2021) (Blue)</v>
      </c>
      <c r="H2500" s="19"/>
    </row>
    <row r="2501">
      <c r="A2501" s="9"/>
      <c r="B2501" s="15"/>
      <c r="C2501" s="9">
        <f>IFERROR(__xludf.DUMMYFUNCTION("""COMPUTED_VALUE"""),44579.4952772801)</f>
        <v>44579.49528</v>
      </c>
      <c r="D2501" s="15">
        <f>IFERROR(__xludf.DUMMYFUNCTION("""COMPUTED_VALUE"""),1.002)</f>
        <v>1.002</v>
      </c>
      <c r="E2501" s="16">
        <f>IFERROR(__xludf.DUMMYFUNCTION("""COMPUTED_VALUE"""),63.0)</f>
        <v>63</v>
      </c>
      <c r="F2501" s="19" t="str">
        <f>IFERROR(__xludf.DUMMYFUNCTION("""COMPUTED_VALUE"""),"BLUE")</f>
        <v>BLUE</v>
      </c>
      <c r="G2501" s="20" t="str">
        <f>IFERROR(__xludf.DUMMYFUNCTION("""COMPUTED_VALUE"""),"Uncle Sams Cider (11/12/2021) (Blue)")</f>
        <v>Uncle Sams Cider (11/12/2021) (Blue)</v>
      </c>
      <c r="H2501" s="19"/>
    </row>
    <row r="2502">
      <c r="A2502" s="9"/>
      <c r="B2502" s="15"/>
      <c r="C2502" s="9">
        <f>IFERROR(__xludf.DUMMYFUNCTION("""COMPUTED_VALUE"""),44579.4848560995)</f>
        <v>44579.48486</v>
      </c>
      <c r="D2502" s="15">
        <f>IFERROR(__xludf.DUMMYFUNCTION("""COMPUTED_VALUE"""),1.002)</f>
        <v>1.002</v>
      </c>
      <c r="E2502" s="16">
        <f>IFERROR(__xludf.DUMMYFUNCTION("""COMPUTED_VALUE"""),62.0)</f>
        <v>62</v>
      </c>
      <c r="F2502" s="19" t="str">
        <f>IFERROR(__xludf.DUMMYFUNCTION("""COMPUTED_VALUE"""),"BLUE")</f>
        <v>BLUE</v>
      </c>
      <c r="G2502" s="20" t="str">
        <f>IFERROR(__xludf.DUMMYFUNCTION("""COMPUTED_VALUE"""),"Uncle Sams Cider (11/12/2021) (Blue)")</f>
        <v>Uncle Sams Cider (11/12/2021) (Blue)</v>
      </c>
      <c r="H2502" s="19"/>
    </row>
    <row r="2503">
      <c r="A2503" s="9"/>
      <c r="B2503" s="15"/>
      <c r="C2503" s="9">
        <f>IFERROR(__xludf.DUMMYFUNCTION("""COMPUTED_VALUE"""),44579.474422824)</f>
        <v>44579.47442</v>
      </c>
      <c r="D2503" s="15">
        <f>IFERROR(__xludf.DUMMYFUNCTION("""COMPUTED_VALUE"""),1.002)</f>
        <v>1.002</v>
      </c>
      <c r="E2503" s="16">
        <f>IFERROR(__xludf.DUMMYFUNCTION("""COMPUTED_VALUE"""),62.0)</f>
        <v>62</v>
      </c>
      <c r="F2503" s="19" t="str">
        <f>IFERROR(__xludf.DUMMYFUNCTION("""COMPUTED_VALUE"""),"BLUE")</f>
        <v>BLUE</v>
      </c>
      <c r="G2503" s="20" t="str">
        <f>IFERROR(__xludf.DUMMYFUNCTION("""COMPUTED_VALUE"""),"Uncle Sams Cider (11/12/2021) (Blue)")</f>
        <v>Uncle Sams Cider (11/12/2021) (Blue)</v>
      </c>
      <c r="H2503" s="19"/>
    </row>
    <row r="2504">
      <c r="A2504" s="9"/>
      <c r="B2504" s="15"/>
      <c r="C2504" s="9">
        <f>IFERROR(__xludf.DUMMYFUNCTION("""COMPUTED_VALUE"""),44579.4640016319)</f>
        <v>44579.464</v>
      </c>
      <c r="D2504" s="15">
        <f>IFERROR(__xludf.DUMMYFUNCTION("""COMPUTED_VALUE"""),1.002)</f>
        <v>1.002</v>
      </c>
      <c r="E2504" s="16">
        <f>IFERROR(__xludf.DUMMYFUNCTION("""COMPUTED_VALUE"""),63.0)</f>
        <v>63</v>
      </c>
      <c r="F2504" s="19" t="str">
        <f>IFERROR(__xludf.DUMMYFUNCTION("""COMPUTED_VALUE"""),"BLUE")</f>
        <v>BLUE</v>
      </c>
      <c r="G2504" s="20" t="str">
        <f>IFERROR(__xludf.DUMMYFUNCTION("""COMPUTED_VALUE"""),"Uncle Sams Cider (11/12/2021) (Blue)")</f>
        <v>Uncle Sams Cider (11/12/2021) (Blue)</v>
      </c>
      <c r="H2504" s="19"/>
    </row>
    <row r="2505">
      <c r="A2505" s="9"/>
      <c r="B2505" s="15"/>
      <c r="C2505" s="9">
        <f>IFERROR(__xludf.DUMMYFUNCTION("""COMPUTED_VALUE"""),44579.4535801736)</f>
        <v>44579.45358</v>
      </c>
      <c r="D2505" s="15">
        <f>IFERROR(__xludf.DUMMYFUNCTION("""COMPUTED_VALUE"""),1.002)</f>
        <v>1.002</v>
      </c>
      <c r="E2505" s="16">
        <f>IFERROR(__xludf.DUMMYFUNCTION("""COMPUTED_VALUE"""),63.0)</f>
        <v>63</v>
      </c>
      <c r="F2505" s="19" t="str">
        <f>IFERROR(__xludf.DUMMYFUNCTION("""COMPUTED_VALUE"""),"BLUE")</f>
        <v>BLUE</v>
      </c>
      <c r="G2505" s="20" t="str">
        <f>IFERROR(__xludf.DUMMYFUNCTION("""COMPUTED_VALUE"""),"Uncle Sams Cider (11/12/2021) (Blue)")</f>
        <v>Uncle Sams Cider (11/12/2021) (Blue)</v>
      </c>
      <c r="H2505" s="19"/>
    </row>
    <row r="2506">
      <c r="A2506" s="9"/>
      <c r="B2506" s="15"/>
      <c r="C2506" s="9">
        <f>IFERROR(__xludf.DUMMYFUNCTION("""COMPUTED_VALUE"""),44579.44315853)</f>
        <v>44579.44316</v>
      </c>
      <c r="D2506" s="15">
        <f>IFERROR(__xludf.DUMMYFUNCTION("""COMPUTED_VALUE"""),1.002)</f>
        <v>1.002</v>
      </c>
      <c r="E2506" s="16">
        <f>IFERROR(__xludf.DUMMYFUNCTION("""COMPUTED_VALUE"""),63.0)</f>
        <v>63</v>
      </c>
      <c r="F2506" s="19" t="str">
        <f>IFERROR(__xludf.DUMMYFUNCTION("""COMPUTED_VALUE"""),"BLUE")</f>
        <v>BLUE</v>
      </c>
      <c r="G2506" s="20" t="str">
        <f>IFERROR(__xludf.DUMMYFUNCTION("""COMPUTED_VALUE"""),"Uncle Sams Cider (11/12/2021) (Blue)")</f>
        <v>Uncle Sams Cider (11/12/2021) (Blue)</v>
      </c>
      <c r="H2506" s="19"/>
    </row>
    <row r="2507">
      <c r="A2507" s="9"/>
      <c r="B2507" s="15"/>
      <c r="C2507" s="9">
        <f>IFERROR(__xludf.DUMMYFUNCTION("""COMPUTED_VALUE"""),44579.4327381713)</f>
        <v>44579.43274</v>
      </c>
      <c r="D2507" s="15">
        <f>IFERROR(__xludf.DUMMYFUNCTION("""COMPUTED_VALUE"""),1.002)</f>
        <v>1.002</v>
      </c>
      <c r="E2507" s="16">
        <f>IFERROR(__xludf.DUMMYFUNCTION("""COMPUTED_VALUE"""),63.0)</f>
        <v>63</v>
      </c>
      <c r="F2507" s="19" t="str">
        <f>IFERROR(__xludf.DUMMYFUNCTION("""COMPUTED_VALUE"""),"BLUE")</f>
        <v>BLUE</v>
      </c>
      <c r="G2507" s="20" t="str">
        <f>IFERROR(__xludf.DUMMYFUNCTION("""COMPUTED_VALUE"""),"Uncle Sams Cider (11/12/2021) (Blue)")</f>
        <v>Uncle Sams Cider (11/12/2021) (Blue)</v>
      </c>
      <c r="H2507" s="19"/>
    </row>
    <row r="2508">
      <c r="A2508" s="9"/>
      <c r="B2508" s="15"/>
      <c r="C2508" s="9">
        <f>IFERROR(__xludf.DUMMYFUNCTION("""COMPUTED_VALUE"""),44579.4223162731)</f>
        <v>44579.42232</v>
      </c>
      <c r="D2508" s="15">
        <f>IFERROR(__xludf.DUMMYFUNCTION("""COMPUTED_VALUE"""),1.002)</f>
        <v>1.002</v>
      </c>
      <c r="E2508" s="16">
        <f>IFERROR(__xludf.DUMMYFUNCTION("""COMPUTED_VALUE"""),63.0)</f>
        <v>63</v>
      </c>
      <c r="F2508" s="19" t="str">
        <f>IFERROR(__xludf.DUMMYFUNCTION("""COMPUTED_VALUE"""),"BLUE")</f>
        <v>BLUE</v>
      </c>
      <c r="G2508" s="20" t="str">
        <f>IFERROR(__xludf.DUMMYFUNCTION("""COMPUTED_VALUE"""),"Uncle Sams Cider (11/12/2021) (Blue)")</f>
        <v>Uncle Sams Cider (11/12/2021) (Blue)</v>
      </c>
      <c r="H2508" s="19"/>
    </row>
    <row r="2509">
      <c r="A2509" s="9"/>
      <c r="B2509" s="15"/>
      <c r="C2509" s="9">
        <f>IFERROR(__xludf.DUMMYFUNCTION("""COMPUTED_VALUE"""),44579.4118937963)</f>
        <v>44579.41189</v>
      </c>
      <c r="D2509" s="15">
        <f>IFERROR(__xludf.DUMMYFUNCTION("""COMPUTED_VALUE"""),1.002)</f>
        <v>1.002</v>
      </c>
      <c r="E2509" s="16">
        <f>IFERROR(__xludf.DUMMYFUNCTION("""COMPUTED_VALUE"""),63.0)</f>
        <v>63</v>
      </c>
      <c r="F2509" s="19" t="str">
        <f>IFERROR(__xludf.DUMMYFUNCTION("""COMPUTED_VALUE"""),"BLUE")</f>
        <v>BLUE</v>
      </c>
      <c r="G2509" s="20" t="str">
        <f>IFERROR(__xludf.DUMMYFUNCTION("""COMPUTED_VALUE"""),"Uncle Sams Cider (11/12/2021) (Blue)")</f>
        <v>Uncle Sams Cider (11/12/2021) (Blue)</v>
      </c>
      <c r="H2509" s="19"/>
    </row>
    <row r="2510">
      <c r="A2510" s="9"/>
      <c r="B2510" s="15"/>
      <c r="C2510" s="9">
        <f>IFERROR(__xludf.DUMMYFUNCTION("""COMPUTED_VALUE"""),44579.4014726041)</f>
        <v>44579.40147</v>
      </c>
      <c r="D2510" s="15">
        <f>IFERROR(__xludf.DUMMYFUNCTION("""COMPUTED_VALUE"""),1.002)</f>
        <v>1.002</v>
      </c>
      <c r="E2510" s="16">
        <f>IFERROR(__xludf.DUMMYFUNCTION("""COMPUTED_VALUE"""),63.0)</f>
        <v>63</v>
      </c>
      <c r="F2510" s="19" t="str">
        <f>IFERROR(__xludf.DUMMYFUNCTION("""COMPUTED_VALUE"""),"BLUE")</f>
        <v>BLUE</v>
      </c>
      <c r="G2510" s="20" t="str">
        <f>IFERROR(__xludf.DUMMYFUNCTION("""COMPUTED_VALUE"""),"Uncle Sams Cider (11/12/2021) (Blue)")</f>
        <v>Uncle Sams Cider (11/12/2021) (Blue)</v>
      </c>
      <c r="H2510" s="19"/>
    </row>
    <row r="2511">
      <c r="A2511" s="9"/>
      <c r="B2511" s="15"/>
      <c r="C2511" s="9">
        <f>IFERROR(__xludf.DUMMYFUNCTION("""COMPUTED_VALUE"""),44579.3910508217)</f>
        <v>44579.39105</v>
      </c>
      <c r="D2511" s="15">
        <f>IFERROR(__xludf.DUMMYFUNCTION("""COMPUTED_VALUE"""),1.002)</f>
        <v>1.002</v>
      </c>
      <c r="E2511" s="16">
        <f>IFERROR(__xludf.DUMMYFUNCTION("""COMPUTED_VALUE"""),63.0)</f>
        <v>63</v>
      </c>
      <c r="F2511" s="19" t="str">
        <f>IFERROR(__xludf.DUMMYFUNCTION("""COMPUTED_VALUE"""),"BLUE")</f>
        <v>BLUE</v>
      </c>
      <c r="G2511" s="20" t="str">
        <f>IFERROR(__xludf.DUMMYFUNCTION("""COMPUTED_VALUE"""),"Uncle Sams Cider (11/12/2021) (Blue)")</f>
        <v>Uncle Sams Cider (11/12/2021) (Blue)</v>
      </c>
      <c r="H2511" s="19"/>
    </row>
    <row r="2512">
      <c r="A2512" s="9"/>
      <c r="B2512" s="15"/>
      <c r="C2512" s="9">
        <f>IFERROR(__xludf.DUMMYFUNCTION("""COMPUTED_VALUE"""),44579.3806298148)</f>
        <v>44579.38063</v>
      </c>
      <c r="D2512" s="15">
        <f>IFERROR(__xludf.DUMMYFUNCTION("""COMPUTED_VALUE"""),1.002)</f>
        <v>1.002</v>
      </c>
      <c r="E2512" s="16">
        <f>IFERROR(__xludf.DUMMYFUNCTION("""COMPUTED_VALUE"""),63.0)</f>
        <v>63</v>
      </c>
      <c r="F2512" s="19" t="str">
        <f>IFERROR(__xludf.DUMMYFUNCTION("""COMPUTED_VALUE"""),"BLUE")</f>
        <v>BLUE</v>
      </c>
      <c r="G2512" s="20" t="str">
        <f>IFERROR(__xludf.DUMMYFUNCTION("""COMPUTED_VALUE"""),"Uncle Sams Cider (11/12/2021) (Blue)")</f>
        <v>Uncle Sams Cider (11/12/2021) (Blue)</v>
      </c>
      <c r="H2512" s="19"/>
    </row>
    <row r="2513">
      <c r="A2513" s="9"/>
      <c r="B2513" s="15"/>
      <c r="C2513" s="9">
        <f>IFERROR(__xludf.DUMMYFUNCTION("""COMPUTED_VALUE"""),44579.3701963078)</f>
        <v>44579.3702</v>
      </c>
      <c r="D2513" s="15">
        <f>IFERROR(__xludf.DUMMYFUNCTION("""COMPUTED_VALUE"""),1.002)</f>
        <v>1.002</v>
      </c>
      <c r="E2513" s="16">
        <f>IFERROR(__xludf.DUMMYFUNCTION("""COMPUTED_VALUE"""),63.0)</f>
        <v>63</v>
      </c>
      <c r="F2513" s="19" t="str">
        <f>IFERROR(__xludf.DUMMYFUNCTION("""COMPUTED_VALUE"""),"BLUE")</f>
        <v>BLUE</v>
      </c>
      <c r="G2513" s="20" t="str">
        <f>IFERROR(__xludf.DUMMYFUNCTION("""COMPUTED_VALUE"""),"Uncle Sams Cider (11/12/2021) (Blue)")</f>
        <v>Uncle Sams Cider (11/12/2021) (Blue)</v>
      </c>
      <c r="H2513" s="19"/>
    </row>
    <row r="2514">
      <c r="A2514" s="9"/>
      <c r="B2514" s="15"/>
      <c r="C2514" s="9">
        <f>IFERROR(__xludf.DUMMYFUNCTION("""COMPUTED_VALUE"""),44579.3597755092)</f>
        <v>44579.35978</v>
      </c>
      <c r="D2514" s="15">
        <f>IFERROR(__xludf.DUMMYFUNCTION("""COMPUTED_VALUE"""),1.002)</f>
        <v>1.002</v>
      </c>
      <c r="E2514" s="16">
        <f>IFERROR(__xludf.DUMMYFUNCTION("""COMPUTED_VALUE"""),63.0)</f>
        <v>63</v>
      </c>
      <c r="F2514" s="19" t="str">
        <f>IFERROR(__xludf.DUMMYFUNCTION("""COMPUTED_VALUE"""),"BLUE")</f>
        <v>BLUE</v>
      </c>
      <c r="G2514" s="20" t="str">
        <f>IFERROR(__xludf.DUMMYFUNCTION("""COMPUTED_VALUE"""),"Uncle Sams Cider (11/12/2021) (Blue)")</f>
        <v>Uncle Sams Cider (11/12/2021) (Blue)</v>
      </c>
      <c r="H2514" s="19"/>
    </row>
    <row r="2515">
      <c r="A2515" s="9"/>
      <c r="B2515" s="15"/>
      <c r="C2515" s="9">
        <f>IFERROR(__xludf.DUMMYFUNCTION("""COMPUTED_VALUE"""),44579.3493551157)</f>
        <v>44579.34936</v>
      </c>
      <c r="D2515" s="15">
        <f>IFERROR(__xludf.DUMMYFUNCTION("""COMPUTED_VALUE"""),1.002)</f>
        <v>1.002</v>
      </c>
      <c r="E2515" s="16">
        <f>IFERROR(__xludf.DUMMYFUNCTION("""COMPUTED_VALUE"""),63.0)</f>
        <v>63</v>
      </c>
      <c r="F2515" s="19" t="str">
        <f>IFERROR(__xludf.DUMMYFUNCTION("""COMPUTED_VALUE"""),"BLUE")</f>
        <v>BLUE</v>
      </c>
      <c r="G2515" s="20" t="str">
        <f>IFERROR(__xludf.DUMMYFUNCTION("""COMPUTED_VALUE"""),"Uncle Sams Cider (11/12/2021) (Blue)")</f>
        <v>Uncle Sams Cider (11/12/2021) (Blue)</v>
      </c>
      <c r="H2515" s="19"/>
    </row>
    <row r="2516">
      <c r="A2516" s="9"/>
      <c r="B2516" s="15"/>
      <c r="C2516" s="9">
        <f>IFERROR(__xludf.DUMMYFUNCTION("""COMPUTED_VALUE"""),44579.338935787)</f>
        <v>44579.33894</v>
      </c>
      <c r="D2516" s="15">
        <f>IFERROR(__xludf.DUMMYFUNCTION("""COMPUTED_VALUE"""),1.002)</f>
        <v>1.002</v>
      </c>
      <c r="E2516" s="16">
        <f>IFERROR(__xludf.DUMMYFUNCTION("""COMPUTED_VALUE"""),63.0)</f>
        <v>63</v>
      </c>
      <c r="F2516" s="19" t="str">
        <f>IFERROR(__xludf.DUMMYFUNCTION("""COMPUTED_VALUE"""),"BLUE")</f>
        <v>BLUE</v>
      </c>
      <c r="G2516" s="20" t="str">
        <f>IFERROR(__xludf.DUMMYFUNCTION("""COMPUTED_VALUE"""),"Uncle Sams Cider (11/12/2021) (Blue)")</f>
        <v>Uncle Sams Cider (11/12/2021) (Blue)</v>
      </c>
      <c r="H2516" s="19"/>
    </row>
    <row r="2517">
      <c r="A2517" s="9"/>
      <c r="B2517" s="15"/>
      <c r="C2517" s="9">
        <f>IFERROR(__xludf.DUMMYFUNCTION("""COMPUTED_VALUE"""),44579.3285151504)</f>
        <v>44579.32852</v>
      </c>
      <c r="D2517" s="15">
        <f>IFERROR(__xludf.DUMMYFUNCTION("""COMPUTED_VALUE"""),1.002)</f>
        <v>1.002</v>
      </c>
      <c r="E2517" s="16">
        <f>IFERROR(__xludf.DUMMYFUNCTION("""COMPUTED_VALUE"""),63.0)</f>
        <v>63</v>
      </c>
      <c r="F2517" s="19" t="str">
        <f>IFERROR(__xludf.DUMMYFUNCTION("""COMPUTED_VALUE"""),"BLUE")</f>
        <v>BLUE</v>
      </c>
      <c r="G2517" s="20" t="str">
        <f>IFERROR(__xludf.DUMMYFUNCTION("""COMPUTED_VALUE"""),"Uncle Sams Cider (11/12/2021) (Blue)")</f>
        <v>Uncle Sams Cider (11/12/2021) (Blue)</v>
      </c>
      <c r="H2517" s="19"/>
    </row>
    <row r="2518">
      <c r="A2518" s="9"/>
      <c r="B2518" s="15"/>
      <c r="C2518" s="9">
        <f>IFERROR(__xludf.DUMMYFUNCTION("""COMPUTED_VALUE"""),44579.3180934259)</f>
        <v>44579.31809</v>
      </c>
      <c r="D2518" s="15">
        <f>IFERROR(__xludf.DUMMYFUNCTION("""COMPUTED_VALUE"""),1.002)</f>
        <v>1.002</v>
      </c>
      <c r="E2518" s="16">
        <f>IFERROR(__xludf.DUMMYFUNCTION("""COMPUTED_VALUE"""),63.0)</f>
        <v>63</v>
      </c>
      <c r="F2518" s="19" t="str">
        <f>IFERROR(__xludf.DUMMYFUNCTION("""COMPUTED_VALUE"""),"BLUE")</f>
        <v>BLUE</v>
      </c>
      <c r="G2518" s="20" t="str">
        <f>IFERROR(__xludf.DUMMYFUNCTION("""COMPUTED_VALUE"""),"Uncle Sams Cider (11/12/2021) (Blue)")</f>
        <v>Uncle Sams Cider (11/12/2021) (Blue)</v>
      </c>
      <c r="H2518" s="19"/>
    </row>
    <row r="2519">
      <c r="A2519" s="9"/>
      <c r="B2519" s="15"/>
      <c r="C2519" s="9">
        <f>IFERROR(__xludf.DUMMYFUNCTION("""COMPUTED_VALUE"""),44579.3076615972)</f>
        <v>44579.30766</v>
      </c>
      <c r="D2519" s="15">
        <f>IFERROR(__xludf.DUMMYFUNCTION("""COMPUTED_VALUE"""),1.002)</f>
        <v>1.002</v>
      </c>
      <c r="E2519" s="16">
        <f>IFERROR(__xludf.DUMMYFUNCTION("""COMPUTED_VALUE"""),63.0)</f>
        <v>63</v>
      </c>
      <c r="F2519" s="19" t="str">
        <f>IFERROR(__xludf.DUMMYFUNCTION("""COMPUTED_VALUE"""),"BLUE")</f>
        <v>BLUE</v>
      </c>
      <c r="G2519" s="20" t="str">
        <f>IFERROR(__xludf.DUMMYFUNCTION("""COMPUTED_VALUE"""),"Uncle Sams Cider (11/12/2021) (Blue)")</f>
        <v>Uncle Sams Cider (11/12/2021) (Blue)</v>
      </c>
      <c r="H2519" s="19"/>
    </row>
    <row r="2520">
      <c r="A2520" s="9"/>
      <c r="B2520" s="15"/>
      <c r="C2520" s="9">
        <f>IFERROR(__xludf.DUMMYFUNCTION("""COMPUTED_VALUE"""),44579.2972046643)</f>
        <v>44579.2972</v>
      </c>
      <c r="D2520" s="15">
        <f>IFERROR(__xludf.DUMMYFUNCTION("""COMPUTED_VALUE"""),1.002)</f>
        <v>1.002</v>
      </c>
      <c r="E2520" s="16">
        <f>IFERROR(__xludf.DUMMYFUNCTION("""COMPUTED_VALUE"""),63.0)</f>
        <v>63</v>
      </c>
      <c r="F2520" s="19" t="str">
        <f>IFERROR(__xludf.DUMMYFUNCTION("""COMPUTED_VALUE"""),"BLUE")</f>
        <v>BLUE</v>
      </c>
      <c r="G2520" s="20" t="str">
        <f>IFERROR(__xludf.DUMMYFUNCTION("""COMPUTED_VALUE"""),"Uncle Sams Cider (11/12/2021) (Blue)")</f>
        <v>Uncle Sams Cider (11/12/2021) (Blue)</v>
      </c>
      <c r="H2520" s="19"/>
    </row>
    <row r="2521">
      <c r="A2521" s="9"/>
      <c r="B2521" s="15"/>
      <c r="C2521" s="9">
        <f>IFERROR(__xludf.DUMMYFUNCTION("""COMPUTED_VALUE"""),44579.2867844328)</f>
        <v>44579.28678</v>
      </c>
      <c r="D2521" s="15">
        <f>IFERROR(__xludf.DUMMYFUNCTION("""COMPUTED_VALUE"""),1.002)</f>
        <v>1.002</v>
      </c>
      <c r="E2521" s="16">
        <f>IFERROR(__xludf.DUMMYFUNCTION("""COMPUTED_VALUE"""),63.0)</f>
        <v>63</v>
      </c>
      <c r="F2521" s="19" t="str">
        <f>IFERROR(__xludf.DUMMYFUNCTION("""COMPUTED_VALUE"""),"BLUE")</f>
        <v>BLUE</v>
      </c>
      <c r="G2521" s="20" t="str">
        <f>IFERROR(__xludf.DUMMYFUNCTION("""COMPUTED_VALUE"""),"Uncle Sams Cider (11/12/2021) (Blue)")</f>
        <v>Uncle Sams Cider (11/12/2021) (Blue)</v>
      </c>
      <c r="H2521" s="19"/>
    </row>
    <row r="2522">
      <c r="A2522" s="9"/>
      <c r="B2522" s="15"/>
      <c r="C2522" s="9">
        <f>IFERROR(__xludf.DUMMYFUNCTION("""COMPUTED_VALUE"""),44579.2763509259)</f>
        <v>44579.27635</v>
      </c>
      <c r="D2522" s="15">
        <f>IFERROR(__xludf.DUMMYFUNCTION("""COMPUTED_VALUE"""),1.002)</f>
        <v>1.002</v>
      </c>
      <c r="E2522" s="16">
        <f>IFERROR(__xludf.DUMMYFUNCTION("""COMPUTED_VALUE"""),63.0)</f>
        <v>63</v>
      </c>
      <c r="F2522" s="19" t="str">
        <f>IFERROR(__xludf.DUMMYFUNCTION("""COMPUTED_VALUE"""),"BLUE")</f>
        <v>BLUE</v>
      </c>
      <c r="G2522" s="20" t="str">
        <f>IFERROR(__xludf.DUMMYFUNCTION("""COMPUTED_VALUE"""),"Uncle Sams Cider (11/12/2021) (Blue)")</f>
        <v>Uncle Sams Cider (11/12/2021) (Blue)</v>
      </c>
      <c r="H2522" s="19"/>
    </row>
    <row r="2523">
      <c r="A2523" s="9"/>
      <c r="B2523" s="15"/>
      <c r="C2523" s="9">
        <f>IFERROR(__xludf.DUMMYFUNCTION("""COMPUTED_VALUE"""),44579.265918368)</f>
        <v>44579.26592</v>
      </c>
      <c r="D2523" s="15">
        <f>IFERROR(__xludf.DUMMYFUNCTION("""COMPUTED_VALUE"""),1.002)</f>
        <v>1.002</v>
      </c>
      <c r="E2523" s="16">
        <f>IFERROR(__xludf.DUMMYFUNCTION("""COMPUTED_VALUE"""),63.0)</f>
        <v>63</v>
      </c>
      <c r="F2523" s="19" t="str">
        <f>IFERROR(__xludf.DUMMYFUNCTION("""COMPUTED_VALUE"""),"BLUE")</f>
        <v>BLUE</v>
      </c>
      <c r="G2523" s="20" t="str">
        <f>IFERROR(__xludf.DUMMYFUNCTION("""COMPUTED_VALUE"""),"Uncle Sams Cider (11/12/2021) (Blue)")</f>
        <v>Uncle Sams Cider (11/12/2021) (Blue)</v>
      </c>
      <c r="H2523" s="19"/>
    </row>
    <row r="2524">
      <c r="A2524" s="9"/>
      <c r="B2524" s="15"/>
      <c r="C2524" s="9">
        <f>IFERROR(__xludf.DUMMYFUNCTION("""COMPUTED_VALUE"""),44579.2554958796)</f>
        <v>44579.2555</v>
      </c>
      <c r="D2524" s="15">
        <f>IFERROR(__xludf.DUMMYFUNCTION("""COMPUTED_VALUE"""),1.002)</f>
        <v>1.002</v>
      </c>
      <c r="E2524" s="16">
        <f>IFERROR(__xludf.DUMMYFUNCTION("""COMPUTED_VALUE"""),63.0)</f>
        <v>63</v>
      </c>
      <c r="F2524" s="19" t="str">
        <f>IFERROR(__xludf.DUMMYFUNCTION("""COMPUTED_VALUE"""),"BLUE")</f>
        <v>BLUE</v>
      </c>
      <c r="G2524" s="20" t="str">
        <f>IFERROR(__xludf.DUMMYFUNCTION("""COMPUTED_VALUE"""),"Uncle Sams Cider (11/12/2021) (Blue)")</f>
        <v>Uncle Sams Cider (11/12/2021) (Blue)</v>
      </c>
      <c r="H2524" s="19"/>
    </row>
    <row r="2525">
      <c r="A2525" s="9"/>
      <c r="B2525" s="15"/>
      <c r="C2525" s="9">
        <f>IFERROR(__xludf.DUMMYFUNCTION("""COMPUTED_VALUE"""),44579.2450736226)</f>
        <v>44579.24507</v>
      </c>
      <c r="D2525" s="15">
        <f>IFERROR(__xludf.DUMMYFUNCTION("""COMPUTED_VALUE"""),1.002)</f>
        <v>1.002</v>
      </c>
      <c r="E2525" s="16">
        <f>IFERROR(__xludf.DUMMYFUNCTION("""COMPUTED_VALUE"""),63.0)</f>
        <v>63</v>
      </c>
      <c r="F2525" s="19" t="str">
        <f>IFERROR(__xludf.DUMMYFUNCTION("""COMPUTED_VALUE"""),"BLUE")</f>
        <v>BLUE</v>
      </c>
      <c r="G2525" s="20" t="str">
        <f>IFERROR(__xludf.DUMMYFUNCTION("""COMPUTED_VALUE"""),"Uncle Sams Cider (11/12/2021) (Blue)")</f>
        <v>Uncle Sams Cider (11/12/2021) (Blue)</v>
      </c>
      <c r="H2525" s="19"/>
    </row>
    <row r="2526">
      <c r="A2526" s="9"/>
      <c r="B2526" s="15"/>
      <c r="C2526" s="9">
        <f>IFERROR(__xludf.DUMMYFUNCTION("""COMPUTED_VALUE"""),44579.234651574)</f>
        <v>44579.23465</v>
      </c>
      <c r="D2526" s="15">
        <f>IFERROR(__xludf.DUMMYFUNCTION("""COMPUTED_VALUE"""),1.002)</f>
        <v>1.002</v>
      </c>
      <c r="E2526" s="16">
        <f>IFERROR(__xludf.DUMMYFUNCTION("""COMPUTED_VALUE"""),63.0)</f>
        <v>63</v>
      </c>
      <c r="F2526" s="19" t="str">
        <f>IFERROR(__xludf.DUMMYFUNCTION("""COMPUTED_VALUE"""),"BLUE")</f>
        <v>BLUE</v>
      </c>
      <c r="G2526" s="20" t="str">
        <f>IFERROR(__xludf.DUMMYFUNCTION("""COMPUTED_VALUE"""),"Uncle Sams Cider (11/12/2021) (Blue)")</f>
        <v>Uncle Sams Cider (11/12/2021) (Blue)</v>
      </c>
      <c r="H2526" s="19"/>
    </row>
    <row r="2527">
      <c r="A2527" s="9"/>
      <c r="B2527" s="15"/>
      <c r="C2527" s="9">
        <f>IFERROR(__xludf.DUMMYFUNCTION("""COMPUTED_VALUE"""),44579.224218993)</f>
        <v>44579.22422</v>
      </c>
      <c r="D2527" s="15">
        <f>IFERROR(__xludf.DUMMYFUNCTION("""COMPUTED_VALUE"""),1.002)</f>
        <v>1.002</v>
      </c>
      <c r="E2527" s="16">
        <f>IFERROR(__xludf.DUMMYFUNCTION("""COMPUTED_VALUE"""),63.0)</f>
        <v>63</v>
      </c>
      <c r="F2527" s="19" t="str">
        <f>IFERROR(__xludf.DUMMYFUNCTION("""COMPUTED_VALUE"""),"BLUE")</f>
        <v>BLUE</v>
      </c>
      <c r="G2527" s="20" t="str">
        <f>IFERROR(__xludf.DUMMYFUNCTION("""COMPUTED_VALUE"""),"Uncle Sams Cider (11/12/2021) (Blue)")</f>
        <v>Uncle Sams Cider (11/12/2021) (Blue)</v>
      </c>
      <c r="H2527" s="19"/>
    </row>
    <row r="2528">
      <c r="A2528" s="9"/>
      <c r="B2528" s="15"/>
      <c r="C2528" s="9">
        <f>IFERROR(__xludf.DUMMYFUNCTION("""COMPUTED_VALUE"""),44579.2137877777)</f>
        <v>44579.21379</v>
      </c>
      <c r="D2528" s="15">
        <f>IFERROR(__xludf.DUMMYFUNCTION("""COMPUTED_VALUE"""),1.002)</f>
        <v>1.002</v>
      </c>
      <c r="E2528" s="16">
        <f>IFERROR(__xludf.DUMMYFUNCTION("""COMPUTED_VALUE"""),63.0)</f>
        <v>63</v>
      </c>
      <c r="F2528" s="19" t="str">
        <f>IFERROR(__xludf.DUMMYFUNCTION("""COMPUTED_VALUE"""),"BLUE")</f>
        <v>BLUE</v>
      </c>
      <c r="G2528" s="20" t="str">
        <f>IFERROR(__xludf.DUMMYFUNCTION("""COMPUTED_VALUE"""),"Uncle Sams Cider (11/12/2021) (Blue)")</f>
        <v>Uncle Sams Cider (11/12/2021) (Blue)</v>
      </c>
      <c r="H2528" s="19"/>
    </row>
    <row r="2529">
      <c r="A2529" s="9"/>
      <c r="B2529" s="15"/>
      <c r="C2529" s="9">
        <f>IFERROR(__xludf.DUMMYFUNCTION("""COMPUTED_VALUE"""),44579.2033662268)</f>
        <v>44579.20337</v>
      </c>
      <c r="D2529" s="15">
        <f>IFERROR(__xludf.DUMMYFUNCTION("""COMPUTED_VALUE"""),1.002)</f>
        <v>1.002</v>
      </c>
      <c r="E2529" s="16">
        <f>IFERROR(__xludf.DUMMYFUNCTION("""COMPUTED_VALUE"""),63.0)</f>
        <v>63</v>
      </c>
      <c r="F2529" s="19" t="str">
        <f>IFERROR(__xludf.DUMMYFUNCTION("""COMPUTED_VALUE"""),"BLUE")</f>
        <v>BLUE</v>
      </c>
      <c r="G2529" s="20" t="str">
        <f>IFERROR(__xludf.DUMMYFUNCTION("""COMPUTED_VALUE"""),"Uncle Sams Cider (11/12/2021) (Blue)")</f>
        <v>Uncle Sams Cider (11/12/2021) (Blue)</v>
      </c>
      <c r="H2529" s="19"/>
    </row>
    <row r="2530">
      <c r="A2530" s="9"/>
      <c r="B2530" s="15"/>
      <c r="C2530" s="9">
        <f>IFERROR(__xludf.DUMMYFUNCTION("""COMPUTED_VALUE"""),44579.1929459606)</f>
        <v>44579.19295</v>
      </c>
      <c r="D2530" s="15">
        <f>IFERROR(__xludf.DUMMYFUNCTION("""COMPUTED_VALUE"""),1.002)</f>
        <v>1.002</v>
      </c>
      <c r="E2530" s="16">
        <f>IFERROR(__xludf.DUMMYFUNCTION("""COMPUTED_VALUE"""),63.0)</f>
        <v>63</v>
      </c>
      <c r="F2530" s="19" t="str">
        <f>IFERROR(__xludf.DUMMYFUNCTION("""COMPUTED_VALUE"""),"BLUE")</f>
        <v>BLUE</v>
      </c>
      <c r="G2530" s="20" t="str">
        <f>IFERROR(__xludf.DUMMYFUNCTION("""COMPUTED_VALUE"""),"Uncle Sams Cider (11/12/2021) (Blue)")</f>
        <v>Uncle Sams Cider (11/12/2021) (Blue)</v>
      </c>
      <c r="H2530" s="19"/>
    </row>
    <row r="2531">
      <c r="A2531" s="9"/>
      <c r="B2531" s="15"/>
      <c r="C2531" s="9">
        <f>IFERROR(__xludf.DUMMYFUNCTION("""COMPUTED_VALUE"""),44579.1824775)</f>
        <v>44579.18248</v>
      </c>
      <c r="D2531" s="15">
        <f>IFERROR(__xludf.DUMMYFUNCTION("""COMPUTED_VALUE"""),1.002)</f>
        <v>1.002</v>
      </c>
      <c r="E2531" s="16">
        <f>IFERROR(__xludf.DUMMYFUNCTION("""COMPUTED_VALUE"""),63.0)</f>
        <v>63</v>
      </c>
      <c r="F2531" s="19" t="str">
        <f>IFERROR(__xludf.DUMMYFUNCTION("""COMPUTED_VALUE"""),"BLUE")</f>
        <v>BLUE</v>
      </c>
      <c r="G2531" s="20" t="str">
        <f>IFERROR(__xludf.DUMMYFUNCTION("""COMPUTED_VALUE"""),"Uncle Sams Cider (11/12/2021) (Blue)")</f>
        <v>Uncle Sams Cider (11/12/2021) (Blue)</v>
      </c>
      <c r="H2531" s="19"/>
    </row>
    <row r="2532">
      <c r="A2532" s="9"/>
      <c r="B2532" s="15"/>
      <c r="C2532" s="9">
        <f>IFERROR(__xludf.DUMMYFUNCTION("""COMPUTED_VALUE"""),44579.1720557407)</f>
        <v>44579.17206</v>
      </c>
      <c r="D2532" s="15">
        <f>IFERROR(__xludf.DUMMYFUNCTION("""COMPUTED_VALUE"""),1.002)</f>
        <v>1.002</v>
      </c>
      <c r="E2532" s="16">
        <f>IFERROR(__xludf.DUMMYFUNCTION("""COMPUTED_VALUE"""),63.0)</f>
        <v>63</v>
      </c>
      <c r="F2532" s="19" t="str">
        <f>IFERROR(__xludf.DUMMYFUNCTION("""COMPUTED_VALUE"""),"BLUE")</f>
        <v>BLUE</v>
      </c>
      <c r="G2532" s="20" t="str">
        <f>IFERROR(__xludf.DUMMYFUNCTION("""COMPUTED_VALUE"""),"Uncle Sams Cider (11/12/2021) (Blue)")</f>
        <v>Uncle Sams Cider (11/12/2021) (Blue)</v>
      </c>
      <c r="H2532" s="19"/>
    </row>
    <row r="2533">
      <c r="A2533" s="9"/>
      <c r="B2533" s="15"/>
      <c r="C2533" s="9">
        <f>IFERROR(__xludf.DUMMYFUNCTION("""COMPUTED_VALUE"""),44579.1616227777)</f>
        <v>44579.16162</v>
      </c>
      <c r="D2533" s="15">
        <f>IFERROR(__xludf.DUMMYFUNCTION("""COMPUTED_VALUE"""),1.002)</f>
        <v>1.002</v>
      </c>
      <c r="E2533" s="16">
        <f>IFERROR(__xludf.DUMMYFUNCTION("""COMPUTED_VALUE"""),63.0)</f>
        <v>63</v>
      </c>
      <c r="F2533" s="19" t="str">
        <f>IFERROR(__xludf.DUMMYFUNCTION("""COMPUTED_VALUE"""),"BLUE")</f>
        <v>BLUE</v>
      </c>
      <c r="G2533" s="20" t="str">
        <f>IFERROR(__xludf.DUMMYFUNCTION("""COMPUTED_VALUE"""),"Uncle Sams Cider (11/12/2021) (Blue)")</f>
        <v>Uncle Sams Cider (11/12/2021) (Blue)</v>
      </c>
      <c r="H2533" s="19"/>
    </row>
    <row r="2534">
      <c r="A2534" s="9"/>
      <c r="B2534" s="15"/>
      <c r="C2534" s="9">
        <f>IFERROR(__xludf.DUMMYFUNCTION("""COMPUTED_VALUE"""),44579.1511897569)</f>
        <v>44579.15119</v>
      </c>
      <c r="D2534" s="15">
        <f>IFERROR(__xludf.DUMMYFUNCTION("""COMPUTED_VALUE"""),1.002)</f>
        <v>1.002</v>
      </c>
      <c r="E2534" s="16">
        <f>IFERROR(__xludf.DUMMYFUNCTION("""COMPUTED_VALUE"""),63.0)</f>
        <v>63</v>
      </c>
      <c r="F2534" s="19" t="str">
        <f>IFERROR(__xludf.DUMMYFUNCTION("""COMPUTED_VALUE"""),"BLUE")</f>
        <v>BLUE</v>
      </c>
      <c r="G2534" s="20" t="str">
        <f>IFERROR(__xludf.DUMMYFUNCTION("""COMPUTED_VALUE"""),"Uncle Sams Cider (11/12/2021) (Blue)")</f>
        <v>Uncle Sams Cider (11/12/2021) (Blue)</v>
      </c>
      <c r="H2534" s="19"/>
    </row>
    <row r="2535">
      <c r="A2535" s="9"/>
      <c r="B2535" s="15"/>
      <c r="C2535" s="9">
        <f>IFERROR(__xludf.DUMMYFUNCTION("""COMPUTED_VALUE"""),44579.1407696874)</f>
        <v>44579.14077</v>
      </c>
      <c r="D2535" s="15">
        <f>IFERROR(__xludf.DUMMYFUNCTION("""COMPUTED_VALUE"""),1.003)</f>
        <v>1.003</v>
      </c>
      <c r="E2535" s="16">
        <f>IFERROR(__xludf.DUMMYFUNCTION("""COMPUTED_VALUE"""),63.0)</f>
        <v>63</v>
      </c>
      <c r="F2535" s="19" t="str">
        <f>IFERROR(__xludf.DUMMYFUNCTION("""COMPUTED_VALUE"""),"BLUE")</f>
        <v>BLUE</v>
      </c>
      <c r="G2535" s="20" t="str">
        <f>IFERROR(__xludf.DUMMYFUNCTION("""COMPUTED_VALUE"""),"Uncle Sams Cider (11/12/2021) (Blue)")</f>
        <v>Uncle Sams Cider (11/12/2021) (Blue)</v>
      </c>
      <c r="H2535" s="19"/>
    </row>
    <row r="2536">
      <c r="A2536" s="9"/>
      <c r="B2536" s="15"/>
      <c r="C2536" s="9">
        <f>IFERROR(__xludf.DUMMYFUNCTION("""COMPUTED_VALUE"""),44579.1303459143)</f>
        <v>44579.13035</v>
      </c>
      <c r="D2536" s="15">
        <f>IFERROR(__xludf.DUMMYFUNCTION("""COMPUTED_VALUE"""),1.002)</f>
        <v>1.002</v>
      </c>
      <c r="E2536" s="16">
        <f>IFERROR(__xludf.DUMMYFUNCTION("""COMPUTED_VALUE"""),63.0)</f>
        <v>63</v>
      </c>
      <c r="F2536" s="19" t="str">
        <f>IFERROR(__xludf.DUMMYFUNCTION("""COMPUTED_VALUE"""),"BLUE")</f>
        <v>BLUE</v>
      </c>
      <c r="G2536" s="20" t="str">
        <f>IFERROR(__xludf.DUMMYFUNCTION("""COMPUTED_VALUE"""),"Uncle Sams Cider (11/12/2021) (Blue)")</f>
        <v>Uncle Sams Cider (11/12/2021) (Blue)</v>
      </c>
      <c r="H2536" s="19"/>
    </row>
    <row r="2537">
      <c r="A2537" s="9"/>
      <c r="B2537" s="15"/>
      <c r="C2537" s="9">
        <f>IFERROR(__xludf.DUMMYFUNCTION("""COMPUTED_VALUE"""),44579.1199247337)</f>
        <v>44579.11992</v>
      </c>
      <c r="D2537" s="15">
        <f>IFERROR(__xludf.DUMMYFUNCTION("""COMPUTED_VALUE"""),1.002)</f>
        <v>1.002</v>
      </c>
      <c r="E2537" s="16">
        <f>IFERROR(__xludf.DUMMYFUNCTION("""COMPUTED_VALUE"""),63.0)</f>
        <v>63</v>
      </c>
      <c r="F2537" s="19" t="str">
        <f>IFERROR(__xludf.DUMMYFUNCTION("""COMPUTED_VALUE"""),"BLUE")</f>
        <v>BLUE</v>
      </c>
      <c r="G2537" s="20" t="str">
        <f>IFERROR(__xludf.DUMMYFUNCTION("""COMPUTED_VALUE"""),"Uncle Sams Cider (11/12/2021) (Blue)")</f>
        <v>Uncle Sams Cider (11/12/2021) (Blue)</v>
      </c>
      <c r="H2537" s="19"/>
    </row>
    <row r="2538">
      <c r="A2538" s="9"/>
      <c r="B2538" s="15"/>
      <c r="C2538" s="9">
        <f>IFERROR(__xludf.DUMMYFUNCTION("""COMPUTED_VALUE"""),44579.1095044444)</f>
        <v>44579.1095</v>
      </c>
      <c r="D2538" s="15">
        <f>IFERROR(__xludf.DUMMYFUNCTION("""COMPUTED_VALUE"""),1.002)</f>
        <v>1.002</v>
      </c>
      <c r="E2538" s="16">
        <f>IFERROR(__xludf.DUMMYFUNCTION("""COMPUTED_VALUE"""),64.0)</f>
        <v>64</v>
      </c>
      <c r="F2538" s="19" t="str">
        <f>IFERROR(__xludf.DUMMYFUNCTION("""COMPUTED_VALUE"""),"BLUE")</f>
        <v>BLUE</v>
      </c>
      <c r="G2538" s="20" t="str">
        <f>IFERROR(__xludf.DUMMYFUNCTION("""COMPUTED_VALUE"""),"Uncle Sams Cider (11/12/2021) (Blue)")</f>
        <v>Uncle Sams Cider (11/12/2021) (Blue)</v>
      </c>
      <c r="H2538" s="19"/>
    </row>
    <row r="2539">
      <c r="A2539" s="9"/>
      <c r="B2539" s="15"/>
      <c r="C2539" s="9">
        <f>IFERROR(__xludf.DUMMYFUNCTION("""COMPUTED_VALUE"""),44579.099073287)</f>
        <v>44579.09907</v>
      </c>
      <c r="D2539" s="15">
        <f>IFERROR(__xludf.DUMMYFUNCTION("""COMPUTED_VALUE"""),1.002)</f>
        <v>1.002</v>
      </c>
      <c r="E2539" s="16">
        <f>IFERROR(__xludf.DUMMYFUNCTION("""COMPUTED_VALUE"""),64.0)</f>
        <v>64</v>
      </c>
      <c r="F2539" s="19" t="str">
        <f>IFERROR(__xludf.DUMMYFUNCTION("""COMPUTED_VALUE"""),"BLUE")</f>
        <v>BLUE</v>
      </c>
      <c r="G2539" s="20" t="str">
        <f>IFERROR(__xludf.DUMMYFUNCTION("""COMPUTED_VALUE"""),"Uncle Sams Cider (11/12/2021) (Blue)")</f>
        <v>Uncle Sams Cider (11/12/2021) (Blue)</v>
      </c>
      <c r="H2539" s="19"/>
    </row>
    <row r="2540">
      <c r="A2540" s="9"/>
      <c r="B2540" s="15"/>
      <c r="C2540" s="9">
        <f>IFERROR(__xludf.DUMMYFUNCTION("""COMPUTED_VALUE"""),44579.0886527546)</f>
        <v>44579.08865</v>
      </c>
      <c r="D2540" s="15">
        <f>IFERROR(__xludf.DUMMYFUNCTION("""COMPUTED_VALUE"""),1.002)</f>
        <v>1.002</v>
      </c>
      <c r="E2540" s="16">
        <f>IFERROR(__xludf.DUMMYFUNCTION("""COMPUTED_VALUE"""),64.0)</f>
        <v>64</v>
      </c>
      <c r="F2540" s="19" t="str">
        <f>IFERROR(__xludf.DUMMYFUNCTION("""COMPUTED_VALUE"""),"BLUE")</f>
        <v>BLUE</v>
      </c>
      <c r="G2540" s="20" t="str">
        <f>IFERROR(__xludf.DUMMYFUNCTION("""COMPUTED_VALUE"""),"Uncle Sams Cider (11/12/2021) (Blue)")</f>
        <v>Uncle Sams Cider (11/12/2021) (Blue)</v>
      </c>
      <c r="H2540" s="19"/>
    </row>
    <row r="2541">
      <c r="A2541" s="9"/>
      <c r="B2541" s="15"/>
      <c r="C2541" s="9">
        <f>IFERROR(__xludf.DUMMYFUNCTION("""COMPUTED_VALUE"""),44579.0782300578)</f>
        <v>44579.07823</v>
      </c>
      <c r="D2541" s="15">
        <f>IFERROR(__xludf.DUMMYFUNCTION("""COMPUTED_VALUE"""),1.002)</f>
        <v>1.002</v>
      </c>
      <c r="E2541" s="16">
        <f>IFERROR(__xludf.DUMMYFUNCTION("""COMPUTED_VALUE"""),64.0)</f>
        <v>64</v>
      </c>
      <c r="F2541" s="19" t="str">
        <f>IFERROR(__xludf.DUMMYFUNCTION("""COMPUTED_VALUE"""),"BLUE")</f>
        <v>BLUE</v>
      </c>
      <c r="G2541" s="20" t="str">
        <f>IFERROR(__xludf.DUMMYFUNCTION("""COMPUTED_VALUE"""),"Uncle Sams Cider (11/12/2021) (Blue)")</f>
        <v>Uncle Sams Cider (11/12/2021) (Blue)</v>
      </c>
      <c r="H2541" s="19"/>
    </row>
    <row r="2542">
      <c r="A2542" s="9"/>
      <c r="B2542" s="15"/>
      <c r="C2542" s="9">
        <f>IFERROR(__xludf.DUMMYFUNCTION("""COMPUTED_VALUE"""),44579.0677981134)</f>
        <v>44579.0678</v>
      </c>
      <c r="D2542" s="15">
        <f>IFERROR(__xludf.DUMMYFUNCTION("""COMPUTED_VALUE"""),1.002)</f>
        <v>1.002</v>
      </c>
      <c r="E2542" s="16">
        <f>IFERROR(__xludf.DUMMYFUNCTION("""COMPUTED_VALUE"""),64.0)</f>
        <v>64</v>
      </c>
      <c r="F2542" s="19" t="str">
        <f>IFERROR(__xludf.DUMMYFUNCTION("""COMPUTED_VALUE"""),"BLUE")</f>
        <v>BLUE</v>
      </c>
      <c r="G2542" s="20" t="str">
        <f>IFERROR(__xludf.DUMMYFUNCTION("""COMPUTED_VALUE"""),"Uncle Sams Cider (11/12/2021) (Blue)")</f>
        <v>Uncle Sams Cider (11/12/2021) (Blue)</v>
      </c>
      <c r="H2542" s="19"/>
    </row>
    <row r="2543">
      <c r="A2543" s="9"/>
      <c r="B2543" s="15"/>
      <c r="C2543" s="9">
        <f>IFERROR(__xludf.DUMMYFUNCTION("""COMPUTED_VALUE"""),44579.0573519097)</f>
        <v>44579.05735</v>
      </c>
      <c r="D2543" s="15">
        <f>IFERROR(__xludf.DUMMYFUNCTION("""COMPUTED_VALUE"""),1.002)</f>
        <v>1.002</v>
      </c>
      <c r="E2543" s="16">
        <f>IFERROR(__xludf.DUMMYFUNCTION("""COMPUTED_VALUE"""),64.0)</f>
        <v>64</v>
      </c>
      <c r="F2543" s="19" t="str">
        <f>IFERROR(__xludf.DUMMYFUNCTION("""COMPUTED_VALUE"""),"BLUE")</f>
        <v>BLUE</v>
      </c>
      <c r="G2543" s="20" t="str">
        <f>IFERROR(__xludf.DUMMYFUNCTION("""COMPUTED_VALUE"""),"Uncle Sams Cider (11/12/2021) (Blue)")</f>
        <v>Uncle Sams Cider (11/12/2021) (Blue)</v>
      </c>
      <c r="H2543" s="19"/>
    </row>
    <row r="2544">
      <c r="A2544" s="9"/>
      <c r="B2544" s="15"/>
      <c r="C2544" s="9">
        <f>IFERROR(__xludf.DUMMYFUNCTION("""COMPUTED_VALUE"""),44579.0469312847)</f>
        <v>44579.04693</v>
      </c>
      <c r="D2544" s="15">
        <f>IFERROR(__xludf.DUMMYFUNCTION("""COMPUTED_VALUE"""),1.002)</f>
        <v>1.002</v>
      </c>
      <c r="E2544" s="16">
        <f>IFERROR(__xludf.DUMMYFUNCTION("""COMPUTED_VALUE"""),64.0)</f>
        <v>64</v>
      </c>
      <c r="F2544" s="19" t="str">
        <f>IFERROR(__xludf.DUMMYFUNCTION("""COMPUTED_VALUE"""),"BLUE")</f>
        <v>BLUE</v>
      </c>
      <c r="G2544" s="20" t="str">
        <f>IFERROR(__xludf.DUMMYFUNCTION("""COMPUTED_VALUE"""),"Uncle Sams Cider (11/12/2021) (Blue)")</f>
        <v>Uncle Sams Cider (11/12/2021) (Blue)</v>
      </c>
      <c r="H2544" s="19"/>
    </row>
    <row r="2545">
      <c r="A2545" s="9"/>
      <c r="B2545" s="15"/>
      <c r="C2545" s="9">
        <f>IFERROR(__xludf.DUMMYFUNCTION("""COMPUTED_VALUE"""),44579.0365103935)</f>
        <v>44579.03651</v>
      </c>
      <c r="D2545" s="15">
        <f>IFERROR(__xludf.DUMMYFUNCTION("""COMPUTED_VALUE"""),1.002)</f>
        <v>1.002</v>
      </c>
      <c r="E2545" s="16">
        <f>IFERROR(__xludf.DUMMYFUNCTION("""COMPUTED_VALUE"""),64.0)</f>
        <v>64</v>
      </c>
      <c r="F2545" s="19" t="str">
        <f>IFERROR(__xludf.DUMMYFUNCTION("""COMPUTED_VALUE"""),"BLUE")</f>
        <v>BLUE</v>
      </c>
      <c r="G2545" s="20" t="str">
        <f>IFERROR(__xludf.DUMMYFUNCTION("""COMPUTED_VALUE"""),"Uncle Sams Cider (11/12/2021) (Blue)")</f>
        <v>Uncle Sams Cider (11/12/2021) (Blue)</v>
      </c>
      <c r="H2545" s="19"/>
    </row>
    <row r="2546">
      <c r="A2546" s="9"/>
      <c r="B2546" s="15"/>
      <c r="C2546" s="9">
        <f>IFERROR(__xludf.DUMMYFUNCTION("""COMPUTED_VALUE"""),44579.0260890277)</f>
        <v>44579.02609</v>
      </c>
      <c r="D2546" s="15">
        <f>IFERROR(__xludf.DUMMYFUNCTION("""COMPUTED_VALUE"""),1.003)</f>
        <v>1.003</v>
      </c>
      <c r="E2546" s="16">
        <f>IFERROR(__xludf.DUMMYFUNCTION("""COMPUTED_VALUE"""),64.0)</f>
        <v>64</v>
      </c>
      <c r="F2546" s="19" t="str">
        <f>IFERROR(__xludf.DUMMYFUNCTION("""COMPUTED_VALUE"""),"BLUE")</f>
        <v>BLUE</v>
      </c>
      <c r="G2546" s="20" t="str">
        <f>IFERROR(__xludf.DUMMYFUNCTION("""COMPUTED_VALUE"""),"Uncle Sams Cider (11/12/2021) (Blue)")</f>
        <v>Uncle Sams Cider (11/12/2021) (Blue)</v>
      </c>
      <c r="H2546" s="19"/>
    </row>
    <row r="2547">
      <c r="A2547" s="9"/>
      <c r="B2547" s="15"/>
      <c r="C2547" s="9">
        <f>IFERROR(__xludf.DUMMYFUNCTION("""COMPUTED_VALUE"""),44579.0156564583)</f>
        <v>44579.01566</v>
      </c>
      <c r="D2547" s="15">
        <f>IFERROR(__xludf.DUMMYFUNCTION("""COMPUTED_VALUE"""),1.002)</f>
        <v>1.002</v>
      </c>
      <c r="E2547" s="16">
        <f>IFERROR(__xludf.DUMMYFUNCTION("""COMPUTED_VALUE"""),64.0)</f>
        <v>64</v>
      </c>
      <c r="F2547" s="19" t="str">
        <f>IFERROR(__xludf.DUMMYFUNCTION("""COMPUTED_VALUE"""),"BLUE")</f>
        <v>BLUE</v>
      </c>
      <c r="G2547" s="20" t="str">
        <f>IFERROR(__xludf.DUMMYFUNCTION("""COMPUTED_VALUE"""),"Uncle Sams Cider (11/12/2021) (Blue)")</f>
        <v>Uncle Sams Cider (11/12/2021) (Blue)</v>
      </c>
      <c r="H2547" s="19"/>
    </row>
    <row r="2548">
      <c r="A2548" s="9"/>
      <c r="B2548" s="15"/>
      <c r="C2548" s="9">
        <f>IFERROR(__xludf.DUMMYFUNCTION("""COMPUTED_VALUE"""),44579.0052372916)</f>
        <v>44579.00524</v>
      </c>
      <c r="D2548" s="15">
        <f>IFERROR(__xludf.DUMMYFUNCTION("""COMPUTED_VALUE"""),1.002)</f>
        <v>1.002</v>
      </c>
      <c r="E2548" s="16">
        <f>IFERROR(__xludf.DUMMYFUNCTION("""COMPUTED_VALUE"""),64.0)</f>
        <v>64</v>
      </c>
      <c r="F2548" s="19" t="str">
        <f>IFERROR(__xludf.DUMMYFUNCTION("""COMPUTED_VALUE"""),"BLUE")</f>
        <v>BLUE</v>
      </c>
      <c r="G2548" s="20" t="str">
        <f>IFERROR(__xludf.DUMMYFUNCTION("""COMPUTED_VALUE"""),"Uncle Sams Cider (11/12/2021) (Blue)")</f>
        <v>Uncle Sams Cider (11/12/2021) (Blue)</v>
      </c>
      <c r="H2548" s="19"/>
    </row>
    <row r="2549">
      <c r="A2549" s="9"/>
      <c r="B2549" s="15"/>
      <c r="C2549" s="9">
        <f>IFERROR(__xludf.DUMMYFUNCTION("""COMPUTED_VALUE"""),44578.994804699)</f>
        <v>44578.9948</v>
      </c>
      <c r="D2549" s="15">
        <f>IFERROR(__xludf.DUMMYFUNCTION("""COMPUTED_VALUE"""),1.002)</f>
        <v>1.002</v>
      </c>
      <c r="E2549" s="16">
        <f>IFERROR(__xludf.DUMMYFUNCTION("""COMPUTED_VALUE"""),64.0)</f>
        <v>64</v>
      </c>
      <c r="F2549" s="19" t="str">
        <f>IFERROR(__xludf.DUMMYFUNCTION("""COMPUTED_VALUE"""),"BLUE")</f>
        <v>BLUE</v>
      </c>
      <c r="G2549" s="20" t="str">
        <f>IFERROR(__xludf.DUMMYFUNCTION("""COMPUTED_VALUE"""),"Uncle Sams Cider (11/12/2021) (Blue)")</f>
        <v>Uncle Sams Cider (11/12/2021) (Blue)</v>
      </c>
      <c r="H2549" s="19"/>
    </row>
    <row r="2550">
      <c r="A2550" s="9"/>
      <c r="B2550" s="15"/>
      <c r="C2550" s="9">
        <f>IFERROR(__xludf.DUMMYFUNCTION("""COMPUTED_VALUE"""),44578.984382199)</f>
        <v>44578.98438</v>
      </c>
      <c r="D2550" s="15">
        <f>IFERROR(__xludf.DUMMYFUNCTION("""COMPUTED_VALUE"""),1.002)</f>
        <v>1.002</v>
      </c>
      <c r="E2550" s="16">
        <f>IFERROR(__xludf.DUMMYFUNCTION("""COMPUTED_VALUE"""),64.0)</f>
        <v>64</v>
      </c>
      <c r="F2550" s="19" t="str">
        <f>IFERROR(__xludf.DUMMYFUNCTION("""COMPUTED_VALUE"""),"BLUE")</f>
        <v>BLUE</v>
      </c>
      <c r="G2550" s="20" t="str">
        <f>IFERROR(__xludf.DUMMYFUNCTION("""COMPUTED_VALUE"""),"Uncle Sams Cider (11/12/2021) (Blue)")</f>
        <v>Uncle Sams Cider (11/12/2021) (Blue)</v>
      </c>
      <c r="H2550" s="19"/>
    </row>
    <row r="2551">
      <c r="A2551" s="9"/>
      <c r="B2551" s="15"/>
      <c r="C2551" s="9">
        <f>IFERROR(__xludf.DUMMYFUNCTION("""COMPUTED_VALUE"""),44578.9739610995)</f>
        <v>44578.97396</v>
      </c>
      <c r="D2551" s="15">
        <f>IFERROR(__xludf.DUMMYFUNCTION("""COMPUTED_VALUE"""),1.002)</f>
        <v>1.002</v>
      </c>
      <c r="E2551" s="16">
        <f>IFERROR(__xludf.DUMMYFUNCTION("""COMPUTED_VALUE"""),64.0)</f>
        <v>64</v>
      </c>
      <c r="F2551" s="19" t="str">
        <f>IFERROR(__xludf.DUMMYFUNCTION("""COMPUTED_VALUE"""),"BLUE")</f>
        <v>BLUE</v>
      </c>
      <c r="G2551" s="20" t="str">
        <f>IFERROR(__xludf.DUMMYFUNCTION("""COMPUTED_VALUE"""),"Uncle Sams Cider (11/12/2021) (Blue)")</f>
        <v>Uncle Sams Cider (11/12/2021) (Blue)</v>
      </c>
      <c r="H2551" s="19"/>
    </row>
    <row r="2552">
      <c r="A2552" s="9"/>
      <c r="B2552" s="15"/>
      <c r="C2552" s="9">
        <f>IFERROR(__xludf.DUMMYFUNCTION("""COMPUTED_VALUE"""),44578.9635410185)</f>
        <v>44578.96354</v>
      </c>
      <c r="D2552" s="15">
        <f>IFERROR(__xludf.DUMMYFUNCTION("""COMPUTED_VALUE"""),1.002)</f>
        <v>1.002</v>
      </c>
      <c r="E2552" s="16">
        <f>IFERROR(__xludf.DUMMYFUNCTION("""COMPUTED_VALUE"""),64.0)</f>
        <v>64</v>
      </c>
      <c r="F2552" s="19" t="str">
        <f>IFERROR(__xludf.DUMMYFUNCTION("""COMPUTED_VALUE"""),"BLUE")</f>
        <v>BLUE</v>
      </c>
      <c r="G2552" s="20" t="str">
        <f>IFERROR(__xludf.DUMMYFUNCTION("""COMPUTED_VALUE"""),"Uncle Sams Cider (11/12/2021) (Blue)")</f>
        <v>Uncle Sams Cider (11/12/2021) (Blue)</v>
      </c>
      <c r="H2552" s="19"/>
    </row>
    <row r="2553">
      <c r="A2553" s="9"/>
      <c r="B2553" s="15"/>
      <c r="C2553" s="9">
        <f>IFERROR(__xludf.DUMMYFUNCTION("""COMPUTED_VALUE"""),44578.953096875)</f>
        <v>44578.9531</v>
      </c>
      <c r="D2553" s="15">
        <f>IFERROR(__xludf.DUMMYFUNCTION("""COMPUTED_VALUE"""),1.002)</f>
        <v>1.002</v>
      </c>
      <c r="E2553" s="16">
        <f>IFERROR(__xludf.DUMMYFUNCTION("""COMPUTED_VALUE"""),64.0)</f>
        <v>64</v>
      </c>
      <c r="F2553" s="19" t="str">
        <f>IFERROR(__xludf.DUMMYFUNCTION("""COMPUTED_VALUE"""),"BLUE")</f>
        <v>BLUE</v>
      </c>
      <c r="G2553" s="20" t="str">
        <f>IFERROR(__xludf.DUMMYFUNCTION("""COMPUTED_VALUE"""),"Uncle Sams Cider (11/12/2021) (Blue)")</f>
        <v>Uncle Sams Cider (11/12/2021) (Blue)</v>
      </c>
      <c r="H2553" s="19"/>
    </row>
    <row r="2554">
      <c r="A2554" s="9"/>
      <c r="B2554" s="15"/>
      <c r="C2554" s="9">
        <f>IFERROR(__xludf.DUMMYFUNCTION("""COMPUTED_VALUE"""),44578.9426764699)</f>
        <v>44578.94268</v>
      </c>
      <c r="D2554" s="15">
        <f>IFERROR(__xludf.DUMMYFUNCTION("""COMPUTED_VALUE"""),1.002)</f>
        <v>1.002</v>
      </c>
      <c r="E2554" s="16">
        <f>IFERROR(__xludf.DUMMYFUNCTION("""COMPUTED_VALUE"""),64.0)</f>
        <v>64</v>
      </c>
      <c r="F2554" s="19" t="str">
        <f>IFERROR(__xludf.DUMMYFUNCTION("""COMPUTED_VALUE"""),"BLUE")</f>
        <v>BLUE</v>
      </c>
      <c r="G2554" s="20" t="str">
        <f>IFERROR(__xludf.DUMMYFUNCTION("""COMPUTED_VALUE"""),"Uncle Sams Cider (11/12/2021) (Blue)")</f>
        <v>Uncle Sams Cider (11/12/2021) (Blue)</v>
      </c>
      <c r="H2554" s="19"/>
    </row>
    <row r="2555">
      <c r="A2555" s="9"/>
      <c r="B2555" s="15"/>
      <c r="C2555" s="9">
        <f>IFERROR(__xludf.DUMMYFUNCTION("""COMPUTED_VALUE"""),44578.9322447916)</f>
        <v>44578.93224</v>
      </c>
      <c r="D2555" s="15">
        <f>IFERROR(__xludf.DUMMYFUNCTION("""COMPUTED_VALUE"""),1.002)</f>
        <v>1.002</v>
      </c>
      <c r="E2555" s="16">
        <f>IFERROR(__xludf.DUMMYFUNCTION("""COMPUTED_VALUE"""),64.0)</f>
        <v>64</v>
      </c>
      <c r="F2555" s="19" t="str">
        <f>IFERROR(__xludf.DUMMYFUNCTION("""COMPUTED_VALUE"""),"BLUE")</f>
        <v>BLUE</v>
      </c>
      <c r="G2555" s="20" t="str">
        <f>IFERROR(__xludf.DUMMYFUNCTION("""COMPUTED_VALUE"""),"Uncle Sams Cider (11/12/2021) (Blue)")</f>
        <v>Uncle Sams Cider (11/12/2021) (Blue)</v>
      </c>
      <c r="H2555" s="19"/>
    </row>
    <row r="2556">
      <c r="A2556" s="9"/>
      <c r="B2556" s="15"/>
      <c r="C2556" s="9">
        <f>IFERROR(__xludf.DUMMYFUNCTION("""COMPUTED_VALUE"""),44578.9218236458)</f>
        <v>44578.92182</v>
      </c>
      <c r="D2556" s="15">
        <f>IFERROR(__xludf.DUMMYFUNCTION("""COMPUTED_VALUE"""),1.002)</f>
        <v>1.002</v>
      </c>
      <c r="E2556" s="16">
        <f>IFERROR(__xludf.DUMMYFUNCTION("""COMPUTED_VALUE"""),64.0)</f>
        <v>64</v>
      </c>
      <c r="F2556" s="19" t="str">
        <f>IFERROR(__xludf.DUMMYFUNCTION("""COMPUTED_VALUE"""),"BLUE")</f>
        <v>BLUE</v>
      </c>
      <c r="G2556" s="20" t="str">
        <f>IFERROR(__xludf.DUMMYFUNCTION("""COMPUTED_VALUE"""),"Uncle Sams Cider (11/12/2021) (Blue)")</f>
        <v>Uncle Sams Cider (11/12/2021) (Blue)</v>
      </c>
      <c r="H2556" s="19"/>
    </row>
    <row r="2557">
      <c r="A2557" s="9"/>
      <c r="B2557" s="15"/>
      <c r="C2557" s="9">
        <f>IFERROR(__xludf.DUMMYFUNCTION("""COMPUTED_VALUE"""),44578.9114018402)</f>
        <v>44578.9114</v>
      </c>
      <c r="D2557" s="15">
        <f>IFERROR(__xludf.DUMMYFUNCTION("""COMPUTED_VALUE"""),1.002)</f>
        <v>1.002</v>
      </c>
      <c r="E2557" s="16">
        <f>IFERROR(__xludf.DUMMYFUNCTION("""COMPUTED_VALUE"""),64.0)</f>
        <v>64</v>
      </c>
      <c r="F2557" s="19" t="str">
        <f>IFERROR(__xludf.DUMMYFUNCTION("""COMPUTED_VALUE"""),"BLUE")</f>
        <v>BLUE</v>
      </c>
      <c r="G2557" s="20" t="str">
        <f>IFERROR(__xludf.DUMMYFUNCTION("""COMPUTED_VALUE"""),"Uncle Sams Cider (11/12/2021) (Blue)")</f>
        <v>Uncle Sams Cider (11/12/2021) (Blue)</v>
      </c>
      <c r="H2557" s="19"/>
    </row>
    <row r="2558">
      <c r="A2558" s="9"/>
      <c r="B2558" s="15"/>
      <c r="C2558" s="9">
        <f>IFERROR(__xludf.DUMMYFUNCTION("""COMPUTED_VALUE"""),44578.900979699)</f>
        <v>44578.90098</v>
      </c>
      <c r="D2558" s="15">
        <f>IFERROR(__xludf.DUMMYFUNCTION("""COMPUTED_VALUE"""),1.002)</f>
        <v>1.002</v>
      </c>
      <c r="E2558" s="16">
        <f>IFERROR(__xludf.DUMMYFUNCTION("""COMPUTED_VALUE"""),64.0)</f>
        <v>64</v>
      </c>
      <c r="F2558" s="19" t="str">
        <f>IFERROR(__xludf.DUMMYFUNCTION("""COMPUTED_VALUE"""),"BLUE")</f>
        <v>BLUE</v>
      </c>
      <c r="G2558" s="20" t="str">
        <f>IFERROR(__xludf.DUMMYFUNCTION("""COMPUTED_VALUE"""),"Uncle Sams Cider (11/12/2021) (Blue)")</f>
        <v>Uncle Sams Cider (11/12/2021) (Blue)</v>
      </c>
      <c r="H2558" s="19"/>
    </row>
    <row r="2559">
      <c r="A2559" s="9"/>
      <c r="B2559" s="15"/>
      <c r="C2559" s="9">
        <f>IFERROR(__xludf.DUMMYFUNCTION("""COMPUTED_VALUE"""),44578.8905465972)</f>
        <v>44578.89055</v>
      </c>
      <c r="D2559" s="15">
        <f>IFERROR(__xludf.DUMMYFUNCTION("""COMPUTED_VALUE"""),1.002)</f>
        <v>1.002</v>
      </c>
      <c r="E2559" s="16">
        <f>IFERROR(__xludf.DUMMYFUNCTION("""COMPUTED_VALUE"""),64.0)</f>
        <v>64</v>
      </c>
      <c r="F2559" s="19" t="str">
        <f>IFERROR(__xludf.DUMMYFUNCTION("""COMPUTED_VALUE"""),"BLUE")</f>
        <v>BLUE</v>
      </c>
      <c r="G2559" s="20" t="str">
        <f>IFERROR(__xludf.DUMMYFUNCTION("""COMPUTED_VALUE"""),"Uncle Sams Cider (11/12/2021) (Blue)")</f>
        <v>Uncle Sams Cider (11/12/2021) (Blue)</v>
      </c>
      <c r="H2559" s="19"/>
    </row>
    <row r="2560">
      <c r="A2560" s="9"/>
      <c r="B2560" s="15"/>
      <c r="C2560" s="9">
        <f>IFERROR(__xludf.DUMMYFUNCTION("""COMPUTED_VALUE"""),44578.8801150231)</f>
        <v>44578.88012</v>
      </c>
      <c r="D2560" s="15">
        <f>IFERROR(__xludf.DUMMYFUNCTION("""COMPUTED_VALUE"""),1.002)</f>
        <v>1.002</v>
      </c>
      <c r="E2560" s="16">
        <f>IFERROR(__xludf.DUMMYFUNCTION("""COMPUTED_VALUE"""),64.0)</f>
        <v>64</v>
      </c>
      <c r="F2560" s="19" t="str">
        <f>IFERROR(__xludf.DUMMYFUNCTION("""COMPUTED_VALUE"""),"BLUE")</f>
        <v>BLUE</v>
      </c>
      <c r="G2560" s="20" t="str">
        <f>IFERROR(__xludf.DUMMYFUNCTION("""COMPUTED_VALUE"""),"Uncle Sams Cider (11/12/2021) (Blue)")</f>
        <v>Uncle Sams Cider (11/12/2021) (Blue)</v>
      </c>
      <c r="H2560" s="19"/>
    </row>
    <row r="2561">
      <c r="A2561" s="9"/>
      <c r="B2561" s="15"/>
      <c r="C2561" s="9">
        <f>IFERROR(__xludf.DUMMYFUNCTION("""COMPUTED_VALUE"""),44578.8696820138)</f>
        <v>44578.86968</v>
      </c>
      <c r="D2561" s="15">
        <f>IFERROR(__xludf.DUMMYFUNCTION("""COMPUTED_VALUE"""),1.002)</f>
        <v>1.002</v>
      </c>
      <c r="E2561" s="16">
        <f>IFERROR(__xludf.DUMMYFUNCTION("""COMPUTED_VALUE"""),64.0)</f>
        <v>64</v>
      </c>
      <c r="F2561" s="19" t="str">
        <f>IFERROR(__xludf.DUMMYFUNCTION("""COMPUTED_VALUE"""),"BLUE")</f>
        <v>BLUE</v>
      </c>
      <c r="G2561" s="20" t="str">
        <f>IFERROR(__xludf.DUMMYFUNCTION("""COMPUTED_VALUE"""),"Uncle Sams Cider (11/12/2021) (Blue)")</f>
        <v>Uncle Sams Cider (11/12/2021) (Blue)</v>
      </c>
      <c r="H2561" s="19"/>
    </row>
    <row r="2562">
      <c r="A2562" s="9"/>
      <c r="B2562" s="15"/>
      <c r="C2562" s="9">
        <f>IFERROR(__xludf.DUMMYFUNCTION("""COMPUTED_VALUE"""),44578.8592595138)</f>
        <v>44578.85926</v>
      </c>
      <c r="D2562" s="15">
        <f>IFERROR(__xludf.DUMMYFUNCTION("""COMPUTED_VALUE"""),1.002)</f>
        <v>1.002</v>
      </c>
      <c r="E2562" s="16">
        <f>IFERROR(__xludf.DUMMYFUNCTION("""COMPUTED_VALUE"""),64.0)</f>
        <v>64</v>
      </c>
      <c r="F2562" s="19" t="str">
        <f>IFERROR(__xludf.DUMMYFUNCTION("""COMPUTED_VALUE"""),"BLUE")</f>
        <v>BLUE</v>
      </c>
      <c r="G2562" s="20" t="str">
        <f>IFERROR(__xludf.DUMMYFUNCTION("""COMPUTED_VALUE"""),"Uncle Sams Cider (11/12/2021) (Blue)")</f>
        <v>Uncle Sams Cider (11/12/2021) (Blue)</v>
      </c>
      <c r="H2562" s="19"/>
    </row>
    <row r="2563">
      <c r="A2563" s="9"/>
      <c r="B2563" s="15"/>
      <c r="C2563" s="9">
        <f>IFERROR(__xludf.DUMMYFUNCTION("""COMPUTED_VALUE"""),44578.8488384606)</f>
        <v>44578.84884</v>
      </c>
      <c r="D2563" s="15">
        <f>IFERROR(__xludf.DUMMYFUNCTION("""COMPUTED_VALUE"""),1.002)</f>
        <v>1.002</v>
      </c>
      <c r="E2563" s="16">
        <f>IFERROR(__xludf.DUMMYFUNCTION("""COMPUTED_VALUE"""),64.0)</f>
        <v>64</v>
      </c>
      <c r="F2563" s="19" t="str">
        <f>IFERROR(__xludf.DUMMYFUNCTION("""COMPUTED_VALUE"""),"BLUE")</f>
        <v>BLUE</v>
      </c>
      <c r="G2563" s="20" t="str">
        <f>IFERROR(__xludf.DUMMYFUNCTION("""COMPUTED_VALUE"""),"Uncle Sams Cider (11/12/2021) (Blue)")</f>
        <v>Uncle Sams Cider (11/12/2021) (Blue)</v>
      </c>
      <c r="H2563" s="19"/>
    </row>
    <row r="2564">
      <c r="A2564" s="9"/>
      <c r="B2564" s="15"/>
      <c r="C2564" s="9">
        <f>IFERROR(__xludf.DUMMYFUNCTION("""COMPUTED_VALUE"""),44578.838417824)</f>
        <v>44578.83842</v>
      </c>
      <c r="D2564" s="15">
        <f>IFERROR(__xludf.DUMMYFUNCTION("""COMPUTED_VALUE"""),1.002)</f>
        <v>1.002</v>
      </c>
      <c r="E2564" s="16">
        <f>IFERROR(__xludf.DUMMYFUNCTION("""COMPUTED_VALUE"""),64.0)</f>
        <v>64</v>
      </c>
      <c r="F2564" s="19" t="str">
        <f>IFERROR(__xludf.DUMMYFUNCTION("""COMPUTED_VALUE"""),"BLUE")</f>
        <v>BLUE</v>
      </c>
      <c r="G2564" s="20" t="str">
        <f>IFERROR(__xludf.DUMMYFUNCTION("""COMPUTED_VALUE"""),"Uncle Sams Cider (11/12/2021) (Blue)")</f>
        <v>Uncle Sams Cider (11/12/2021) (Blue)</v>
      </c>
      <c r="H2564" s="19"/>
    </row>
    <row r="2565">
      <c r="A2565" s="9"/>
      <c r="B2565" s="15"/>
      <c r="C2565" s="9">
        <f>IFERROR(__xludf.DUMMYFUNCTION("""COMPUTED_VALUE"""),44578.8279967824)</f>
        <v>44578.828</v>
      </c>
      <c r="D2565" s="15">
        <f>IFERROR(__xludf.DUMMYFUNCTION("""COMPUTED_VALUE"""),1.002)</f>
        <v>1.002</v>
      </c>
      <c r="E2565" s="16">
        <f>IFERROR(__xludf.DUMMYFUNCTION("""COMPUTED_VALUE"""),64.0)</f>
        <v>64</v>
      </c>
      <c r="F2565" s="19" t="str">
        <f>IFERROR(__xludf.DUMMYFUNCTION("""COMPUTED_VALUE"""),"BLUE")</f>
        <v>BLUE</v>
      </c>
      <c r="G2565" s="20" t="str">
        <f>IFERROR(__xludf.DUMMYFUNCTION("""COMPUTED_VALUE"""),"Uncle Sams Cider (11/12/2021) (Blue)")</f>
        <v>Uncle Sams Cider (11/12/2021) (Blue)</v>
      </c>
      <c r="H2565" s="19"/>
    </row>
    <row r="2566">
      <c r="A2566" s="9"/>
      <c r="B2566" s="15"/>
      <c r="C2566" s="9">
        <f>IFERROR(__xludf.DUMMYFUNCTION("""COMPUTED_VALUE"""),44578.8175779629)</f>
        <v>44578.81758</v>
      </c>
      <c r="D2566" s="15">
        <f>IFERROR(__xludf.DUMMYFUNCTION("""COMPUTED_VALUE"""),1.002)</f>
        <v>1.002</v>
      </c>
      <c r="E2566" s="16">
        <f>IFERROR(__xludf.DUMMYFUNCTION("""COMPUTED_VALUE"""),64.0)</f>
        <v>64</v>
      </c>
      <c r="F2566" s="19" t="str">
        <f>IFERROR(__xludf.DUMMYFUNCTION("""COMPUTED_VALUE"""),"BLUE")</f>
        <v>BLUE</v>
      </c>
      <c r="G2566" s="20" t="str">
        <f>IFERROR(__xludf.DUMMYFUNCTION("""COMPUTED_VALUE"""),"Uncle Sams Cider (11/12/2021) (Blue)")</f>
        <v>Uncle Sams Cider (11/12/2021) (Blue)</v>
      </c>
      <c r="H2566" s="19"/>
    </row>
    <row r="2567">
      <c r="A2567" s="9"/>
      <c r="B2567" s="15"/>
      <c r="C2567" s="9">
        <f>IFERROR(__xludf.DUMMYFUNCTION("""COMPUTED_VALUE"""),44578.8071573148)</f>
        <v>44578.80716</v>
      </c>
      <c r="D2567" s="15">
        <f>IFERROR(__xludf.DUMMYFUNCTION("""COMPUTED_VALUE"""),1.002)</f>
        <v>1.002</v>
      </c>
      <c r="E2567" s="16">
        <f>IFERROR(__xludf.DUMMYFUNCTION("""COMPUTED_VALUE"""),64.0)</f>
        <v>64</v>
      </c>
      <c r="F2567" s="19" t="str">
        <f>IFERROR(__xludf.DUMMYFUNCTION("""COMPUTED_VALUE"""),"BLUE")</f>
        <v>BLUE</v>
      </c>
      <c r="G2567" s="20" t="str">
        <f>IFERROR(__xludf.DUMMYFUNCTION("""COMPUTED_VALUE"""),"Uncle Sams Cider (11/12/2021) (Blue)")</f>
        <v>Uncle Sams Cider (11/12/2021) (Blue)</v>
      </c>
      <c r="H2567" s="19"/>
    </row>
    <row r="2568">
      <c r="A2568" s="9"/>
      <c r="B2568" s="15"/>
      <c r="C2568" s="9">
        <f>IFERROR(__xludf.DUMMYFUNCTION("""COMPUTED_VALUE"""),44578.7967364583)</f>
        <v>44578.79674</v>
      </c>
      <c r="D2568" s="15">
        <f>IFERROR(__xludf.DUMMYFUNCTION("""COMPUTED_VALUE"""),1.002)</f>
        <v>1.002</v>
      </c>
      <c r="E2568" s="16">
        <f>IFERROR(__xludf.DUMMYFUNCTION("""COMPUTED_VALUE"""),64.0)</f>
        <v>64</v>
      </c>
      <c r="F2568" s="19" t="str">
        <f>IFERROR(__xludf.DUMMYFUNCTION("""COMPUTED_VALUE"""),"BLUE")</f>
        <v>BLUE</v>
      </c>
      <c r="G2568" s="20" t="str">
        <f>IFERROR(__xludf.DUMMYFUNCTION("""COMPUTED_VALUE"""),"Uncle Sams Cider (11/12/2021) (Blue)")</f>
        <v>Uncle Sams Cider (11/12/2021) (Blue)</v>
      </c>
      <c r="H2568" s="19"/>
    </row>
    <row r="2569">
      <c r="A2569" s="9"/>
      <c r="B2569" s="15"/>
      <c r="C2569" s="9">
        <f>IFERROR(__xludf.DUMMYFUNCTION("""COMPUTED_VALUE"""),44578.786303912)</f>
        <v>44578.7863</v>
      </c>
      <c r="D2569" s="15">
        <f>IFERROR(__xludf.DUMMYFUNCTION("""COMPUTED_VALUE"""),1.002)</f>
        <v>1.002</v>
      </c>
      <c r="E2569" s="16">
        <f>IFERROR(__xludf.DUMMYFUNCTION("""COMPUTED_VALUE"""),64.0)</f>
        <v>64</v>
      </c>
      <c r="F2569" s="19" t="str">
        <f>IFERROR(__xludf.DUMMYFUNCTION("""COMPUTED_VALUE"""),"BLUE")</f>
        <v>BLUE</v>
      </c>
      <c r="G2569" s="20" t="str">
        <f>IFERROR(__xludf.DUMMYFUNCTION("""COMPUTED_VALUE"""),"Uncle Sams Cider (11/12/2021) (Blue)")</f>
        <v>Uncle Sams Cider (11/12/2021) (Blue)</v>
      </c>
      <c r="H2569" s="19"/>
    </row>
    <row r="2570">
      <c r="A2570" s="9"/>
      <c r="B2570" s="15"/>
      <c r="C2570" s="9">
        <f>IFERROR(__xludf.DUMMYFUNCTION("""COMPUTED_VALUE"""),44578.7758599074)</f>
        <v>44578.77586</v>
      </c>
      <c r="D2570" s="15">
        <f>IFERROR(__xludf.DUMMYFUNCTION("""COMPUTED_VALUE"""),1.002)</f>
        <v>1.002</v>
      </c>
      <c r="E2570" s="16">
        <f>IFERROR(__xludf.DUMMYFUNCTION("""COMPUTED_VALUE"""),64.0)</f>
        <v>64</v>
      </c>
      <c r="F2570" s="19" t="str">
        <f>IFERROR(__xludf.DUMMYFUNCTION("""COMPUTED_VALUE"""),"BLUE")</f>
        <v>BLUE</v>
      </c>
      <c r="G2570" s="20" t="str">
        <f>IFERROR(__xludf.DUMMYFUNCTION("""COMPUTED_VALUE"""),"Uncle Sams Cider (11/12/2021) (Blue)")</f>
        <v>Uncle Sams Cider (11/12/2021) (Blue)</v>
      </c>
      <c r="H2570" s="19"/>
    </row>
    <row r="2571">
      <c r="A2571" s="9"/>
      <c r="B2571" s="15"/>
      <c r="C2571" s="9">
        <f>IFERROR(__xludf.DUMMYFUNCTION("""COMPUTED_VALUE"""),44578.7654398148)</f>
        <v>44578.76544</v>
      </c>
      <c r="D2571" s="15">
        <f>IFERROR(__xludf.DUMMYFUNCTION("""COMPUTED_VALUE"""),1.002)</f>
        <v>1.002</v>
      </c>
      <c r="E2571" s="16">
        <f>IFERROR(__xludf.DUMMYFUNCTION("""COMPUTED_VALUE"""),65.0)</f>
        <v>65</v>
      </c>
      <c r="F2571" s="19" t="str">
        <f>IFERROR(__xludf.DUMMYFUNCTION("""COMPUTED_VALUE"""),"BLUE")</f>
        <v>BLUE</v>
      </c>
      <c r="G2571" s="20" t="str">
        <f>IFERROR(__xludf.DUMMYFUNCTION("""COMPUTED_VALUE"""),"Uncle Sams Cider (11/12/2021) (Blue)")</f>
        <v>Uncle Sams Cider (11/12/2021) (Blue)</v>
      </c>
      <c r="H2571" s="19"/>
    </row>
    <row r="2572">
      <c r="A2572" s="9"/>
      <c r="B2572" s="15"/>
      <c r="C2572" s="9">
        <f>IFERROR(__xludf.DUMMYFUNCTION("""COMPUTED_VALUE"""),44578.7550058333)</f>
        <v>44578.75501</v>
      </c>
      <c r="D2572" s="15">
        <f>IFERROR(__xludf.DUMMYFUNCTION("""COMPUTED_VALUE"""),1.002)</f>
        <v>1.002</v>
      </c>
      <c r="E2572" s="16">
        <f>IFERROR(__xludf.DUMMYFUNCTION("""COMPUTED_VALUE"""),65.0)</f>
        <v>65</v>
      </c>
      <c r="F2572" s="19" t="str">
        <f>IFERROR(__xludf.DUMMYFUNCTION("""COMPUTED_VALUE"""),"BLUE")</f>
        <v>BLUE</v>
      </c>
      <c r="G2572" s="20" t="str">
        <f>IFERROR(__xludf.DUMMYFUNCTION("""COMPUTED_VALUE"""),"Uncle Sams Cider (11/12/2021) (Blue)")</f>
        <v>Uncle Sams Cider (11/12/2021) (Blue)</v>
      </c>
      <c r="H2572" s="19"/>
    </row>
    <row r="2573">
      <c r="A2573" s="9"/>
      <c r="B2573" s="15"/>
      <c r="C2573" s="9">
        <f>IFERROR(__xludf.DUMMYFUNCTION("""COMPUTED_VALUE"""),44578.7445839699)</f>
        <v>44578.74458</v>
      </c>
      <c r="D2573" s="15">
        <f>IFERROR(__xludf.DUMMYFUNCTION("""COMPUTED_VALUE"""),1.002)</f>
        <v>1.002</v>
      </c>
      <c r="E2573" s="16">
        <f>IFERROR(__xludf.DUMMYFUNCTION("""COMPUTED_VALUE"""),65.0)</f>
        <v>65</v>
      </c>
      <c r="F2573" s="19" t="str">
        <f>IFERROR(__xludf.DUMMYFUNCTION("""COMPUTED_VALUE"""),"BLUE")</f>
        <v>BLUE</v>
      </c>
      <c r="G2573" s="20" t="str">
        <f>IFERROR(__xludf.DUMMYFUNCTION("""COMPUTED_VALUE"""),"Uncle Sams Cider (11/12/2021) (Blue)")</f>
        <v>Uncle Sams Cider (11/12/2021) (Blue)</v>
      </c>
      <c r="H2573" s="19"/>
    </row>
    <row r="2574">
      <c r="A2574" s="9"/>
      <c r="B2574" s="15"/>
      <c r="C2574" s="9">
        <f>IFERROR(__xludf.DUMMYFUNCTION("""COMPUTED_VALUE"""),44578.7341618981)</f>
        <v>44578.73416</v>
      </c>
      <c r="D2574" s="15">
        <f>IFERROR(__xludf.DUMMYFUNCTION("""COMPUTED_VALUE"""),1.002)</f>
        <v>1.002</v>
      </c>
      <c r="E2574" s="16">
        <f>IFERROR(__xludf.DUMMYFUNCTION("""COMPUTED_VALUE"""),65.0)</f>
        <v>65</v>
      </c>
      <c r="F2574" s="19" t="str">
        <f>IFERROR(__xludf.DUMMYFUNCTION("""COMPUTED_VALUE"""),"BLUE")</f>
        <v>BLUE</v>
      </c>
      <c r="G2574" s="20" t="str">
        <f>IFERROR(__xludf.DUMMYFUNCTION("""COMPUTED_VALUE"""),"Uncle Sams Cider (11/12/2021) (Blue)")</f>
        <v>Uncle Sams Cider (11/12/2021) (Blue)</v>
      </c>
      <c r="H2574" s="19"/>
    </row>
    <row r="2575">
      <c r="A2575" s="9"/>
      <c r="B2575" s="15"/>
      <c r="C2575" s="9">
        <f>IFERROR(__xludf.DUMMYFUNCTION("""COMPUTED_VALUE"""),44578.7237057523)</f>
        <v>44578.72371</v>
      </c>
      <c r="D2575" s="15">
        <f>IFERROR(__xludf.DUMMYFUNCTION("""COMPUTED_VALUE"""),1.003)</f>
        <v>1.003</v>
      </c>
      <c r="E2575" s="16">
        <f>IFERROR(__xludf.DUMMYFUNCTION("""COMPUTED_VALUE"""),65.0)</f>
        <v>65</v>
      </c>
      <c r="F2575" s="19" t="str">
        <f>IFERROR(__xludf.DUMMYFUNCTION("""COMPUTED_VALUE"""),"BLUE")</f>
        <v>BLUE</v>
      </c>
      <c r="G2575" s="20" t="str">
        <f>IFERROR(__xludf.DUMMYFUNCTION("""COMPUTED_VALUE"""),"Uncle Sams Cider (11/12/2021) (Blue)")</f>
        <v>Uncle Sams Cider (11/12/2021) (Blue)</v>
      </c>
      <c r="H2575" s="19"/>
    </row>
    <row r="2576">
      <c r="A2576" s="9"/>
      <c r="B2576" s="15"/>
      <c r="C2576" s="9">
        <f>IFERROR(__xludf.DUMMYFUNCTION("""COMPUTED_VALUE"""),44578.7132851388)</f>
        <v>44578.71329</v>
      </c>
      <c r="D2576" s="15">
        <f>IFERROR(__xludf.DUMMYFUNCTION("""COMPUTED_VALUE"""),1.002)</f>
        <v>1.002</v>
      </c>
      <c r="E2576" s="16">
        <f>IFERROR(__xludf.DUMMYFUNCTION("""COMPUTED_VALUE"""),65.0)</f>
        <v>65</v>
      </c>
      <c r="F2576" s="19" t="str">
        <f>IFERROR(__xludf.DUMMYFUNCTION("""COMPUTED_VALUE"""),"BLUE")</f>
        <v>BLUE</v>
      </c>
      <c r="G2576" s="20" t="str">
        <f>IFERROR(__xludf.DUMMYFUNCTION("""COMPUTED_VALUE"""),"Uncle Sams Cider (11/12/2021) (Blue)")</f>
        <v>Uncle Sams Cider (11/12/2021) (Blue)</v>
      </c>
      <c r="H2576" s="19"/>
    </row>
    <row r="2577">
      <c r="A2577" s="9"/>
      <c r="B2577" s="15"/>
      <c r="C2577" s="9">
        <f>IFERROR(__xludf.DUMMYFUNCTION("""COMPUTED_VALUE"""),44578.7028637731)</f>
        <v>44578.70286</v>
      </c>
      <c r="D2577" s="15">
        <f>IFERROR(__xludf.DUMMYFUNCTION("""COMPUTED_VALUE"""),1.002)</f>
        <v>1.002</v>
      </c>
      <c r="E2577" s="16">
        <f>IFERROR(__xludf.DUMMYFUNCTION("""COMPUTED_VALUE"""),65.0)</f>
        <v>65</v>
      </c>
      <c r="F2577" s="19" t="str">
        <f>IFERROR(__xludf.DUMMYFUNCTION("""COMPUTED_VALUE"""),"BLUE")</f>
        <v>BLUE</v>
      </c>
      <c r="G2577" s="20" t="str">
        <f>IFERROR(__xludf.DUMMYFUNCTION("""COMPUTED_VALUE"""),"Uncle Sams Cider (11/12/2021) (Blue)")</f>
        <v>Uncle Sams Cider (11/12/2021) (Blue)</v>
      </c>
      <c r="H2577" s="19"/>
    </row>
    <row r="2578">
      <c r="A2578" s="9"/>
      <c r="B2578" s="15"/>
      <c r="C2578" s="9">
        <f>IFERROR(__xludf.DUMMYFUNCTION("""COMPUTED_VALUE"""),44578.6924424537)</f>
        <v>44578.69244</v>
      </c>
      <c r="D2578" s="15">
        <f>IFERROR(__xludf.DUMMYFUNCTION("""COMPUTED_VALUE"""),1.003)</f>
        <v>1.003</v>
      </c>
      <c r="E2578" s="16">
        <f>IFERROR(__xludf.DUMMYFUNCTION("""COMPUTED_VALUE"""),65.0)</f>
        <v>65</v>
      </c>
      <c r="F2578" s="19" t="str">
        <f>IFERROR(__xludf.DUMMYFUNCTION("""COMPUTED_VALUE"""),"BLUE")</f>
        <v>BLUE</v>
      </c>
      <c r="G2578" s="20" t="str">
        <f>IFERROR(__xludf.DUMMYFUNCTION("""COMPUTED_VALUE"""),"Uncle Sams Cider (11/12/2021) (Blue)")</f>
        <v>Uncle Sams Cider (11/12/2021) (Blue)</v>
      </c>
      <c r="H2578" s="19"/>
    </row>
    <row r="2579">
      <c r="A2579" s="9"/>
      <c r="B2579" s="15"/>
      <c r="C2579" s="9">
        <f>IFERROR(__xludf.DUMMYFUNCTION("""COMPUTED_VALUE"""),44578.6820192476)</f>
        <v>44578.68202</v>
      </c>
      <c r="D2579" s="15">
        <f>IFERROR(__xludf.DUMMYFUNCTION("""COMPUTED_VALUE"""),1.002)</f>
        <v>1.002</v>
      </c>
      <c r="E2579" s="16">
        <f>IFERROR(__xludf.DUMMYFUNCTION("""COMPUTED_VALUE"""),65.0)</f>
        <v>65</v>
      </c>
      <c r="F2579" s="19" t="str">
        <f>IFERROR(__xludf.DUMMYFUNCTION("""COMPUTED_VALUE"""),"BLUE")</f>
        <v>BLUE</v>
      </c>
      <c r="G2579" s="20" t="str">
        <f>IFERROR(__xludf.DUMMYFUNCTION("""COMPUTED_VALUE"""),"Uncle Sams Cider (11/12/2021) (Blue)")</f>
        <v>Uncle Sams Cider (11/12/2021) (Blue)</v>
      </c>
      <c r="H2579" s="19"/>
    </row>
    <row r="2580">
      <c r="A2580" s="9"/>
      <c r="B2580" s="15"/>
      <c r="C2580" s="9">
        <f>IFERROR(__xludf.DUMMYFUNCTION("""COMPUTED_VALUE"""),44578.6715976157)</f>
        <v>44578.6716</v>
      </c>
      <c r="D2580" s="15">
        <f>IFERROR(__xludf.DUMMYFUNCTION("""COMPUTED_VALUE"""),1.002)</f>
        <v>1.002</v>
      </c>
      <c r="E2580" s="16">
        <f>IFERROR(__xludf.DUMMYFUNCTION("""COMPUTED_VALUE"""),65.0)</f>
        <v>65</v>
      </c>
      <c r="F2580" s="19" t="str">
        <f>IFERROR(__xludf.DUMMYFUNCTION("""COMPUTED_VALUE"""),"BLUE")</f>
        <v>BLUE</v>
      </c>
      <c r="G2580" s="20" t="str">
        <f>IFERROR(__xludf.DUMMYFUNCTION("""COMPUTED_VALUE"""),"Uncle Sams Cider (11/12/2021) (Blue)")</f>
        <v>Uncle Sams Cider (11/12/2021) (Blue)</v>
      </c>
      <c r="H2580" s="19"/>
    </row>
    <row r="2581">
      <c r="A2581" s="9"/>
      <c r="B2581" s="15"/>
      <c r="C2581" s="9">
        <f>IFERROR(__xludf.DUMMYFUNCTION("""COMPUTED_VALUE"""),44578.6611758101)</f>
        <v>44578.66118</v>
      </c>
      <c r="D2581" s="15">
        <f>IFERROR(__xludf.DUMMYFUNCTION("""COMPUTED_VALUE"""),1.002)</f>
        <v>1.002</v>
      </c>
      <c r="E2581" s="16">
        <f>IFERROR(__xludf.DUMMYFUNCTION("""COMPUTED_VALUE"""),65.0)</f>
        <v>65</v>
      </c>
      <c r="F2581" s="19" t="str">
        <f>IFERROR(__xludf.DUMMYFUNCTION("""COMPUTED_VALUE"""),"BLUE")</f>
        <v>BLUE</v>
      </c>
      <c r="G2581" s="20" t="str">
        <f>IFERROR(__xludf.DUMMYFUNCTION("""COMPUTED_VALUE"""),"Uncle Sams Cider (11/12/2021) (Blue)")</f>
        <v>Uncle Sams Cider (11/12/2021) (Blue)</v>
      </c>
      <c r="H2581" s="19"/>
    </row>
    <row r="2582">
      <c r="A2582" s="9"/>
      <c r="B2582" s="15"/>
      <c r="C2582" s="9">
        <f>IFERROR(__xludf.DUMMYFUNCTION("""COMPUTED_VALUE"""),44578.6507425115)</f>
        <v>44578.65074</v>
      </c>
      <c r="D2582" s="15">
        <f>IFERROR(__xludf.DUMMYFUNCTION("""COMPUTED_VALUE"""),1.002)</f>
        <v>1.002</v>
      </c>
      <c r="E2582" s="16">
        <f>IFERROR(__xludf.DUMMYFUNCTION("""COMPUTED_VALUE"""),65.0)</f>
        <v>65</v>
      </c>
      <c r="F2582" s="19" t="str">
        <f>IFERROR(__xludf.DUMMYFUNCTION("""COMPUTED_VALUE"""),"BLUE")</f>
        <v>BLUE</v>
      </c>
      <c r="G2582" s="20" t="str">
        <f>IFERROR(__xludf.DUMMYFUNCTION("""COMPUTED_VALUE"""),"Uncle Sams Cider (11/12/2021) (Blue)")</f>
        <v>Uncle Sams Cider (11/12/2021) (Blue)</v>
      </c>
      <c r="H2582" s="19"/>
    </row>
    <row r="2583">
      <c r="A2583" s="9"/>
      <c r="B2583" s="15"/>
      <c r="C2583" s="9">
        <f>IFERROR(__xludf.DUMMYFUNCTION("""COMPUTED_VALUE"""),44578.6403224421)</f>
        <v>44578.64032</v>
      </c>
      <c r="D2583" s="15">
        <f>IFERROR(__xludf.DUMMYFUNCTION("""COMPUTED_VALUE"""),1.002)</f>
        <v>1.002</v>
      </c>
      <c r="E2583" s="16">
        <f>IFERROR(__xludf.DUMMYFUNCTION("""COMPUTED_VALUE"""),65.0)</f>
        <v>65</v>
      </c>
      <c r="F2583" s="19" t="str">
        <f>IFERROR(__xludf.DUMMYFUNCTION("""COMPUTED_VALUE"""),"BLUE")</f>
        <v>BLUE</v>
      </c>
      <c r="G2583" s="20" t="str">
        <f>IFERROR(__xludf.DUMMYFUNCTION("""COMPUTED_VALUE"""),"Uncle Sams Cider (11/12/2021) (Blue)")</f>
        <v>Uncle Sams Cider (11/12/2021) (Blue)</v>
      </c>
      <c r="H2583" s="19"/>
    </row>
    <row r="2584">
      <c r="A2584" s="9"/>
      <c r="B2584" s="15"/>
      <c r="C2584" s="9">
        <f>IFERROR(__xludf.DUMMYFUNCTION("""COMPUTED_VALUE"""),44578.6298540393)</f>
        <v>44578.62985</v>
      </c>
      <c r="D2584" s="15">
        <f>IFERROR(__xludf.DUMMYFUNCTION("""COMPUTED_VALUE"""),1.002)</f>
        <v>1.002</v>
      </c>
      <c r="E2584" s="16">
        <f>IFERROR(__xludf.DUMMYFUNCTION("""COMPUTED_VALUE"""),65.0)</f>
        <v>65</v>
      </c>
      <c r="F2584" s="19" t="str">
        <f>IFERROR(__xludf.DUMMYFUNCTION("""COMPUTED_VALUE"""),"BLUE")</f>
        <v>BLUE</v>
      </c>
      <c r="G2584" s="20" t="str">
        <f>IFERROR(__xludf.DUMMYFUNCTION("""COMPUTED_VALUE"""),"Uncle Sams Cider (11/12/2021) (Blue)")</f>
        <v>Uncle Sams Cider (11/12/2021) (Blue)</v>
      </c>
      <c r="H2584" s="19"/>
    </row>
    <row r="2585">
      <c r="A2585" s="9"/>
      <c r="B2585" s="15"/>
      <c r="C2585" s="9">
        <f>IFERROR(__xludf.DUMMYFUNCTION("""COMPUTED_VALUE"""),44578.6194196064)</f>
        <v>44578.61942</v>
      </c>
      <c r="D2585" s="15">
        <f>IFERROR(__xludf.DUMMYFUNCTION("""COMPUTED_VALUE"""),1.002)</f>
        <v>1.002</v>
      </c>
      <c r="E2585" s="16">
        <f>IFERROR(__xludf.DUMMYFUNCTION("""COMPUTED_VALUE"""),65.0)</f>
        <v>65</v>
      </c>
      <c r="F2585" s="19" t="str">
        <f>IFERROR(__xludf.DUMMYFUNCTION("""COMPUTED_VALUE"""),"BLUE")</f>
        <v>BLUE</v>
      </c>
      <c r="G2585" s="20" t="str">
        <f>IFERROR(__xludf.DUMMYFUNCTION("""COMPUTED_VALUE"""),"Uncle Sams Cider (11/12/2021) (Blue)")</f>
        <v>Uncle Sams Cider (11/12/2021) (Blue)</v>
      </c>
      <c r="H2585" s="19"/>
    </row>
    <row r="2586">
      <c r="A2586" s="9"/>
      <c r="B2586" s="15"/>
      <c r="C2586" s="9">
        <f>IFERROR(__xludf.DUMMYFUNCTION("""COMPUTED_VALUE"""),44578.6089977314)</f>
        <v>44578.609</v>
      </c>
      <c r="D2586" s="15">
        <f>IFERROR(__xludf.DUMMYFUNCTION("""COMPUTED_VALUE"""),1.002)</f>
        <v>1.002</v>
      </c>
      <c r="E2586" s="16">
        <f>IFERROR(__xludf.DUMMYFUNCTION("""COMPUTED_VALUE"""),65.0)</f>
        <v>65</v>
      </c>
      <c r="F2586" s="19" t="str">
        <f>IFERROR(__xludf.DUMMYFUNCTION("""COMPUTED_VALUE"""),"BLUE")</f>
        <v>BLUE</v>
      </c>
      <c r="G2586" s="20" t="str">
        <f>IFERROR(__xludf.DUMMYFUNCTION("""COMPUTED_VALUE"""),"Uncle Sams Cider (11/12/2021) (Blue)")</f>
        <v>Uncle Sams Cider (11/12/2021) (Blue)</v>
      </c>
      <c r="H2586" s="19"/>
    </row>
    <row r="2587">
      <c r="A2587" s="9"/>
      <c r="B2587" s="15"/>
      <c r="C2587" s="9">
        <f>IFERROR(__xludf.DUMMYFUNCTION("""COMPUTED_VALUE"""),44578.5985776273)</f>
        <v>44578.59858</v>
      </c>
      <c r="D2587" s="15">
        <f>IFERROR(__xludf.DUMMYFUNCTION("""COMPUTED_VALUE"""),1.002)</f>
        <v>1.002</v>
      </c>
      <c r="E2587" s="16">
        <f>IFERROR(__xludf.DUMMYFUNCTION("""COMPUTED_VALUE"""),65.0)</f>
        <v>65</v>
      </c>
      <c r="F2587" s="19" t="str">
        <f>IFERROR(__xludf.DUMMYFUNCTION("""COMPUTED_VALUE"""),"BLUE")</f>
        <v>BLUE</v>
      </c>
      <c r="G2587" s="20" t="str">
        <f>IFERROR(__xludf.DUMMYFUNCTION("""COMPUTED_VALUE"""),"Uncle Sams Cider (11/12/2021) (Blue)")</f>
        <v>Uncle Sams Cider (11/12/2021) (Blue)</v>
      </c>
      <c r="H2587" s="19"/>
    </row>
    <row r="2588">
      <c r="A2588" s="9"/>
      <c r="B2588" s="15"/>
      <c r="C2588" s="9">
        <f>IFERROR(__xludf.DUMMYFUNCTION("""COMPUTED_VALUE"""),44578.5881571296)</f>
        <v>44578.58816</v>
      </c>
      <c r="D2588" s="15">
        <f>IFERROR(__xludf.DUMMYFUNCTION("""COMPUTED_VALUE"""),1.002)</f>
        <v>1.002</v>
      </c>
      <c r="E2588" s="16">
        <f>IFERROR(__xludf.DUMMYFUNCTION("""COMPUTED_VALUE"""),65.0)</f>
        <v>65</v>
      </c>
      <c r="F2588" s="19" t="str">
        <f>IFERROR(__xludf.DUMMYFUNCTION("""COMPUTED_VALUE"""),"BLUE")</f>
        <v>BLUE</v>
      </c>
      <c r="G2588" s="20" t="str">
        <f>IFERROR(__xludf.DUMMYFUNCTION("""COMPUTED_VALUE"""),"Uncle Sams Cider (11/12/2021) (Blue)")</f>
        <v>Uncle Sams Cider (11/12/2021) (Blue)</v>
      </c>
      <c r="H2588" s="19"/>
    </row>
    <row r="2589">
      <c r="A2589" s="9"/>
      <c r="B2589" s="15"/>
      <c r="C2589" s="9">
        <f>IFERROR(__xludf.DUMMYFUNCTION("""COMPUTED_VALUE"""),44578.5777355555)</f>
        <v>44578.57774</v>
      </c>
      <c r="D2589" s="15">
        <f>IFERROR(__xludf.DUMMYFUNCTION("""COMPUTED_VALUE"""),1.002)</f>
        <v>1.002</v>
      </c>
      <c r="E2589" s="16">
        <f>IFERROR(__xludf.DUMMYFUNCTION("""COMPUTED_VALUE"""),65.0)</f>
        <v>65</v>
      </c>
      <c r="F2589" s="19" t="str">
        <f>IFERROR(__xludf.DUMMYFUNCTION("""COMPUTED_VALUE"""),"BLUE")</f>
        <v>BLUE</v>
      </c>
      <c r="G2589" s="20" t="str">
        <f>IFERROR(__xludf.DUMMYFUNCTION("""COMPUTED_VALUE"""),"Uncle Sams Cider (11/12/2021) (Blue)")</f>
        <v>Uncle Sams Cider (11/12/2021) (Blue)</v>
      </c>
      <c r="H2589" s="19"/>
    </row>
    <row r="2590">
      <c r="A2590" s="9"/>
      <c r="B2590" s="15"/>
      <c r="C2590" s="9">
        <f>IFERROR(__xludf.DUMMYFUNCTION("""COMPUTED_VALUE"""),44578.5673132638)</f>
        <v>44578.56731</v>
      </c>
      <c r="D2590" s="15">
        <f>IFERROR(__xludf.DUMMYFUNCTION("""COMPUTED_VALUE"""),1.002)</f>
        <v>1.002</v>
      </c>
      <c r="E2590" s="16">
        <f>IFERROR(__xludf.DUMMYFUNCTION("""COMPUTED_VALUE"""),65.0)</f>
        <v>65</v>
      </c>
      <c r="F2590" s="19" t="str">
        <f>IFERROR(__xludf.DUMMYFUNCTION("""COMPUTED_VALUE"""),"BLUE")</f>
        <v>BLUE</v>
      </c>
      <c r="G2590" s="20" t="str">
        <f>IFERROR(__xludf.DUMMYFUNCTION("""COMPUTED_VALUE"""),"Uncle Sams Cider (11/12/2021) (Blue)")</f>
        <v>Uncle Sams Cider (11/12/2021) (Blue)</v>
      </c>
      <c r="H2590" s="19"/>
    </row>
    <row r="2591">
      <c r="A2591" s="9"/>
      <c r="B2591" s="15"/>
      <c r="C2591" s="9">
        <f>IFERROR(__xludf.DUMMYFUNCTION("""COMPUTED_VALUE"""),44578.5568922685)</f>
        <v>44578.55689</v>
      </c>
      <c r="D2591" s="15">
        <f>IFERROR(__xludf.DUMMYFUNCTION("""COMPUTED_VALUE"""),1.002)</f>
        <v>1.002</v>
      </c>
      <c r="E2591" s="16">
        <f>IFERROR(__xludf.DUMMYFUNCTION("""COMPUTED_VALUE"""),65.0)</f>
        <v>65</v>
      </c>
      <c r="F2591" s="19" t="str">
        <f>IFERROR(__xludf.DUMMYFUNCTION("""COMPUTED_VALUE"""),"BLUE")</f>
        <v>BLUE</v>
      </c>
      <c r="G2591" s="20" t="str">
        <f>IFERROR(__xludf.DUMMYFUNCTION("""COMPUTED_VALUE"""),"Uncle Sams Cider (11/12/2021) (Blue)")</f>
        <v>Uncle Sams Cider (11/12/2021) (Blue)</v>
      </c>
      <c r="H2591" s="19"/>
    </row>
    <row r="2592">
      <c r="A2592" s="9"/>
      <c r="B2592" s="15"/>
      <c r="C2592" s="9">
        <f>IFERROR(__xludf.DUMMYFUNCTION("""COMPUTED_VALUE"""),44578.5464718402)</f>
        <v>44578.54647</v>
      </c>
      <c r="D2592" s="15">
        <f>IFERROR(__xludf.DUMMYFUNCTION("""COMPUTED_VALUE"""),1.002)</f>
        <v>1.002</v>
      </c>
      <c r="E2592" s="16">
        <f>IFERROR(__xludf.DUMMYFUNCTION("""COMPUTED_VALUE"""),65.0)</f>
        <v>65</v>
      </c>
      <c r="F2592" s="19" t="str">
        <f>IFERROR(__xludf.DUMMYFUNCTION("""COMPUTED_VALUE"""),"BLUE")</f>
        <v>BLUE</v>
      </c>
      <c r="G2592" s="20" t="str">
        <f>IFERROR(__xludf.DUMMYFUNCTION("""COMPUTED_VALUE"""),"Uncle Sams Cider (11/12/2021) (Blue)")</f>
        <v>Uncle Sams Cider (11/12/2021) (Blue)</v>
      </c>
      <c r="H2592" s="19"/>
    </row>
    <row r="2593">
      <c r="A2593" s="9"/>
      <c r="B2593" s="15"/>
      <c r="C2593" s="9">
        <f>IFERROR(__xludf.DUMMYFUNCTION("""COMPUTED_VALUE"""),44578.5360501504)</f>
        <v>44578.53605</v>
      </c>
      <c r="D2593" s="15">
        <f>IFERROR(__xludf.DUMMYFUNCTION("""COMPUTED_VALUE"""),1.002)</f>
        <v>1.002</v>
      </c>
      <c r="E2593" s="16">
        <f>IFERROR(__xludf.DUMMYFUNCTION("""COMPUTED_VALUE"""),65.0)</f>
        <v>65</v>
      </c>
      <c r="F2593" s="19" t="str">
        <f>IFERROR(__xludf.DUMMYFUNCTION("""COMPUTED_VALUE"""),"BLUE")</f>
        <v>BLUE</v>
      </c>
      <c r="G2593" s="20" t="str">
        <f>IFERROR(__xludf.DUMMYFUNCTION("""COMPUTED_VALUE"""),"Uncle Sams Cider (11/12/2021) (Blue)")</f>
        <v>Uncle Sams Cider (11/12/2021) (Blue)</v>
      </c>
      <c r="H2593" s="19"/>
    </row>
    <row r="2594">
      <c r="A2594" s="9"/>
      <c r="B2594" s="15"/>
      <c r="C2594" s="9">
        <f>IFERROR(__xludf.DUMMYFUNCTION("""COMPUTED_VALUE"""),44578.5256304861)</f>
        <v>44578.52563</v>
      </c>
      <c r="D2594" s="15">
        <f>IFERROR(__xludf.DUMMYFUNCTION("""COMPUTED_VALUE"""),1.002)</f>
        <v>1.002</v>
      </c>
      <c r="E2594" s="16">
        <f>IFERROR(__xludf.DUMMYFUNCTION("""COMPUTED_VALUE"""),65.0)</f>
        <v>65</v>
      </c>
      <c r="F2594" s="19" t="str">
        <f>IFERROR(__xludf.DUMMYFUNCTION("""COMPUTED_VALUE"""),"BLUE")</f>
        <v>BLUE</v>
      </c>
      <c r="G2594" s="20" t="str">
        <f>IFERROR(__xludf.DUMMYFUNCTION("""COMPUTED_VALUE"""),"Uncle Sams Cider (11/12/2021) (Blue)")</f>
        <v>Uncle Sams Cider (11/12/2021) (Blue)</v>
      </c>
      <c r="H2594" s="19"/>
    </row>
    <row r="2595">
      <c r="A2595" s="9"/>
      <c r="B2595" s="15"/>
      <c r="C2595" s="9">
        <f>IFERROR(__xludf.DUMMYFUNCTION("""COMPUTED_VALUE"""),44578.5152093402)</f>
        <v>44578.51521</v>
      </c>
      <c r="D2595" s="15">
        <f>IFERROR(__xludf.DUMMYFUNCTION("""COMPUTED_VALUE"""),1.002)</f>
        <v>1.002</v>
      </c>
      <c r="E2595" s="16">
        <f>IFERROR(__xludf.DUMMYFUNCTION("""COMPUTED_VALUE"""),65.0)</f>
        <v>65</v>
      </c>
      <c r="F2595" s="19" t="str">
        <f>IFERROR(__xludf.DUMMYFUNCTION("""COMPUTED_VALUE"""),"BLUE")</f>
        <v>BLUE</v>
      </c>
      <c r="G2595" s="20" t="str">
        <f>IFERROR(__xludf.DUMMYFUNCTION("""COMPUTED_VALUE"""),"Uncle Sams Cider (11/12/2021) (Blue)")</f>
        <v>Uncle Sams Cider (11/12/2021) (Blue)</v>
      </c>
      <c r="H2595" s="19"/>
    </row>
    <row r="2596">
      <c r="A2596" s="9"/>
      <c r="B2596" s="15"/>
      <c r="C2596" s="9">
        <f>IFERROR(__xludf.DUMMYFUNCTION("""COMPUTED_VALUE"""),44578.5047884027)</f>
        <v>44578.50479</v>
      </c>
      <c r="D2596" s="15">
        <f>IFERROR(__xludf.DUMMYFUNCTION("""COMPUTED_VALUE"""),1.002)</f>
        <v>1.002</v>
      </c>
      <c r="E2596" s="16">
        <f>IFERROR(__xludf.DUMMYFUNCTION("""COMPUTED_VALUE"""),65.0)</f>
        <v>65</v>
      </c>
      <c r="F2596" s="19" t="str">
        <f>IFERROR(__xludf.DUMMYFUNCTION("""COMPUTED_VALUE"""),"BLUE")</f>
        <v>BLUE</v>
      </c>
      <c r="G2596" s="20" t="str">
        <f>IFERROR(__xludf.DUMMYFUNCTION("""COMPUTED_VALUE"""),"Uncle Sams Cider (11/12/2021) (Blue)")</f>
        <v>Uncle Sams Cider (11/12/2021) (Blue)</v>
      </c>
      <c r="H2596" s="19"/>
    </row>
    <row r="2597">
      <c r="A2597" s="9"/>
      <c r="B2597" s="15"/>
      <c r="C2597" s="9">
        <f>IFERROR(__xludf.DUMMYFUNCTION("""COMPUTED_VALUE"""),44578.4943677083)</f>
        <v>44578.49437</v>
      </c>
      <c r="D2597" s="15">
        <f>IFERROR(__xludf.DUMMYFUNCTION("""COMPUTED_VALUE"""),1.002)</f>
        <v>1.002</v>
      </c>
      <c r="E2597" s="16">
        <f>IFERROR(__xludf.DUMMYFUNCTION("""COMPUTED_VALUE"""),65.0)</f>
        <v>65</v>
      </c>
      <c r="F2597" s="19" t="str">
        <f>IFERROR(__xludf.DUMMYFUNCTION("""COMPUTED_VALUE"""),"BLUE")</f>
        <v>BLUE</v>
      </c>
      <c r="G2597" s="20" t="str">
        <f>IFERROR(__xludf.DUMMYFUNCTION("""COMPUTED_VALUE"""),"Uncle Sams Cider (11/12/2021) (Blue)")</f>
        <v>Uncle Sams Cider (11/12/2021) (Blue)</v>
      </c>
      <c r="H2597" s="19"/>
    </row>
    <row r="2598">
      <c r="A2598" s="9"/>
      <c r="B2598" s="15"/>
      <c r="C2598" s="9">
        <f>IFERROR(__xludf.DUMMYFUNCTION("""COMPUTED_VALUE"""),44578.4839323032)</f>
        <v>44578.48393</v>
      </c>
      <c r="D2598" s="15">
        <f>IFERROR(__xludf.DUMMYFUNCTION("""COMPUTED_VALUE"""),1.002)</f>
        <v>1.002</v>
      </c>
      <c r="E2598" s="16">
        <f>IFERROR(__xludf.DUMMYFUNCTION("""COMPUTED_VALUE"""),65.0)</f>
        <v>65</v>
      </c>
      <c r="F2598" s="19" t="str">
        <f>IFERROR(__xludf.DUMMYFUNCTION("""COMPUTED_VALUE"""),"BLUE")</f>
        <v>BLUE</v>
      </c>
      <c r="G2598" s="20" t="str">
        <f>IFERROR(__xludf.DUMMYFUNCTION("""COMPUTED_VALUE"""),"Uncle Sams Cider (11/12/2021) (Blue)")</f>
        <v>Uncle Sams Cider (11/12/2021) (Blue)</v>
      </c>
      <c r="H2598" s="19"/>
    </row>
    <row r="2599">
      <c r="A2599" s="9"/>
      <c r="B2599" s="15"/>
      <c r="C2599" s="9">
        <f>IFERROR(__xludf.DUMMYFUNCTION("""COMPUTED_VALUE"""),44578.4735125347)</f>
        <v>44578.47351</v>
      </c>
      <c r="D2599" s="15">
        <f>IFERROR(__xludf.DUMMYFUNCTION("""COMPUTED_VALUE"""),1.002)</f>
        <v>1.002</v>
      </c>
      <c r="E2599" s="16">
        <f>IFERROR(__xludf.DUMMYFUNCTION("""COMPUTED_VALUE"""),65.0)</f>
        <v>65</v>
      </c>
      <c r="F2599" s="19" t="str">
        <f>IFERROR(__xludf.DUMMYFUNCTION("""COMPUTED_VALUE"""),"BLUE")</f>
        <v>BLUE</v>
      </c>
      <c r="G2599" s="20" t="str">
        <f>IFERROR(__xludf.DUMMYFUNCTION("""COMPUTED_VALUE"""),"Uncle Sams Cider (11/12/2021) (Blue)")</f>
        <v>Uncle Sams Cider (11/12/2021) (Blue)</v>
      </c>
      <c r="H2599" s="19"/>
    </row>
    <row r="2600">
      <c r="A2600" s="9"/>
      <c r="B2600" s="15"/>
      <c r="C2600" s="9">
        <f>IFERROR(__xludf.DUMMYFUNCTION("""COMPUTED_VALUE"""),44578.4630676504)</f>
        <v>44578.46307</v>
      </c>
      <c r="D2600" s="15">
        <f>IFERROR(__xludf.DUMMYFUNCTION("""COMPUTED_VALUE"""),1.002)</f>
        <v>1.002</v>
      </c>
      <c r="E2600" s="16">
        <f>IFERROR(__xludf.DUMMYFUNCTION("""COMPUTED_VALUE"""),65.0)</f>
        <v>65</v>
      </c>
      <c r="F2600" s="19" t="str">
        <f>IFERROR(__xludf.DUMMYFUNCTION("""COMPUTED_VALUE"""),"BLUE")</f>
        <v>BLUE</v>
      </c>
      <c r="G2600" s="20" t="str">
        <f>IFERROR(__xludf.DUMMYFUNCTION("""COMPUTED_VALUE"""),"Uncle Sams Cider (11/12/2021) (Blue)")</f>
        <v>Uncle Sams Cider (11/12/2021) (Blue)</v>
      </c>
      <c r="H2600" s="19"/>
    </row>
    <row r="2601">
      <c r="A2601" s="9"/>
      <c r="B2601" s="15"/>
      <c r="C2601" s="9">
        <f>IFERROR(__xludf.DUMMYFUNCTION("""COMPUTED_VALUE"""),44578.4526473842)</f>
        <v>44578.45265</v>
      </c>
      <c r="D2601" s="15">
        <f>IFERROR(__xludf.DUMMYFUNCTION("""COMPUTED_VALUE"""),1.002)</f>
        <v>1.002</v>
      </c>
      <c r="E2601" s="16">
        <f>IFERROR(__xludf.DUMMYFUNCTION("""COMPUTED_VALUE"""),65.0)</f>
        <v>65</v>
      </c>
      <c r="F2601" s="19" t="str">
        <f>IFERROR(__xludf.DUMMYFUNCTION("""COMPUTED_VALUE"""),"BLUE")</f>
        <v>BLUE</v>
      </c>
      <c r="G2601" s="20" t="str">
        <f>IFERROR(__xludf.DUMMYFUNCTION("""COMPUTED_VALUE"""),"Uncle Sams Cider (11/12/2021) (Blue)")</f>
        <v>Uncle Sams Cider (11/12/2021) (Blue)</v>
      </c>
      <c r="H2601" s="19"/>
    </row>
    <row r="2602">
      <c r="A2602" s="9"/>
      <c r="B2602" s="15"/>
      <c r="C2602" s="9">
        <f>IFERROR(__xludf.DUMMYFUNCTION("""COMPUTED_VALUE"""),44578.442204456)</f>
        <v>44578.4422</v>
      </c>
      <c r="D2602" s="15">
        <f>IFERROR(__xludf.DUMMYFUNCTION("""COMPUTED_VALUE"""),1.002)</f>
        <v>1.002</v>
      </c>
      <c r="E2602" s="16">
        <f>IFERROR(__xludf.DUMMYFUNCTION("""COMPUTED_VALUE"""),66.0)</f>
        <v>66</v>
      </c>
      <c r="F2602" s="19" t="str">
        <f>IFERROR(__xludf.DUMMYFUNCTION("""COMPUTED_VALUE"""),"BLUE")</f>
        <v>BLUE</v>
      </c>
      <c r="G2602" s="20" t="str">
        <f>IFERROR(__xludf.DUMMYFUNCTION("""COMPUTED_VALUE"""),"Uncle Sams Cider (11/12/2021) (Blue)")</f>
        <v>Uncle Sams Cider (11/12/2021) (Blue)</v>
      </c>
      <c r="H2602" s="19"/>
    </row>
    <row r="2603">
      <c r="A2603" s="9"/>
      <c r="B2603" s="15"/>
      <c r="C2603" s="9">
        <f>IFERROR(__xludf.DUMMYFUNCTION("""COMPUTED_VALUE"""),44578.431781875)</f>
        <v>44578.43178</v>
      </c>
      <c r="D2603" s="15">
        <f>IFERROR(__xludf.DUMMYFUNCTION("""COMPUTED_VALUE"""),1.002)</f>
        <v>1.002</v>
      </c>
      <c r="E2603" s="16">
        <f>IFERROR(__xludf.DUMMYFUNCTION("""COMPUTED_VALUE"""),66.0)</f>
        <v>66</v>
      </c>
      <c r="F2603" s="19" t="str">
        <f>IFERROR(__xludf.DUMMYFUNCTION("""COMPUTED_VALUE"""),"BLUE")</f>
        <v>BLUE</v>
      </c>
      <c r="G2603" s="20" t="str">
        <f>IFERROR(__xludf.DUMMYFUNCTION("""COMPUTED_VALUE"""),"Uncle Sams Cider (11/12/2021) (Blue)")</f>
        <v>Uncle Sams Cider (11/12/2021) (Blue)</v>
      </c>
      <c r="H2603" s="19"/>
    </row>
    <row r="2604">
      <c r="A2604" s="9"/>
      <c r="B2604" s="15"/>
      <c r="C2604" s="9">
        <f>IFERROR(__xludf.DUMMYFUNCTION("""COMPUTED_VALUE"""),44578.4213595833)</f>
        <v>44578.42136</v>
      </c>
      <c r="D2604" s="15">
        <f>IFERROR(__xludf.DUMMYFUNCTION("""COMPUTED_VALUE"""),1.002)</f>
        <v>1.002</v>
      </c>
      <c r="E2604" s="16">
        <f>IFERROR(__xludf.DUMMYFUNCTION("""COMPUTED_VALUE"""),66.0)</f>
        <v>66</v>
      </c>
      <c r="F2604" s="19" t="str">
        <f>IFERROR(__xludf.DUMMYFUNCTION("""COMPUTED_VALUE"""),"BLUE")</f>
        <v>BLUE</v>
      </c>
      <c r="G2604" s="20" t="str">
        <f>IFERROR(__xludf.DUMMYFUNCTION("""COMPUTED_VALUE"""),"Uncle Sams Cider (11/12/2021) (Blue)")</f>
        <v>Uncle Sams Cider (11/12/2021) (Blue)</v>
      </c>
      <c r="H2604" s="19"/>
    </row>
    <row r="2605">
      <c r="A2605" s="9"/>
      <c r="B2605" s="15"/>
      <c r="C2605" s="9">
        <f>IFERROR(__xludf.DUMMYFUNCTION("""COMPUTED_VALUE"""),44578.4109159375)</f>
        <v>44578.41092</v>
      </c>
      <c r="D2605" s="15">
        <f>IFERROR(__xludf.DUMMYFUNCTION("""COMPUTED_VALUE"""),1.002)</f>
        <v>1.002</v>
      </c>
      <c r="E2605" s="16">
        <f>IFERROR(__xludf.DUMMYFUNCTION("""COMPUTED_VALUE"""),66.0)</f>
        <v>66</v>
      </c>
      <c r="F2605" s="19" t="str">
        <f>IFERROR(__xludf.DUMMYFUNCTION("""COMPUTED_VALUE"""),"BLUE")</f>
        <v>BLUE</v>
      </c>
      <c r="G2605" s="20" t="str">
        <f>IFERROR(__xludf.DUMMYFUNCTION("""COMPUTED_VALUE"""),"Uncle Sams Cider (11/12/2021) (Blue)")</f>
        <v>Uncle Sams Cider (11/12/2021) (Blue)</v>
      </c>
      <c r="H2605" s="19"/>
    </row>
    <row r="2606">
      <c r="A2606" s="9"/>
      <c r="B2606" s="15"/>
      <c r="C2606" s="9">
        <f>IFERROR(__xludf.DUMMYFUNCTION("""COMPUTED_VALUE"""),44578.4004833796)</f>
        <v>44578.40048</v>
      </c>
      <c r="D2606" s="15">
        <f>IFERROR(__xludf.DUMMYFUNCTION("""COMPUTED_VALUE"""),1.002)</f>
        <v>1.002</v>
      </c>
      <c r="E2606" s="16">
        <f>IFERROR(__xludf.DUMMYFUNCTION("""COMPUTED_VALUE"""),66.0)</f>
        <v>66</v>
      </c>
      <c r="F2606" s="19" t="str">
        <f>IFERROR(__xludf.DUMMYFUNCTION("""COMPUTED_VALUE"""),"BLUE")</f>
        <v>BLUE</v>
      </c>
      <c r="G2606" s="20" t="str">
        <f>IFERROR(__xludf.DUMMYFUNCTION("""COMPUTED_VALUE"""),"Uncle Sams Cider (11/12/2021) (Blue)")</f>
        <v>Uncle Sams Cider (11/12/2021) (Blue)</v>
      </c>
      <c r="H2606" s="19"/>
    </row>
    <row r="2607">
      <c r="A2607" s="9"/>
      <c r="B2607" s="15"/>
      <c r="C2607" s="9">
        <f>IFERROR(__xludf.DUMMYFUNCTION("""COMPUTED_VALUE"""),44578.3900511574)</f>
        <v>44578.39005</v>
      </c>
      <c r="D2607" s="15">
        <f>IFERROR(__xludf.DUMMYFUNCTION("""COMPUTED_VALUE"""),1.002)</f>
        <v>1.002</v>
      </c>
      <c r="E2607" s="16">
        <f>IFERROR(__xludf.DUMMYFUNCTION("""COMPUTED_VALUE"""),66.0)</f>
        <v>66</v>
      </c>
      <c r="F2607" s="19" t="str">
        <f>IFERROR(__xludf.DUMMYFUNCTION("""COMPUTED_VALUE"""),"BLUE")</f>
        <v>BLUE</v>
      </c>
      <c r="G2607" s="20" t="str">
        <f>IFERROR(__xludf.DUMMYFUNCTION("""COMPUTED_VALUE"""),"Uncle Sams Cider (11/12/2021) (Blue)")</f>
        <v>Uncle Sams Cider (11/12/2021) (Blue)</v>
      </c>
      <c r="H2607" s="19"/>
    </row>
    <row r="2608">
      <c r="A2608" s="9"/>
      <c r="B2608" s="15"/>
      <c r="C2608" s="9">
        <f>IFERROR(__xludf.DUMMYFUNCTION("""COMPUTED_VALUE"""),44578.3796294675)</f>
        <v>44578.37963</v>
      </c>
      <c r="D2608" s="15">
        <f>IFERROR(__xludf.DUMMYFUNCTION("""COMPUTED_VALUE"""),1.002)</f>
        <v>1.002</v>
      </c>
      <c r="E2608" s="16">
        <f>IFERROR(__xludf.DUMMYFUNCTION("""COMPUTED_VALUE"""),66.0)</f>
        <v>66</v>
      </c>
      <c r="F2608" s="19" t="str">
        <f>IFERROR(__xludf.DUMMYFUNCTION("""COMPUTED_VALUE"""),"BLUE")</f>
        <v>BLUE</v>
      </c>
      <c r="G2608" s="20" t="str">
        <f>IFERROR(__xludf.DUMMYFUNCTION("""COMPUTED_VALUE"""),"Uncle Sams Cider (11/12/2021) (Blue)")</f>
        <v>Uncle Sams Cider (11/12/2021) (Blue)</v>
      </c>
      <c r="H2608" s="19"/>
    </row>
    <row r="2609">
      <c r="A2609" s="9"/>
      <c r="B2609" s="15"/>
      <c r="C2609" s="9">
        <f>IFERROR(__xludf.DUMMYFUNCTION("""COMPUTED_VALUE"""),44578.369208368)</f>
        <v>44578.36921</v>
      </c>
      <c r="D2609" s="15">
        <f>IFERROR(__xludf.DUMMYFUNCTION("""COMPUTED_VALUE"""),1.002)</f>
        <v>1.002</v>
      </c>
      <c r="E2609" s="16">
        <f>IFERROR(__xludf.DUMMYFUNCTION("""COMPUTED_VALUE"""),66.0)</f>
        <v>66</v>
      </c>
      <c r="F2609" s="19" t="str">
        <f>IFERROR(__xludf.DUMMYFUNCTION("""COMPUTED_VALUE"""),"BLUE")</f>
        <v>BLUE</v>
      </c>
      <c r="G2609" s="20" t="str">
        <f>IFERROR(__xludf.DUMMYFUNCTION("""COMPUTED_VALUE"""),"Uncle Sams Cider (11/12/2021) (Blue)")</f>
        <v>Uncle Sams Cider (11/12/2021) (Blue)</v>
      </c>
      <c r="H2609" s="19"/>
    </row>
    <row r="2610">
      <c r="A2610" s="9"/>
      <c r="B2610" s="15"/>
      <c r="C2610" s="9">
        <f>IFERROR(__xludf.DUMMYFUNCTION("""COMPUTED_VALUE"""),44578.3587866088)</f>
        <v>44578.35879</v>
      </c>
      <c r="D2610" s="15">
        <f>IFERROR(__xludf.DUMMYFUNCTION("""COMPUTED_VALUE"""),1.002)</f>
        <v>1.002</v>
      </c>
      <c r="E2610" s="16">
        <f>IFERROR(__xludf.DUMMYFUNCTION("""COMPUTED_VALUE"""),66.0)</f>
        <v>66</v>
      </c>
      <c r="F2610" s="19" t="str">
        <f>IFERROR(__xludf.DUMMYFUNCTION("""COMPUTED_VALUE"""),"BLUE")</f>
        <v>BLUE</v>
      </c>
      <c r="G2610" s="20" t="str">
        <f>IFERROR(__xludf.DUMMYFUNCTION("""COMPUTED_VALUE"""),"Uncle Sams Cider (11/12/2021) (Blue)")</f>
        <v>Uncle Sams Cider (11/12/2021) (Blue)</v>
      </c>
      <c r="H2610" s="19"/>
    </row>
    <row r="2611">
      <c r="A2611" s="9"/>
      <c r="B2611" s="15"/>
      <c r="C2611" s="9">
        <f>IFERROR(__xludf.DUMMYFUNCTION("""COMPUTED_VALUE"""),44578.3483646296)</f>
        <v>44578.34836</v>
      </c>
      <c r="D2611" s="15">
        <f>IFERROR(__xludf.DUMMYFUNCTION("""COMPUTED_VALUE"""),1.002)</f>
        <v>1.002</v>
      </c>
      <c r="E2611" s="16">
        <f>IFERROR(__xludf.DUMMYFUNCTION("""COMPUTED_VALUE"""),66.0)</f>
        <v>66</v>
      </c>
      <c r="F2611" s="19" t="str">
        <f>IFERROR(__xludf.DUMMYFUNCTION("""COMPUTED_VALUE"""),"BLUE")</f>
        <v>BLUE</v>
      </c>
      <c r="G2611" s="20" t="str">
        <f>IFERROR(__xludf.DUMMYFUNCTION("""COMPUTED_VALUE"""),"Uncle Sams Cider (11/12/2021) (Blue)")</f>
        <v>Uncle Sams Cider (11/12/2021) (Blue)</v>
      </c>
      <c r="H2611" s="19"/>
    </row>
    <row r="2612">
      <c r="A2612" s="9"/>
      <c r="B2612" s="15"/>
      <c r="C2612" s="9">
        <f>IFERROR(__xludf.DUMMYFUNCTION("""COMPUTED_VALUE"""),44578.3379441782)</f>
        <v>44578.33794</v>
      </c>
      <c r="D2612" s="15">
        <f>IFERROR(__xludf.DUMMYFUNCTION("""COMPUTED_VALUE"""),1.002)</f>
        <v>1.002</v>
      </c>
      <c r="E2612" s="16">
        <f>IFERROR(__xludf.DUMMYFUNCTION("""COMPUTED_VALUE"""),66.0)</f>
        <v>66</v>
      </c>
      <c r="F2612" s="19" t="str">
        <f>IFERROR(__xludf.DUMMYFUNCTION("""COMPUTED_VALUE"""),"BLUE")</f>
        <v>BLUE</v>
      </c>
      <c r="G2612" s="20" t="str">
        <f>IFERROR(__xludf.DUMMYFUNCTION("""COMPUTED_VALUE"""),"Uncle Sams Cider (11/12/2021) (Blue)")</f>
        <v>Uncle Sams Cider (11/12/2021) (Blue)</v>
      </c>
      <c r="H2612" s="19"/>
    </row>
    <row r="2613">
      <c r="A2613" s="9"/>
      <c r="B2613" s="15"/>
      <c r="C2613" s="9">
        <f>IFERROR(__xludf.DUMMYFUNCTION("""COMPUTED_VALUE"""),44578.3275213888)</f>
        <v>44578.32752</v>
      </c>
      <c r="D2613" s="15">
        <f>IFERROR(__xludf.DUMMYFUNCTION("""COMPUTED_VALUE"""),1.002)</f>
        <v>1.002</v>
      </c>
      <c r="E2613" s="16">
        <f>IFERROR(__xludf.DUMMYFUNCTION("""COMPUTED_VALUE"""),66.0)</f>
        <v>66</v>
      </c>
      <c r="F2613" s="19" t="str">
        <f>IFERROR(__xludf.DUMMYFUNCTION("""COMPUTED_VALUE"""),"BLUE")</f>
        <v>BLUE</v>
      </c>
      <c r="G2613" s="20" t="str">
        <f>IFERROR(__xludf.DUMMYFUNCTION("""COMPUTED_VALUE"""),"Uncle Sams Cider (11/12/2021) (Blue)")</f>
        <v>Uncle Sams Cider (11/12/2021) (Blue)</v>
      </c>
      <c r="H2613" s="19"/>
    </row>
    <row r="2614">
      <c r="A2614" s="9"/>
      <c r="B2614" s="15"/>
      <c r="C2614" s="9">
        <f>IFERROR(__xludf.DUMMYFUNCTION("""COMPUTED_VALUE"""),44578.3170891087)</f>
        <v>44578.31709</v>
      </c>
      <c r="D2614" s="15">
        <f>IFERROR(__xludf.DUMMYFUNCTION("""COMPUTED_VALUE"""),1.002)</f>
        <v>1.002</v>
      </c>
      <c r="E2614" s="16">
        <f>IFERROR(__xludf.DUMMYFUNCTION("""COMPUTED_VALUE"""),66.0)</f>
        <v>66</v>
      </c>
      <c r="F2614" s="19" t="str">
        <f>IFERROR(__xludf.DUMMYFUNCTION("""COMPUTED_VALUE"""),"BLUE")</f>
        <v>BLUE</v>
      </c>
      <c r="G2614" s="20" t="str">
        <f>IFERROR(__xludf.DUMMYFUNCTION("""COMPUTED_VALUE"""),"Uncle Sams Cider (11/12/2021) (Blue)")</f>
        <v>Uncle Sams Cider (11/12/2021) (Blue)</v>
      </c>
      <c r="H2614" s="19"/>
    </row>
    <row r="2615">
      <c r="A2615" s="9"/>
      <c r="B2615" s="15"/>
      <c r="C2615" s="9">
        <f>IFERROR(__xludf.DUMMYFUNCTION("""COMPUTED_VALUE"""),44578.3066668981)</f>
        <v>44578.30667</v>
      </c>
      <c r="D2615" s="15">
        <f>IFERROR(__xludf.DUMMYFUNCTION("""COMPUTED_VALUE"""),1.002)</f>
        <v>1.002</v>
      </c>
      <c r="E2615" s="16">
        <f>IFERROR(__xludf.DUMMYFUNCTION("""COMPUTED_VALUE"""),66.0)</f>
        <v>66</v>
      </c>
      <c r="F2615" s="19" t="str">
        <f>IFERROR(__xludf.DUMMYFUNCTION("""COMPUTED_VALUE"""),"BLUE")</f>
        <v>BLUE</v>
      </c>
      <c r="G2615" s="20" t="str">
        <f>IFERROR(__xludf.DUMMYFUNCTION("""COMPUTED_VALUE"""),"Uncle Sams Cider (11/12/2021) (Blue)")</f>
        <v>Uncle Sams Cider (11/12/2021) (Blue)</v>
      </c>
      <c r="H2615" s="19"/>
    </row>
    <row r="2616">
      <c r="A2616" s="9"/>
      <c r="B2616" s="15"/>
      <c r="C2616" s="9">
        <f>IFERROR(__xludf.DUMMYFUNCTION("""COMPUTED_VALUE"""),44578.2962459375)</f>
        <v>44578.29625</v>
      </c>
      <c r="D2616" s="15">
        <f>IFERROR(__xludf.DUMMYFUNCTION("""COMPUTED_VALUE"""),1.002)</f>
        <v>1.002</v>
      </c>
      <c r="E2616" s="16">
        <f>IFERROR(__xludf.DUMMYFUNCTION("""COMPUTED_VALUE"""),66.0)</f>
        <v>66</v>
      </c>
      <c r="F2616" s="19" t="str">
        <f>IFERROR(__xludf.DUMMYFUNCTION("""COMPUTED_VALUE"""),"BLUE")</f>
        <v>BLUE</v>
      </c>
      <c r="G2616" s="20" t="str">
        <f>IFERROR(__xludf.DUMMYFUNCTION("""COMPUTED_VALUE"""),"Uncle Sams Cider (11/12/2021) (Blue)")</f>
        <v>Uncle Sams Cider (11/12/2021) (Blue)</v>
      </c>
      <c r="H2616" s="19"/>
    </row>
    <row r="2617">
      <c r="A2617" s="9"/>
      <c r="B2617" s="15"/>
      <c r="C2617" s="9">
        <f>IFERROR(__xludf.DUMMYFUNCTION("""COMPUTED_VALUE"""),44578.2858235879)</f>
        <v>44578.28582</v>
      </c>
      <c r="D2617" s="15">
        <f>IFERROR(__xludf.DUMMYFUNCTION("""COMPUTED_VALUE"""),1.002)</f>
        <v>1.002</v>
      </c>
      <c r="E2617" s="16">
        <f>IFERROR(__xludf.DUMMYFUNCTION("""COMPUTED_VALUE"""),66.0)</f>
        <v>66</v>
      </c>
      <c r="F2617" s="19" t="str">
        <f>IFERROR(__xludf.DUMMYFUNCTION("""COMPUTED_VALUE"""),"BLUE")</f>
        <v>BLUE</v>
      </c>
      <c r="G2617" s="20" t="str">
        <f>IFERROR(__xludf.DUMMYFUNCTION("""COMPUTED_VALUE"""),"Uncle Sams Cider (11/12/2021) (Blue)")</f>
        <v>Uncle Sams Cider (11/12/2021) (Blue)</v>
      </c>
      <c r="H2617" s="19"/>
    </row>
    <row r="2618">
      <c r="A2618" s="9"/>
      <c r="B2618" s="15"/>
      <c r="C2618" s="9">
        <f>IFERROR(__xludf.DUMMYFUNCTION("""COMPUTED_VALUE"""),44578.2754024652)</f>
        <v>44578.2754</v>
      </c>
      <c r="D2618" s="15">
        <f>IFERROR(__xludf.DUMMYFUNCTION("""COMPUTED_VALUE"""),1.002)</f>
        <v>1.002</v>
      </c>
      <c r="E2618" s="16">
        <f>IFERROR(__xludf.DUMMYFUNCTION("""COMPUTED_VALUE"""),66.0)</f>
        <v>66</v>
      </c>
      <c r="F2618" s="19" t="str">
        <f>IFERROR(__xludf.DUMMYFUNCTION("""COMPUTED_VALUE"""),"BLUE")</f>
        <v>BLUE</v>
      </c>
      <c r="G2618" s="20" t="str">
        <f>IFERROR(__xludf.DUMMYFUNCTION("""COMPUTED_VALUE"""),"Uncle Sams Cider (11/12/2021) (Blue)")</f>
        <v>Uncle Sams Cider (11/12/2021) (Blue)</v>
      </c>
      <c r="H2618" s="19"/>
    </row>
    <row r="2619">
      <c r="A2619" s="9"/>
      <c r="B2619" s="15"/>
      <c r="C2619" s="9">
        <f>IFERROR(__xludf.DUMMYFUNCTION("""COMPUTED_VALUE"""),44578.2649820717)</f>
        <v>44578.26498</v>
      </c>
      <c r="D2619" s="15">
        <f>IFERROR(__xludf.DUMMYFUNCTION("""COMPUTED_VALUE"""),1.002)</f>
        <v>1.002</v>
      </c>
      <c r="E2619" s="16">
        <f>IFERROR(__xludf.DUMMYFUNCTION("""COMPUTED_VALUE"""),66.0)</f>
        <v>66</v>
      </c>
      <c r="F2619" s="19" t="str">
        <f>IFERROR(__xludf.DUMMYFUNCTION("""COMPUTED_VALUE"""),"BLUE")</f>
        <v>BLUE</v>
      </c>
      <c r="G2619" s="20" t="str">
        <f>IFERROR(__xludf.DUMMYFUNCTION("""COMPUTED_VALUE"""),"Uncle Sams Cider (11/12/2021) (Blue)")</f>
        <v>Uncle Sams Cider (11/12/2021) (Blue)</v>
      </c>
      <c r="H2619" s="19"/>
    </row>
    <row r="2620">
      <c r="A2620" s="9"/>
      <c r="B2620" s="15"/>
      <c r="C2620" s="9">
        <f>IFERROR(__xludf.DUMMYFUNCTION("""COMPUTED_VALUE"""),44578.2545622916)</f>
        <v>44578.25456</v>
      </c>
      <c r="D2620" s="15">
        <f>IFERROR(__xludf.DUMMYFUNCTION("""COMPUTED_VALUE"""),1.002)</f>
        <v>1.002</v>
      </c>
      <c r="E2620" s="16">
        <f>IFERROR(__xludf.DUMMYFUNCTION("""COMPUTED_VALUE"""),66.0)</f>
        <v>66</v>
      </c>
      <c r="F2620" s="19" t="str">
        <f>IFERROR(__xludf.DUMMYFUNCTION("""COMPUTED_VALUE"""),"BLUE")</f>
        <v>BLUE</v>
      </c>
      <c r="G2620" s="20" t="str">
        <f>IFERROR(__xludf.DUMMYFUNCTION("""COMPUTED_VALUE"""),"Uncle Sams Cider (11/12/2021) (Blue)")</f>
        <v>Uncle Sams Cider (11/12/2021) (Blue)</v>
      </c>
      <c r="H2620" s="19"/>
    </row>
    <row r="2621">
      <c r="A2621" s="9"/>
      <c r="B2621" s="15"/>
      <c r="C2621" s="9">
        <f>IFERROR(__xludf.DUMMYFUNCTION("""COMPUTED_VALUE"""),44578.244139537)</f>
        <v>44578.24414</v>
      </c>
      <c r="D2621" s="15">
        <f>IFERROR(__xludf.DUMMYFUNCTION("""COMPUTED_VALUE"""),1.002)</f>
        <v>1.002</v>
      </c>
      <c r="E2621" s="16">
        <f>IFERROR(__xludf.DUMMYFUNCTION("""COMPUTED_VALUE"""),66.0)</f>
        <v>66</v>
      </c>
      <c r="F2621" s="19" t="str">
        <f>IFERROR(__xludf.DUMMYFUNCTION("""COMPUTED_VALUE"""),"BLUE")</f>
        <v>BLUE</v>
      </c>
      <c r="G2621" s="20" t="str">
        <f>IFERROR(__xludf.DUMMYFUNCTION("""COMPUTED_VALUE"""),"Uncle Sams Cider (11/12/2021) (Blue)")</f>
        <v>Uncle Sams Cider (11/12/2021) (Blue)</v>
      </c>
      <c r="H2621" s="19"/>
    </row>
    <row r="2622">
      <c r="A2622" s="9"/>
      <c r="B2622" s="15"/>
      <c r="C2622" s="9">
        <f>IFERROR(__xludf.DUMMYFUNCTION("""COMPUTED_VALUE"""),44578.233682824)</f>
        <v>44578.23368</v>
      </c>
      <c r="D2622" s="15">
        <f>IFERROR(__xludf.DUMMYFUNCTION("""COMPUTED_VALUE"""),1.002)</f>
        <v>1.002</v>
      </c>
      <c r="E2622" s="16">
        <f>IFERROR(__xludf.DUMMYFUNCTION("""COMPUTED_VALUE"""),66.0)</f>
        <v>66</v>
      </c>
      <c r="F2622" s="19" t="str">
        <f>IFERROR(__xludf.DUMMYFUNCTION("""COMPUTED_VALUE"""),"BLUE")</f>
        <v>BLUE</v>
      </c>
      <c r="G2622" s="20" t="str">
        <f>IFERROR(__xludf.DUMMYFUNCTION("""COMPUTED_VALUE"""),"Uncle Sams Cider (11/12/2021) (Blue)")</f>
        <v>Uncle Sams Cider (11/12/2021) (Blue)</v>
      </c>
      <c r="H2622" s="19"/>
    </row>
    <row r="2623">
      <c r="A2623" s="9"/>
      <c r="B2623" s="15"/>
      <c r="C2623" s="9">
        <f>IFERROR(__xludf.DUMMYFUNCTION("""COMPUTED_VALUE"""),44578.2232490972)</f>
        <v>44578.22325</v>
      </c>
      <c r="D2623" s="15">
        <f>IFERROR(__xludf.DUMMYFUNCTION("""COMPUTED_VALUE"""),1.002)</f>
        <v>1.002</v>
      </c>
      <c r="E2623" s="16">
        <f>IFERROR(__xludf.DUMMYFUNCTION("""COMPUTED_VALUE"""),66.0)</f>
        <v>66</v>
      </c>
      <c r="F2623" s="19" t="str">
        <f>IFERROR(__xludf.DUMMYFUNCTION("""COMPUTED_VALUE"""),"BLUE")</f>
        <v>BLUE</v>
      </c>
      <c r="G2623" s="20" t="str">
        <f>IFERROR(__xludf.DUMMYFUNCTION("""COMPUTED_VALUE"""),"Uncle Sams Cider (11/12/2021) (Blue)")</f>
        <v>Uncle Sams Cider (11/12/2021) (Blue)</v>
      </c>
      <c r="H2623" s="19"/>
    </row>
    <row r="2624">
      <c r="A2624" s="9"/>
      <c r="B2624" s="15"/>
      <c r="C2624" s="9">
        <f>IFERROR(__xludf.DUMMYFUNCTION("""COMPUTED_VALUE"""),44578.2128166898)</f>
        <v>44578.21282</v>
      </c>
      <c r="D2624" s="15">
        <f>IFERROR(__xludf.DUMMYFUNCTION("""COMPUTED_VALUE"""),1.002)</f>
        <v>1.002</v>
      </c>
      <c r="E2624" s="16">
        <f>IFERROR(__xludf.DUMMYFUNCTION("""COMPUTED_VALUE"""),66.0)</f>
        <v>66</v>
      </c>
      <c r="F2624" s="19" t="str">
        <f>IFERROR(__xludf.DUMMYFUNCTION("""COMPUTED_VALUE"""),"BLUE")</f>
        <v>BLUE</v>
      </c>
      <c r="G2624" s="20" t="str">
        <f>IFERROR(__xludf.DUMMYFUNCTION("""COMPUTED_VALUE"""),"Uncle Sams Cider (11/12/2021) (Blue)")</f>
        <v>Uncle Sams Cider (11/12/2021) (Blue)</v>
      </c>
      <c r="H2624" s="19"/>
    </row>
    <row r="2625">
      <c r="A2625" s="9"/>
      <c r="B2625" s="15"/>
      <c r="C2625" s="9">
        <f>IFERROR(__xludf.DUMMYFUNCTION("""COMPUTED_VALUE"""),44578.202384618)</f>
        <v>44578.20238</v>
      </c>
      <c r="D2625" s="15">
        <f>IFERROR(__xludf.DUMMYFUNCTION("""COMPUTED_VALUE"""),1.002)</f>
        <v>1.002</v>
      </c>
      <c r="E2625" s="16">
        <f>IFERROR(__xludf.DUMMYFUNCTION("""COMPUTED_VALUE"""),66.0)</f>
        <v>66</v>
      </c>
      <c r="F2625" s="19" t="str">
        <f>IFERROR(__xludf.DUMMYFUNCTION("""COMPUTED_VALUE"""),"BLUE")</f>
        <v>BLUE</v>
      </c>
      <c r="G2625" s="20" t="str">
        <f>IFERROR(__xludf.DUMMYFUNCTION("""COMPUTED_VALUE"""),"Uncle Sams Cider (11/12/2021) (Blue)")</f>
        <v>Uncle Sams Cider (11/12/2021) (Blue)</v>
      </c>
      <c r="H2625" s="19"/>
    </row>
    <row r="2626">
      <c r="A2626" s="9"/>
      <c r="B2626" s="15"/>
      <c r="C2626" s="9">
        <f>IFERROR(__xludf.DUMMYFUNCTION("""COMPUTED_VALUE"""),44578.1919652661)</f>
        <v>44578.19197</v>
      </c>
      <c r="D2626" s="15">
        <f>IFERROR(__xludf.DUMMYFUNCTION("""COMPUTED_VALUE"""),1.002)</f>
        <v>1.002</v>
      </c>
      <c r="E2626" s="16">
        <f>IFERROR(__xludf.DUMMYFUNCTION("""COMPUTED_VALUE"""),66.0)</f>
        <v>66</v>
      </c>
      <c r="F2626" s="19" t="str">
        <f>IFERROR(__xludf.DUMMYFUNCTION("""COMPUTED_VALUE"""),"BLUE")</f>
        <v>BLUE</v>
      </c>
      <c r="G2626" s="20" t="str">
        <f>IFERROR(__xludf.DUMMYFUNCTION("""COMPUTED_VALUE"""),"Uncle Sams Cider (11/12/2021) (Blue)")</f>
        <v>Uncle Sams Cider (11/12/2021) (Blue)</v>
      </c>
      <c r="H2626" s="19"/>
    </row>
    <row r="2627">
      <c r="A2627" s="9"/>
      <c r="B2627" s="15"/>
      <c r="C2627" s="9">
        <f>IFERROR(__xludf.DUMMYFUNCTION("""COMPUTED_VALUE"""),44578.1815445601)</f>
        <v>44578.18154</v>
      </c>
      <c r="D2627" s="15">
        <f>IFERROR(__xludf.DUMMYFUNCTION("""COMPUTED_VALUE"""),1.002)</f>
        <v>1.002</v>
      </c>
      <c r="E2627" s="16">
        <f>IFERROR(__xludf.DUMMYFUNCTION("""COMPUTED_VALUE"""),67.0)</f>
        <v>67</v>
      </c>
      <c r="F2627" s="19" t="str">
        <f>IFERROR(__xludf.DUMMYFUNCTION("""COMPUTED_VALUE"""),"BLUE")</f>
        <v>BLUE</v>
      </c>
      <c r="G2627" s="20" t="str">
        <f>IFERROR(__xludf.DUMMYFUNCTION("""COMPUTED_VALUE"""),"Uncle Sams Cider (11/12/2021) (Blue)")</f>
        <v>Uncle Sams Cider (11/12/2021) (Blue)</v>
      </c>
      <c r="H2627" s="19"/>
    </row>
    <row r="2628">
      <c r="A2628" s="9"/>
      <c r="B2628" s="15"/>
      <c r="C2628" s="9">
        <f>IFERROR(__xludf.DUMMYFUNCTION("""COMPUTED_VALUE"""),44578.1711231597)</f>
        <v>44578.17112</v>
      </c>
      <c r="D2628" s="15">
        <f>IFERROR(__xludf.DUMMYFUNCTION("""COMPUTED_VALUE"""),1.002)</f>
        <v>1.002</v>
      </c>
      <c r="E2628" s="16">
        <f>IFERROR(__xludf.DUMMYFUNCTION("""COMPUTED_VALUE"""),66.0)</f>
        <v>66</v>
      </c>
      <c r="F2628" s="19" t="str">
        <f>IFERROR(__xludf.DUMMYFUNCTION("""COMPUTED_VALUE"""),"BLUE")</f>
        <v>BLUE</v>
      </c>
      <c r="G2628" s="20" t="str">
        <f>IFERROR(__xludf.DUMMYFUNCTION("""COMPUTED_VALUE"""),"Uncle Sams Cider (11/12/2021) (Blue)")</f>
        <v>Uncle Sams Cider (11/12/2021) (Blue)</v>
      </c>
      <c r="H2628" s="19"/>
    </row>
    <row r="2629">
      <c r="A2629" s="9"/>
      <c r="B2629" s="15"/>
      <c r="C2629" s="9">
        <f>IFERROR(__xludf.DUMMYFUNCTION("""COMPUTED_VALUE"""),44578.160701574)</f>
        <v>44578.1607</v>
      </c>
      <c r="D2629" s="15">
        <f>IFERROR(__xludf.DUMMYFUNCTION("""COMPUTED_VALUE"""),1.002)</f>
        <v>1.002</v>
      </c>
      <c r="E2629" s="16">
        <f>IFERROR(__xludf.DUMMYFUNCTION("""COMPUTED_VALUE"""),67.0)</f>
        <v>67</v>
      </c>
      <c r="F2629" s="19" t="str">
        <f>IFERROR(__xludf.DUMMYFUNCTION("""COMPUTED_VALUE"""),"BLUE")</f>
        <v>BLUE</v>
      </c>
      <c r="G2629" s="20" t="str">
        <f>IFERROR(__xludf.DUMMYFUNCTION("""COMPUTED_VALUE"""),"Uncle Sams Cider (11/12/2021) (Blue)")</f>
        <v>Uncle Sams Cider (11/12/2021) (Blue)</v>
      </c>
      <c r="H2629" s="19"/>
    </row>
    <row r="2630">
      <c r="A2630" s="9"/>
      <c r="B2630" s="15"/>
      <c r="C2630" s="9">
        <f>IFERROR(__xludf.DUMMYFUNCTION("""COMPUTED_VALUE"""),44578.150269537)</f>
        <v>44578.15027</v>
      </c>
      <c r="D2630" s="15">
        <f>IFERROR(__xludf.DUMMYFUNCTION("""COMPUTED_VALUE"""),1.002)</f>
        <v>1.002</v>
      </c>
      <c r="E2630" s="16">
        <f>IFERROR(__xludf.DUMMYFUNCTION("""COMPUTED_VALUE"""),67.0)</f>
        <v>67</v>
      </c>
      <c r="F2630" s="19" t="str">
        <f>IFERROR(__xludf.DUMMYFUNCTION("""COMPUTED_VALUE"""),"BLUE")</f>
        <v>BLUE</v>
      </c>
      <c r="G2630" s="20" t="str">
        <f>IFERROR(__xludf.DUMMYFUNCTION("""COMPUTED_VALUE"""),"Uncle Sams Cider (11/12/2021) (Blue)")</f>
        <v>Uncle Sams Cider (11/12/2021) (Blue)</v>
      </c>
      <c r="H2630" s="19"/>
    </row>
    <row r="2631">
      <c r="A2631" s="9"/>
      <c r="B2631" s="15"/>
      <c r="C2631" s="9">
        <f>IFERROR(__xludf.DUMMYFUNCTION("""COMPUTED_VALUE"""),44578.1398488194)</f>
        <v>44578.13985</v>
      </c>
      <c r="D2631" s="15">
        <f>IFERROR(__xludf.DUMMYFUNCTION("""COMPUTED_VALUE"""),1.002)</f>
        <v>1.002</v>
      </c>
      <c r="E2631" s="16">
        <f>IFERROR(__xludf.DUMMYFUNCTION("""COMPUTED_VALUE"""),67.0)</f>
        <v>67</v>
      </c>
      <c r="F2631" s="19" t="str">
        <f>IFERROR(__xludf.DUMMYFUNCTION("""COMPUTED_VALUE"""),"BLUE")</f>
        <v>BLUE</v>
      </c>
      <c r="G2631" s="20" t="str">
        <f>IFERROR(__xludf.DUMMYFUNCTION("""COMPUTED_VALUE"""),"Uncle Sams Cider (11/12/2021) (Blue)")</f>
        <v>Uncle Sams Cider (11/12/2021) (Blue)</v>
      </c>
      <c r="H2631" s="19"/>
    </row>
    <row r="2632">
      <c r="A2632" s="9"/>
      <c r="B2632" s="15"/>
      <c r="C2632" s="9">
        <f>IFERROR(__xludf.DUMMYFUNCTION("""COMPUTED_VALUE"""),44578.1294161805)</f>
        <v>44578.12942</v>
      </c>
      <c r="D2632" s="15">
        <f>IFERROR(__xludf.DUMMYFUNCTION("""COMPUTED_VALUE"""),1.002)</f>
        <v>1.002</v>
      </c>
      <c r="E2632" s="16">
        <f>IFERROR(__xludf.DUMMYFUNCTION("""COMPUTED_VALUE"""),67.0)</f>
        <v>67</v>
      </c>
      <c r="F2632" s="19" t="str">
        <f>IFERROR(__xludf.DUMMYFUNCTION("""COMPUTED_VALUE"""),"BLUE")</f>
        <v>BLUE</v>
      </c>
      <c r="G2632" s="20" t="str">
        <f>IFERROR(__xludf.DUMMYFUNCTION("""COMPUTED_VALUE"""),"Uncle Sams Cider (11/12/2021) (Blue)")</f>
        <v>Uncle Sams Cider (11/12/2021) (Blue)</v>
      </c>
      <c r="H2632" s="19"/>
    </row>
    <row r="2633">
      <c r="A2633" s="9"/>
      <c r="B2633" s="15"/>
      <c r="C2633" s="9">
        <f>IFERROR(__xludf.DUMMYFUNCTION("""COMPUTED_VALUE"""),44578.1189831134)</f>
        <v>44578.11898</v>
      </c>
      <c r="D2633" s="15">
        <f>IFERROR(__xludf.DUMMYFUNCTION("""COMPUTED_VALUE"""),1.002)</f>
        <v>1.002</v>
      </c>
      <c r="E2633" s="16">
        <f>IFERROR(__xludf.DUMMYFUNCTION("""COMPUTED_VALUE"""),67.0)</f>
        <v>67</v>
      </c>
      <c r="F2633" s="19" t="str">
        <f>IFERROR(__xludf.DUMMYFUNCTION("""COMPUTED_VALUE"""),"BLUE")</f>
        <v>BLUE</v>
      </c>
      <c r="G2633" s="20" t="str">
        <f>IFERROR(__xludf.DUMMYFUNCTION("""COMPUTED_VALUE"""),"Uncle Sams Cider (11/12/2021) (Blue)")</f>
        <v>Uncle Sams Cider (11/12/2021) (Blue)</v>
      </c>
      <c r="H2633" s="19"/>
    </row>
    <row r="2634">
      <c r="A2634" s="9"/>
      <c r="B2634" s="15"/>
      <c r="C2634" s="9">
        <f>IFERROR(__xludf.DUMMYFUNCTION("""COMPUTED_VALUE"""),44578.1085616435)</f>
        <v>44578.10856</v>
      </c>
      <c r="D2634" s="15">
        <f>IFERROR(__xludf.DUMMYFUNCTION("""COMPUTED_VALUE"""),1.002)</f>
        <v>1.002</v>
      </c>
      <c r="E2634" s="16">
        <f>IFERROR(__xludf.DUMMYFUNCTION("""COMPUTED_VALUE"""),67.0)</f>
        <v>67</v>
      </c>
      <c r="F2634" s="19" t="str">
        <f>IFERROR(__xludf.DUMMYFUNCTION("""COMPUTED_VALUE"""),"BLUE")</f>
        <v>BLUE</v>
      </c>
      <c r="G2634" s="20" t="str">
        <f>IFERROR(__xludf.DUMMYFUNCTION("""COMPUTED_VALUE"""),"Uncle Sams Cider (11/12/2021) (Blue)")</f>
        <v>Uncle Sams Cider (11/12/2021) (Blue)</v>
      </c>
      <c r="H2634" s="19"/>
    </row>
    <row r="2635">
      <c r="A2635" s="9"/>
      <c r="B2635" s="15"/>
      <c r="C2635" s="9">
        <f>IFERROR(__xludf.DUMMYFUNCTION("""COMPUTED_VALUE"""),44578.0981399999)</f>
        <v>44578.09814</v>
      </c>
      <c r="D2635" s="15">
        <f>IFERROR(__xludf.DUMMYFUNCTION("""COMPUTED_VALUE"""),1.002)</f>
        <v>1.002</v>
      </c>
      <c r="E2635" s="16">
        <f>IFERROR(__xludf.DUMMYFUNCTION("""COMPUTED_VALUE"""),67.0)</f>
        <v>67</v>
      </c>
      <c r="F2635" s="19" t="str">
        <f>IFERROR(__xludf.DUMMYFUNCTION("""COMPUTED_VALUE"""),"BLUE")</f>
        <v>BLUE</v>
      </c>
      <c r="G2635" s="20" t="str">
        <f>IFERROR(__xludf.DUMMYFUNCTION("""COMPUTED_VALUE"""),"Uncle Sams Cider (11/12/2021) (Blue)")</f>
        <v>Uncle Sams Cider (11/12/2021) (Blue)</v>
      </c>
      <c r="H2635" s="19"/>
    </row>
    <row r="2636">
      <c r="A2636" s="9"/>
      <c r="B2636" s="15"/>
      <c r="C2636" s="9">
        <f>IFERROR(__xludf.DUMMYFUNCTION("""COMPUTED_VALUE"""),44578.0877179282)</f>
        <v>44578.08772</v>
      </c>
      <c r="D2636" s="15">
        <f>IFERROR(__xludf.DUMMYFUNCTION("""COMPUTED_VALUE"""),1.002)</f>
        <v>1.002</v>
      </c>
      <c r="E2636" s="16">
        <f>IFERROR(__xludf.DUMMYFUNCTION("""COMPUTED_VALUE"""),67.0)</f>
        <v>67</v>
      </c>
      <c r="F2636" s="19" t="str">
        <f>IFERROR(__xludf.DUMMYFUNCTION("""COMPUTED_VALUE"""),"BLUE")</f>
        <v>BLUE</v>
      </c>
      <c r="G2636" s="20" t="str">
        <f>IFERROR(__xludf.DUMMYFUNCTION("""COMPUTED_VALUE"""),"Uncle Sams Cider (11/12/2021) (Blue)")</f>
        <v>Uncle Sams Cider (11/12/2021) (Blue)</v>
      </c>
      <c r="H2636" s="19"/>
    </row>
    <row r="2637">
      <c r="A2637" s="9"/>
      <c r="B2637" s="15"/>
      <c r="C2637" s="9">
        <f>IFERROR(__xludf.DUMMYFUNCTION("""COMPUTED_VALUE"""),44578.0772862615)</f>
        <v>44578.07729</v>
      </c>
      <c r="D2637" s="15">
        <f>IFERROR(__xludf.DUMMYFUNCTION("""COMPUTED_VALUE"""),1.002)</f>
        <v>1.002</v>
      </c>
      <c r="E2637" s="16">
        <f>IFERROR(__xludf.DUMMYFUNCTION("""COMPUTED_VALUE"""),67.0)</f>
        <v>67</v>
      </c>
      <c r="F2637" s="19" t="str">
        <f>IFERROR(__xludf.DUMMYFUNCTION("""COMPUTED_VALUE"""),"BLUE")</f>
        <v>BLUE</v>
      </c>
      <c r="G2637" s="20" t="str">
        <f>IFERROR(__xludf.DUMMYFUNCTION("""COMPUTED_VALUE"""),"Uncle Sams Cider (11/12/2021) (Blue)")</f>
        <v>Uncle Sams Cider (11/12/2021) (Blue)</v>
      </c>
      <c r="H2637" s="19"/>
    </row>
    <row r="2638">
      <c r="A2638" s="9"/>
      <c r="B2638" s="15"/>
      <c r="C2638" s="9">
        <f>IFERROR(__xludf.DUMMYFUNCTION("""COMPUTED_VALUE"""),44578.0668641898)</f>
        <v>44578.06686</v>
      </c>
      <c r="D2638" s="15">
        <f>IFERROR(__xludf.DUMMYFUNCTION("""COMPUTED_VALUE"""),1.002)</f>
        <v>1.002</v>
      </c>
      <c r="E2638" s="16">
        <f>IFERROR(__xludf.DUMMYFUNCTION("""COMPUTED_VALUE"""),67.0)</f>
        <v>67</v>
      </c>
      <c r="F2638" s="19" t="str">
        <f>IFERROR(__xludf.DUMMYFUNCTION("""COMPUTED_VALUE"""),"BLUE")</f>
        <v>BLUE</v>
      </c>
      <c r="G2638" s="20" t="str">
        <f>IFERROR(__xludf.DUMMYFUNCTION("""COMPUTED_VALUE"""),"Uncle Sams Cider (11/12/2021) (Blue)")</f>
        <v>Uncle Sams Cider (11/12/2021) (Blue)</v>
      </c>
      <c r="H2638" s="19"/>
    </row>
    <row r="2639">
      <c r="A2639" s="9"/>
      <c r="B2639" s="15"/>
      <c r="C2639" s="9">
        <f>IFERROR(__xludf.DUMMYFUNCTION("""COMPUTED_VALUE"""),44578.0564405787)</f>
        <v>44578.05644</v>
      </c>
      <c r="D2639" s="15">
        <f>IFERROR(__xludf.DUMMYFUNCTION("""COMPUTED_VALUE"""),1.002)</f>
        <v>1.002</v>
      </c>
      <c r="E2639" s="16">
        <f>IFERROR(__xludf.DUMMYFUNCTION("""COMPUTED_VALUE"""),67.0)</f>
        <v>67</v>
      </c>
      <c r="F2639" s="19" t="str">
        <f>IFERROR(__xludf.DUMMYFUNCTION("""COMPUTED_VALUE"""),"BLUE")</f>
        <v>BLUE</v>
      </c>
      <c r="G2639" s="20" t="str">
        <f>IFERROR(__xludf.DUMMYFUNCTION("""COMPUTED_VALUE"""),"Uncle Sams Cider (11/12/2021) (Blue)")</f>
        <v>Uncle Sams Cider (11/12/2021) (Blue)</v>
      </c>
      <c r="H2639" s="19"/>
    </row>
    <row r="2640">
      <c r="A2640" s="9"/>
      <c r="B2640" s="15"/>
      <c r="C2640" s="9">
        <f>IFERROR(__xludf.DUMMYFUNCTION("""COMPUTED_VALUE"""),44578.046020324)</f>
        <v>44578.04602</v>
      </c>
      <c r="D2640" s="15">
        <f>IFERROR(__xludf.DUMMYFUNCTION("""COMPUTED_VALUE"""),1.002)</f>
        <v>1.002</v>
      </c>
      <c r="E2640" s="16">
        <f>IFERROR(__xludf.DUMMYFUNCTION("""COMPUTED_VALUE"""),67.0)</f>
        <v>67</v>
      </c>
      <c r="F2640" s="19" t="str">
        <f>IFERROR(__xludf.DUMMYFUNCTION("""COMPUTED_VALUE"""),"BLUE")</f>
        <v>BLUE</v>
      </c>
      <c r="G2640" s="20" t="str">
        <f>IFERROR(__xludf.DUMMYFUNCTION("""COMPUTED_VALUE"""),"Uncle Sams Cider (11/12/2021) (Blue)")</f>
        <v>Uncle Sams Cider (11/12/2021) (Blue)</v>
      </c>
      <c r="H2640" s="19"/>
    </row>
    <row r="2641">
      <c r="A2641" s="9"/>
      <c r="B2641" s="15"/>
      <c r="C2641" s="9">
        <f>IFERROR(__xludf.DUMMYFUNCTION("""COMPUTED_VALUE"""),44578.0355995601)</f>
        <v>44578.0356</v>
      </c>
      <c r="D2641" s="15">
        <f>IFERROR(__xludf.DUMMYFUNCTION("""COMPUTED_VALUE"""),1.002)</f>
        <v>1.002</v>
      </c>
      <c r="E2641" s="16">
        <f>IFERROR(__xludf.DUMMYFUNCTION("""COMPUTED_VALUE"""),67.0)</f>
        <v>67</v>
      </c>
      <c r="F2641" s="19" t="str">
        <f>IFERROR(__xludf.DUMMYFUNCTION("""COMPUTED_VALUE"""),"BLUE")</f>
        <v>BLUE</v>
      </c>
      <c r="G2641" s="20" t="str">
        <f>IFERROR(__xludf.DUMMYFUNCTION("""COMPUTED_VALUE"""),"Uncle Sams Cider (11/12/2021) (Blue)")</f>
        <v>Uncle Sams Cider (11/12/2021) (Blue)</v>
      </c>
      <c r="H2641" s="19"/>
    </row>
    <row r="2642">
      <c r="A2642" s="9"/>
      <c r="B2642" s="15"/>
      <c r="C2642" s="9">
        <f>IFERROR(__xludf.DUMMYFUNCTION("""COMPUTED_VALUE"""),44578.0251765624)</f>
        <v>44578.02518</v>
      </c>
      <c r="D2642" s="15">
        <f>IFERROR(__xludf.DUMMYFUNCTION("""COMPUTED_VALUE"""),1.002)</f>
        <v>1.002</v>
      </c>
      <c r="E2642" s="16">
        <f>IFERROR(__xludf.DUMMYFUNCTION("""COMPUTED_VALUE"""),67.0)</f>
        <v>67</v>
      </c>
      <c r="F2642" s="19" t="str">
        <f>IFERROR(__xludf.DUMMYFUNCTION("""COMPUTED_VALUE"""),"BLUE")</f>
        <v>BLUE</v>
      </c>
      <c r="G2642" s="20" t="str">
        <f>IFERROR(__xludf.DUMMYFUNCTION("""COMPUTED_VALUE"""),"Uncle Sams Cider (11/12/2021) (Blue)")</f>
        <v>Uncle Sams Cider (11/12/2021) (Blue)</v>
      </c>
      <c r="H2642" s="19"/>
    </row>
    <row r="2643">
      <c r="A2643" s="9"/>
      <c r="B2643" s="15"/>
      <c r="C2643" s="9">
        <f>IFERROR(__xludf.DUMMYFUNCTION("""COMPUTED_VALUE"""),44578.0147556713)</f>
        <v>44578.01476</v>
      </c>
      <c r="D2643" s="15">
        <f>IFERROR(__xludf.DUMMYFUNCTION("""COMPUTED_VALUE"""),1.002)</f>
        <v>1.002</v>
      </c>
      <c r="E2643" s="16">
        <f>IFERROR(__xludf.DUMMYFUNCTION("""COMPUTED_VALUE"""),67.0)</f>
        <v>67</v>
      </c>
      <c r="F2643" s="19" t="str">
        <f>IFERROR(__xludf.DUMMYFUNCTION("""COMPUTED_VALUE"""),"BLUE")</f>
        <v>BLUE</v>
      </c>
      <c r="G2643" s="20" t="str">
        <f>IFERROR(__xludf.DUMMYFUNCTION("""COMPUTED_VALUE"""),"Uncle Sams Cider (11/12/2021) (Blue)")</f>
        <v>Uncle Sams Cider (11/12/2021) (Blue)</v>
      </c>
      <c r="H2643" s="19"/>
    </row>
    <row r="2644">
      <c r="A2644" s="9"/>
      <c r="B2644" s="15"/>
      <c r="C2644" s="9">
        <f>IFERROR(__xludf.DUMMYFUNCTION("""COMPUTED_VALUE"""),44578.0043342824)</f>
        <v>44578.00433</v>
      </c>
      <c r="D2644" s="15">
        <f>IFERROR(__xludf.DUMMYFUNCTION("""COMPUTED_VALUE"""),1.002)</f>
        <v>1.002</v>
      </c>
      <c r="E2644" s="16">
        <f>IFERROR(__xludf.DUMMYFUNCTION("""COMPUTED_VALUE"""),67.0)</f>
        <v>67</v>
      </c>
      <c r="F2644" s="19" t="str">
        <f>IFERROR(__xludf.DUMMYFUNCTION("""COMPUTED_VALUE"""),"BLUE")</f>
        <v>BLUE</v>
      </c>
      <c r="G2644" s="20" t="str">
        <f>IFERROR(__xludf.DUMMYFUNCTION("""COMPUTED_VALUE"""),"Uncle Sams Cider (11/12/2021) (Blue)")</f>
        <v>Uncle Sams Cider (11/12/2021) (Blue)</v>
      </c>
      <c r="H2644" s="19"/>
    </row>
    <row r="2645">
      <c r="A2645" s="9"/>
      <c r="B2645" s="15"/>
      <c r="C2645" s="9">
        <f>IFERROR(__xludf.DUMMYFUNCTION("""COMPUTED_VALUE"""),44577.9939125925)</f>
        <v>44577.99391</v>
      </c>
      <c r="D2645" s="15">
        <f>IFERROR(__xludf.DUMMYFUNCTION("""COMPUTED_VALUE"""),1.002)</f>
        <v>1.002</v>
      </c>
      <c r="E2645" s="16">
        <f>IFERROR(__xludf.DUMMYFUNCTION("""COMPUTED_VALUE"""),67.0)</f>
        <v>67</v>
      </c>
      <c r="F2645" s="19" t="str">
        <f>IFERROR(__xludf.DUMMYFUNCTION("""COMPUTED_VALUE"""),"BLUE")</f>
        <v>BLUE</v>
      </c>
      <c r="G2645" s="20" t="str">
        <f>IFERROR(__xludf.DUMMYFUNCTION("""COMPUTED_VALUE"""),"Uncle Sams Cider (11/12/2021) (Blue)")</f>
        <v>Uncle Sams Cider (11/12/2021) (Blue)</v>
      </c>
      <c r="H2645" s="19"/>
    </row>
    <row r="2646">
      <c r="A2646" s="9"/>
      <c r="B2646" s="15"/>
      <c r="C2646" s="9">
        <f>IFERROR(__xludf.DUMMYFUNCTION("""COMPUTED_VALUE"""),44577.9834913194)</f>
        <v>44577.98349</v>
      </c>
      <c r="D2646" s="15">
        <f>IFERROR(__xludf.DUMMYFUNCTION("""COMPUTED_VALUE"""),1.002)</f>
        <v>1.002</v>
      </c>
      <c r="E2646" s="16">
        <f>IFERROR(__xludf.DUMMYFUNCTION("""COMPUTED_VALUE"""),67.0)</f>
        <v>67</v>
      </c>
      <c r="F2646" s="19" t="str">
        <f>IFERROR(__xludf.DUMMYFUNCTION("""COMPUTED_VALUE"""),"BLUE")</f>
        <v>BLUE</v>
      </c>
      <c r="G2646" s="20" t="str">
        <f>IFERROR(__xludf.DUMMYFUNCTION("""COMPUTED_VALUE"""),"Uncle Sams Cider (11/12/2021) (Blue)")</f>
        <v>Uncle Sams Cider (11/12/2021) (Blue)</v>
      </c>
      <c r="H2646" s="19"/>
    </row>
    <row r="2647">
      <c r="A2647" s="9"/>
      <c r="B2647" s="15"/>
      <c r="C2647" s="9">
        <f>IFERROR(__xludf.DUMMYFUNCTION("""COMPUTED_VALUE"""),44577.9730693287)</f>
        <v>44577.97307</v>
      </c>
      <c r="D2647" s="15">
        <f>IFERROR(__xludf.DUMMYFUNCTION("""COMPUTED_VALUE"""),1.002)</f>
        <v>1.002</v>
      </c>
      <c r="E2647" s="16">
        <f>IFERROR(__xludf.DUMMYFUNCTION("""COMPUTED_VALUE"""),67.0)</f>
        <v>67</v>
      </c>
      <c r="F2647" s="19" t="str">
        <f>IFERROR(__xludf.DUMMYFUNCTION("""COMPUTED_VALUE"""),"BLUE")</f>
        <v>BLUE</v>
      </c>
      <c r="G2647" s="20" t="str">
        <f>IFERROR(__xludf.DUMMYFUNCTION("""COMPUTED_VALUE"""),"Uncle Sams Cider (11/12/2021) (Blue)")</f>
        <v>Uncle Sams Cider (11/12/2021) (Blue)</v>
      </c>
      <c r="H2647" s="19"/>
    </row>
    <row r="2648">
      <c r="A2648" s="9"/>
      <c r="B2648" s="15"/>
      <c r="C2648" s="9">
        <f>IFERROR(__xludf.DUMMYFUNCTION("""COMPUTED_VALUE"""),44577.9626474537)</f>
        <v>44577.96265</v>
      </c>
      <c r="D2648" s="15">
        <f>IFERROR(__xludf.DUMMYFUNCTION("""COMPUTED_VALUE"""),1.002)</f>
        <v>1.002</v>
      </c>
      <c r="E2648" s="16">
        <f>IFERROR(__xludf.DUMMYFUNCTION("""COMPUTED_VALUE"""),67.0)</f>
        <v>67</v>
      </c>
      <c r="F2648" s="19" t="str">
        <f>IFERROR(__xludf.DUMMYFUNCTION("""COMPUTED_VALUE"""),"BLUE")</f>
        <v>BLUE</v>
      </c>
      <c r="G2648" s="20" t="str">
        <f>IFERROR(__xludf.DUMMYFUNCTION("""COMPUTED_VALUE"""),"Uncle Sams Cider (11/12/2021) (Blue)")</f>
        <v>Uncle Sams Cider (11/12/2021) (Blue)</v>
      </c>
      <c r="H2648" s="19"/>
    </row>
    <row r="2649">
      <c r="A2649" s="9"/>
      <c r="B2649" s="15"/>
      <c r="C2649" s="9">
        <f>IFERROR(__xludf.DUMMYFUNCTION("""COMPUTED_VALUE"""),44577.9522271874)</f>
        <v>44577.95223</v>
      </c>
      <c r="D2649" s="15">
        <f>IFERROR(__xludf.DUMMYFUNCTION("""COMPUTED_VALUE"""),1.002)</f>
        <v>1.002</v>
      </c>
      <c r="E2649" s="16">
        <f>IFERROR(__xludf.DUMMYFUNCTION("""COMPUTED_VALUE"""),67.0)</f>
        <v>67</v>
      </c>
      <c r="F2649" s="19" t="str">
        <f>IFERROR(__xludf.DUMMYFUNCTION("""COMPUTED_VALUE"""),"BLUE")</f>
        <v>BLUE</v>
      </c>
      <c r="G2649" s="20" t="str">
        <f>IFERROR(__xludf.DUMMYFUNCTION("""COMPUTED_VALUE"""),"Uncle Sams Cider (11/12/2021) (Blue)")</f>
        <v>Uncle Sams Cider (11/12/2021) (Blue)</v>
      </c>
      <c r="H2649" s="19"/>
    </row>
    <row r="2650">
      <c r="A2650" s="9"/>
      <c r="B2650" s="15"/>
      <c r="C2650" s="9">
        <f>IFERROR(__xludf.DUMMYFUNCTION("""COMPUTED_VALUE"""),44577.9418067013)</f>
        <v>44577.94181</v>
      </c>
      <c r="D2650" s="15">
        <f>IFERROR(__xludf.DUMMYFUNCTION("""COMPUTED_VALUE"""),1.002)</f>
        <v>1.002</v>
      </c>
      <c r="E2650" s="16">
        <f>IFERROR(__xludf.DUMMYFUNCTION("""COMPUTED_VALUE"""),67.0)</f>
        <v>67</v>
      </c>
      <c r="F2650" s="19" t="str">
        <f>IFERROR(__xludf.DUMMYFUNCTION("""COMPUTED_VALUE"""),"BLUE")</f>
        <v>BLUE</v>
      </c>
      <c r="G2650" s="20" t="str">
        <f>IFERROR(__xludf.DUMMYFUNCTION("""COMPUTED_VALUE"""),"Uncle Sams Cider (11/12/2021) (Blue)")</f>
        <v>Uncle Sams Cider (11/12/2021) (Blue)</v>
      </c>
      <c r="H2650" s="19"/>
    </row>
    <row r="2651">
      <c r="A2651" s="9"/>
      <c r="B2651" s="15"/>
      <c r="C2651" s="9">
        <f>IFERROR(__xludf.DUMMYFUNCTION("""COMPUTED_VALUE"""),44577.9313864467)</f>
        <v>44577.93139</v>
      </c>
      <c r="D2651" s="15">
        <f>IFERROR(__xludf.DUMMYFUNCTION("""COMPUTED_VALUE"""),1.002)</f>
        <v>1.002</v>
      </c>
      <c r="E2651" s="16">
        <f>IFERROR(__xludf.DUMMYFUNCTION("""COMPUTED_VALUE"""),68.0)</f>
        <v>68</v>
      </c>
      <c r="F2651" s="19" t="str">
        <f>IFERROR(__xludf.DUMMYFUNCTION("""COMPUTED_VALUE"""),"BLUE")</f>
        <v>BLUE</v>
      </c>
      <c r="G2651" s="20" t="str">
        <f>IFERROR(__xludf.DUMMYFUNCTION("""COMPUTED_VALUE"""),"Uncle Sams Cider (11/12/2021) (Blue)")</f>
        <v>Uncle Sams Cider (11/12/2021) (Blue)</v>
      </c>
      <c r="H2651" s="19"/>
    </row>
    <row r="2652">
      <c r="A2652" s="9"/>
      <c r="B2652" s="15"/>
      <c r="C2652" s="9">
        <f>IFERROR(__xludf.DUMMYFUNCTION("""COMPUTED_VALUE"""),44577.9209646296)</f>
        <v>44577.92096</v>
      </c>
      <c r="D2652" s="15">
        <f>IFERROR(__xludf.DUMMYFUNCTION("""COMPUTED_VALUE"""),1.002)</f>
        <v>1.002</v>
      </c>
      <c r="E2652" s="16">
        <f>IFERROR(__xludf.DUMMYFUNCTION("""COMPUTED_VALUE"""),67.0)</f>
        <v>67</v>
      </c>
      <c r="F2652" s="19" t="str">
        <f>IFERROR(__xludf.DUMMYFUNCTION("""COMPUTED_VALUE"""),"BLUE")</f>
        <v>BLUE</v>
      </c>
      <c r="G2652" s="20" t="str">
        <f>IFERROR(__xludf.DUMMYFUNCTION("""COMPUTED_VALUE"""),"Uncle Sams Cider (11/12/2021) (Blue)")</f>
        <v>Uncle Sams Cider (11/12/2021) (Blue)</v>
      </c>
      <c r="H2652" s="19"/>
    </row>
    <row r="2653">
      <c r="A2653" s="9"/>
      <c r="B2653" s="15"/>
      <c r="C2653" s="9">
        <f>IFERROR(__xludf.DUMMYFUNCTION("""COMPUTED_VALUE"""),44577.9105434259)</f>
        <v>44577.91054</v>
      </c>
      <c r="D2653" s="15">
        <f>IFERROR(__xludf.DUMMYFUNCTION("""COMPUTED_VALUE"""),1.002)</f>
        <v>1.002</v>
      </c>
      <c r="E2653" s="16">
        <f>IFERROR(__xludf.DUMMYFUNCTION("""COMPUTED_VALUE"""),67.0)</f>
        <v>67</v>
      </c>
      <c r="F2653" s="19" t="str">
        <f>IFERROR(__xludf.DUMMYFUNCTION("""COMPUTED_VALUE"""),"BLUE")</f>
        <v>BLUE</v>
      </c>
      <c r="G2653" s="20" t="str">
        <f>IFERROR(__xludf.DUMMYFUNCTION("""COMPUTED_VALUE"""),"Uncle Sams Cider (11/12/2021) (Blue)")</f>
        <v>Uncle Sams Cider (11/12/2021) (Blue)</v>
      </c>
      <c r="H2653" s="19"/>
    </row>
    <row r="2654">
      <c r="A2654" s="9"/>
      <c r="B2654" s="15"/>
      <c r="C2654" s="9">
        <f>IFERROR(__xludf.DUMMYFUNCTION("""COMPUTED_VALUE"""),44577.9001104745)</f>
        <v>44577.90011</v>
      </c>
      <c r="D2654" s="15">
        <f>IFERROR(__xludf.DUMMYFUNCTION("""COMPUTED_VALUE"""),1.002)</f>
        <v>1.002</v>
      </c>
      <c r="E2654" s="16">
        <f>IFERROR(__xludf.DUMMYFUNCTION("""COMPUTED_VALUE"""),66.0)</f>
        <v>66</v>
      </c>
      <c r="F2654" s="19" t="str">
        <f>IFERROR(__xludf.DUMMYFUNCTION("""COMPUTED_VALUE"""),"BLUE")</f>
        <v>BLUE</v>
      </c>
      <c r="G2654" s="20" t="str">
        <f>IFERROR(__xludf.DUMMYFUNCTION("""COMPUTED_VALUE"""),"Uncle Sams Cider (11/12/2021) (Blue)")</f>
        <v>Uncle Sams Cider (11/12/2021) (Blue)</v>
      </c>
      <c r="H2654" s="19"/>
    </row>
    <row r="2655">
      <c r="A2655" s="9"/>
      <c r="B2655" s="15"/>
      <c r="C2655" s="9">
        <f>IFERROR(__xludf.DUMMYFUNCTION("""COMPUTED_VALUE"""),44577.8896863888)</f>
        <v>44577.88969</v>
      </c>
      <c r="D2655" s="15">
        <f>IFERROR(__xludf.DUMMYFUNCTION("""COMPUTED_VALUE"""),1.002)</f>
        <v>1.002</v>
      </c>
      <c r="E2655" s="16">
        <f>IFERROR(__xludf.DUMMYFUNCTION("""COMPUTED_VALUE"""),66.0)</f>
        <v>66</v>
      </c>
      <c r="F2655" s="19" t="str">
        <f>IFERROR(__xludf.DUMMYFUNCTION("""COMPUTED_VALUE"""),"BLUE")</f>
        <v>BLUE</v>
      </c>
      <c r="G2655" s="20" t="str">
        <f>IFERROR(__xludf.DUMMYFUNCTION("""COMPUTED_VALUE"""),"Uncle Sams Cider (11/12/2021) (Blue)")</f>
        <v>Uncle Sams Cider (11/12/2021) (Blue)</v>
      </c>
      <c r="H2655" s="19"/>
    </row>
    <row r="2656">
      <c r="A2656" s="9"/>
      <c r="B2656" s="15"/>
      <c r="C2656" s="9">
        <f>IFERROR(__xludf.DUMMYFUNCTION("""COMPUTED_VALUE"""),44577.8792660185)</f>
        <v>44577.87927</v>
      </c>
      <c r="D2656" s="15">
        <f>IFERROR(__xludf.DUMMYFUNCTION("""COMPUTED_VALUE"""),1.002)</f>
        <v>1.002</v>
      </c>
      <c r="E2656" s="16">
        <f>IFERROR(__xludf.DUMMYFUNCTION("""COMPUTED_VALUE"""),66.0)</f>
        <v>66</v>
      </c>
      <c r="F2656" s="19" t="str">
        <f>IFERROR(__xludf.DUMMYFUNCTION("""COMPUTED_VALUE"""),"BLUE")</f>
        <v>BLUE</v>
      </c>
      <c r="G2656" s="20" t="str">
        <f>IFERROR(__xludf.DUMMYFUNCTION("""COMPUTED_VALUE"""),"Uncle Sams Cider (11/12/2021) (Blue)")</f>
        <v>Uncle Sams Cider (11/12/2021) (Blue)</v>
      </c>
      <c r="H2656" s="19"/>
    </row>
    <row r="2657">
      <c r="A2657" s="9"/>
      <c r="B2657" s="15"/>
      <c r="C2657" s="9">
        <f>IFERROR(__xludf.DUMMYFUNCTION("""COMPUTED_VALUE"""),44577.8688453356)</f>
        <v>44577.86885</v>
      </c>
      <c r="D2657" s="15">
        <f>IFERROR(__xludf.DUMMYFUNCTION("""COMPUTED_VALUE"""),1.003)</f>
        <v>1.003</v>
      </c>
      <c r="E2657" s="16">
        <f>IFERROR(__xludf.DUMMYFUNCTION("""COMPUTED_VALUE"""),65.0)</f>
        <v>65</v>
      </c>
      <c r="F2657" s="19" t="str">
        <f>IFERROR(__xludf.DUMMYFUNCTION("""COMPUTED_VALUE"""),"BLUE")</f>
        <v>BLUE</v>
      </c>
      <c r="G2657" s="20" t="str">
        <f>IFERROR(__xludf.DUMMYFUNCTION("""COMPUTED_VALUE"""),"Uncle Sams Cider (11/12/2021) (Blue)")</f>
        <v>Uncle Sams Cider (11/12/2021) (Blue)</v>
      </c>
      <c r="H2657" s="19"/>
    </row>
    <row r="2658">
      <c r="A2658" s="9"/>
      <c r="B2658" s="15"/>
      <c r="C2658" s="9">
        <f>IFERROR(__xludf.DUMMYFUNCTION("""COMPUTED_VALUE"""),44577.8583788425)</f>
        <v>44577.85838</v>
      </c>
      <c r="D2658" s="15">
        <f>IFERROR(__xludf.DUMMYFUNCTION("""COMPUTED_VALUE"""),1.002)</f>
        <v>1.002</v>
      </c>
      <c r="E2658" s="16">
        <f>IFERROR(__xludf.DUMMYFUNCTION("""COMPUTED_VALUE"""),65.0)</f>
        <v>65</v>
      </c>
      <c r="F2658" s="19" t="str">
        <f>IFERROR(__xludf.DUMMYFUNCTION("""COMPUTED_VALUE"""),"BLUE")</f>
        <v>BLUE</v>
      </c>
      <c r="G2658" s="20" t="str">
        <f>IFERROR(__xludf.DUMMYFUNCTION("""COMPUTED_VALUE"""),"Uncle Sams Cider (11/12/2021) (Blue)")</f>
        <v>Uncle Sams Cider (11/12/2021) (Blue)</v>
      </c>
      <c r="H2658" s="19"/>
    </row>
    <row r="2659">
      <c r="A2659" s="9"/>
      <c r="B2659" s="15"/>
      <c r="C2659" s="9">
        <f>IFERROR(__xludf.DUMMYFUNCTION("""COMPUTED_VALUE"""),44577.8479573495)</f>
        <v>44577.84796</v>
      </c>
      <c r="D2659" s="15">
        <f>IFERROR(__xludf.DUMMYFUNCTION("""COMPUTED_VALUE"""),1.003)</f>
        <v>1.003</v>
      </c>
      <c r="E2659" s="16">
        <f>IFERROR(__xludf.DUMMYFUNCTION("""COMPUTED_VALUE"""),64.0)</f>
        <v>64</v>
      </c>
      <c r="F2659" s="19" t="str">
        <f>IFERROR(__xludf.DUMMYFUNCTION("""COMPUTED_VALUE"""),"BLUE")</f>
        <v>BLUE</v>
      </c>
      <c r="G2659" s="20" t="str">
        <f>IFERROR(__xludf.DUMMYFUNCTION("""COMPUTED_VALUE"""),"Uncle Sams Cider (11/12/2021) (Blue)")</f>
        <v>Uncle Sams Cider (11/12/2021) (Blue)</v>
      </c>
      <c r="H2659" s="19"/>
    </row>
    <row r="2660">
      <c r="A2660" s="9"/>
      <c r="B2660" s="15"/>
      <c r="C2660" s="9">
        <f>IFERROR(__xludf.DUMMYFUNCTION("""COMPUTED_VALUE"""),44577.8375356134)</f>
        <v>44577.83754</v>
      </c>
      <c r="D2660" s="15">
        <f>IFERROR(__xludf.DUMMYFUNCTION("""COMPUTED_VALUE"""),1.003)</f>
        <v>1.003</v>
      </c>
      <c r="E2660" s="16">
        <f>IFERROR(__xludf.DUMMYFUNCTION("""COMPUTED_VALUE"""),64.0)</f>
        <v>64</v>
      </c>
      <c r="F2660" s="19" t="str">
        <f>IFERROR(__xludf.DUMMYFUNCTION("""COMPUTED_VALUE"""),"BLUE")</f>
        <v>BLUE</v>
      </c>
      <c r="G2660" s="20" t="str">
        <f>IFERROR(__xludf.DUMMYFUNCTION("""COMPUTED_VALUE"""),"Uncle Sams Cider (11/12/2021) (Blue)")</f>
        <v>Uncle Sams Cider (11/12/2021) (Blue)</v>
      </c>
      <c r="H2660" s="19"/>
    </row>
    <row r="2661">
      <c r="A2661" s="9"/>
      <c r="B2661" s="15"/>
      <c r="C2661" s="9">
        <f>IFERROR(__xludf.DUMMYFUNCTION("""COMPUTED_VALUE"""),44577.8271131481)</f>
        <v>44577.82711</v>
      </c>
      <c r="D2661" s="15">
        <f>IFERROR(__xludf.DUMMYFUNCTION("""COMPUTED_VALUE"""),1.003)</f>
        <v>1.003</v>
      </c>
      <c r="E2661" s="16">
        <f>IFERROR(__xludf.DUMMYFUNCTION("""COMPUTED_VALUE"""),64.0)</f>
        <v>64</v>
      </c>
      <c r="F2661" s="19" t="str">
        <f>IFERROR(__xludf.DUMMYFUNCTION("""COMPUTED_VALUE"""),"BLUE")</f>
        <v>BLUE</v>
      </c>
      <c r="G2661" s="20" t="str">
        <f>IFERROR(__xludf.DUMMYFUNCTION("""COMPUTED_VALUE"""),"Uncle Sams Cider (11/12/2021) (Blue)")</f>
        <v>Uncle Sams Cider (11/12/2021) (Blue)</v>
      </c>
      <c r="H2661" s="19"/>
    </row>
    <row r="2662">
      <c r="A2662" s="9"/>
      <c r="B2662" s="15"/>
      <c r="C2662" s="9">
        <f>IFERROR(__xludf.DUMMYFUNCTION("""COMPUTED_VALUE"""),44577.8166905208)</f>
        <v>44577.81669</v>
      </c>
      <c r="D2662" s="15">
        <f>IFERROR(__xludf.DUMMYFUNCTION("""COMPUTED_VALUE"""),1.003)</f>
        <v>1.003</v>
      </c>
      <c r="E2662" s="16">
        <f>IFERROR(__xludf.DUMMYFUNCTION("""COMPUTED_VALUE"""),63.0)</f>
        <v>63</v>
      </c>
      <c r="F2662" s="19" t="str">
        <f>IFERROR(__xludf.DUMMYFUNCTION("""COMPUTED_VALUE"""),"BLUE")</f>
        <v>BLUE</v>
      </c>
      <c r="G2662" s="20" t="str">
        <f>IFERROR(__xludf.DUMMYFUNCTION("""COMPUTED_VALUE"""),"Uncle Sams Cider (11/12/2021) (Blue)")</f>
        <v>Uncle Sams Cider (11/12/2021) (Blue)</v>
      </c>
      <c r="H2662" s="19"/>
    </row>
    <row r="2663">
      <c r="A2663" s="9"/>
      <c r="B2663" s="15"/>
      <c r="C2663" s="9">
        <f>IFERROR(__xludf.DUMMYFUNCTION("""COMPUTED_VALUE"""),44577.8062694675)</f>
        <v>44577.80627</v>
      </c>
      <c r="D2663" s="15">
        <f>IFERROR(__xludf.DUMMYFUNCTION("""COMPUTED_VALUE"""),1.003)</f>
        <v>1.003</v>
      </c>
      <c r="E2663" s="16">
        <f>IFERROR(__xludf.DUMMYFUNCTION("""COMPUTED_VALUE"""),63.0)</f>
        <v>63</v>
      </c>
      <c r="F2663" s="19" t="str">
        <f>IFERROR(__xludf.DUMMYFUNCTION("""COMPUTED_VALUE"""),"BLUE")</f>
        <v>BLUE</v>
      </c>
      <c r="G2663" s="20" t="str">
        <f>IFERROR(__xludf.DUMMYFUNCTION("""COMPUTED_VALUE"""),"Uncle Sams Cider (11/12/2021) (Blue)")</f>
        <v>Uncle Sams Cider (11/12/2021) (Blue)</v>
      </c>
      <c r="H2663" s="19"/>
    </row>
    <row r="2664">
      <c r="A2664" s="9"/>
      <c r="B2664" s="15"/>
      <c r="C2664" s="9">
        <f>IFERROR(__xludf.DUMMYFUNCTION("""COMPUTED_VALUE"""),44577.7958015856)</f>
        <v>44577.7958</v>
      </c>
      <c r="D2664" s="15">
        <f>IFERROR(__xludf.DUMMYFUNCTION("""COMPUTED_VALUE"""),1.003)</f>
        <v>1.003</v>
      </c>
      <c r="E2664" s="16">
        <f>IFERROR(__xludf.DUMMYFUNCTION("""COMPUTED_VALUE"""),62.0)</f>
        <v>62</v>
      </c>
      <c r="F2664" s="19" t="str">
        <f>IFERROR(__xludf.DUMMYFUNCTION("""COMPUTED_VALUE"""),"BLUE")</f>
        <v>BLUE</v>
      </c>
      <c r="G2664" s="20" t="str">
        <f>IFERROR(__xludf.DUMMYFUNCTION("""COMPUTED_VALUE"""),"Uncle Sams Cider (11/12/2021) (Blue)")</f>
        <v>Uncle Sams Cider (11/12/2021) (Blue)</v>
      </c>
      <c r="H2664" s="19"/>
    </row>
    <row r="2665">
      <c r="A2665" s="9"/>
      <c r="B2665" s="15"/>
      <c r="C2665" s="9">
        <f>IFERROR(__xludf.DUMMYFUNCTION("""COMPUTED_VALUE"""),44577.7853810879)</f>
        <v>44577.78538</v>
      </c>
      <c r="D2665" s="15">
        <f>IFERROR(__xludf.DUMMYFUNCTION("""COMPUTED_VALUE"""),1.003)</f>
        <v>1.003</v>
      </c>
      <c r="E2665" s="16">
        <f>IFERROR(__xludf.DUMMYFUNCTION("""COMPUTED_VALUE"""),62.0)</f>
        <v>62</v>
      </c>
      <c r="F2665" s="19" t="str">
        <f>IFERROR(__xludf.DUMMYFUNCTION("""COMPUTED_VALUE"""),"BLUE")</f>
        <v>BLUE</v>
      </c>
      <c r="G2665" s="20" t="str">
        <f>IFERROR(__xludf.DUMMYFUNCTION("""COMPUTED_VALUE"""),"Uncle Sams Cider (11/12/2021) (Blue)")</f>
        <v>Uncle Sams Cider (11/12/2021) (Blue)</v>
      </c>
      <c r="H2665" s="19"/>
    </row>
    <row r="2666">
      <c r="A2666" s="9"/>
      <c r="B2666" s="15"/>
      <c r="C2666" s="9">
        <f>IFERROR(__xludf.DUMMYFUNCTION("""COMPUTED_VALUE"""),44577.7749597106)</f>
        <v>44577.77496</v>
      </c>
      <c r="D2666" s="15">
        <f>IFERROR(__xludf.DUMMYFUNCTION("""COMPUTED_VALUE"""),1.003)</f>
        <v>1.003</v>
      </c>
      <c r="E2666" s="16">
        <f>IFERROR(__xludf.DUMMYFUNCTION("""COMPUTED_VALUE"""),61.0)</f>
        <v>61</v>
      </c>
      <c r="F2666" s="19" t="str">
        <f>IFERROR(__xludf.DUMMYFUNCTION("""COMPUTED_VALUE"""),"BLUE")</f>
        <v>BLUE</v>
      </c>
      <c r="G2666" s="20" t="str">
        <f>IFERROR(__xludf.DUMMYFUNCTION("""COMPUTED_VALUE"""),"Uncle Sams Cider (11/12/2021) (Blue)")</f>
        <v>Uncle Sams Cider (11/12/2021) (Blue)</v>
      </c>
      <c r="H2666" s="19"/>
    </row>
    <row r="2667">
      <c r="A2667" s="9"/>
      <c r="B2667" s="15"/>
      <c r="C2667" s="9">
        <f>IFERROR(__xludf.DUMMYFUNCTION("""COMPUTED_VALUE"""),44577.7645270486)</f>
        <v>44577.76453</v>
      </c>
      <c r="D2667" s="15">
        <f>IFERROR(__xludf.DUMMYFUNCTION("""COMPUTED_VALUE"""),1.003)</f>
        <v>1.003</v>
      </c>
      <c r="E2667" s="16">
        <f>IFERROR(__xludf.DUMMYFUNCTION("""COMPUTED_VALUE"""),61.0)</f>
        <v>61</v>
      </c>
      <c r="F2667" s="19" t="str">
        <f>IFERROR(__xludf.DUMMYFUNCTION("""COMPUTED_VALUE"""),"BLUE")</f>
        <v>BLUE</v>
      </c>
      <c r="G2667" s="20" t="str">
        <f>IFERROR(__xludf.DUMMYFUNCTION("""COMPUTED_VALUE"""),"Uncle Sams Cider (11/12/2021) (Blue)")</f>
        <v>Uncle Sams Cider (11/12/2021) (Blue)</v>
      </c>
      <c r="H2667" s="19"/>
    </row>
    <row r="2668">
      <c r="A2668" s="9"/>
      <c r="B2668" s="15"/>
      <c r="C2668" s="9">
        <f>IFERROR(__xludf.DUMMYFUNCTION("""COMPUTED_VALUE"""),44577.754105081)</f>
        <v>44577.75411</v>
      </c>
      <c r="D2668" s="15">
        <f>IFERROR(__xludf.DUMMYFUNCTION("""COMPUTED_VALUE"""),1.003)</f>
        <v>1.003</v>
      </c>
      <c r="E2668" s="16">
        <f>IFERROR(__xludf.DUMMYFUNCTION("""COMPUTED_VALUE"""),61.0)</f>
        <v>61</v>
      </c>
      <c r="F2668" s="19" t="str">
        <f>IFERROR(__xludf.DUMMYFUNCTION("""COMPUTED_VALUE"""),"BLUE")</f>
        <v>BLUE</v>
      </c>
      <c r="G2668" s="20" t="str">
        <f>IFERROR(__xludf.DUMMYFUNCTION("""COMPUTED_VALUE"""),"Uncle Sams Cider (11/12/2021) (Blue)")</f>
        <v>Uncle Sams Cider (11/12/2021) (Blue)</v>
      </c>
      <c r="H2668" s="19"/>
    </row>
    <row r="2669">
      <c r="A2669" s="9"/>
      <c r="B2669" s="15"/>
      <c r="C2669" s="9">
        <f>IFERROR(__xludf.DUMMYFUNCTION("""COMPUTED_VALUE"""),44577.7436723495)</f>
        <v>44577.74367</v>
      </c>
      <c r="D2669" s="15">
        <f>IFERROR(__xludf.DUMMYFUNCTION("""COMPUTED_VALUE"""),1.003)</f>
        <v>1.003</v>
      </c>
      <c r="E2669" s="16">
        <f>IFERROR(__xludf.DUMMYFUNCTION("""COMPUTED_VALUE"""),61.0)</f>
        <v>61</v>
      </c>
      <c r="F2669" s="19" t="str">
        <f>IFERROR(__xludf.DUMMYFUNCTION("""COMPUTED_VALUE"""),"BLUE")</f>
        <v>BLUE</v>
      </c>
      <c r="G2669" s="20" t="str">
        <f>IFERROR(__xludf.DUMMYFUNCTION("""COMPUTED_VALUE"""),"Uncle Sams Cider (11/12/2021) (Blue)")</f>
        <v>Uncle Sams Cider (11/12/2021) (Blue)</v>
      </c>
      <c r="H2669" s="19"/>
    </row>
    <row r="2670">
      <c r="A2670" s="9"/>
      <c r="B2670" s="15"/>
      <c r="C2670" s="9">
        <f>IFERROR(__xludf.DUMMYFUNCTION("""COMPUTED_VALUE"""),44577.7332512615)</f>
        <v>44577.73325</v>
      </c>
      <c r="D2670" s="15">
        <f>IFERROR(__xludf.DUMMYFUNCTION("""COMPUTED_VALUE"""),1.003)</f>
        <v>1.003</v>
      </c>
      <c r="E2670" s="16">
        <f>IFERROR(__xludf.DUMMYFUNCTION("""COMPUTED_VALUE"""),62.0)</f>
        <v>62</v>
      </c>
      <c r="F2670" s="19" t="str">
        <f>IFERROR(__xludf.DUMMYFUNCTION("""COMPUTED_VALUE"""),"BLUE")</f>
        <v>BLUE</v>
      </c>
      <c r="G2670" s="20" t="str">
        <f>IFERROR(__xludf.DUMMYFUNCTION("""COMPUTED_VALUE"""),"Uncle Sams Cider (11/12/2021) (Blue)")</f>
        <v>Uncle Sams Cider (11/12/2021) (Blue)</v>
      </c>
      <c r="H2670" s="19"/>
    </row>
    <row r="2671">
      <c r="A2671" s="9"/>
      <c r="B2671" s="15"/>
      <c r="C2671" s="9">
        <f>IFERROR(__xludf.DUMMYFUNCTION("""COMPUTED_VALUE"""),44577.722830949)</f>
        <v>44577.72283</v>
      </c>
      <c r="D2671" s="15">
        <f>IFERROR(__xludf.DUMMYFUNCTION("""COMPUTED_VALUE"""),1.003)</f>
        <v>1.003</v>
      </c>
      <c r="E2671" s="16">
        <f>IFERROR(__xludf.DUMMYFUNCTION("""COMPUTED_VALUE"""),61.0)</f>
        <v>61</v>
      </c>
      <c r="F2671" s="19" t="str">
        <f>IFERROR(__xludf.DUMMYFUNCTION("""COMPUTED_VALUE"""),"BLUE")</f>
        <v>BLUE</v>
      </c>
      <c r="G2671" s="20" t="str">
        <f>IFERROR(__xludf.DUMMYFUNCTION("""COMPUTED_VALUE"""),"Uncle Sams Cider (11/12/2021) (Blue)")</f>
        <v>Uncle Sams Cider (11/12/2021) (Blue)</v>
      </c>
      <c r="H2671" s="19"/>
    </row>
    <row r="2672">
      <c r="A2672" s="9"/>
      <c r="B2672" s="15"/>
      <c r="C2672" s="9">
        <f>IFERROR(__xludf.DUMMYFUNCTION("""COMPUTED_VALUE"""),44577.7124106828)</f>
        <v>44577.71241</v>
      </c>
      <c r="D2672" s="15">
        <f>IFERROR(__xludf.DUMMYFUNCTION("""COMPUTED_VALUE"""),1.003)</f>
        <v>1.003</v>
      </c>
      <c r="E2672" s="16">
        <f>IFERROR(__xludf.DUMMYFUNCTION("""COMPUTED_VALUE"""),61.0)</f>
        <v>61</v>
      </c>
      <c r="F2672" s="19" t="str">
        <f>IFERROR(__xludf.DUMMYFUNCTION("""COMPUTED_VALUE"""),"BLUE")</f>
        <v>BLUE</v>
      </c>
      <c r="G2672" s="20" t="str">
        <f>IFERROR(__xludf.DUMMYFUNCTION("""COMPUTED_VALUE"""),"Uncle Sams Cider (11/12/2021) (Blue)")</f>
        <v>Uncle Sams Cider (11/12/2021) (Blue)</v>
      </c>
      <c r="H2672" s="19"/>
    </row>
    <row r="2673">
      <c r="A2673" s="9"/>
      <c r="B2673" s="15"/>
      <c r="C2673" s="9">
        <f>IFERROR(__xludf.DUMMYFUNCTION("""COMPUTED_VALUE"""),44577.701990706)</f>
        <v>44577.70199</v>
      </c>
      <c r="D2673" s="15">
        <f>IFERROR(__xludf.DUMMYFUNCTION("""COMPUTED_VALUE"""),1.003)</f>
        <v>1.003</v>
      </c>
      <c r="E2673" s="16">
        <f>IFERROR(__xludf.DUMMYFUNCTION("""COMPUTED_VALUE"""),61.0)</f>
        <v>61</v>
      </c>
      <c r="F2673" s="19" t="str">
        <f>IFERROR(__xludf.DUMMYFUNCTION("""COMPUTED_VALUE"""),"BLUE")</f>
        <v>BLUE</v>
      </c>
      <c r="G2673" s="20" t="str">
        <f>IFERROR(__xludf.DUMMYFUNCTION("""COMPUTED_VALUE"""),"Uncle Sams Cider (11/12/2021) (Blue)")</f>
        <v>Uncle Sams Cider (11/12/2021) (Blue)</v>
      </c>
      <c r="H2673" s="19"/>
    </row>
    <row r="2674">
      <c r="A2674" s="9"/>
      <c r="B2674" s="15"/>
      <c r="C2674" s="9">
        <f>IFERROR(__xludf.DUMMYFUNCTION("""COMPUTED_VALUE"""),44577.6915577777)</f>
        <v>44577.69156</v>
      </c>
      <c r="D2674" s="15">
        <f>IFERROR(__xludf.DUMMYFUNCTION("""COMPUTED_VALUE"""),1.003)</f>
        <v>1.003</v>
      </c>
      <c r="E2674" s="16">
        <f>IFERROR(__xludf.DUMMYFUNCTION("""COMPUTED_VALUE"""),62.0)</f>
        <v>62</v>
      </c>
      <c r="F2674" s="19" t="str">
        <f>IFERROR(__xludf.DUMMYFUNCTION("""COMPUTED_VALUE"""),"BLUE")</f>
        <v>BLUE</v>
      </c>
      <c r="G2674" s="20" t="str">
        <f>IFERROR(__xludf.DUMMYFUNCTION("""COMPUTED_VALUE"""),"Uncle Sams Cider (11/12/2021) (Blue)")</f>
        <v>Uncle Sams Cider (11/12/2021) (Blue)</v>
      </c>
      <c r="H2674" s="19"/>
    </row>
    <row r="2675">
      <c r="A2675" s="9"/>
      <c r="B2675" s="15"/>
      <c r="C2675" s="9">
        <f>IFERROR(__xludf.DUMMYFUNCTION("""COMPUTED_VALUE"""),44577.6811363078)</f>
        <v>44577.68114</v>
      </c>
      <c r="D2675" s="15">
        <f>IFERROR(__xludf.DUMMYFUNCTION("""COMPUTED_VALUE"""),1.003)</f>
        <v>1.003</v>
      </c>
      <c r="E2675" s="16">
        <f>IFERROR(__xludf.DUMMYFUNCTION("""COMPUTED_VALUE"""),62.0)</f>
        <v>62</v>
      </c>
      <c r="F2675" s="19" t="str">
        <f>IFERROR(__xludf.DUMMYFUNCTION("""COMPUTED_VALUE"""),"BLUE")</f>
        <v>BLUE</v>
      </c>
      <c r="G2675" s="20" t="str">
        <f>IFERROR(__xludf.DUMMYFUNCTION("""COMPUTED_VALUE"""),"Uncle Sams Cider (11/12/2021) (Blue)")</f>
        <v>Uncle Sams Cider (11/12/2021) (Blue)</v>
      </c>
      <c r="H2675" s="19"/>
    </row>
    <row r="2676">
      <c r="A2676" s="9"/>
      <c r="B2676" s="15"/>
      <c r="C2676" s="9">
        <f>IFERROR(__xludf.DUMMYFUNCTION("""COMPUTED_VALUE"""),44577.6707171296)</f>
        <v>44577.67072</v>
      </c>
      <c r="D2676" s="15">
        <f>IFERROR(__xludf.DUMMYFUNCTION("""COMPUTED_VALUE"""),1.003)</f>
        <v>1.003</v>
      </c>
      <c r="E2676" s="16">
        <f>IFERROR(__xludf.DUMMYFUNCTION("""COMPUTED_VALUE"""),62.0)</f>
        <v>62</v>
      </c>
      <c r="F2676" s="19" t="str">
        <f>IFERROR(__xludf.DUMMYFUNCTION("""COMPUTED_VALUE"""),"BLUE")</f>
        <v>BLUE</v>
      </c>
      <c r="G2676" s="20" t="str">
        <f>IFERROR(__xludf.DUMMYFUNCTION("""COMPUTED_VALUE"""),"Uncle Sams Cider (11/12/2021) (Blue)")</f>
        <v>Uncle Sams Cider (11/12/2021) (Blue)</v>
      </c>
      <c r="H2676" s="19"/>
    </row>
    <row r="2677">
      <c r="A2677" s="9"/>
      <c r="B2677" s="15"/>
      <c r="C2677" s="9">
        <f>IFERROR(__xludf.DUMMYFUNCTION("""COMPUTED_VALUE"""),44577.660285081)</f>
        <v>44577.66029</v>
      </c>
      <c r="D2677" s="15">
        <f>IFERROR(__xludf.DUMMYFUNCTION("""COMPUTED_VALUE"""),1.003)</f>
        <v>1.003</v>
      </c>
      <c r="E2677" s="16">
        <f>IFERROR(__xludf.DUMMYFUNCTION("""COMPUTED_VALUE"""),62.0)</f>
        <v>62</v>
      </c>
      <c r="F2677" s="19" t="str">
        <f>IFERROR(__xludf.DUMMYFUNCTION("""COMPUTED_VALUE"""),"BLUE")</f>
        <v>BLUE</v>
      </c>
      <c r="G2677" s="20" t="str">
        <f>IFERROR(__xludf.DUMMYFUNCTION("""COMPUTED_VALUE"""),"Uncle Sams Cider (11/12/2021) (Blue)")</f>
        <v>Uncle Sams Cider (11/12/2021) (Blue)</v>
      </c>
      <c r="H2677" s="19"/>
    </row>
    <row r="2678">
      <c r="A2678" s="9"/>
      <c r="B2678" s="15"/>
      <c r="C2678" s="9">
        <f>IFERROR(__xludf.DUMMYFUNCTION("""COMPUTED_VALUE"""),44577.6498654282)</f>
        <v>44577.64987</v>
      </c>
      <c r="D2678" s="15">
        <f>IFERROR(__xludf.DUMMYFUNCTION("""COMPUTED_VALUE"""),1.003)</f>
        <v>1.003</v>
      </c>
      <c r="E2678" s="16">
        <f>IFERROR(__xludf.DUMMYFUNCTION("""COMPUTED_VALUE"""),62.0)</f>
        <v>62</v>
      </c>
      <c r="F2678" s="19" t="str">
        <f>IFERROR(__xludf.DUMMYFUNCTION("""COMPUTED_VALUE"""),"BLUE")</f>
        <v>BLUE</v>
      </c>
      <c r="G2678" s="20" t="str">
        <f>IFERROR(__xludf.DUMMYFUNCTION("""COMPUTED_VALUE"""),"Uncle Sams Cider (11/12/2021) (Blue)")</f>
        <v>Uncle Sams Cider (11/12/2021) (Blue)</v>
      </c>
      <c r="H2678" s="19"/>
    </row>
    <row r="2679">
      <c r="A2679" s="9"/>
      <c r="B2679" s="15"/>
      <c r="C2679" s="9">
        <f>IFERROR(__xludf.DUMMYFUNCTION("""COMPUTED_VALUE"""),44577.6394444675)</f>
        <v>44577.63944</v>
      </c>
      <c r="D2679" s="15">
        <f>IFERROR(__xludf.DUMMYFUNCTION("""COMPUTED_VALUE"""),1.003)</f>
        <v>1.003</v>
      </c>
      <c r="E2679" s="16">
        <f>IFERROR(__xludf.DUMMYFUNCTION("""COMPUTED_VALUE"""),62.0)</f>
        <v>62</v>
      </c>
      <c r="F2679" s="19" t="str">
        <f>IFERROR(__xludf.DUMMYFUNCTION("""COMPUTED_VALUE"""),"BLUE")</f>
        <v>BLUE</v>
      </c>
      <c r="G2679" s="20" t="str">
        <f>IFERROR(__xludf.DUMMYFUNCTION("""COMPUTED_VALUE"""),"Uncle Sams Cider (11/12/2021) (Blue)")</f>
        <v>Uncle Sams Cider (11/12/2021) (Blue)</v>
      </c>
      <c r="H2679" s="19"/>
    </row>
    <row r="2680">
      <c r="A2680" s="9"/>
      <c r="B2680" s="15"/>
      <c r="C2680" s="9">
        <f>IFERROR(__xludf.DUMMYFUNCTION("""COMPUTED_VALUE"""),44577.6290221296)</f>
        <v>44577.62902</v>
      </c>
      <c r="D2680" s="15">
        <f>IFERROR(__xludf.DUMMYFUNCTION("""COMPUTED_VALUE"""),1.003)</f>
        <v>1.003</v>
      </c>
      <c r="E2680" s="16">
        <f>IFERROR(__xludf.DUMMYFUNCTION("""COMPUTED_VALUE"""),62.0)</f>
        <v>62</v>
      </c>
      <c r="F2680" s="19" t="str">
        <f>IFERROR(__xludf.DUMMYFUNCTION("""COMPUTED_VALUE"""),"BLUE")</f>
        <v>BLUE</v>
      </c>
      <c r="G2680" s="20" t="str">
        <f>IFERROR(__xludf.DUMMYFUNCTION("""COMPUTED_VALUE"""),"Uncle Sams Cider (11/12/2021) (Blue)")</f>
        <v>Uncle Sams Cider (11/12/2021) (Blue)</v>
      </c>
      <c r="H2680" s="19"/>
    </row>
    <row r="2681">
      <c r="A2681" s="9"/>
      <c r="B2681" s="15"/>
      <c r="C2681" s="9">
        <f>IFERROR(__xludf.DUMMYFUNCTION("""COMPUTED_VALUE"""),44577.6185902777)</f>
        <v>44577.61859</v>
      </c>
      <c r="D2681" s="15">
        <f>IFERROR(__xludf.DUMMYFUNCTION("""COMPUTED_VALUE"""),1.003)</f>
        <v>1.003</v>
      </c>
      <c r="E2681" s="16">
        <f>IFERROR(__xludf.DUMMYFUNCTION("""COMPUTED_VALUE"""),62.0)</f>
        <v>62</v>
      </c>
      <c r="F2681" s="19" t="str">
        <f>IFERROR(__xludf.DUMMYFUNCTION("""COMPUTED_VALUE"""),"BLUE")</f>
        <v>BLUE</v>
      </c>
      <c r="G2681" s="20" t="str">
        <f>IFERROR(__xludf.DUMMYFUNCTION("""COMPUTED_VALUE"""),"Uncle Sams Cider (11/12/2021) (Blue)")</f>
        <v>Uncle Sams Cider (11/12/2021) (Blue)</v>
      </c>
      <c r="H2681" s="19"/>
    </row>
    <row r="2682">
      <c r="A2682" s="9"/>
      <c r="B2682" s="15"/>
      <c r="C2682" s="9">
        <f>IFERROR(__xludf.DUMMYFUNCTION("""COMPUTED_VALUE"""),44577.6081704166)</f>
        <v>44577.60817</v>
      </c>
      <c r="D2682" s="15">
        <f>IFERROR(__xludf.DUMMYFUNCTION("""COMPUTED_VALUE"""),1.003)</f>
        <v>1.003</v>
      </c>
      <c r="E2682" s="16">
        <f>IFERROR(__xludf.DUMMYFUNCTION("""COMPUTED_VALUE"""),62.0)</f>
        <v>62</v>
      </c>
      <c r="F2682" s="19" t="str">
        <f>IFERROR(__xludf.DUMMYFUNCTION("""COMPUTED_VALUE"""),"BLUE")</f>
        <v>BLUE</v>
      </c>
      <c r="G2682" s="20" t="str">
        <f>IFERROR(__xludf.DUMMYFUNCTION("""COMPUTED_VALUE"""),"Uncle Sams Cider (11/12/2021) (Blue)")</f>
        <v>Uncle Sams Cider (11/12/2021) (Blue)</v>
      </c>
      <c r="H2682" s="19"/>
    </row>
    <row r="2683">
      <c r="A2683" s="9"/>
      <c r="B2683" s="15"/>
      <c r="C2683" s="9">
        <f>IFERROR(__xludf.DUMMYFUNCTION("""COMPUTED_VALUE"""),44577.5977381712)</f>
        <v>44577.59774</v>
      </c>
      <c r="D2683" s="15">
        <f>IFERROR(__xludf.DUMMYFUNCTION("""COMPUTED_VALUE"""),1.003)</f>
        <v>1.003</v>
      </c>
      <c r="E2683" s="16">
        <f>IFERROR(__xludf.DUMMYFUNCTION("""COMPUTED_VALUE"""),62.0)</f>
        <v>62</v>
      </c>
      <c r="F2683" s="19" t="str">
        <f>IFERROR(__xludf.DUMMYFUNCTION("""COMPUTED_VALUE"""),"BLUE")</f>
        <v>BLUE</v>
      </c>
      <c r="G2683" s="20" t="str">
        <f>IFERROR(__xludf.DUMMYFUNCTION("""COMPUTED_VALUE"""),"Uncle Sams Cider (11/12/2021) (Blue)")</f>
        <v>Uncle Sams Cider (11/12/2021) (Blue)</v>
      </c>
      <c r="H2683" s="19"/>
    </row>
    <row r="2684">
      <c r="A2684" s="9"/>
      <c r="B2684" s="15"/>
      <c r="C2684" s="9">
        <f>IFERROR(__xludf.DUMMYFUNCTION("""COMPUTED_VALUE"""),44577.5873181134)</f>
        <v>44577.58732</v>
      </c>
      <c r="D2684" s="15">
        <f>IFERROR(__xludf.DUMMYFUNCTION("""COMPUTED_VALUE"""),1.003)</f>
        <v>1.003</v>
      </c>
      <c r="E2684" s="16">
        <f>IFERROR(__xludf.DUMMYFUNCTION("""COMPUTED_VALUE"""),62.0)</f>
        <v>62</v>
      </c>
      <c r="F2684" s="19" t="str">
        <f>IFERROR(__xludf.DUMMYFUNCTION("""COMPUTED_VALUE"""),"BLUE")</f>
        <v>BLUE</v>
      </c>
      <c r="G2684" s="20" t="str">
        <f>IFERROR(__xludf.DUMMYFUNCTION("""COMPUTED_VALUE"""),"Uncle Sams Cider (11/12/2021) (Blue)")</f>
        <v>Uncle Sams Cider (11/12/2021) (Blue)</v>
      </c>
      <c r="H2684" s="19"/>
    </row>
    <row r="2685">
      <c r="A2685" s="9"/>
      <c r="B2685" s="15"/>
      <c r="C2685" s="9">
        <f>IFERROR(__xludf.DUMMYFUNCTION("""COMPUTED_VALUE"""),44577.5768961111)</f>
        <v>44577.5769</v>
      </c>
      <c r="D2685" s="15">
        <f>IFERROR(__xludf.DUMMYFUNCTION("""COMPUTED_VALUE"""),1.003)</f>
        <v>1.003</v>
      </c>
      <c r="E2685" s="16">
        <f>IFERROR(__xludf.DUMMYFUNCTION("""COMPUTED_VALUE"""),62.0)</f>
        <v>62</v>
      </c>
      <c r="F2685" s="19" t="str">
        <f>IFERROR(__xludf.DUMMYFUNCTION("""COMPUTED_VALUE"""),"BLUE")</f>
        <v>BLUE</v>
      </c>
      <c r="G2685" s="20" t="str">
        <f>IFERROR(__xludf.DUMMYFUNCTION("""COMPUTED_VALUE"""),"Uncle Sams Cider (11/12/2021) (Blue)")</f>
        <v>Uncle Sams Cider (11/12/2021) (Blue)</v>
      </c>
      <c r="H2685" s="19"/>
    </row>
    <row r="2686">
      <c r="A2686" s="9"/>
      <c r="B2686" s="15"/>
      <c r="C2686" s="9">
        <f>IFERROR(__xludf.DUMMYFUNCTION("""COMPUTED_VALUE"""),44577.5664742824)</f>
        <v>44577.56647</v>
      </c>
      <c r="D2686" s="15">
        <f>IFERROR(__xludf.DUMMYFUNCTION("""COMPUTED_VALUE"""),1.003)</f>
        <v>1.003</v>
      </c>
      <c r="E2686" s="16">
        <f>IFERROR(__xludf.DUMMYFUNCTION("""COMPUTED_VALUE"""),62.0)</f>
        <v>62</v>
      </c>
      <c r="F2686" s="19" t="str">
        <f>IFERROR(__xludf.DUMMYFUNCTION("""COMPUTED_VALUE"""),"BLUE")</f>
        <v>BLUE</v>
      </c>
      <c r="G2686" s="20" t="str">
        <f>IFERROR(__xludf.DUMMYFUNCTION("""COMPUTED_VALUE"""),"Uncle Sams Cider (11/12/2021) (Blue)")</f>
        <v>Uncle Sams Cider (11/12/2021) (Blue)</v>
      </c>
      <c r="H2686" s="19"/>
    </row>
    <row r="2687">
      <c r="A2687" s="9"/>
      <c r="B2687" s="15"/>
      <c r="C2687" s="9">
        <f>IFERROR(__xludf.DUMMYFUNCTION("""COMPUTED_VALUE"""),44577.5560421064)</f>
        <v>44577.55604</v>
      </c>
      <c r="D2687" s="15">
        <f>IFERROR(__xludf.DUMMYFUNCTION("""COMPUTED_VALUE"""),1.003)</f>
        <v>1.003</v>
      </c>
      <c r="E2687" s="16">
        <f>IFERROR(__xludf.DUMMYFUNCTION("""COMPUTED_VALUE"""),62.0)</f>
        <v>62</v>
      </c>
      <c r="F2687" s="19" t="str">
        <f>IFERROR(__xludf.DUMMYFUNCTION("""COMPUTED_VALUE"""),"BLUE")</f>
        <v>BLUE</v>
      </c>
      <c r="G2687" s="20" t="str">
        <f>IFERROR(__xludf.DUMMYFUNCTION("""COMPUTED_VALUE"""),"Uncle Sams Cider (11/12/2021) (Blue)")</f>
        <v>Uncle Sams Cider (11/12/2021) (Blue)</v>
      </c>
      <c r="H2687" s="19"/>
    </row>
    <row r="2688">
      <c r="A2688" s="9"/>
      <c r="B2688" s="15"/>
      <c r="C2688" s="9">
        <f>IFERROR(__xludf.DUMMYFUNCTION("""COMPUTED_VALUE"""),44577.5456082638)</f>
        <v>44577.54561</v>
      </c>
      <c r="D2688" s="15">
        <f>IFERROR(__xludf.DUMMYFUNCTION("""COMPUTED_VALUE"""),1.003)</f>
        <v>1.003</v>
      </c>
      <c r="E2688" s="16">
        <f>IFERROR(__xludf.DUMMYFUNCTION("""COMPUTED_VALUE"""),62.0)</f>
        <v>62</v>
      </c>
      <c r="F2688" s="19" t="str">
        <f>IFERROR(__xludf.DUMMYFUNCTION("""COMPUTED_VALUE"""),"BLUE")</f>
        <v>BLUE</v>
      </c>
      <c r="G2688" s="20" t="str">
        <f>IFERROR(__xludf.DUMMYFUNCTION("""COMPUTED_VALUE"""),"Uncle Sams Cider (11/12/2021) (Blue)")</f>
        <v>Uncle Sams Cider (11/12/2021) (Blue)</v>
      </c>
      <c r="H2688" s="19"/>
    </row>
    <row r="2689">
      <c r="A2689" s="9"/>
      <c r="B2689" s="15"/>
      <c r="C2689" s="9">
        <f>IFERROR(__xludf.DUMMYFUNCTION("""COMPUTED_VALUE"""),44577.535177199)</f>
        <v>44577.53518</v>
      </c>
      <c r="D2689" s="15">
        <f>IFERROR(__xludf.DUMMYFUNCTION("""COMPUTED_VALUE"""),1.003)</f>
        <v>1.003</v>
      </c>
      <c r="E2689" s="16">
        <f>IFERROR(__xludf.DUMMYFUNCTION("""COMPUTED_VALUE"""),62.0)</f>
        <v>62</v>
      </c>
      <c r="F2689" s="19" t="str">
        <f>IFERROR(__xludf.DUMMYFUNCTION("""COMPUTED_VALUE"""),"BLUE")</f>
        <v>BLUE</v>
      </c>
      <c r="G2689" s="20" t="str">
        <f>IFERROR(__xludf.DUMMYFUNCTION("""COMPUTED_VALUE"""),"Uncle Sams Cider (11/12/2021) (Blue)")</f>
        <v>Uncle Sams Cider (11/12/2021) (Blue)</v>
      </c>
      <c r="H2689" s="19"/>
    </row>
    <row r="2690">
      <c r="A2690" s="9"/>
      <c r="B2690" s="15"/>
      <c r="C2690" s="9">
        <f>IFERROR(__xludf.DUMMYFUNCTION("""COMPUTED_VALUE"""),44577.5247444791)</f>
        <v>44577.52474</v>
      </c>
      <c r="D2690" s="15">
        <f>IFERROR(__xludf.DUMMYFUNCTION("""COMPUTED_VALUE"""),1.003)</f>
        <v>1.003</v>
      </c>
      <c r="E2690" s="16">
        <f>IFERROR(__xludf.DUMMYFUNCTION("""COMPUTED_VALUE"""),62.0)</f>
        <v>62</v>
      </c>
      <c r="F2690" s="19" t="str">
        <f>IFERROR(__xludf.DUMMYFUNCTION("""COMPUTED_VALUE"""),"BLUE")</f>
        <v>BLUE</v>
      </c>
      <c r="G2690" s="20" t="str">
        <f>IFERROR(__xludf.DUMMYFUNCTION("""COMPUTED_VALUE"""),"Uncle Sams Cider (11/12/2021) (Blue)")</f>
        <v>Uncle Sams Cider (11/12/2021) (Blue)</v>
      </c>
      <c r="H2690" s="19"/>
    </row>
    <row r="2691">
      <c r="A2691" s="9"/>
      <c r="B2691" s="15"/>
      <c r="C2691" s="9">
        <f>IFERROR(__xludf.DUMMYFUNCTION("""COMPUTED_VALUE"""),44577.51432228)</f>
        <v>44577.51432</v>
      </c>
      <c r="D2691" s="15">
        <f>IFERROR(__xludf.DUMMYFUNCTION("""COMPUTED_VALUE"""),1.003)</f>
        <v>1.003</v>
      </c>
      <c r="E2691" s="16">
        <f>IFERROR(__xludf.DUMMYFUNCTION("""COMPUTED_VALUE"""),62.0)</f>
        <v>62</v>
      </c>
      <c r="F2691" s="19" t="str">
        <f>IFERROR(__xludf.DUMMYFUNCTION("""COMPUTED_VALUE"""),"BLUE")</f>
        <v>BLUE</v>
      </c>
      <c r="G2691" s="20" t="str">
        <f>IFERROR(__xludf.DUMMYFUNCTION("""COMPUTED_VALUE"""),"Uncle Sams Cider (11/12/2021) (Blue)")</f>
        <v>Uncle Sams Cider (11/12/2021) (Blue)</v>
      </c>
      <c r="H2691" s="19"/>
    </row>
    <row r="2692">
      <c r="A2692" s="9"/>
      <c r="B2692" s="15"/>
      <c r="C2692" s="9">
        <f>IFERROR(__xludf.DUMMYFUNCTION("""COMPUTED_VALUE"""),44577.5039023148)</f>
        <v>44577.5039</v>
      </c>
      <c r="D2692" s="15">
        <f>IFERROR(__xludf.DUMMYFUNCTION("""COMPUTED_VALUE"""),1.003)</f>
        <v>1.003</v>
      </c>
      <c r="E2692" s="16">
        <f>IFERROR(__xludf.DUMMYFUNCTION("""COMPUTED_VALUE"""),62.0)</f>
        <v>62</v>
      </c>
      <c r="F2692" s="19" t="str">
        <f>IFERROR(__xludf.DUMMYFUNCTION("""COMPUTED_VALUE"""),"BLUE")</f>
        <v>BLUE</v>
      </c>
      <c r="G2692" s="20" t="str">
        <f>IFERROR(__xludf.DUMMYFUNCTION("""COMPUTED_VALUE"""),"Uncle Sams Cider (11/12/2021) (Blue)")</f>
        <v>Uncle Sams Cider (11/12/2021) (Blue)</v>
      </c>
      <c r="H2692" s="19"/>
    </row>
    <row r="2693">
      <c r="A2693" s="9"/>
      <c r="B2693" s="15"/>
      <c r="C2693" s="9">
        <f>IFERROR(__xludf.DUMMYFUNCTION("""COMPUTED_VALUE"""),44577.493469699)</f>
        <v>44577.49347</v>
      </c>
      <c r="D2693" s="15">
        <f>IFERROR(__xludf.DUMMYFUNCTION("""COMPUTED_VALUE"""),1.003)</f>
        <v>1.003</v>
      </c>
      <c r="E2693" s="16">
        <f>IFERROR(__xludf.DUMMYFUNCTION("""COMPUTED_VALUE"""),62.0)</f>
        <v>62</v>
      </c>
      <c r="F2693" s="19" t="str">
        <f>IFERROR(__xludf.DUMMYFUNCTION("""COMPUTED_VALUE"""),"BLUE")</f>
        <v>BLUE</v>
      </c>
      <c r="G2693" s="20" t="str">
        <f>IFERROR(__xludf.DUMMYFUNCTION("""COMPUTED_VALUE"""),"Uncle Sams Cider (11/12/2021) (Blue)")</f>
        <v>Uncle Sams Cider (11/12/2021) (Blue)</v>
      </c>
      <c r="H2693" s="19"/>
    </row>
    <row r="2694">
      <c r="A2694" s="9"/>
      <c r="B2694" s="15"/>
      <c r="C2694" s="9">
        <f>IFERROR(__xludf.DUMMYFUNCTION("""COMPUTED_VALUE"""),44577.4830480555)</f>
        <v>44577.48305</v>
      </c>
      <c r="D2694" s="15">
        <f>IFERROR(__xludf.DUMMYFUNCTION("""COMPUTED_VALUE"""),1.003)</f>
        <v>1.003</v>
      </c>
      <c r="E2694" s="16">
        <f>IFERROR(__xludf.DUMMYFUNCTION("""COMPUTED_VALUE"""),62.0)</f>
        <v>62</v>
      </c>
      <c r="F2694" s="19" t="str">
        <f>IFERROR(__xludf.DUMMYFUNCTION("""COMPUTED_VALUE"""),"BLUE")</f>
        <v>BLUE</v>
      </c>
      <c r="G2694" s="20" t="str">
        <f>IFERROR(__xludf.DUMMYFUNCTION("""COMPUTED_VALUE"""),"Uncle Sams Cider (11/12/2021) (Blue)")</f>
        <v>Uncle Sams Cider (11/12/2021) (Blue)</v>
      </c>
      <c r="H2694" s="19"/>
    </row>
    <row r="2695">
      <c r="A2695" s="9"/>
      <c r="B2695" s="15"/>
      <c r="C2695" s="9">
        <f>IFERROR(__xludf.DUMMYFUNCTION("""COMPUTED_VALUE"""),44577.472626412)</f>
        <v>44577.47263</v>
      </c>
      <c r="D2695" s="15">
        <f>IFERROR(__xludf.DUMMYFUNCTION("""COMPUTED_VALUE"""),1.003)</f>
        <v>1.003</v>
      </c>
      <c r="E2695" s="16">
        <f>IFERROR(__xludf.DUMMYFUNCTION("""COMPUTED_VALUE"""),62.0)</f>
        <v>62</v>
      </c>
      <c r="F2695" s="19" t="str">
        <f>IFERROR(__xludf.DUMMYFUNCTION("""COMPUTED_VALUE"""),"BLUE")</f>
        <v>BLUE</v>
      </c>
      <c r="G2695" s="20" t="str">
        <f>IFERROR(__xludf.DUMMYFUNCTION("""COMPUTED_VALUE"""),"Uncle Sams Cider (11/12/2021) (Blue)")</f>
        <v>Uncle Sams Cider (11/12/2021) (Blue)</v>
      </c>
      <c r="H2695" s="19"/>
    </row>
    <row r="2696">
      <c r="A2696" s="9"/>
      <c r="B2696" s="15"/>
      <c r="C2696" s="9">
        <f>IFERROR(__xludf.DUMMYFUNCTION("""COMPUTED_VALUE"""),44577.4622057291)</f>
        <v>44577.46221</v>
      </c>
      <c r="D2696" s="15">
        <f>IFERROR(__xludf.DUMMYFUNCTION("""COMPUTED_VALUE"""),1.003)</f>
        <v>1.003</v>
      </c>
      <c r="E2696" s="16">
        <f>IFERROR(__xludf.DUMMYFUNCTION("""COMPUTED_VALUE"""),62.0)</f>
        <v>62</v>
      </c>
      <c r="F2696" s="19" t="str">
        <f>IFERROR(__xludf.DUMMYFUNCTION("""COMPUTED_VALUE"""),"BLUE")</f>
        <v>BLUE</v>
      </c>
      <c r="G2696" s="20" t="str">
        <f>IFERROR(__xludf.DUMMYFUNCTION("""COMPUTED_VALUE"""),"Uncle Sams Cider (11/12/2021) (Blue)")</f>
        <v>Uncle Sams Cider (11/12/2021) (Blue)</v>
      </c>
      <c r="H2696" s="19"/>
    </row>
    <row r="2697">
      <c r="A2697" s="9"/>
      <c r="B2697" s="15"/>
      <c r="C2697" s="9">
        <f>IFERROR(__xludf.DUMMYFUNCTION("""COMPUTED_VALUE"""),44577.4517837499)</f>
        <v>44577.45178</v>
      </c>
      <c r="D2697" s="15">
        <f>IFERROR(__xludf.DUMMYFUNCTION("""COMPUTED_VALUE"""),1.003)</f>
        <v>1.003</v>
      </c>
      <c r="E2697" s="16">
        <f>IFERROR(__xludf.DUMMYFUNCTION("""COMPUTED_VALUE"""),62.0)</f>
        <v>62</v>
      </c>
      <c r="F2697" s="19" t="str">
        <f>IFERROR(__xludf.DUMMYFUNCTION("""COMPUTED_VALUE"""),"BLUE")</f>
        <v>BLUE</v>
      </c>
      <c r="G2697" s="20" t="str">
        <f>IFERROR(__xludf.DUMMYFUNCTION("""COMPUTED_VALUE"""),"Uncle Sams Cider (11/12/2021) (Blue)")</f>
        <v>Uncle Sams Cider (11/12/2021) (Blue)</v>
      </c>
      <c r="H2697" s="19"/>
    </row>
    <row r="2698">
      <c r="A2698" s="9"/>
      <c r="B2698" s="15"/>
      <c r="C2698" s="9">
        <f>IFERROR(__xludf.DUMMYFUNCTION("""COMPUTED_VALUE"""),44577.4413634143)</f>
        <v>44577.44136</v>
      </c>
      <c r="D2698" s="15">
        <f>IFERROR(__xludf.DUMMYFUNCTION("""COMPUTED_VALUE"""),1.003)</f>
        <v>1.003</v>
      </c>
      <c r="E2698" s="16">
        <f>IFERROR(__xludf.DUMMYFUNCTION("""COMPUTED_VALUE"""),62.0)</f>
        <v>62</v>
      </c>
      <c r="F2698" s="19" t="str">
        <f>IFERROR(__xludf.DUMMYFUNCTION("""COMPUTED_VALUE"""),"BLUE")</f>
        <v>BLUE</v>
      </c>
      <c r="G2698" s="20" t="str">
        <f>IFERROR(__xludf.DUMMYFUNCTION("""COMPUTED_VALUE"""),"Uncle Sams Cider (11/12/2021) (Blue)")</f>
        <v>Uncle Sams Cider (11/12/2021) (Blue)</v>
      </c>
      <c r="H2698" s="19"/>
    </row>
    <row r="2699">
      <c r="A2699" s="9"/>
      <c r="B2699" s="15"/>
      <c r="C2699" s="9">
        <f>IFERROR(__xludf.DUMMYFUNCTION("""COMPUTED_VALUE"""),44577.4309430671)</f>
        <v>44577.43094</v>
      </c>
      <c r="D2699" s="15">
        <f>IFERROR(__xludf.DUMMYFUNCTION("""COMPUTED_VALUE"""),1.003)</f>
        <v>1.003</v>
      </c>
      <c r="E2699" s="16">
        <f>IFERROR(__xludf.DUMMYFUNCTION("""COMPUTED_VALUE"""),62.0)</f>
        <v>62</v>
      </c>
      <c r="F2699" s="19" t="str">
        <f>IFERROR(__xludf.DUMMYFUNCTION("""COMPUTED_VALUE"""),"BLUE")</f>
        <v>BLUE</v>
      </c>
      <c r="G2699" s="20" t="str">
        <f>IFERROR(__xludf.DUMMYFUNCTION("""COMPUTED_VALUE"""),"Uncle Sams Cider (11/12/2021) (Blue)")</f>
        <v>Uncle Sams Cider (11/12/2021) (Blue)</v>
      </c>
      <c r="H2699" s="19"/>
    </row>
    <row r="2700">
      <c r="A2700" s="9"/>
      <c r="B2700" s="15"/>
      <c r="C2700" s="9">
        <f>IFERROR(__xludf.DUMMYFUNCTION("""COMPUTED_VALUE"""),44577.4205219675)</f>
        <v>44577.42052</v>
      </c>
      <c r="D2700" s="15">
        <f>IFERROR(__xludf.DUMMYFUNCTION("""COMPUTED_VALUE"""),1.003)</f>
        <v>1.003</v>
      </c>
      <c r="E2700" s="16">
        <f>IFERROR(__xludf.DUMMYFUNCTION("""COMPUTED_VALUE"""),62.0)</f>
        <v>62</v>
      </c>
      <c r="F2700" s="19" t="str">
        <f>IFERROR(__xludf.DUMMYFUNCTION("""COMPUTED_VALUE"""),"BLUE")</f>
        <v>BLUE</v>
      </c>
      <c r="G2700" s="20" t="str">
        <f>IFERROR(__xludf.DUMMYFUNCTION("""COMPUTED_VALUE"""),"Uncle Sams Cider (11/12/2021) (Blue)")</f>
        <v>Uncle Sams Cider (11/12/2021) (Blue)</v>
      </c>
      <c r="H2700" s="19"/>
    </row>
    <row r="2701">
      <c r="A2701" s="9"/>
      <c r="B2701" s="15"/>
      <c r="C2701" s="9">
        <f>IFERROR(__xludf.DUMMYFUNCTION("""COMPUTED_VALUE"""),44577.4100905555)</f>
        <v>44577.41009</v>
      </c>
      <c r="D2701" s="15">
        <f>IFERROR(__xludf.DUMMYFUNCTION("""COMPUTED_VALUE"""),1.003)</f>
        <v>1.003</v>
      </c>
      <c r="E2701" s="16">
        <f>IFERROR(__xludf.DUMMYFUNCTION("""COMPUTED_VALUE"""),62.0)</f>
        <v>62</v>
      </c>
      <c r="F2701" s="19" t="str">
        <f>IFERROR(__xludf.DUMMYFUNCTION("""COMPUTED_VALUE"""),"BLUE")</f>
        <v>BLUE</v>
      </c>
      <c r="G2701" s="20" t="str">
        <f>IFERROR(__xludf.DUMMYFUNCTION("""COMPUTED_VALUE"""),"Uncle Sams Cider (11/12/2021) (Blue)")</f>
        <v>Uncle Sams Cider (11/12/2021) (Blue)</v>
      </c>
      <c r="H2701" s="19"/>
    </row>
    <row r="2702">
      <c r="A2702" s="9"/>
      <c r="B2702" s="15"/>
      <c r="C2702" s="9">
        <f>IFERROR(__xludf.DUMMYFUNCTION("""COMPUTED_VALUE"""),44577.3996695717)</f>
        <v>44577.39967</v>
      </c>
      <c r="D2702" s="15">
        <f>IFERROR(__xludf.DUMMYFUNCTION("""COMPUTED_VALUE"""),1.003)</f>
        <v>1.003</v>
      </c>
      <c r="E2702" s="16">
        <f>IFERROR(__xludf.DUMMYFUNCTION("""COMPUTED_VALUE"""),62.0)</f>
        <v>62</v>
      </c>
      <c r="F2702" s="19" t="str">
        <f>IFERROR(__xludf.DUMMYFUNCTION("""COMPUTED_VALUE"""),"BLUE")</f>
        <v>BLUE</v>
      </c>
      <c r="G2702" s="20" t="str">
        <f>IFERROR(__xludf.DUMMYFUNCTION("""COMPUTED_VALUE"""),"Uncle Sams Cider (11/12/2021) (Blue)")</f>
        <v>Uncle Sams Cider (11/12/2021) (Blue)</v>
      </c>
      <c r="H2702" s="19"/>
    </row>
    <row r="2703">
      <c r="A2703" s="9"/>
      <c r="B2703" s="15"/>
      <c r="C2703" s="9">
        <f>IFERROR(__xludf.DUMMYFUNCTION("""COMPUTED_VALUE"""),44577.389248287)</f>
        <v>44577.38925</v>
      </c>
      <c r="D2703" s="15">
        <f>IFERROR(__xludf.DUMMYFUNCTION("""COMPUTED_VALUE"""),1.003)</f>
        <v>1.003</v>
      </c>
      <c r="E2703" s="16">
        <f>IFERROR(__xludf.DUMMYFUNCTION("""COMPUTED_VALUE"""),62.0)</f>
        <v>62</v>
      </c>
      <c r="F2703" s="19" t="str">
        <f>IFERROR(__xludf.DUMMYFUNCTION("""COMPUTED_VALUE"""),"BLUE")</f>
        <v>BLUE</v>
      </c>
      <c r="G2703" s="20" t="str">
        <f>IFERROR(__xludf.DUMMYFUNCTION("""COMPUTED_VALUE"""),"Uncle Sams Cider (11/12/2021) (Blue)")</f>
        <v>Uncle Sams Cider (11/12/2021) (Blue)</v>
      </c>
      <c r="H2703" s="19"/>
    </row>
    <row r="2704">
      <c r="A2704" s="9"/>
      <c r="B2704" s="15"/>
      <c r="C2704" s="9">
        <f>IFERROR(__xludf.DUMMYFUNCTION("""COMPUTED_VALUE"""),44577.3787922222)</f>
        <v>44577.37879</v>
      </c>
      <c r="D2704" s="15">
        <f>IFERROR(__xludf.DUMMYFUNCTION("""COMPUTED_VALUE"""),1.003)</f>
        <v>1.003</v>
      </c>
      <c r="E2704" s="16">
        <f>IFERROR(__xludf.DUMMYFUNCTION("""COMPUTED_VALUE"""),62.0)</f>
        <v>62</v>
      </c>
      <c r="F2704" s="19" t="str">
        <f>IFERROR(__xludf.DUMMYFUNCTION("""COMPUTED_VALUE"""),"BLUE")</f>
        <v>BLUE</v>
      </c>
      <c r="G2704" s="20" t="str">
        <f>IFERROR(__xludf.DUMMYFUNCTION("""COMPUTED_VALUE"""),"Uncle Sams Cider (11/12/2021) (Blue)")</f>
        <v>Uncle Sams Cider (11/12/2021) (Blue)</v>
      </c>
      <c r="H2704" s="19"/>
    </row>
    <row r="2705">
      <c r="A2705" s="9"/>
      <c r="B2705" s="15"/>
      <c r="C2705" s="9">
        <f>IFERROR(__xludf.DUMMYFUNCTION("""COMPUTED_VALUE"""),44577.3683708101)</f>
        <v>44577.36837</v>
      </c>
      <c r="D2705" s="15">
        <f>IFERROR(__xludf.DUMMYFUNCTION("""COMPUTED_VALUE"""),1.003)</f>
        <v>1.003</v>
      </c>
      <c r="E2705" s="16">
        <f>IFERROR(__xludf.DUMMYFUNCTION("""COMPUTED_VALUE"""),62.0)</f>
        <v>62</v>
      </c>
      <c r="F2705" s="19" t="str">
        <f>IFERROR(__xludf.DUMMYFUNCTION("""COMPUTED_VALUE"""),"BLUE")</f>
        <v>BLUE</v>
      </c>
      <c r="G2705" s="20" t="str">
        <f>IFERROR(__xludf.DUMMYFUNCTION("""COMPUTED_VALUE"""),"Uncle Sams Cider (11/12/2021) (Blue)")</f>
        <v>Uncle Sams Cider (11/12/2021) (Blue)</v>
      </c>
      <c r="H2705" s="19"/>
    </row>
    <row r="2706">
      <c r="A2706" s="9"/>
      <c r="B2706" s="15"/>
      <c r="C2706" s="9">
        <f>IFERROR(__xludf.DUMMYFUNCTION("""COMPUTED_VALUE"""),44577.3579480671)</f>
        <v>44577.35795</v>
      </c>
      <c r="D2706" s="15">
        <f>IFERROR(__xludf.DUMMYFUNCTION("""COMPUTED_VALUE"""),1.003)</f>
        <v>1.003</v>
      </c>
      <c r="E2706" s="16">
        <f>IFERROR(__xludf.DUMMYFUNCTION("""COMPUTED_VALUE"""),62.0)</f>
        <v>62</v>
      </c>
      <c r="F2706" s="19" t="str">
        <f>IFERROR(__xludf.DUMMYFUNCTION("""COMPUTED_VALUE"""),"BLUE")</f>
        <v>BLUE</v>
      </c>
      <c r="G2706" s="20" t="str">
        <f>IFERROR(__xludf.DUMMYFUNCTION("""COMPUTED_VALUE"""),"Uncle Sams Cider (11/12/2021) (Blue)")</f>
        <v>Uncle Sams Cider (11/12/2021) (Blue)</v>
      </c>
      <c r="H2706" s="19"/>
    </row>
    <row r="2707">
      <c r="A2707" s="9"/>
      <c r="B2707" s="15"/>
      <c r="C2707" s="9">
        <f>IFERROR(__xludf.DUMMYFUNCTION("""COMPUTED_VALUE"""),44577.3475279282)</f>
        <v>44577.34753</v>
      </c>
      <c r="D2707" s="15">
        <f>IFERROR(__xludf.DUMMYFUNCTION("""COMPUTED_VALUE"""),1.003)</f>
        <v>1.003</v>
      </c>
      <c r="E2707" s="16">
        <f>IFERROR(__xludf.DUMMYFUNCTION("""COMPUTED_VALUE"""),62.0)</f>
        <v>62</v>
      </c>
      <c r="F2707" s="19" t="str">
        <f>IFERROR(__xludf.DUMMYFUNCTION("""COMPUTED_VALUE"""),"BLUE")</f>
        <v>BLUE</v>
      </c>
      <c r="G2707" s="20" t="str">
        <f>IFERROR(__xludf.DUMMYFUNCTION("""COMPUTED_VALUE"""),"Uncle Sams Cider (11/12/2021) (Blue)")</f>
        <v>Uncle Sams Cider (11/12/2021) (Blue)</v>
      </c>
      <c r="H2707" s="19"/>
    </row>
    <row r="2708">
      <c r="A2708" s="9"/>
      <c r="B2708" s="15"/>
      <c r="C2708" s="9">
        <f>IFERROR(__xludf.DUMMYFUNCTION("""COMPUTED_VALUE"""),44577.3371073148)</f>
        <v>44577.33711</v>
      </c>
      <c r="D2708" s="15">
        <f>IFERROR(__xludf.DUMMYFUNCTION("""COMPUTED_VALUE"""),1.003)</f>
        <v>1.003</v>
      </c>
      <c r="E2708" s="16">
        <f>IFERROR(__xludf.DUMMYFUNCTION("""COMPUTED_VALUE"""),62.0)</f>
        <v>62</v>
      </c>
      <c r="F2708" s="19" t="str">
        <f>IFERROR(__xludf.DUMMYFUNCTION("""COMPUTED_VALUE"""),"BLUE")</f>
        <v>BLUE</v>
      </c>
      <c r="G2708" s="20" t="str">
        <f>IFERROR(__xludf.DUMMYFUNCTION("""COMPUTED_VALUE"""),"Uncle Sams Cider (11/12/2021) (Blue)")</f>
        <v>Uncle Sams Cider (11/12/2021) (Blue)</v>
      </c>
      <c r="H2708" s="19"/>
    </row>
    <row r="2709">
      <c r="A2709" s="9"/>
      <c r="B2709" s="15"/>
      <c r="C2709" s="9">
        <f>IFERROR(__xludf.DUMMYFUNCTION("""COMPUTED_VALUE"""),44577.3266854745)</f>
        <v>44577.32669</v>
      </c>
      <c r="D2709" s="15">
        <f>IFERROR(__xludf.DUMMYFUNCTION("""COMPUTED_VALUE"""),1.003)</f>
        <v>1.003</v>
      </c>
      <c r="E2709" s="16">
        <f>IFERROR(__xludf.DUMMYFUNCTION("""COMPUTED_VALUE"""),62.0)</f>
        <v>62</v>
      </c>
      <c r="F2709" s="19" t="str">
        <f>IFERROR(__xludf.DUMMYFUNCTION("""COMPUTED_VALUE"""),"BLUE")</f>
        <v>BLUE</v>
      </c>
      <c r="G2709" s="20" t="str">
        <f>IFERROR(__xludf.DUMMYFUNCTION("""COMPUTED_VALUE"""),"Uncle Sams Cider (11/12/2021) (Blue)")</f>
        <v>Uncle Sams Cider (11/12/2021) (Blue)</v>
      </c>
      <c r="H2709" s="19"/>
    </row>
    <row r="2710">
      <c r="A2710" s="9"/>
      <c r="B2710" s="15"/>
      <c r="C2710" s="9">
        <f>IFERROR(__xludf.DUMMYFUNCTION("""COMPUTED_VALUE"""),44577.316264699)</f>
        <v>44577.31626</v>
      </c>
      <c r="D2710" s="15">
        <f>IFERROR(__xludf.DUMMYFUNCTION("""COMPUTED_VALUE"""),1.003)</f>
        <v>1.003</v>
      </c>
      <c r="E2710" s="16">
        <f>IFERROR(__xludf.DUMMYFUNCTION("""COMPUTED_VALUE"""),62.0)</f>
        <v>62</v>
      </c>
      <c r="F2710" s="19" t="str">
        <f>IFERROR(__xludf.DUMMYFUNCTION("""COMPUTED_VALUE"""),"BLUE")</f>
        <v>BLUE</v>
      </c>
      <c r="G2710" s="20" t="str">
        <f>IFERROR(__xludf.DUMMYFUNCTION("""COMPUTED_VALUE"""),"Uncle Sams Cider (11/12/2021) (Blue)")</f>
        <v>Uncle Sams Cider (11/12/2021) (Blue)</v>
      </c>
      <c r="H2710" s="19"/>
    </row>
    <row r="2711">
      <c r="A2711" s="9"/>
      <c r="B2711" s="15"/>
      <c r="C2711" s="9">
        <f>IFERROR(__xludf.DUMMYFUNCTION("""COMPUTED_VALUE"""),44577.3058414004)</f>
        <v>44577.30584</v>
      </c>
      <c r="D2711" s="15">
        <f>IFERROR(__xludf.DUMMYFUNCTION("""COMPUTED_VALUE"""),1.003)</f>
        <v>1.003</v>
      </c>
      <c r="E2711" s="16">
        <f>IFERROR(__xludf.DUMMYFUNCTION("""COMPUTED_VALUE"""),62.0)</f>
        <v>62</v>
      </c>
      <c r="F2711" s="19" t="str">
        <f>IFERROR(__xludf.DUMMYFUNCTION("""COMPUTED_VALUE"""),"BLUE")</f>
        <v>BLUE</v>
      </c>
      <c r="G2711" s="20" t="str">
        <f>IFERROR(__xludf.DUMMYFUNCTION("""COMPUTED_VALUE"""),"Uncle Sams Cider (11/12/2021) (Blue)")</f>
        <v>Uncle Sams Cider (11/12/2021) (Blue)</v>
      </c>
      <c r="H2711" s="19"/>
    </row>
    <row r="2712">
      <c r="A2712" s="9"/>
      <c r="B2712" s="15"/>
      <c r="C2712" s="9">
        <f>IFERROR(__xludf.DUMMYFUNCTION("""COMPUTED_VALUE"""),44577.2954231018)</f>
        <v>44577.29542</v>
      </c>
      <c r="D2712" s="15">
        <f>IFERROR(__xludf.DUMMYFUNCTION("""COMPUTED_VALUE"""),1.003)</f>
        <v>1.003</v>
      </c>
      <c r="E2712" s="16">
        <f>IFERROR(__xludf.DUMMYFUNCTION("""COMPUTED_VALUE"""),62.0)</f>
        <v>62</v>
      </c>
      <c r="F2712" s="19" t="str">
        <f>IFERROR(__xludf.DUMMYFUNCTION("""COMPUTED_VALUE"""),"BLUE")</f>
        <v>BLUE</v>
      </c>
      <c r="G2712" s="20" t="str">
        <f>IFERROR(__xludf.DUMMYFUNCTION("""COMPUTED_VALUE"""),"Uncle Sams Cider (11/12/2021) (Blue)")</f>
        <v>Uncle Sams Cider (11/12/2021) (Blue)</v>
      </c>
      <c r="H2712" s="19"/>
    </row>
    <row r="2713">
      <c r="A2713" s="9"/>
      <c r="B2713" s="15"/>
      <c r="C2713" s="9">
        <f>IFERROR(__xludf.DUMMYFUNCTION("""COMPUTED_VALUE"""),44577.284967743)</f>
        <v>44577.28497</v>
      </c>
      <c r="D2713" s="15">
        <f>IFERROR(__xludf.DUMMYFUNCTION("""COMPUTED_VALUE"""),1.003)</f>
        <v>1.003</v>
      </c>
      <c r="E2713" s="16">
        <f>IFERROR(__xludf.DUMMYFUNCTION("""COMPUTED_VALUE"""),62.0)</f>
        <v>62</v>
      </c>
      <c r="F2713" s="19" t="str">
        <f>IFERROR(__xludf.DUMMYFUNCTION("""COMPUTED_VALUE"""),"BLUE")</f>
        <v>BLUE</v>
      </c>
      <c r="G2713" s="20" t="str">
        <f>IFERROR(__xludf.DUMMYFUNCTION("""COMPUTED_VALUE"""),"Uncle Sams Cider (11/12/2021) (Blue)")</f>
        <v>Uncle Sams Cider (11/12/2021) (Blue)</v>
      </c>
      <c r="H2713" s="19"/>
    </row>
    <row r="2714">
      <c r="A2714" s="9"/>
      <c r="B2714" s="15"/>
      <c r="C2714" s="9">
        <f>IFERROR(__xludf.DUMMYFUNCTION("""COMPUTED_VALUE"""),44577.2745468981)</f>
        <v>44577.27455</v>
      </c>
      <c r="D2714" s="15">
        <f>IFERROR(__xludf.DUMMYFUNCTION("""COMPUTED_VALUE"""),1.003)</f>
        <v>1.003</v>
      </c>
      <c r="E2714" s="16">
        <f>IFERROR(__xludf.DUMMYFUNCTION("""COMPUTED_VALUE"""),62.0)</f>
        <v>62</v>
      </c>
      <c r="F2714" s="19" t="str">
        <f>IFERROR(__xludf.DUMMYFUNCTION("""COMPUTED_VALUE"""),"BLUE")</f>
        <v>BLUE</v>
      </c>
      <c r="G2714" s="20" t="str">
        <f>IFERROR(__xludf.DUMMYFUNCTION("""COMPUTED_VALUE"""),"Uncle Sams Cider (11/12/2021) (Blue)")</f>
        <v>Uncle Sams Cider (11/12/2021) (Blue)</v>
      </c>
      <c r="H2714" s="19"/>
    </row>
    <row r="2715">
      <c r="A2715" s="9"/>
      <c r="B2715" s="15"/>
      <c r="C2715" s="9">
        <f>IFERROR(__xludf.DUMMYFUNCTION("""COMPUTED_VALUE"""),44577.2641168634)</f>
        <v>44577.26412</v>
      </c>
      <c r="D2715" s="15">
        <f>IFERROR(__xludf.DUMMYFUNCTION("""COMPUTED_VALUE"""),1.003)</f>
        <v>1.003</v>
      </c>
      <c r="E2715" s="16">
        <f>IFERROR(__xludf.DUMMYFUNCTION("""COMPUTED_VALUE"""),62.0)</f>
        <v>62</v>
      </c>
      <c r="F2715" s="19" t="str">
        <f>IFERROR(__xludf.DUMMYFUNCTION("""COMPUTED_VALUE"""),"BLUE")</f>
        <v>BLUE</v>
      </c>
      <c r="G2715" s="20" t="str">
        <f>IFERROR(__xludf.DUMMYFUNCTION("""COMPUTED_VALUE"""),"Uncle Sams Cider (11/12/2021) (Blue)")</f>
        <v>Uncle Sams Cider (11/12/2021) (Blue)</v>
      </c>
      <c r="H2715" s="19"/>
    </row>
    <row r="2716">
      <c r="A2716" s="9"/>
      <c r="B2716" s="15"/>
      <c r="C2716" s="9">
        <f>IFERROR(__xludf.DUMMYFUNCTION("""COMPUTED_VALUE"""),44577.2536969097)</f>
        <v>44577.2537</v>
      </c>
      <c r="D2716" s="15">
        <f>IFERROR(__xludf.DUMMYFUNCTION("""COMPUTED_VALUE"""),1.003)</f>
        <v>1.003</v>
      </c>
      <c r="E2716" s="16">
        <f>IFERROR(__xludf.DUMMYFUNCTION("""COMPUTED_VALUE"""),62.0)</f>
        <v>62</v>
      </c>
      <c r="F2716" s="19" t="str">
        <f>IFERROR(__xludf.DUMMYFUNCTION("""COMPUTED_VALUE"""),"BLUE")</f>
        <v>BLUE</v>
      </c>
      <c r="G2716" s="20" t="str">
        <f>IFERROR(__xludf.DUMMYFUNCTION("""COMPUTED_VALUE"""),"Uncle Sams Cider (11/12/2021) (Blue)")</f>
        <v>Uncle Sams Cider (11/12/2021) (Blue)</v>
      </c>
      <c r="H2716" s="19"/>
    </row>
    <row r="2717">
      <c r="A2717" s="9"/>
      <c r="B2717" s="15"/>
      <c r="C2717" s="9">
        <f>IFERROR(__xludf.DUMMYFUNCTION("""COMPUTED_VALUE"""),44577.2432748148)</f>
        <v>44577.24327</v>
      </c>
      <c r="D2717" s="15">
        <f>IFERROR(__xludf.DUMMYFUNCTION("""COMPUTED_VALUE"""),1.003)</f>
        <v>1.003</v>
      </c>
      <c r="E2717" s="16">
        <f>IFERROR(__xludf.DUMMYFUNCTION("""COMPUTED_VALUE"""),62.0)</f>
        <v>62</v>
      </c>
      <c r="F2717" s="19" t="str">
        <f>IFERROR(__xludf.DUMMYFUNCTION("""COMPUTED_VALUE"""),"BLUE")</f>
        <v>BLUE</v>
      </c>
      <c r="G2717" s="20" t="str">
        <f>IFERROR(__xludf.DUMMYFUNCTION("""COMPUTED_VALUE"""),"Uncle Sams Cider (11/12/2021) (Blue)")</f>
        <v>Uncle Sams Cider (11/12/2021) (Blue)</v>
      </c>
      <c r="H2717" s="19"/>
    </row>
    <row r="2718">
      <c r="A2718" s="9"/>
      <c r="B2718" s="15"/>
      <c r="C2718" s="9">
        <f>IFERROR(__xludf.DUMMYFUNCTION("""COMPUTED_VALUE"""),44577.2328406018)</f>
        <v>44577.23284</v>
      </c>
      <c r="D2718" s="15">
        <f>IFERROR(__xludf.DUMMYFUNCTION("""COMPUTED_VALUE"""),1.003)</f>
        <v>1.003</v>
      </c>
      <c r="E2718" s="16">
        <f>IFERROR(__xludf.DUMMYFUNCTION("""COMPUTED_VALUE"""),62.0)</f>
        <v>62</v>
      </c>
      <c r="F2718" s="19" t="str">
        <f>IFERROR(__xludf.DUMMYFUNCTION("""COMPUTED_VALUE"""),"BLUE")</f>
        <v>BLUE</v>
      </c>
      <c r="G2718" s="20" t="str">
        <f>IFERROR(__xludf.DUMMYFUNCTION("""COMPUTED_VALUE"""),"Uncle Sams Cider (11/12/2021) (Blue)")</f>
        <v>Uncle Sams Cider (11/12/2021) (Blue)</v>
      </c>
      <c r="H2718" s="19"/>
    </row>
    <row r="2719">
      <c r="A2719" s="9"/>
      <c r="B2719" s="15"/>
      <c r="C2719" s="9">
        <f>IFERROR(__xludf.DUMMYFUNCTION("""COMPUTED_VALUE"""),44577.2224200231)</f>
        <v>44577.22242</v>
      </c>
      <c r="D2719" s="15">
        <f>IFERROR(__xludf.DUMMYFUNCTION("""COMPUTED_VALUE"""),1.003)</f>
        <v>1.003</v>
      </c>
      <c r="E2719" s="16">
        <f>IFERROR(__xludf.DUMMYFUNCTION("""COMPUTED_VALUE"""),62.0)</f>
        <v>62</v>
      </c>
      <c r="F2719" s="19" t="str">
        <f>IFERROR(__xludf.DUMMYFUNCTION("""COMPUTED_VALUE"""),"BLUE")</f>
        <v>BLUE</v>
      </c>
      <c r="G2719" s="20" t="str">
        <f>IFERROR(__xludf.DUMMYFUNCTION("""COMPUTED_VALUE"""),"Uncle Sams Cider (11/12/2021) (Blue)")</f>
        <v>Uncle Sams Cider (11/12/2021) (Blue)</v>
      </c>
      <c r="H2719" s="19"/>
    </row>
    <row r="2720">
      <c r="A2720" s="9"/>
      <c r="B2720" s="15"/>
      <c r="C2720" s="9">
        <f>IFERROR(__xludf.DUMMYFUNCTION("""COMPUTED_VALUE"""),44577.2119992361)</f>
        <v>44577.212</v>
      </c>
      <c r="D2720" s="15">
        <f>IFERROR(__xludf.DUMMYFUNCTION("""COMPUTED_VALUE"""),1.003)</f>
        <v>1.003</v>
      </c>
      <c r="E2720" s="16">
        <f>IFERROR(__xludf.DUMMYFUNCTION("""COMPUTED_VALUE"""),62.0)</f>
        <v>62</v>
      </c>
      <c r="F2720" s="19" t="str">
        <f>IFERROR(__xludf.DUMMYFUNCTION("""COMPUTED_VALUE"""),"BLUE")</f>
        <v>BLUE</v>
      </c>
      <c r="G2720" s="20" t="str">
        <f>IFERROR(__xludf.DUMMYFUNCTION("""COMPUTED_VALUE"""),"Uncle Sams Cider (11/12/2021) (Blue)")</f>
        <v>Uncle Sams Cider (11/12/2021) (Blue)</v>
      </c>
      <c r="H2720" s="19"/>
    </row>
    <row r="2721">
      <c r="A2721" s="9"/>
      <c r="B2721" s="15"/>
      <c r="C2721" s="9">
        <f>IFERROR(__xludf.DUMMYFUNCTION("""COMPUTED_VALUE"""),44577.2015798148)</f>
        <v>44577.20158</v>
      </c>
      <c r="D2721" s="15">
        <f>IFERROR(__xludf.DUMMYFUNCTION("""COMPUTED_VALUE"""),1.003)</f>
        <v>1.003</v>
      </c>
      <c r="E2721" s="16">
        <f>IFERROR(__xludf.DUMMYFUNCTION("""COMPUTED_VALUE"""),62.0)</f>
        <v>62</v>
      </c>
      <c r="F2721" s="19" t="str">
        <f>IFERROR(__xludf.DUMMYFUNCTION("""COMPUTED_VALUE"""),"BLUE")</f>
        <v>BLUE</v>
      </c>
      <c r="G2721" s="20" t="str">
        <f>IFERROR(__xludf.DUMMYFUNCTION("""COMPUTED_VALUE"""),"Uncle Sams Cider (11/12/2021) (Blue)")</f>
        <v>Uncle Sams Cider (11/12/2021) (Blue)</v>
      </c>
      <c r="H2721" s="19"/>
    </row>
    <row r="2722">
      <c r="A2722" s="9"/>
      <c r="B2722" s="15"/>
      <c r="C2722" s="9">
        <f>IFERROR(__xludf.DUMMYFUNCTION("""COMPUTED_VALUE"""),44577.1911340509)</f>
        <v>44577.19113</v>
      </c>
      <c r="D2722" s="15">
        <f>IFERROR(__xludf.DUMMYFUNCTION("""COMPUTED_VALUE"""),1.003)</f>
        <v>1.003</v>
      </c>
      <c r="E2722" s="16">
        <f>IFERROR(__xludf.DUMMYFUNCTION("""COMPUTED_VALUE"""),62.0)</f>
        <v>62</v>
      </c>
      <c r="F2722" s="19" t="str">
        <f>IFERROR(__xludf.DUMMYFUNCTION("""COMPUTED_VALUE"""),"BLUE")</f>
        <v>BLUE</v>
      </c>
      <c r="G2722" s="20" t="str">
        <f>IFERROR(__xludf.DUMMYFUNCTION("""COMPUTED_VALUE"""),"Uncle Sams Cider (11/12/2021) (Blue)")</f>
        <v>Uncle Sams Cider (11/12/2021) (Blue)</v>
      </c>
      <c r="H2722" s="19"/>
    </row>
    <row r="2723">
      <c r="A2723" s="9"/>
      <c r="B2723" s="15"/>
      <c r="C2723" s="9">
        <f>IFERROR(__xludf.DUMMYFUNCTION("""COMPUTED_VALUE"""),44577.1807120949)</f>
        <v>44577.18071</v>
      </c>
      <c r="D2723" s="15">
        <f>IFERROR(__xludf.DUMMYFUNCTION("""COMPUTED_VALUE"""),1.003)</f>
        <v>1.003</v>
      </c>
      <c r="E2723" s="16">
        <f>IFERROR(__xludf.DUMMYFUNCTION("""COMPUTED_VALUE"""),62.0)</f>
        <v>62</v>
      </c>
      <c r="F2723" s="19" t="str">
        <f>IFERROR(__xludf.DUMMYFUNCTION("""COMPUTED_VALUE"""),"BLUE")</f>
        <v>BLUE</v>
      </c>
      <c r="G2723" s="20" t="str">
        <f>IFERROR(__xludf.DUMMYFUNCTION("""COMPUTED_VALUE"""),"Uncle Sams Cider (11/12/2021) (Blue)")</f>
        <v>Uncle Sams Cider (11/12/2021) (Blue)</v>
      </c>
      <c r="H2723" s="19"/>
    </row>
    <row r="2724">
      <c r="A2724" s="9"/>
      <c r="B2724" s="15"/>
      <c r="C2724" s="9">
        <f>IFERROR(__xludf.DUMMYFUNCTION("""COMPUTED_VALUE"""),44577.1702693402)</f>
        <v>44577.17027</v>
      </c>
      <c r="D2724" s="15">
        <f>IFERROR(__xludf.DUMMYFUNCTION("""COMPUTED_VALUE"""),1.003)</f>
        <v>1.003</v>
      </c>
      <c r="E2724" s="16">
        <f>IFERROR(__xludf.DUMMYFUNCTION("""COMPUTED_VALUE"""),62.0)</f>
        <v>62</v>
      </c>
      <c r="F2724" s="19" t="str">
        <f>IFERROR(__xludf.DUMMYFUNCTION("""COMPUTED_VALUE"""),"BLUE")</f>
        <v>BLUE</v>
      </c>
      <c r="G2724" s="20" t="str">
        <f>IFERROR(__xludf.DUMMYFUNCTION("""COMPUTED_VALUE"""),"Uncle Sams Cider (11/12/2021) (Blue)")</f>
        <v>Uncle Sams Cider (11/12/2021) (Blue)</v>
      </c>
      <c r="H2724" s="19"/>
    </row>
    <row r="2725">
      <c r="A2725" s="9"/>
      <c r="B2725" s="15"/>
      <c r="C2725" s="9">
        <f>IFERROR(__xludf.DUMMYFUNCTION("""COMPUTED_VALUE"""),44577.159848449)</f>
        <v>44577.15985</v>
      </c>
      <c r="D2725" s="15">
        <f>IFERROR(__xludf.DUMMYFUNCTION("""COMPUTED_VALUE"""),1.003)</f>
        <v>1.003</v>
      </c>
      <c r="E2725" s="16">
        <f>IFERROR(__xludf.DUMMYFUNCTION("""COMPUTED_VALUE"""),62.0)</f>
        <v>62</v>
      </c>
      <c r="F2725" s="19" t="str">
        <f>IFERROR(__xludf.DUMMYFUNCTION("""COMPUTED_VALUE"""),"BLUE")</f>
        <v>BLUE</v>
      </c>
      <c r="G2725" s="20" t="str">
        <f>IFERROR(__xludf.DUMMYFUNCTION("""COMPUTED_VALUE"""),"Uncle Sams Cider (11/12/2021) (Blue)")</f>
        <v>Uncle Sams Cider (11/12/2021) (Blue)</v>
      </c>
      <c r="H2725" s="19"/>
    </row>
    <row r="2726">
      <c r="A2726" s="9"/>
      <c r="B2726" s="15"/>
      <c r="C2726" s="9">
        <f>IFERROR(__xludf.DUMMYFUNCTION("""COMPUTED_VALUE"""),44577.1494264467)</f>
        <v>44577.14943</v>
      </c>
      <c r="D2726" s="15">
        <f>IFERROR(__xludf.DUMMYFUNCTION("""COMPUTED_VALUE"""),1.003)</f>
        <v>1.003</v>
      </c>
      <c r="E2726" s="16">
        <f>IFERROR(__xludf.DUMMYFUNCTION("""COMPUTED_VALUE"""),62.0)</f>
        <v>62</v>
      </c>
      <c r="F2726" s="19" t="str">
        <f>IFERROR(__xludf.DUMMYFUNCTION("""COMPUTED_VALUE"""),"BLUE")</f>
        <v>BLUE</v>
      </c>
      <c r="G2726" s="20" t="str">
        <f>IFERROR(__xludf.DUMMYFUNCTION("""COMPUTED_VALUE"""),"Uncle Sams Cider (11/12/2021) (Blue)")</f>
        <v>Uncle Sams Cider (11/12/2021) (Blue)</v>
      </c>
      <c r="H2726" s="19"/>
    </row>
    <row r="2727">
      <c r="A2727" s="9"/>
      <c r="B2727" s="15"/>
      <c r="C2727" s="9">
        <f>IFERROR(__xludf.DUMMYFUNCTION("""COMPUTED_VALUE"""),44577.1390056018)</f>
        <v>44577.13901</v>
      </c>
      <c r="D2727" s="15">
        <f>IFERROR(__xludf.DUMMYFUNCTION("""COMPUTED_VALUE"""),1.003)</f>
        <v>1.003</v>
      </c>
      <c r="E2727" s="16">
        <f>IFERROR(__xludf.DUMMYFUNCTION("""COMPUTED_VALUE"""),62.0)</f>
        <v>62</v>
      </c>
      <c r="F2727" s="19" t="str">
        <f>IFERROR(__xludf.DUMMYFUNCTION("""COMPUTED_VALUE"""),"BLUE")</f>
        <v>BLUE</v>
      </c>
      <c r="G2727" s="20" t="str">
        <f>IFERROR(__xludf.DUMMYFUNCTION("""COMPUTED_VALUE"""),"Uncle Sams Cider (11/12/2021) (Blue)")</f>
        <v>Uncle Sams Cider (11/12/2021) (Blue)</v>
      </c>
      <c r="H2727" s="19"/>
    </row>
    <row r="2728">
      <c r="A2728" s="9"/>
      <c r="B2728" s="15"/>
      <c r="C2728" s="9">
        <f>IFERROR(__xludf.DUMMYFUNCTION("""COMPUTED_VALUE"""),44577.1285732986)</f>
        <v>44577.12857</v>
      </c>
      <c r="D2728" s="15">
        <f>IFERROR(__xludf.DUMMYFUNCTION("""COMPUTED_VALUE"""),1.003)</f>
        <v>1.003</v>
      </c>
      <c r="E2728" s="16">
        <f>IFERROR(__xludf.DUMMYFUNCTION("""COMPUTED_VALUE"""),62.0)</f>
        <v>62</v>
      </c>
      <c r="F2728" s="19" t="str">
        <f>IFERROR(__xludf.DUMMYFUNCTION("""COMPUTED_VALUE"""),"BLUE")</f>
        <v>BLUE</v>
      </c>
      <c r="G2728" s="20" t="str">
        <f>IFERROR(__xludf.DUMMYFUNCTION("""COMPUTED_VALUE"""),"Uncle Sams Cider (11/12/2021) (Blue)")</f>
        <v>Uncle Sams Cider (11/12/2021) (Blue)</v>
      </c>
      <c r="H2728" s="19"/>
    </row>
    <row r="2729">
      <c r="A2729" s="9"/>
      <c r="B2729" s="15"/>
      <c r="C2729" s="9">
        <f>IFERROR(__xludf.DUMMYFUNCTION("""COMPUTED_VALUE"""),44577.1181528588)</f>
        <v>44577.11815</v>
      </c>
      <c r="D2729" s="15">
        <f>IFERROR(__xludf.DUMMYFUNCTION("""COMPUTED_VALUE"""),1.003)</f>
        <v>1.003</v>
      </c>
      <c r="E2729" s="16">
        <f>IFERROR(__xludf.DUMMYFUNCTION("""COMPUTED_VALUE"""),62.0)</f>
        <v>62</v>
      </c>
      <c r="F2729" s="19" t="str">
        <f>IFERROR(__xludf.DUMMYFUNCTION("""COMPUTED_VALUE"""),"BLUE")</f>
        <v>BLUE</v>
      </c>
      <c r="G2729" s="20" t="str">
        <f>IFERROR(__xludf.DUMMYFUNCTION("""COMPUTED_VALUE"""),"Uncle Sams Cider (11/12/2021) (Blue)")</f>
        <v>Uncle Sams Cider (11/12/2021) (Blue)</v>
      </c>
      <c r="H2729" s="19"/>
    </row>
    <row r="2730">
      <c r="A2730" s="9"/>
      <c r="B2730" s="15"/>
      <c r="C2730" s="9">
        <f>IFERROR(__xludf.DUMMYFUNCTION("""COMPUTED_VALUE"""),44577.1076835879)</f>
        <v>44577.10768</v>
      </c>
      <c r="D2730" s="15">
        <f>IFERROR(__xludf.DUMMYFUNCTION("""COMPUTED_VALUE"""),1.003)</f>
        <v>1.003</v>
      </c>
      <c r="E2730" s="16">
        <f>IFERROR(__xludf.DUMMYFUNCTION("""COMPUTED_VALUE"""),62.0)</f>
        <v>62</v>
      </c>
      <c r="F2730" s="19" t="str">
        <f>IFERROR(__xludf.DUMMYFUNCTION("""COMPUTED_VALUE"""),"BLUE")</f>
        <v>BLUE</v>
      </c>
      <c r="G2730" s="20" t="str">
        <f>IFERROR(__xludf.DUMMYFUNCTION("""COMPUTED_VALUE"""),"Uncle Sams Cider (11/12/2021) (Blue)")</f>
        <v>Uncle Sams Cider (11/12/2021) (Blue)</v>
      </c>
      <c r="H2730" s="19"/>
    </row>
    <row r="2731">
      <c r="A2731" s="9"/>
      <c r="B2731" s="15"/>
      <c r="C2731" s="9">
        <f>IFERROR(__xludf.DUMMYFUNCTION("""COMPUTED_VALUE"""),44577.0972611689)</f>
        <v>44577.09726</v>
      </c>
      <c r="D2731" s="15">
        <f>IFERROR(__xludf.DUMMYFUNCTION("""COMPUTED_VALUE"""),1.003)</f>
        <v>1.003</v>
      </c>
      <c r="E2731" s="16">
        <f>IFERROR(__xludf.DUMMYFUNCTION("""COMPUTED_VALUE"""),62.0)</f>
        <v>62</v>
      </c>
      <c r="F2731" s="19" t="str">
        <f>IFERROR(__xludf.DUMMYFUNCTION("""COMPUTED_VALUE"""),"BLUE")</f>
        <v>BLUE</v>
      </c>
      <c r="G2731" s="20" t="str">
        <f>IFERROR(__xludf.DUMMYFUNCTION("""COMPUTED_VALUE"""),"Uncle Sams Cider (11/12/2021) (Blue)")</f>
        <v>Uncle Sams Cider (11/12/2021) (Blue)</v>
      </c>
      <c r="H2731" s="19"/>
    </row>
    <row r="2732">
      <c r="A2732" s="9"/>
      <c r="B2732" s="15"/>
      <c r="C2732" s="9">
        <f>IFERROR(__xludf.DUMMYFUNCTION("""COMPUTED_VALUE"""),44577.0868402083)</f>
        <v>44577.08684</v>
      </c>
      <c r="D2732" s="15">
        <f>IFERROR(__xludf.DUMMYFUNCTION("""COMPUTED_VALUE"""),1.003)</f>
        <v>1.003</v>
      </c>
      <c r="E2732" s="16">
        <f>IFERROR(__xludf.DUMMYFUNCTION("""COMPUTED_VALUE"""),62.0)</f>
        <v>62</v>
      </c>
      <c r="F2732" s="19" t="str">
        <f>IFERROR(__xludf.DUMMYFUNCTION("""COMPUTED_VALUE"""),"BLUE")</f>
        <v>BLUE</v>
      </c>
      <c r="G2732" s="20" t="str">
        <f>IFERROR(__xludf.DUMMYFUNCTION("""COMPUTED_VALUE"""),"Uncle Sams Cider (11/12/2021) (Blue)")</f>
        <v>Uncle Sams Cider (11/12/2021) (Blue)</v>
      </c>
      <c r="H2732" s="19"/>
    </row>
    <row r="2733">
      <c r="A2733" s="9"/>
      <c r="B2733" s="15"/>
      <c r="C2733" s="9">
        <f>IFERROR(__xludf.DUMMYFUNCTION("""COMPUTED_VALUE"""),44577.0764179629)</f>
        <v>44577.07642</v>
      </c>
      <c r="D2733" s="15">
        <f>IFERROR(__xludf.DUMMYFUNCTION("""COMPUTED_VALUE"""),1.003)</f>
        <v>1.003</v>
      </c>
      <c r="E2733" s="16">
        <f>IFERROR(__xludf.DUMMYFUNCTION("""COMPUTED_VALUE"""),62.0)</f>
        <v>62</v>
      </c>
      <c r="F2733" s="19" t="str">
        <f>IFERROR(__xludf.DUMMYFUNCTION("""COMPUTED_VALUE"""),"BLUE")</f>
        <v>BLUE</v>
      </c>
      <c r="G2733" s="20" t="str">
        <f>IFERROR(__xludf.DUMMYFUNCTION("""COMPUTED_VALUE"""),"Uncle Sams Cider (11/12/2021) (Blue)")</f>
        <v>Uncle Sams Cider (11/12/2021) (Blue)</v>
      </c>
      <c r="H2733" s="19"/>
    </row>
    <row r="2734">
      <c r="A2734" s="9"/>
      <c r="B2734" s="15"/>
      <c r="C2734" s="9">
        <f>IFERROR(__xludf.DUMMYFUNCTION("""COMPUTED_VALUE"""),44577.0659866435)</f>
        <v>44577.06599</v>
      </c>
      <c r="D2734" s="15">
        <f>IFERROR(__xludf.DUMMYFUNCTION("""COMPUTED_VALUE"""),1.003)</f>
        <v>1.003</v>
      </c>
      <c r="E2734" s="16">
        <f>IFERROR(__xludf.DUMMYFUNCTION("""COMPUTED_VALUE"""),62.0)</f>
        <v>62</v>
      </c>
      <c r="F2734" s="19" t="str">
        <f>IFERROR(__xludf.DUMMYFUNCTION("""COMPUTED_VALUE"""),"BLUE")</f>
        <v>BLUE</v>
      </c>
      <c r="G2734" s="20" t="str">
        <f>IFERROR(__xludf.DUMMYFUNCTION("""COMPUTED_VALUE"""),"Uncle Sams Cider (11/12/2021) (Blue)")</f>
        <v>Uncle Sams Cider (11/12/2021) (Blue)</v>
      </c>
      <c r="H2734" s="19"/>
    </row>
    <row r="2735">
      <c r="A2735" s="9"/>
      <c r="B2735" s="15"/>
      <c r="C2735" s="9">
        <f>IFERROR(__xludf.DUMMYFUNCTION("""COMPUTED_VALUE"""),44577.0555652777)</f>
        <v>44577.05557</v>
      </c>
      <c r="D2735" s="15">
        <f>IFERROR(__xludf.DUMMYFUNCTION("""COMPUTED_VALUE"""),1.003)</f>
        <v>1.003</v>
      </c>
      <c r="E2735" s="16">
        <f>IFERROR(__xludf.DUMMYFUNCTION("""COMPUTED_VALUE"""),62.0)</f>
        <v>62</v>
      </c>
      <c r="F2735" s="19" t="str">
        <f>IFERROR(__xludf.DUMMYFUNCTION("""COMPUTED_VALUE"""),"BLUE")</f>
        <v>BLUE</v>
      </c>
      <c r="G2735" s="20" t="str">
        <f>IFERROR(__xludf.DUMMYFUNCTION("""COMPUTED_VALUE"""),"Uncle Sams Cider (11/12/2021) (Blue)")</f>
        <v>Uncle Sams Cider (11/12/2021) (Blue)</v>
      </c>
      <c r="H2735" s="19"/>
    </row>
    <row r="2736">
      <c r="A2736" s="9"/>
      <c r="B2736" s="15"/>
      <c r="C2736" s="9">
        <f>IFERROR(__xludf.DUMMYFUNCTION("""COMPUTED_VALUE"""),44577.0451425231)</f>
        <v>44577.04514</v>
      </c>
      <c r="D2736" s="15">
        <f>IFERROR(__xludf.DUMMYFUNCTION("""COMPUTED_VALUE"""),1.003)</f>
        <v>1.003</v>
      </c>
      <c r="E2736" s="16">
        <f>IFERROR(__xludf.DUMMYFUNCTION("""COMPUTED_VALUE"""),62.0)</f>
        <v>62</v>
      </c>
      <c r="F2736" s="19" t="str">
        <f>IFERROR(__xludf.DUMMYFUNCTION("""COMPUTED_VALUE"""),"BLUE")</f>
        <v>BLUE</v>
      </c>
      <c r="G2736" s="20" t="str">
        <f>IFERROR(__xludf.DUMMYFUNCTION("""COMPUTED_VALUE"""),"Uncle Sams Cider (11/12/2021) (Blue)")</f>
        <v>Uncle Sams Cider (11/12/2021) (Blue)</v>
      </c>
      <c r="H2736" s="19"/>
    </row>
    <row r="2737">
      <c r="A2737" s="9"/>
      <c r="B2737" s="15"/>
      <c r="C2737" s="9">
        <f>IFERROR(__xludf.DUMMYFUNCTION("""COMPUTED_VALUE"""),44577.0347222569)</f>
        <v>44577.03472</v>
      </c>
      <c r="D2737" s="15">
        <f>IFERROR(__xludf.DUMMYFUNCTION("""COMPUTED_VALUE"""),1.003)</f>
        <v>1.003</v>
      </c>
      <c r="E2737" s="16">
        <f>IFERROR(__xludf.DUMMYFUNCTION("""COMPUTED_VALUE"""),62.0)</f>
        <v>62</v>
      </c>
      <c r="F2737" s="19" t="str">
        <f>IFERROR(__xludf.DUMMYFUNCTION("""COMPUTED_VALUE"""),"BLUE")</f>
        <v>BLUE</v>
      </c>
      <c r="G2737" s="20" t="str">
        <f>IFERROR(__xludf.DUMMYFUNCTION("""COMPUTED_VALUE"""),"Uncle Sams Cider (11/12/2021) (Blue)")</f>
        <v>Uncle Sams Cider (11/12/2021) (Blue)</v>
      </c>
      <c r="H2737" s="19"/>
    </row>
    <row r="2738">
      <c r="A2738" s="9"/>
      <c r="B2738" s="15"/>
      <c r="C2738" s="9">
        <f>IFERROR(__xludf.DUMMYFUNCTION("""COMPUTED_VALUE"""),44577.0242895023)</f>
        <v>44577.02429</v>
      </c>
      <c r="D2738" s="15">
        <f>IFERROR(__xludf.DUMMYFUNCTION("""COMPUTED_VALUE"""),1.003)</f>
        <v>1.003</v>
      </c>
      <c r="E2738" s="16">
        <f>IFERROR(__xludf.DUMMYFUNCTION("""COMPUTED_VALUE"""),62.0)</f>
        <v>62</v>
      </c>
      <c r="F2738" s="19" t="str">
        <f>IFERROR(__xludf.DUMMYFUNCTION("""COMPUTED_VALUE"""),"BLUE")</f>
        <v>BLUE</v>
      </c>
      <c r="G2738" s="20" t="str">
        <f>IFERROR(__xludf.DUMMYFUNCTION("""COMPUTED_VALUE"""),"Uncle Sams Cider (11/12/2021) (Blue)")</f>
        <v>Uncle Sams Cider (11/12/2021) (Blue)</v>
      </c>
      <c r="H2738" s="19"/>
    </row>
    <row r="2739">
      <c r="A2739" s="9"/>
      <c r="B2739" s="15"/>
      <c r="C2739" s="9">
        <f>IFERROR(__xludf.DUMMYFUNCTION("""COMPUTED_VALUE"""),44577.013868993)</f>
        <v>44577.01387</v>
      </c>
      <c r="D2739" s="15">
        <f>IFERROR(__xludf.DUMMYFUNCTION("""COMPUTED_VALUE"""),1.003)</f>
        <v>1.003</v>
      </c>
      <c r="E2739" s="16">
        <f>IFERROR(__xludf.DUMMYFUNCTION("""COMPUTED_VALUE"""),62.0)</f>
        <v>62</v>
      </c>
      <c r="F2739" s="19" t="str">
        <f>IFERROR(__xludf.DUMMYFUNCTION("""COMPUTED_VALUE"""),"BLUE")</f>
        <v>BLUE</v>
      </c>
      <c r="G2739" s="20" t="str">
        <f>IFERROR(__xludf.DUMMYFUNCTION("""COMPUTED_VALUE"""),"Uncle Sams Cider (11/12/2021) (Blue)")</f>
        <v>Uncle Sams Cider (11/12/2021) (Blue)</v>
      </c>
      <c r="H2739" s="19"/>
    </row>
    <row r="2740">
      <c r="A2740" s="9"/>
      <c r="B2740" s="15"/>
      <c r="C2740" s="9">
        <f>IFERROR(__xludf.DUMMYFUNCTION("""COMPUTED_VALUE"""),44577.0034484953)</f>
        <v>44577.00345</v>
      </c>
      <c r="D2740" s="15">
        <f>IFERROR(__xludf.DUMMYFUNCTION("""COMPUTED_VALUE"""),1.003)</f>
        <v>1.003</v>
      </c>
      <c r="E2740" s="16">
        <f>IFERROR(__xludf.DUMMYFUNCTION("""COMPUTED_VALUE"""),62.0)</f>
        <v>62</v>
      </c>
      <c r="F2740" s="19" t="str">
        <f>IFERROR(__xludf.DUMMYFUNCTION("""COMPUTED_VALUE"""),"BLUE")</f>
        <v>BLUE</v>
      </c>
      <c r="G2740" s="20" t="str">
        <f>IFERROR(__xludf.DUMMYFUNCTION("""COMPUTED_VALUE"""),"Uncle Sams Cider (11/12/2021) (Blue)")</f>
        <v>Uncle Sams Cider (11/12/2021) (Blue)</v>
      </c>
      <c r="H2740" s="19"/>
    </row>
    <row r="2741">
      <c r="A2741" s="9"/>
      <c r="B2741" s="15"/>
      <c r="C2741" s="9">
        <f>IFERROR(__xludf.DUMMYFUNCTION("""COMPUTED_VALUE"""),44576.9930274537)</f>
        <v>44576.99303</v>
      </c>
      <c r="D2741" s="15">
        <f>IFERROR(__xludf.DUMMYFUNCTION("""COMPUTED_VALUE"""),1.003)</f>
        <v>1.003</v>
      </c>
      <c r="E2741" s="16">
        <f>IFERROR(__xludf.DUMMYFUNCTION("""COMPUTED_VALUE"""),62.0)</f>
        <v>62</v>
      </c>
      <c r="F2741" s="19" t="str">
        <f>IFERROR(__xludf.DUMMYFUNCTION("""COMPUTED_VALUE"""),"BLUE")</f>
        <v>BLUE</v>
      </c>
      <c r="G2741" s="20" t="str">
        <f>IFERROR(__xludf.DUMMYFUNCTION("""COMPUTED_VALUE"""),"Uncle Sams Cider (11/12/2021) (Blue)")</f>
        <v>Uncle Sams Cider (11/12/2021) (Blue)</v>
      </c>
      <c r="H2741" s="19"/>
    </row>
    <row r="2742">
      <c r="A2742" s="9"/>
      <c r="B2742" s="15"/>
      <c r="C2742" s="9">
        <f>IFERROR(__xludf.DUMMYFUNCTION("""COMPUTED_VALUE"""),44576.982604618)</f>
        <v>44576.9826</v>
      </c>
      <c r="D2742" s="15">
        <f>IFERROR(__xludf.DUMMYFUNCTION("""COMPUTED_VALUE"""),1.003)</f>
        <v>1.003</v>
      </c>
      <c r="E2742" s="16">
        <f>IFERROR(__xludf.DUMMYFUNCTION("""COMPUTED_VALUE"""),62.0)</f>
        <v>62</v>
      </c>
      <c r="F2742" s="19" t="str">
        <f>IFERROR(__xludf.DUMMYFUNCTION("""COMPUTED_VALUE"""),"BLUE")</f>
        <v>BLUE</v>
      </c>
      <c r="G2742" s="20" t="str">
        <f>IFERROR(__xludf.DUMMYFUNCTION("""COMPUTED_VALUE"""),"Uncle Sams Cider (11/12/2021) (Blue)")</f>
        <v>Uncle Sams Cider (11/12/2021) (Blue)</v>
      </c>
      <c r="H2742" s="19"/>
    </row>
    <row r="2743">
      <c r="A2743" s="9"/>
      <c r="B2743" s="15"/>
      <c r="C2743" s="9">
        <f>IFERROR(__xludf.DUMMYFUNCTION("""COMPUTED_VALUE"""),44576.972160405)</f>
        <v>44576.97216</v>
      </c>
      <c r="D2743" s="15">
        <f>IFERROR(__xludf.DUMMYFUNCTION("""COMPUTED_VALUE"""),1.003)</f>
        <v>1.003</v>
      </c>
      <c r="E2743" s="16">
        <f>IFERROR(__xludf.DUMMYFUNCTION("""COMPUTED_VALUE"""),62.0)</f>
        <v>62</v>
      </c>
      <c r="F2743" s="19" t="str">
        <f>IFERROR(__xludf.DUMMYFUNCTION("""COMPUTED_VALUE"""),"BLUE")</f>
        <v>BLUE</v>
      </c>
      <c r="G2743" s="20" t="str">
        <f>IFERROR(__xludf.DUMMYFUNCTION("""COMPUTED_VALUE"""),"Uncle Sams Cider (11/12/2021) (Blue)")</f>
        <v>Uncle Sams Cider (11/12/2021) (Blue)</v>
      </c>
      <c r="H2743" s="19"/>
    </row>
    <row r="2744">
      <c r="A2744" s="9"/>
      <c r="B2744" s="15"/>
      <c r="C2744" s="9">
        <f>IFERROR(__xludf.DUMMYFUNCTION("""COMPUTED_VALUE"""),44576.9617393981)</f>
        <v>44576.96174</v>
      </c>
      <c r="D2744" s="15">
        <f>IFERROR(__xludf.DUMMYFUNCTION("""COMPUTED_VALUE"""),1.003)</f>
        <v>1.003</v>
      </c>
      <c r="E2744" s="16">
        <f>IFERROR(__xludf.DUMMYFUNCTION("""COMPUTED_VALUE"""),62.0)</f>
        <v>62</v>
      </c>
      <c r="F2744" s="19" t="str">
        <f>IFERROR(__xludf.DUMMYFUNCTION("""COMPUTED_VALUE"""),"BLUE")</f>
        <v>BLUE</v>
      </c>
      <c r="G2744" s="20" t="str">
        <f>IFERROR(__xludf.DUMMYFUNCTION("""COMPUTED_VALUE"""),"Uncle Sams Cider (11/12/2021) (Blue)")</f>
        <v>Uncle Sams Cider (11/12/2021) (Blue)</v>
      </c>
      <c r="H2744" s="19"/>
    </row>
    <row r="2745">
      <c r="A2745" s="9"/>
      <c r="B2745" s="15"/>
      <c r="C2745" s="9">
        <f>IFERROR(__xludf.DUMMYFUNCTION("""COMPUTED_VALUE"""),44576.9513185648)</f>
        <v>44576.95132</v>
      </c>
      <c r="D2745" s="15">
        <f>IFERROR(__xludf.DUMMYFUNCTION("""COMPUTED_VALUE"""),1.003)</f>
        <v>1.003</v>
      </c>
      <c r="E2745" s="16">
        <f>IFERROR(__xludf.DUMMYFUNCTION("""COMPUTED_VALUE"""),63.0)</f>
        <v>63</v>
      </c>
      <c r="F2745" s="19" t="str">
        <f>IFERROR(__xludf.DUMMYFUNCTION("""COMPUTED_VALUE"""),"BLUE")</f>
        <v>BLUE</v>
      </c>
      <c r="G2745" s="20" t="str">
        <f>IFERROR(__xludf.DUMMYFUNCTION("""COMPUTED_VALUE"""),"Uncle Sams Cider (11/12/2021) (Blue)")</f>
        <v>Uncle Sams Cider (11/12/2021) (Blue)</v>
      </c>
      <c r="H2745" s="19"/>
    </row>
    <row r="2746">
      <c r="A2746" s="9"/>
      <c r="B2746" s="15"/>
      <c r="C2746" s="9">
        <f>IFERROR(__xludf.DUMMYFUNCTION("""COMPUTED_VALUE"""),44576.9408865393)</f>
        <v>44576.94089</v>
      </c>
      <c r="D2746" s="15">
        <f>IFERROR(__xludf.DUMMYFUNCTION("""COMPUTED_VALUE"""),1.003)</f>
        <v>1.003</v>
      </c>
      <c r="E2746" s="16">
        <f>IFERROR(__xludf.DUMMYFUNCTION("""COMPUTED_VALUE"""),62.0)</f>
        <v>62</v>
      </c>
      <c r="F2746" s="19" t="str">
        <f>IFERROR(__xludf.DUMMYFUNCTION("""COMPUTED_VALUE"""),"BLUE")</f>
        <v>BLUE</v>
      </c>
      <c r="G2746" s="20" t="str">
        <f>IFERROR(__xludf.DUMMYFUNCTION("""COMPUTED_VALUE"""),"Uncle Sams Cider (11/12/2021) (Blue)")</f>
        <v>Uncle Sams Cider (11/12/2021) (Blue)</v>
      </c>
      <c r="H2746" s="19"/>
    </row>
    <row r="2747">
      <c r="A2747" s="9"/>
      <c r="B2747" s="15"/>
      <c r="C2747" s="9">
        <f>IFERROR(__xludf.DUMMYFUNCTION("""COMPUTED_VALUE"""),44576.9304655555)</f>
        <v>44576.93047</v>
      </c>
      <c r="D2747" s="15">
        <f>IFERROR(__xludf.DUMMYFUNCTION("""COMPUTED_VALUE"""),1.003)</f>
        <v>1.003</v>
      </c>
      <c r="E2747" s="16">
        <f>IFERROR(__xludf.DUMMYFUNCTION("""COMPUTED_VALUE"""),63.0)</f>
        <v>63</v>
      </c>
      <c r="F2747" s="19" t="str">
        <f>IFERROR(__xludf.DUMMYFUNCTION("""COMPUTED_VALUE"""),"BLUE")</f>
        <v>BLUE</v>
      </c>
      <c r="G2747" s="20" t="str">
        <f>IFERROR(__xludf.DUMMYFUNCTION("""COMPUTED_VALUE"""),"Uncle Sams Cider (11/12/2021) (Blue)")</f>
        <v>Uncle Sams Cider (11/12/2021) (Blue)</v>
      </c>
      <c r="H2747" s="19"/>
    </row>
    <row r="2748">
      <c r="A2748" s="9"/>
      <c r="B2748" s="15"/>
      <c r="C2748" s="9">
        <f>IFERROR(__xludf.DUMMYFUNCTION("""COMPUTED_VALUE"""),44576.920045081)</f>
        <v>44576.92005</v>
      </c>
      <c r="D2748" s="15">
        <f>IFERROR(__xludf.DUMMYFUNCTION("""COMPUTED_VALUE"""),1.003)</f>
        <v>1.003</v>
      </c>
      <c r="E2748" s="16">
        <f>IFERROR(__xludf.DUMMYFUNCTION("""COMPUTED_VALUE"""),63.0)</f>
        <v>63</v>
      </c>
      <c r="F2748" s="19" t="str">
        <f>IFERROR(__xludf.DUMMYFUNCTION("""COMPUTED_VALUE"""),"BLUE")</f>
        <v>BLUE</v>
      </c>
      <c r="G2748" s="20" t="str">
        <f>IFERROR(__xludf.DUMMYFUNCTION("""COMPUTED_VALUE"""),"Uncle Sams Cider (11/12/2021) (Blue)")</f>
        <v>Uncle Sams Cider (11/12/2021) (Blue)</v>
      </c>
      <c r="H2748" s="19"/>
    </row>
    <row r="2749">
      <c r="A2749" s="9"/>
      <c r="B2749" s="15"/>
      <c r="C2749" s="9">
        <f>IFERROR(__xludf.DUMMYFUNCTION("""COMPUTED_VALUE"""),44576.9096239814)</f>
        <v>44576.90962</v>
      </c>
      <c r="D2749" s="15">
        <f>IFERROR(__xludf.DUMMYFUNCTION("""COMPUTED_VALUE"""),1.003)</f>
        <v>1.003</v>
      </c>
      <c r="E2749" s="16">
        <f>IFERROR(__xludf.DUMMYFUNCTION("""COMPUTED_VALUE"""),63.0)</f>
        <v>63</v>
      </c>
      <c r="F2749" s="19" t="str">
        <f>IFERROR(__xludf.DUMMYFUNCTION("""COMPUTED_VALUE"""),"BLUE")</f>
        <v>BLUE</v>
      </c>
      <c r="G2749" s="20" t="str">
        <f>IFERROR(__xludf.DUMMYFUNCTION("""COMPUTED_VALUE"""),"Uncle Sams Cider (11/12/2021) (Blue)")</f>
        <v>Uncle Sams Cider (11/12/2021) (Blue)</v>
      </c>
      <c r="H2749" s="19"/>
    </row>
    <row r="2750">
      <c r="A2750" s="9"/>
      <c r="B2750" s="15"/>
      <c r="C2750" s="9">
        <f>IFERROR(__xludf.DUMMYFUNCTION("""COMPUTED_VALUE"""),44576.8992035995)</f>
        <v>44576.8992</v>
      </c>
      <c r="D2750" s="15">
        <f>IFERROR(__xludf.DUMMYFUNCTION("""COMPUTED_VALUE"""),1.003)</f>
        <v>1.003</v>
      </c>
      <c r="E2750" s="16">
        <f>IFERROR(__xludf.DUMMYFUNCTION("""COMPUTED_VALUE"""),63.0)</f>
        <v>63</v>
      </c>
      <c r="F2750" s="19" t="str">
        <f>IFERROR(__xludf.DUMMYFUNCTION("""COMPUTED_VALUE"""),"BLUE")</f>
        <v>BLUE</v>
      </c>
      <c r="G2750" s="20" t="str">
        <f>IFERROR(__xludf.DUMMYFUNCTION("""COMPUTED_VALUE"""),"Uncle Sams Cider (11/12/2021) (Blue)")</f>
        <v>Uncle Sams Cider (11/12/2021) (Blue)</v>
      </c>
      <c r="H2750" s="19"/>
    </row>
    <row r="2751">
      <c r="A2751" s="9"/>
      <c r="B2751" s="15"/>
      <c r="C2751" s="9">
        <f>IFERROR(__xludf.DUMMYFUNCTION("""COMPUTED_VALUE"""),44576.8887835648)</f>
        <v>44576.88878</v>
      </c>
      <c r="D2751" s="15">
        <f>IFERROR(__xludf.DUMMYFUNCTION("""COMPUTED_VALUE"""),1.003)</f>
        <v>1.003</v>
      </c>
      <c r="E2751" s="16">
        <f>IFERROR(__xludf.DUMMYFUNCTION("""COMPUTED_VALUE"""),63.0)</f>
        <v>63</v>
      </c>
      <c r="F2751" s="19" t="str">
        <f>IFERROR(__xludf.DUMMYFUNCTION("""COMPUTED_VALUE"""),"BLUE")</f>
        <v>BLUE</v>
      </c>
      <c r="G2751" s="20" t="str">
        <f>IFERROR(__xludf.DUMMYFUNCTION("""COMPUTED_VALUE"""),"Uncle Sams Cider (11/12/2021) (Blue)")</f>
        <v>Uncle Sams Cider (11/12/2021) (Blue)</v>
      </c>
      <c r="H2751" s="19"/>
    </row>
    <row r="2752">
      <c r="A2752" s="9"/>
      <c r="B2752" s="15"/>
      <c r="C2752" s="9">
        <f>IFERROR(__xludf.DUMMYFUNCTION("""COMPUTED_VALUE"""),44576.8783618402)</f>
        <v>44576.87836</v>
      </c>
      <c r="D2752" s="15">
        <f>IFERROR(__xludf.DUMMYFUNCTION("""COMPUTED_VALUE"""),1.003)</f>
        <v>1.003</v>
      </c>
      <c r="E2752" s="16">
        <f>IFERROR(__xludf.DUMMYFUNCTION("""COMPUTED_VALUE"""),63.0)</f>
        <v>63</v>
      </c>
      <c r="F2752" s="19" t="str">
        <f>IFERROR(__xludf.DUMMYFUNCTION("""COMPUTED_VALUE"""),"BLUE")</f>
        <v>BLUE</v>
      </c>
      <c r="G2752" s="20" t="str">
        <f>IFERROR(__xludf.DUMMYFUNCTION("""COMPUTED_VALUE"""),"Uncle Sams Cider (11/12/2021) (Blue)")</f>
        <v>Uncle Sams Cider (11/12/2021) (Blue)</v>
      </c>
      <c r="H2752" s="19"/>
    </row>
    <row r="2753">
      <c r="A2753" s="9"/>
      <c r="B2753" s="15"/>
      <c r="C2753" s="9">
        <f>IFERROR(__xludf.DUMMYFUNCTION("""COMPUTED_VALUE"""),44576.8679378472)</f>
        <v>44576.86794</v>
      </c>
      <c r="D2753" s="15">
        <f>IFERROR(__xludf.DUMMYFUNCTION("""COMPUTED_VALUE"""),1.003)</f>
        <v>1.003</v>
      </c>
      <c r="E2753" s="16">
        <f>IFERROR(__xludf.DUMMYFUNCTION("""COMPUTED_VALUE"""),63.0)</f>
        <v>63</v>
      </c>
      <c r="F2753" s="19" t="str">
        <f>IFERROR(__xludf.DUMMYFUNCTION("""COMPUTED_VALUE"""),"BLUE")</f>
        <v>BLUE</v>
      </c>
      <c r="G2753" s="20" t="str">
        <f>IFERROR(__xludf.DUMMYFUNCTION("""COMPUTED_VALUE"""),"Uncle Sams Cider (11/12/2021) (Blue)")</f>
        <v>Uncle Sams Cider (11/12/2021) (Blue)</v>
      </c>
      <c r="H2753" s="19"/>
    </row>
    <row r="2754">
      <c r="A2754" s="9"/>
      <c r="B2754" s="15"/>
      <c r="C2754" s="9">
        <f>IFERROR(__xludf.DUMMYFUNCTION("""COMPUTED_VALUE"""),44576.8575163194)</f>
        <v>44576.85752</v>
      </c>
      <c r="D2754" s="15">
        <f>IFERROR(__xludf.DUMMYFUNCTION("""COMPUTED_VALUE"""),1.003)</f>
        <v>1.003</v>
      </c>
      <c r="E2754" s="16">
        <f>IFERROR(__xludf.DUMMYFUNCTION("""COMPUTED_VALUE"""),63.0)</f>
        <v>63</v>
      </c>
      <c r="F2754" s="19" t="str">
        <f>IFERROR(__xludf.DUMMYFUNCTION("""COMPUTED_VALUE"""),"BLUE")</f>
        <v>BLUE</v>
      </c>
      <c r="G2754" s="20" t="str">
        <f>IFERROR(__xludf.DUMMYFUNCTION("""COMPUTED_VALUE"""),"Uncle Sams Cider (11/12/2021) (Blue)")</f>
        <v>Uncle Sams Cider (11/12/2021) (Blue)</v>
      </c>
      <c r="H2754" s="19"/>
    </row>
    <row r="2755">
      <c r="A2755" s="9"/>
      <c r="B2755" s="15"/>
      <c r="C2755" s="9">
        <f>IFERROR(__xludf.DUMMYFUNCTION("""COMPUTED_VALUE"""),44576.8470954166)</f>
        <v>44576.8471</v>
      </c>
      <c r="D2755" s="15">
        <f>IFERROR(__xludf.DUMMYFUNCTION("""COMPUTED_VALUE"""),1.003)</f>
        <v>1.003</v>
      </c>
      <c r="E2755" s="16">
        <f>IFERROR(__xludf.DUMMYFUNCTION("""COMPUTED_VALUE"""),63.0)</f>
        <v>63</v>
      </c>
      <c r="F2755" s="19" t="str">
        <f>IFERROR(__xludf.DUMMYFUNCTION("""COMPUTED_VALUE"""),"BLUE")</f>
        <v>BLUE</v>
      </c>
      <c r="G2755" s="20" t="str">
        <f>IFERROR(__xludf.DUMMYFUNCTION("""COMPUTED_VALUE"""),"Uncle Sams Cider (11/12/2021) (Blue)")</f>
        <v>Uncle Sams Cider (11/12/2021) (Blue)</v>
      </c>
      <c r="H2755" s="19"/>
    </row>
    <row r="2756">
      <c r="A2756" s="9"/>
      <c r="B2756" s="15"/>
      <c r="C2756" s="9">
        <f>IFERROR(__xludf.DUMMYFUNCTION("""COMPUTED_VALUE"""),44576.8366625231)</f>
        <v>44576.83666</v>
      </c>
      <c r="D2756" s="15">
        <f>IFERROR(__xludf.DUMMYFUNCTION("""COMPUTED_VALUE"""),1.003)</f>
        <v>1.003</v>
      </c>
      <c r="E2756" s="16">
        <f>IFERROR(__xludf.DUMMYFUNCTION("""COMPUTED_VALUE"""),63.0)</f>
        <v>63</v>
      </c>
      <c r="F2756" s="19" t="str">
        <f>IFERROR(__xludf.DUMMYFUNCTION("""COMPUTED_VALUE"""),"BLUE")</f>
        <v>BLUE</v>
      </c>
      <c r="G2756" s="20" t="str">
        <f>IFERROR(__xludf.DUMMYFUNCTION("""COMPUTED_VALUE"""),"Uncle Sams Cider (11/12/2021) (Blue)")</f>
        <v>Uncle Sams Cider (11/12/2021) (Blue)</v>
      </c>
      <c r="H2756" s="19"/>
    </row>
    <row r="2757">
      <c r="A2757" s="9"/>
      <c r="B2757" s="15"/>
      <c r="C2757" s="9">
        <f>IFERROR(__xludf.DUMMYFUNCTION("""COMPUTED_VALUE"""),44576.8262405902)</f>
        <v>44576.82624</v>
      </c>
      <c r="D2757" s="15">
        <f>IFERROR(__xludf.DUMMYFUNCTION("""COMPUTED_VALUE"""),1.003)</f>
        <v>1.003</v>
      </c>
      <c r="E2757" s="16">
        <f>IFERROR(__xludf.DUMMYFUNCTION("""COMPUTED_VALUE"""),63.0)</f>
        <v>63</v>
      </c>
      <c r="F2757" s="19" t="str">
        <f>IFERROR(__xludf.DUMMYFUNCTION("""COMPUTED_VALUE"""),"BLUE")</f>
        <v>BLUE</v>
      </c>
      <c r="G2757" s="20" t="str">
        <f>IFERROR(__xludf.DUMMYFUNCTION("""COMPUTED_VALUE"""),"Uncle Sams Cider (11/12/2021) (Blue)")</f>
        <v>Uncle Sams Cider (11/12/2021) (Blue)</v>
      </c>
      <c r="H2757" s="19"/>
    </row>
    <row r="2758">
      <c r="A2758" s="9"/>
      <c r="B2758" s="15"/>
      <c r="C2758" s="9">
        <f>IFERROR(__xludf.DUMMYFUNCTION("""COMPUTED_VALUE"""),44576.8158190509)</f>
        <v>44576.81582</v>
      </c>
      <c r="D2758" s="15">
        <f>IFERROR(__xludf.DUMMYFUNCTION("""COMPUTED_VALUE"""),1.003)</f>
        <v>1.003</v>
      </c>
      <c r="E2758" s="16">
        <f>IFERROR(__xludf.DUMMYFUNCTION("""COMPUTED_VALUE"""),63.0)</f>
        <v>63</v>
      </c>
      <c r="F2758" s="19" t="str">
        <f>IFERROR(__xludf.DUMMYFUNCTION("""COMPUTED_VALUE"""),"BLUE")</f>
        <v>BLUE</v>
      </c>
      <c r="G2758" s="20" t="str">
        <f>IFERROR(__xludf.DUMMYFUNCTION("""COMPUTED_VALUE"""),"Uncle Sams Cider (11/12/2021) (Blue)")</f>
        <v>Uncle Sams Cider (11/12/2021) (Blue)</v>
      </c>
      <c r="H2758" s="19"/>
    </row>
    <row r="2759">
      <c r="A2759" s="9"/>
      <c r="B2759" s="15"/>
      <c r="C2759" s="9">
        <f>IFERROR(__xludf.DUMMYFUNCTION("""COMPUTED_VALUE"""),44576.805386655)</f>
        <v>44576.80539</v>
      </c>
      <c r="D2759" s="15">
        <f>IFERROR(__xludf.DUMMYFUNCTION("""COMPUTED_VALUE"""),1.003)</f>
        <v>1.003</v>
      </c>
      <c r="E2759" s="16">
        <f>IFERROR(__xludf.DUMMYFUNCTION("""COMPUTED_VALUE"""),63.0)</f>
        <v>63</v>
      </c>
      <c r="F2759" s="19" t="str">
        <f>IFERROR(__xludf.DUMMYFUNCTION("""COMPUTED_VALUE"""),"BLUE")</f>
        <v>BLUE</v>
      </c>
      <c r="G2759" s="20" t="str">
        <f>IFERROR(__xludf.DUMMYFUNCTION("""COMPUTED_VALUE"""),"Uncle Sams Cider (11/12/2021) (Blue)")</f>
        <v>Uncle Sams Cider (11/12/2021) (Blue)</v>
      </c>
      <c r="H2759" s="19"/>
    </row>
    <row r="2760">
      <c r="A2760" s="9"/>
      <c r="B2760" s="15"/>
      <c r="C2760" s="9">
        <f>IFERROR(__xludf.DUMMYFUNCTION("""COMPUTED_VALUE"""),44576.7949634722)</f>
        <v>44576.79496</v>
      </c>
      <c r="D2760" s="15">
        <f>IFERROR(__xludf.DUMMYFUNCTION("""COMPUTED_VALUE"""),1.003)</f>
        <v>1.003</v>
      </c>
      <c r="E2760" s="16">
        <f>IFERROR(__xludf.DUMMYFUNCTION("""COMPUTED_VALUE"""),63.0)</f>
        <v>63</v>
      </c>
      <c r="F2760" s="19" t="str">
        <f>IFERROR(__xludf.DUMMYFUNCTION("""COMPUTED_VALUE"""),"BLUE")</f>
        <v>BLUE</v>
      </c>
      <c r="G2760" s="20" t="str">
        <f>IFERROR(__xludf.DUMMYFUNCTION("""COMPUTED_VALUE"""),"Uncle Sams Cider (11/12/2021) (Blue)")</f>
        <v>Uncle Sams Cider (11/12/2021) (Blue)</v>
      </c>
      <c r="H2760" s="19"/>
    </row>
    <row r="2761">
      <c r="A2761" s="9"/>
      <c r="B2761" s="15"/>
      <c r="C2761" s="9">
        <f>IFERROR(__xludf.DUMMYFUNCTION("""COMPUTED_VALUE"""),44576.7845408217)</f>
        <v>44576.78454</v>
      </c>
      <c r="D2761" s="15">
        <f>IFERROR(__xludf.DUMMYFUNCTION("""COMPUTED_VALUE"""),1.003)</f>
        <v>1.003</v>
      </c>
      <c r="E2761" s="16">
        <f>IFERROR(__xludf.DUMMYFUNCTION("""COMPUTED_VALUE"""),63.0)</f>
        <v>63</v>
      </c>
      <c r="F2761" s="19" t="str">
        <f>IFERROR(__xludf.DUMMYFUNCTION("""COMPUTED_VALUE"""),"BLUE")</f>
        <v>BLUE</v>
      </c>
      <c r="G2761" s="20" t="str">
        <f>IFERROR(__xludf.DUMMYFUNCTION("""COMPUTED_VALUE"""),"Uncle Sams Cider (11/12/2021) (Blue)")</f>
        <v>Uncle Sams Cider (11/12/2021) (Blue)</v>
      </c>
      <c r="H2761" s="19"/>
    </row>
    <row r="2762">
      <c r="A2762" s="9"/>
      <c r="B2762" s="15"/>
      <c r="C2762" s="9">
        <f>IFERROR(__xludf.DUMMYFUNCTION("""COMPUTED_VALUE"""),44576.7741209606)</f>
        <v>44576.77412</v>
      </c>
      <c r="D2762" s="15">
        <f>IFERROR(__xludf.DUMMYFUNCTION("""COMPUTED_VALUE"""),1.003)</f>
        <v>1.003</v>
      </c>
      <c r="E2762" s="16">
        <f>IFERROR(__xludf.DUMMYFUNCTION("""COMPUTED_VALUE"""),63.0)</f>
        <v>63</v>
      </c>
      <c r="F2762" s="19" t="str">
        <f>IFERROR(__xludf.DUMMYFUNCTION("""COMPUTED_VALUE"""),"BLUE")</f>
        <v>BLUE</v>
      </c>
      <c r="G2762" s="20" t="str">
        <f>IFERROR(__xludf.DUMMYFUNCTION("""COMPUTED_VALUE"""),"Uncle Sams Cider (11/12/2021) (Blue)")</f>
        <v>Uncle Sams Cider (11/12/2021) (Blue)</v>
      </c>
      <c r="H2762" s="19"/>
    </row>
    <row r="2763">
      <c r="A2763" s="9"/>
      <c r="B2763" s="15"/>
      <c r="C2763" s="9">
        <f>IFERROR(__xludf.DUMMYFUNCTION("""COMPUTED_VALUE"""),44576.7637018865)</f>
        <v>44576.7637</v>
      </c>
      <c r="D2763" s="15">
        <f>IFERROR(__xludf.DUMMYFUNCTION("""COMPUTED_VALUE"""),1.003)</f>
        <v>1.003</v>
      </c>
      <c r="E2763" s="16">
        <f>IFERROR(__xludf.DUMMYFUNCTION("""COMPUTED_VALUE"""),63.0)</f>
        <v>63</v>
      </c>
      <c r="F2763" s="19" t="str">
        <f>IFERROR(__xludf.DUMMYFUNCTION("""COMPUTED_VALUE"""),"BLUE")</f>
        <v>BLUE</v>
      </c>
      <c r="G2763" s="20" t="str">
        <f>IFERROR(__xludf.DUMMYFUNCTION("""COMPUTED_VALUE"""),"Uncle Sams Cider (11/12/2021) (Blue)")</f>
        <v>Uncle Sams Cider (11/12/2021) (Blue)</v>
      </c>
      <c r="H2763" s="19"/>
    </row>
    <row r="2764">
      <c r="A2764" s="9"/>
      <c r="B2764" s="15"/>
      <c r="C2764" s="9">
        <f>IFERROR(__xludf.DUMMYFUNCTION("""COMPUTED_VALUE"""),44576.7532817245)</f>
        <v>44576.75328</v>
      </c>
      <c r="D2764" s="15">
        <f>IFERROR(__xludf.DUMMYFUNCTION("""COMPUTED_VALUE"""),1.003)</f>
        <v>1.003</v>
      </c>
      <c r="E2764" s="16">
        <f>IFERROR(__xludf.DUMMYFUNCTION("""COMPUTED_VALUE"""),63.0)</f>
        <v>63</v>
      </c>
      <c r="F2764" s="19" t="str">
        <f>IFERROR(__xludf.DUMMYFUNCTION("""COMPUTED_VALUE"""),"BLUE")</f>
        <v>BLUE</v>
      </c>
      <c r="G2764" s="20" t="str">
        <f>IFERROR(__xludf.DUMMYFUNCTION("""COMPUTED_VALUE"""),"Uncle Sams Cider (11/12/2021) (Blue)")</f>
        <v>Uncle Sams Cider (11/12/2021) (Blue)</v>
      </c>
      <c r="H2764" s="19"/>
    </row>
    <row r="2765">
      <c r="A2765" s="9"/>
      <c r="B2765" s="15"/>
      <c r="C2765" s="9">
        <f>IFERROR(__xludf.DUMMYFUNCTION("""COMPUTED_VALUE"""),44576.7428614236)</f>
        <v>44576.74286</v>
      </c>
      <c r="D2765" s="15">
        <f>IFERROR(__xludf.DUMMYFUNCTION("""COMPUTED_VALUE"""),1.003)</f>
        <v>1.003</v>
      </c>
      <c r="E2765" s="16">
        <f>IFERROR(__xludf.DUMMYFUNCTION("""COMPUTED_VALUE"""),63.0)</f>
        <v>63</v>
      </c>
      <c r="F2765" s="19" t="str">
        <f>IFERROR(__xludf.DUMMYFUNCTION("""COMPUTED_VALUE"""),"BLUE")</f>
        <v>BLUE</v>
      </c>
      <c r="G2765" s="20" t="str">
        <f>IFERROR(__xludf.DUMMYFUNCTION("""COMPUTED_VALUE"""),"Uncle Sams Cider (11/12/2021) (Blue)")</f>
        <v>Uncle Sams Cider (11/12/2021) (Blue)</v>
      </c>
      <c r="H2765" s="19"/>
    </row>
    <row r="2766">
      <c r="A2766" s="9"/>
      <c r="B2766" s="15"/>
      <c r="C2766" s="9">
        <f>IFERROR(__xludf.DUMMYFUNCTION("""COMPUTED_VALUE"""),44576.7324382986)</f>
        <v>44576.73244</v>
      </c>
      <c r="D2766" s="15">
        <f>IFERROR(__xludf.DUMMYFUNCTION("""COMPUTED_VALUE"""),1.003)</f>
        <v>1.003</v>
      </c>
      <c r="E2766" s="16">
        <f>IFERROR(__xludf.DUMMYFUNCTION("""COMPUTED_VALUE"""),63.0)</f>
        <v>63</v>
      </c>
      <c r="F2766" s="19" t="str">
        <f>IFERROR(__xludf.DUMMYFUNCTION("""COMPUTED_VALUE"""),"BLUE")</f>
        <v>BLUE</v>
      </c>
      <c r="G2766" s="20" t="str">
        <f>IFERROR(__xludf.DUMMYFUNCTION("""COMPUTED_VALUE"""),"Uncle Sams Cider (11/12/2021) (Blue)")</f>
        <v>Uncle Sams Cider (11/12/2021) (Blue)</v>
      </c>
      <c r="H2766" s="19"/>
    </row>
    <row r="2767">
      <c r="A2767" s="9"/>
      <c r="B2767" s="15"/>
      <c r="C2767" s="9">
        <f>IFERROR(__xludf.DUMMYFUNCTION("""COMPUTED_VALUE"""),44576.7220166087)</f>
        <v>44576.72202</v>
      </c>
      <c r="D2767" s="15">
        <f>IFERROR(__xludf.DUMMYFUNCTION("""COMPUTED_VALUE"""),1.003)</f>
        <v>1.003</v>
      </c>
      <c r="E2767" s="16">
        <f>IFERROR(__xludf.DUMMYFUNCTION("""COMPUTED_VALUE"""),63.0)</f>
        <v>63</v>
      </c>
      <c r="F2767" s="19" t="str">
        <f>IFERROR(__xludf.DUMMYFUNCTION("""COMPUTED_VALUE"""),"BLUE")</f>
        <v>BLUE</v>
      </c>
      <c r="G2767" s="20" t="str">
        <f>IFERROR(__xludf.DUMMYFUNCTION("""COMPUTED_VALUE"""),"Uncle Sams Cider (11/12/2021) (Blue)")</f>
        <v>Uncle Sams Cider (11/12/2021) (Blue)</v>
      </c>
      <c r="H2767" s="19"/>
    </row>
    <row r="2768">
      <c r="A2768" s="9"/>
      <c r="B2768" s="15"/>
      <c r="C2768" s="9">
        <f>IFERROR(__xludf.DUMMYFUNCTION("""COMPUTED_VALUE"""),44576.7115722106)</f>
        <v>44576.71157</v>
      </c>
      <c r="D2768" s="15">
        <f>IFERROR(__xludf.DUMMYFUNCTION("""COMPUTED_VALUE"""),1.003)</f>
        <v>1.003</v>
      </c>
      <c r="E2768" s="16">
        <f>IFERROR(__xludf.DUMMYFUNCTION("""COMPUTED_VALUE"""),63.0)</f>
        <v>63</v>
      </c>
      <c r="F2768" s="19" t="str">
        <f>IFERROR(__xludf.DUMMYFUNCTION("""COMPUTED_VALUE"""),"BLUE")</f>
        <v>BLUE</v>
      </c>
      <c r="G2768" s="20" t="str">
        <f>IFERROR(__xludf.DUMMYFUNCTION("""COMPUTED_VALUE"""),"Uncle Sams Cider (11/12/2021) (Blue)")</f>
        <v>Uncle Sams Cider (11/12/2021) (Blue)</v>
      </c>
      <c r="H2768" s="19"/>
    </row>
    <row r="2769">
      <c r="A2769" s="9"/>
      <c r="B2769" s="15"/>
      <c r="C2769" s="9">
        <f>IFERROR(__xludf.DUMMYFUNCTION("""COMPUTED_VALUE"""),44576.7011516319)</f>
        <v>44576.70115</v>
      </c>
      <c r="D2769" s="15">
        <f>IFERROR(__xludf.DUMMYFUNCTION("""COMPUTED_VALUE"""),1.003)</f>
        <v>1.003</v>
      </c>
      <c r="E2769" s="16">
        <f>IFERROR(__xludf.DUMMYFUNCTION("""COMPUTED_VALUE"""),63.0)</f>
        <v>63</v>
      </c>
      <c r="F2769" s="19" t="str">
        <f>IFERROR(__xludf.DUMMYFUNCTION("""COMPUTED_VALUE"""),"BLUE")</f>
        <v>BLUE</v>
      </c>
      <c r="G2769" s="20" t="str">
        <f>IFERROR(__xludf.DUMMYFUNCTION("""COMPUTED_VALUE"""),"Uncle Sams Cider (11/12/2021) (Blue)")</f>
        <v>Uncle Sams Cider (11/12/2021) (Blue)</v>
      </c>
      <c r="H2769" s="19"/>
    </row>
    <row r="2770">
      <c r="A2770" s="9"/>
      <c r="B2770" s="15"/>
      <c r="C2770" s="9">
        <f>IFERROR(__xludf.DUMMYFUNCTION("""COMPUTED_VALUE"""),44576.6907298148)</f>
        <v>44576.69073</v>
      </c>
      <c r="D2770" s="15">
        <f>IFERROR(__xludf.DUMMYFUNCTION("""COMPUTED_VALUE"""),1.003)</f>
        <v>1.003</v>
      </c>
      <c r="E2770" s="16">
        <f>IFERROR(__xludf.DUMMYFUNCTION("""COMPUTED_VALUE"""),63.0)</f>
        <v>63</v>
      </c>
      <c r="F2770" s="19" t="str">
        <f>IFERROR(__xludf.DUMMYFUNCTION("""COMPUTED_VALUE"""),"BLUE")</f>
        <v>BLUE</v>
      </c>
      <c r="G2770" s="20" t="str">
        <f>IFERROR(__xludf.DUMMYFUNCTION("""COMPUTED_VALUE"""),"Uncle Sams Cider (11/12/2021) (Blue)")</f>
        <v>Uncle Sams Cider (11/12/2021) (Blue)</v>
      </c>
      <c r="H2770" s="19"/>
    </row>
    <row r="2771">
      <c r="A2771" s="9"/>
      <c r="B2771" s="15"/>
      <c r="C2771" s="9">
        <f>IFERROR(__xludf.DUMMYFUNCTION("""COMPUTED_VALUE"""),44576.6803070254)</f>
        <v>44576.68031</v>
      </c>
      <c r="D2771" s="15">
        <f>IFERROR(__xludf.DUMMYFUNCTION("""COMPUTED_VALUE"""),1.003)</f>
        <v>1.003</v>
      </c>
      <c r="E2771" s="16">
        <f>IFERROR(__xludf.DUMMYFUNCTION("""COMPUTED_VALUE"""),63.0)</f>
        <v>63</v>
      </c>
      <c r="F2771" s="19" t="str">
        <f>IFERROR(__xludf.DUMMYFUNCTION("""COMPUTED_VALUE"""),"BLUE")</f>
        <v>BLUE</v>
      </c>
      <c r="G2771" s="20" t="str">
        <f>IFERROR(__xludf.DUMMYFUNCTION("""COMPUTED_VALUE"""),"Uncle Sams Cider (11/12/2021) (Blue)")</f>
        <v>Uncle Sams Cider (11/12/2021) (Blue)</v>
      </c>
      <c r="H2771" s="19"/>
    </row>
    <row r="2772">
      <c r="A2772" s="9"/>
      <c r="B2772" s="15"/>
      <c r="C2772" s="9">
        <f>IFERROR(__xludf.DUMMYFUNCTION("""COMPUTED_VALUE"""),44576.6698744907)</f>
        <v>44576.66987</v>
      </c>
      <c r="D2772" s="15">
        <f>IFERROR(__xludf.DUMMYFUNCTION("""COMPUTED_VALUE"""),1.003)</f>
        <v>1.003</v>
      </c>
      <c r="E2772" s="16">
        <f>IFERROR(__xludf.DUMMYFUNCTION("""COMPUTED_VALUE"""),63.0)</f>
        <v>63</v>
      </c>
      <c r="F2772" s="19" t="str">
        <f>IFERROR(__xludf.DUMMYFUNCTION("""COMPUTED_VALUE"""),"BLUE")</f>
        <v>BLUE</v>
      </c>
      <c r="G2772" s="20" t="str">
        <f>IFERROR(__xludf.DUMMYFUNCTION("""COMPUTED_VALUE"""),"Uncle Sams Cider (11/12/2021) (Blue)")</f>
        <v>Uncle Sams Cider (11/12/2021) (Blue)</v>
      </c>
      <c r="H2772" s="19"/>
    </row>
    <row r="2773">
      <c r="A2773" s="9"/>
      <c r="B2773" s="15"/>
      <c r="C2773" s="9">
        <f>IFERROR(__xludf.DUMMYFUNCTION("""COMPUTED_VALUE"""),44576.6594531713)</f>
        <v>44576.65945</v>
      </c>
      <c r="D2773" s="15">
        <f>IFERROR(__xludf.DUMMYFUNCTION("""COMPUTED_VALUE"""),1.003)</f>
        <v>1.003</v>
      </c>
      <c r="E2773" s="16">
        <f>IFERROR(__xludf.DUMMYFUNCTION("""COMPUTED_VALUE"""),63.0)</f>
        <v>63</v>
      </c>
      <c r="F2773" s="19" t="str">
        <f>IFERROR(__xludf.DUMMYFUNCTION("""COMPUTED_VALUE"""),"BLUE")</f>
        <v>BLUE</v>
      </c>
      <c r="G2773" s="20" t="str">
        <f>IFERROR(__xludf.DUMMYFUNCTION("""COMPUTED_VALUE"""),"Uncle Sams Cider (11/12/2021) (Blue)")</f>
        <v>Uncle Sams Cider (11/12/2021) (Blue)</v>
      </c>
      <c r="H2773" s="19"/>
    </row>
    <row r="2774">
      <c r="A2774" s="9"/>
      <c r="B2774" s="15"/>
      <c r="C2774" s="9">
        <f>IFERROR(__xludf.DUMMYFUNCTION("""COMPUTED_VALUE"""),44576.649031574)</f>
        <v>44576.64903</v>
      </c>
      <c r="D2774" s="15">
        <f>IFERROR(__xludf.DUMMYFUNCTION("""COMPUTED_VALUE"""),1.003)</f>
        <v>1.003</v>
      </c>
      <c r="E2774" s="16">
        <f>IFERROR(__xludf.DUMMYFUNCTION("""COMPUTED_VALUE"""),63.0)</f>
        <v>63</v>
      </c>
      <c r="F2774" s="19" t="str">
        <f>IFERROR(__xludf.DUMMYFUNCTION("""COMPUTED_VALUE"""),"BLUE")</f>
        <v>BLUE</v>
      </c>
      <c r="G2774" s="20" t="str">
        <f>IFERROR(__xludf.DUMMYFUNCTION("""COMPUTED_VALUE"""),"Uncle Sams Cider (11/12/2021) (Blue)")</f>
        <v>Uncle Sams Cider (11/12/2021) (Blue)</v>
      </c>
      <c r="H2774" s="19"/>
    </row>
    <row r="2775">
      <c r="A2775" s="9"/>
      <c r="B2775" s="15"/>
      <c r="C2775" s="9">
        <f>IFERROR(__xludf.DUMMYFUNCTION("""COMPUTED_VALUE"""),44576.6386120717)</f>
        <v>44576.63861</v>
      </c>
      <c r="D2775" s="15">
        <f>IFERROR(__xludf.DUMMYFUNCTION("""COMPUTED_VALUE"""),1.003)</f>
        <v>1.003</v>
      </c>
      <c r="E2775" s="16">
        <f>IFERROR(__xludf.DUMMYFUNCTION("""COMPUTED_VALUE"""),63.0)</f>
        <v>63</v>
      </c>
      <c r="F2775" s="19" t="str">
        <f>IFERROR(__xludf.DUMMYFUNCTION("""COMPUTED_VALUE"""),"BLUE")</f>
        <v>BLUE</v>
      </c>
      <c r="G2775" s="20" t="str">
        <f>IFERROR(__xludf.DUMMYFUNCTION("""COMPUTED_VALUE"""),"Uncle Sams Cider (11/12/2021) (Blue)")</f>
        <v>Uncle Sams Cider (11/12/2021) (Blue)</v>
      </c>
      <c r="H2775" s="19"/>
    </row>
    <row r="2776">
      <c r="A2776" s="9"/>
      <c r="B2776" s="15"/>
      <c r="C2776" s="9">
        <f>IFERROR(__xludf.DUMMYFUNCTION("""COMPUTED_VALUE"""),44576.6281895717)</f>
        <v>44576.62819</v>
      </c>
      <c r="D2776" s="15">
        <f>IFERROR(__xludf.DUMMYFUNCTION("""COMPUTED_VALUE"""),1.003)</f>
        <v>1.003</v>
      </c>
      <c r="E2776" s="16">
        <f>IFERROR(__xludf.DUMMYFUNCTION("""COMPUTED_VALUE"""),63.0)</f>
        <v>63</v>
      </c>
      <c r="F2776" s="19" t="str">
        <f>IFERROR(__xludf.DUMMYFUNCTION("""COMPUTED_VALUE"""),"BLUE")</f>
        <v>BLUE</v>
      </c>
      <c r="G2776" s="20" t="str">
        <f>IFERROR(__xludf.DUMMYFUNCTION("""COMPUTED_VALUE"""),"Uncle Sams Cider (11/12/2021) (Blue)")</f>
        <v>Uncle Sams Cider (11/12/2021) (Blue)</v>
      </c>
      <c r="H2776" s="19"/>
    </row>
    <row r="2777">
      <c r="A2777" s="9"/>
      <c r="B2777" s="15"/>
      <c r="C2777" s="9">
        <f>IFERROR(__xludf.DUMMYFUNCTION("""COMPUTED_VALUE"""),44576.6177676157)</f>
        <v>44576.61777</v>
      </c>
      <c r="D2777" s="15">
        <f>IFERROR(__xludf.DUMMYFUNCTION("""COMPUTED_VALUE"""),1.003)</f>
        <v>1.003</v>
      </c>
      <c r="E2777" s="16">
        <f>IFERROR(__xludf.DUMMYFUNCTION("""COMPUTED_VALUE"""),63.0)</f>
        <v>63</v>
      </c>
      <c r="F2777" s="19" t="str">
        <f>IFERROR(__xludf.DUMMYFUNCTION("""COMPUTED_VALUE"""),"BLUE")</f>
        <v>BLUE</v>
      </c>
      <c r="G2777" s="20" t="str">
        <f>IFERROR(__xludf.DUMMYFUNCTION("""COMPUTED_VALUE"""),"Uncle Sams Cider (11/12/2021) (Blue)")</f>
        <v>Uncle Sams Cider (11/12/2021) (Blue)</v>
      </c>
      <c r="H2777" s="19"/>
    </row>
    <row r="2778">
      <c r="A2778" s="9"/>
      <c r="B2778" s="15"/>
      <c r="C2778" s="9">
        <f>IFERROR(__xludf.DUMMYFUNCTION("""COMPUTED_VALUE"""),44576.607345405)</f>
        <v>44576.60735</v>
      </c>
      <c r="D2778" s="15">
        <f>IFERROR(__xludf.DUMMYFUNCTION("""COMPUTED_VALUE"""),1.003)</f>
        <v>1.003</v>
      </c>
      <c r="E2778" s="16">
        <f>IFERROR(__xludf.DUMMYFUNCTION("""COMPUTED_VALUE"""),63.0)</f>
        <v>63</v>
      </c>
      <c r="F2778" s="19" t="str">
        <f>IFERROR(__xludf.DUMMYFUNCTION("""COMPUTED_VALUE"""),"BLUE")</f>
        <v>BLUE</v>
      </c>
      <c r="G2778" s="20" t="str">
        <f>IFERROR(__xludf.DUMMYFUNCTION("""COMPUTED_VALUE"""),"Uncle Sams Cider (11/12/2021) (Blue)")</f>
        <v>Uncle Sams Cider (11/12/2021) (Blue)</v>
      </c>
      <c r="H2778" s="19"/>
    </row>
    <row r="2779">
      <c r="A2779" s="9"/>
      <c r="B2779" s="15"/>
      <c r="C2779" s="9">
        <f>IFERROR(__xludf.DUMMYFUNCTION("""COMPUTED_VALUE"""),44576.5969256597)</f>
        <v>44576.59693</v>
      </c>
      <c r="D2779" s="15">
        <f>IFERROR(__xludf.DUMMYFUNCTION("""COMPUTED_VALUE"""),1.003)</f>
        <v>1.003</v>
      </c>
      <c r="E2779" s="16">
        <f>IFERROR(__xludf.DUMMYFUNCTION("""COMPUTED_VALUE"""),63.0)</f>
        <v>63</v>
      </c>
      <c r="F2779" s="19" t="str">
        <f>IFERROR(__xludf.DUMMYFUNCTION("""COMPUTED_VALUE"""),"BLUE")</f>
        <v>BLUE</v>
      </c>
      <c r="G2779" s="20" t="str">
        <f>IFERROR(__xludf.DUMMYFUNCTION("""COMPUTED_VALUE"""),"Uncle Sams Cider (11/12/2021) (Blue)")</f>
        <v>Uncle Sams Cider (11/12/2021) (Blue)</v>
      </c>
      <c r="H2779" s="19"/>
    </row>
    <row r="2780">
      <c r="A2780" s="9"/>
      <c r="B2780" s="15"/>
      <c r="C2780" s="9">
        <f>IFERROR(__xludf.DUMMYFUNCTION("""COMPUTED_VALUE"""),44576.5864923495)</f>
        <v>44576.58649</v>
      </c>
      <c r="D2780" s="15">
        <f>IFERROR(__xludf.DUMMYFUNCTION("""COMPUTED_VALUE"""),1.003)</f>
        <v>1.003</v>
      </c>
      <c r="E2780" s="16">
        <f>IFERROR(__xludf.DUMMYFUNCTION("""COMPUTED_VALUE"""),63.0)</f>
        <v>63</v>
      </c>
      <c r="F2780" s="19" t="str">
        <f>IFERROR(__xludf.DUMMYFUNCTION("""COMPUTED_VALUE"""),"BLUE")</f>
        <v>BLUE</v>
      </c>
      <c r="G2780" s="20" t="str">
        <f>IFERROR(__xludf.DUMMYFUNCTION("""COMPUTED_VALUE"""),"Uncle Sams Cider (11/12/2021) (Blue)")</f>
        <v>Uncle Sams Cider (11/12/2021) (Blue)</v>
      </c>
      <c r="H2780" s="19"/>
    </row>
    <row r="2781">
      <c r="A2781" s="9"/>
      <c r="B2781" s="15"/>
      <c r="C2781" s="9">
        <f>IFERROR(__xludf.DUMMYFUNCTION("""COMPUTED_VALUE"""),44576.5760707986)</f>
        <v>44576.57607</v>
      </c>
      <c r="D2781" s="15">
        <f>IFERROR(__xludf.DUMMYFUNCTION("""COMPUTED_VALUE"""),1.003)</f>
        <v>1.003</v>
      </c>
      <c r="E2781" s="16">
        <f>IFERROR(__xludf.DUMMYFUNCTION("""COMPUTED_VALUE"""),63.0)</f>
        <v>63</v>
      </c>
      <c r="F2781" s="19" t="str">
        <f>IFERROR(__xludf.DUMMYFUNCTION("""COMPUTED_VALUE"""),"BLUE")</f>
        <v>BLUE</v>
      </c>
      <c r="G2781" s="20" t="str">
        <f>IFERROR(__xludf.DUMMYFUNCTION("""COMPUTED_VALUE"""),"Uncle Sams Cider (11/12/2021) (Blue)")</f>
        <v>Uncle Sams Cider (11/12/2021) (Blue)</v>
      </c>
      <c r="H2781" s="19"/>
    </row>
    <row r="2782">
      <c r="A2782" s="9"/>
      <c r="B2782" s="15"/>
      <c r="C2782" s="9">
        <f>IFERROR(__xludf.DUMMYFUNCTION("""COMPUTED_VALUE"""),44576.5656481365)</f>
        <v>44576.56565</v>
      </c>
      <c r="D2782" s="15">
        <f>IFERROR(__xludf.DUMMYFUNCTION("""COMPUTED_VALUE"""),1.003)</f>
        <v>1.003</v>
      </c>
      <c r="E2782" s="16">
        <f>IFERROR(__xludf.DUMMYFUNCTION("""COMPUTED_VALUE"""),63.0)</f>
        <v>63</v>
      </c>
      <c r="F2782" s="19" t="str">
        <f>IFERROR(__xludf.DUMMYFUNCTION("""COMPUTED_VALUE"""),"BLUE")</f>
        <v>BLUE</v>
      </c>
      <c r="G2782" s="20" t="str">
        <f>IFERROR(__xludf.DUMMYFUNCTION("""COMPUTED_VALUE"""),"Uncle Sams Cider (11/12/2021) (Blue)")</f>
        <v>Uncle Sams Cider (11/12/2021) (Blue)</v>
      </c>
      <c r="H2782" s="19"/>
    </row>
    <row r="2783">
      <c r="A2783" s="9"/>
      <c r="B2783" s="15"/>
      <c r="C2783" s="9">
        <f>IFERROR(__xludf.DUMMYFUNCTION("""COMPUTED_VALUE"""),44576.5552287268)</f>
        <v>44576.55523</v>
      </c>
      <c r="D2783" s="15">
        <f>IFERROR(__xludf.DUMMYFUNCTION("""COMPUTED_VALUE"""),1.003)</f>
        <v>1.003</v>
      </c>
      <c r="E2783" s="16">
        <f>IFERROR(__xludf.DUMMYFUNCTION("""COMPUTED_VALUE"""),63.0)</f>
        <v>63</v>
      </c>
      <c r="F2783" s="19" t="str">
        <f>IFERROR(__xludf.DUMMYFUNCTION("""COMPUTED_VALUE"""),"BLUE")</f>
        <v>BLUE</v>
      </c>
      <c r="G2783" s="20" t="str">
        <f>IFERROR(__xludf.DUMMYFUNCTION("""COMPUTED_VALUE"""),"Uncle Sams Cider (11/12/2021) (Blue)")</f>
        <v>Uncle Sams Cider (11/12/2021) (Blue)</v>
      </c>
      <c r="H2783" s="19"/>
    </row>
    <row r="2784">
      <c r="A2784" s="9"/>
      <c r="B2784" s="15"/>
      <c r="C2784" s="9">
        <f>IFERROR(__xludf.DUMMYFUNCTION("""COMPUTED_VALUE"""),44576.5448084837)</f>
        <v>44576.54481</v>
      </c>
      <c r="D2784" s="15">
        <f>IFERROR(__xludf.DUMMYFUNCTION("""COMPUTED_VALUE"""),1.003)</f>
        <v>1.003</v>
      </c>
      <c r="E2784" s="16">
        <f>IFERROR(__xludf.DUMMYFUNCTION("""COMPUTED_VALUE"""),63.0)</f>
        <v>63</v>
      </c>
      <c r="F2784" s="19" t="str">
        <f>IFERROR(__xludf.DUMMYFUNCTION("""COMPUTED_VALUE"""),"BLUE")</f>
        <v>BLUE</v>
      </c>
      <c r="G2784" s="20" t="str">
        <f>IFERROR(__xludf.DUMMYFUNCTION("""COMPUTED_VALUE"""),"Uncle Sams Cider (11/12/2021) (Blue)")</f>
        <v>Uncle Sams Cider (11/12/2021) (Blue)</v>
      </c>
      <c r="H2784" s="19"/>
    </row>
    <row r="2785">
      <c r="A2785" s="9"/>
      <c r="B2785" s="15"/>
      <c r="C2785" s="9">
        <f>IFERROR(__xludf.DUMMYFUNCTION("""COMPUTED_VALUE"""),44576.5343882638)</f>
        <v>44576.53439</v>
      </c>
      <c r="D2785" s="15">
        <f>IFERROR(__xludf.DUMMYFUNCTION("""COMPUTED_VALUE"""),1.003)</f>
        <v>1.003</v>
      </c>
      <c r="E2785" s="16">
        <f>IFERROR(__xludf.DUMMYFUNCTION("""COMPUTED_VALUE"""),63.0)</f>
        <v>63</v>
      </c>
      <c r="F2785" s="19" t="str">
        <f>IFERROR(__xludf.DUMMYFUNCTION("""COMPUTED_VALUE"""),"BLUE")</f>
        <v>BLUE</v>
      </c>
      <c r="G2785" s="20" t="str">
        <f>IFERROR(__xludf.DUMMYFUNCTION("""COMPUTED_VALUE"""),"Uncle Sams Cider (11/12/2021) (Blue)")</f>
        <v>Uncle Sams Cider (11/12/2021) (Blue)</v>
      </c>
      <c r="H2785" s="19"/>
    </row>
    <row r="2786">
      <c r="A2786" s="9"/>
      <c r="B2786" s="15"/>
      <c r="C2786" s="9">
        <f>IFERROR(__xludf.DUMMYFUNCTION("""COMPUTED_VALUE"""),44576.5239537615)</f>
        <v>44576.52395</v>
      </c>
      <c r="D2786" s="15">
        <f>IFERROR(__xludf.DUMMYFUNCTION("""COMPUTED_VALUE"""),1.003)</f>
        <v>1.003</v>
      </c>
      <c r="E2786" s="16">
        <f>IFERROR(__xludf.DUMMYFUNCTION("""COMPUTED_VALUE"""),63.0)</f>
        <v>63</v>
      </c>
      <c r="F2786" s="19" t="str">
        <f>IFERROR(__xludf.DUMMYFUNCTION("""COMPUTED_VALUE"""),"BLUE")</f>
        <v>BLUE</v>
      </c>
      <c r="G2786" s="20" t="str">
        <f>IFERROR(__xludf.DUMMYFUNCTION("""COMPUTED_VALUE"""),"Uncle Sams Cider (11/12/2021) (Blue)")</f>
        <v>Uncle Sams Cider (11/12/2021) (Blue)</v>
      </c>
      <c r="H2786" s="19"/>
    </row>
    <row r="2787">
      <c r="A2787" s="9"/>
      <c r="B2787" s="15"/>
      <c r="C2787" s="9">
        <f>IFERROR(__xludf.DUMMYFUNCTION("""COMPUTED_VALUE"""),44576.5135198379)</f>
        <v>44576.51352</v>
      </c>
      <c r="D2787" s="15">
        <f>IFERROR(__xludf.DUMMYFUNCTION("""COMPUTED_VALUE"""),1.003)</f>
        <v>1.003</v>
      </c>
      <c r="E2787" s="16">
        <f>IFERROR(__xludf.DUMMYFUNCTION("""COMPUTED_VALUE"""),63.0)</f>
        <v>63</v>
      </c>
      <c r="F2787" s="19" t="str">
        <f>IFERROR(__xludf.DUMMYFUNCTION("""COMPUTED_VALUE"""),"BLUE")</f>
        <v>BLUE</v>
      </c>
      <c r="G2787" s="20" t="str">
        <f>IFERROR(__xludf.DUMMYFUNCTION("""COMPUTED_VALUE"""),"Uncle Sams Cider (11/12/2021) (Blue)")</f>
        <v>Uncle Sams Cider (11/12/2021) (Blue)</v>
      </c>
      <c r="H2787" s="19"/>
    </row>
    <row r="2788">
      <c r="A2788" s="9"/>
      <c r="B2788" s="15"/>
      <c r="C2788" s="9">
        <f>IFERROR(__xludf.DUMMYFUNCTION("""COMPUTED_VALUE"""),44576.5030982754)</f>
        <v>44576.5031</v>
      </c>
      <c r="D2788" s="15">
        <f>IFERROR(__xludf.DUMMYFUNCTION("""COMPUTED_VALUE"""),1.003)</f>
        <v>1.003</v>
      </c>
      <c r="E2788" s="16">
        <f>IFERROR(__xludf.DUMMYFUNCTION("""COMPUTED_VALUE"""),64.0)</f>
        <v>64</v>
      </c>
      <c r="F2788" s="19" t="str">
        <f>IFERROR(__xludf.DUMMYFUNCTION("""COMPUTED_VALUE"""),"BLUE")</f>
        <v>BLUE</v>
      </c>
      <c r="G2788" s="20" t="str">
        <f>IFERROR(__xludf.DUMMYFUNCTION("""COMPUTED_VALUE"""),"Uncle Sams Cider (11/12/2021) (Blue)")</f>
        <v>Uncle Sams Cider (11/12/2021) (Blue)</v>
      </c>
      <c r="H2788" s="19"/>
    </row>
    <row r="2789">
      <c r="A2789" s="9"/>
      <c r="B2789" s="15"/>
      <c r="C2789" s="9">
        <f>IFERROR(__xludf.DUMMYFUNCTION("""COMPUTED_VALUE"""),44576.4926757407)</f>
        <v>44576.49268</v>
      </c>
      <c r="D2789" s="15">
        <f>IFERROR(__xludf.DUMMYFUNCTION("""COMPUTED_VALUE"""),1.003)</f>
        <v>1.003</v>
      </c>
      <c r="E2789" s="16">
        <f>IFERROR(__xludf.DUMMYFUNCTION("""COMPUTED_VALUE"""),64.0)</f>
        <v>64</v>
      </c>
      <c r="F2789" s="19" t="str">
        <f>IFERROR(__xludf.DUMMYFUNCTION("""COMPUTED_VALUE"""),"BLUE")</f>
        <v>BLUE</v>
      </c>
      <c r="G2789" s="20" t="str">
        <f>IFERROR(__xludf.DUMMYFUNCTION("""COMPUTED_VALUE"""),"Uncle Sams Cider (11/12/2021) (Blue)")</f>
        <v>Uncle Sams Cider (11/12/2021) (Blue)</v>
      </c>
      <c r="H2789" s="19"/>
    </row>
    <row r="2790">
      <c r="A2790" s="9"/>
      <c r="B2790" s="15"/>
      <c r="C2790" s="9">
        <f>IFERROR(__xludf.DUMMYFUNCTION("""COMPUTED_VALUE"""),44576.482254155)</f>
        <v>44576.48225</v>
      </c>
      <c r="D2790" s="15">
        <f>IFERROR(__xludf.DUMMYFUNCTION("""COMPUTED_VALUE"""),1.003)</f>
        <v>1.003</v>
      </c>
      <c r="E2790" s="16">
        <f>IFERROR(__xludf.DUMMYFUNCTION("""COMPUTED_VALUE"""),64.0)</f>
        <v>64</v>
      </c>
      <c r="F2790" s="19" t="str">
        <f>IFERROR(__xludf.DUMMYFUNCTION("""COMPUTED_VALUE"""),"BLUE")</f>
        <v>BLUE</v>
      </c>
      <c r="G2790" s="20" t="str">
        <f>IFERROR(__xludf.DUMMYFUNCTION("""COMPUTED_VALUE"""),"Uncle Sams Cider (11/12/2021) (Blue)")</f>
        <v>Uncle Sams Cider (11/12/2021) (Blue)</v>
      </c>
      <c r="H2790" s="19"/>
    </row>
    <row r="2791">
      <c r="A2791" s="9"/>
      <c r="B2791" s="15"/>
      <c r="C2791" s="9">
        <f>IFERROR(__xludf.DUMMYFUNCTION("""COMPUTED_VALUE"""),44576.4718215277)</f>
        <v>44576.47182</v>
      </c>
      <c r="D2791" s="15">
        <f>IFERROR(__xludf.DUMMYFUNCTION("""COMPUTED_VALUE"""),1.003)</f>
        <v>1.003</v>
      </c>
      <c r="E2791" s="16">
        <f>IFERROR(__xludf.DUMMYFUNCTION("""COMPUTED_VALUE"""),64.0)</f>
        <v>64</v>
      </c>
      <c r="F2791" s="19" t="str">
        <f>IFERROR(__xludf.DUMMYFUNCTION("""COMPUTED_VALUE"""),"BLUE")</f>
        <v>BLUE</v>
      </c>
      <c r="G2791" s="20" t="str">
        <f>IFERROR(__xludf.DUMMYFUNCTION("""COMPUTED_VALUE"""),"Uncle Sams Cider (11/12/2021) (Blue)")</f>
        <v>Uncle Sams Cider (11/12/2021) (Blue)</v>
      </c>
      <c r="H2791" s="19"/>
    </row>
    <row r="2792">
      <c r="A2792" s="9"/>
      <c r="B2792" s="15"/>
      <c r="C2792" s="9">
        <f>IFERROR(__xludf.DUMMYFUNCTION("""COMPUTED_VALUE"""),44576.4613913425)</f>
        <v>44576.46139</v>
      </c>
      <c r="D2792" s="15">
        <f>IFERROR(__xludf.DUMMYFUNCTION("""COMPUTED_VALUE"""),1.003)</f>
        <v>1.003</v>
      </c>
      <c r="E2792" s="16">
        <f>IFERROR(__xludf.DUMMYFUNCTION("""COMPUTED_VALUE"""),64.0)</f>
        <v>64</v>
      </c>
      <c r="F2792" s="19" t="str">
        <f>IFERROR(__xludf.DUMMYFUNCTION("""COMPUTED_VALUE"""),"BLUE")</f>
        <v>BLUE</v>
      </c>
      <c r="G2792" s="20" t="str">
        <f>IFERROR(__xludf.DUMMYFUNCTION("""COMPUTED_VALUE"""),"Uncle Sams Cider (11/12/2021) (Blue)")</f>
        <v>Uncle Sams Cider (11/12/2021) (Blue)</v>
      </c>
      <c r="H2792" s="19"/>
    </row>
    <row r="2793">
      <c r="A2793" s="9"/>
      <c r="B2793" s="15"/>
      <c r="C2793" s="9">
        <f>IFERROR(__xludf.DUMMYFUNCTION("""COMPUTED_VALUE"""),44576.4509691087)</f>
        <v>44576.45097</v>
      </c>
      <c r="D2793" s="15">
        <f>IFERROR(__xludf.DUMMYFUNCTION("""COMPUTED_VALUE"""),1.003)</f>
        <v>1.003</v>
      </c>
      <c r="E2793" s="16">
        <f>IFERROR(__xludf.DUMMYFUNCTION("""COMPUTED_VALUE"""),64.0)</f>
        <v>64</v>
      </c>
      <c r="F2793" s="19" t="str">
        <f>IFERROR(__xludf.DUMMYFUNCTION("""COMPUTED_VALUE"""),"BLUE")</f>
        <v>BLUE</v>
      </c>
      <c r="G2793" s="20" t="str">
        <f>IFERROR(__xludf.DUMMYFUNCTION("""COMPUTED_VALUE"""),"Uncle Sams Cider (11/12/2021) (Blue)")</f>
        <v>Uncle Sams Cider (11/12/2021) (Blue)</v>
      </c>
      <c r="H2793" s="19"/>
    </row>
    <row r="2794">
      <c r="A2794" s="9"/>
      <c r="B2794" s="15"/>
      <c r="C2794" s="9">
        <f>IFERROR(__xludf.DUMMYFUNCTION("""COMPUTED_VALUE"""),44576.4405453009)</f>
        <v>44576.44055</v>
      </c>
      <c r="D2794" s="15">
        <f>IFERROR(__xludf.DUMMYFUNCTION("""COMPUTED_VALUE"""),1.003)</f>
        <v>1.003</v>
      </c>
      <c r="E2794" s="16">
        <f>IFERROR(__xludf.DUMMYFUNCTION("""COMPUTED_VALUE"""),64.0)</f>
        <v>64</v>
      </c>
      <c r="F2794" s="19" t="str">
        <f>IFERROR(__xludf.DUMMYFUNCTION("""COMPUTED_VALUE"""),"BLUE")</f>
        <v>BLUE</v>
      </c>
      <c r="G2794" s="20" t="str">
        <f>IFERROR(__xludf.DUMMYFUNCTION("""COMPUTED_VALUE"""),"Uncle Sams Cider (11/12/2021) (Blue)")</f>
        <v>Uncle Sams Cider (11/12/2021) (Blue)</v>
      </c>
      <c r="H2794" s="19"/>
    </row>
    <row r="2795">
      <c r="A2795" s="9"/>
      <c r="B2795" s="15"/>
      <c r="C2795" s="9">
        <f>IFERROR(__xludf.DUMMYFUNCTION("""COMPUTED_VALUE"""),44576.4301130902)</f>
        <v>44576.43011</v>
      </c>
      <c r="D2795" s="15">
        <f>IFERROR(__xludf.DUMMYFUNCTION("""COMPUTED_VALUE"""),1.003)</f>
        <v>1.003</v>
      </c>
      <c r="E2795" s="16">
        <f>IFERROR(__xludf.DUMMYFUNCTION("""COMPUTED_VALUE"""),64.0)</f>
        <v>64</v>
      </c>
      <c r="F2795" s="19" t="str">
        <f>IFERROR(__xludf.DUMMYFUNCTION("""COMPUTED_VALUE"""),"BLUE")</f>
        <v>BLUE</v>
      </c>
      <c r="G2795" s="20" t="str">
        <f>IFERROR(__xludf.DUMMYFUNCTION("""COMPUTED_VALUE"""),"Uncle Sams Cider (11/12/2021) (Blue)")</f>
        <v>Uncle Sams Cider (11/12/2021) (Blue)</v>
      </c>
      <c r="H2795" s="19"/>
    </row>
    <row r="2796">
      <c r="A2796" s="9"/>
      <c r="B2796" s="15"/>
      <c r="C2796" s="9">
        <f>IFERROR(__xludf.DUMMYFUNCTION("""COMPUTED_VALUE"""),44576.4196691435)</f>
        <v>44576.41967</v>
      </c>
      <c r="D2796" s="15">
        <f>IFERROR(__xludf.DUMMYFUNCTION("""COMPUTED_VALUE"""),1.003)</f>
        <v>1.003</v>
      </c>
      <c r="E2796" s="16">
        <f>IFERROR(__xludf.DUMMYFUNCTION("""COMPUTED_VALUE"""),64.0)</f>
        <v>64</v>
      </c>
      <c r="F2796" s="19" t="str">
        <f>IFERROR(__xludf.DUMMYFUNCTION("""COMPUTED_VALUE"""),"BLUE")</f>
        <v>BLUE</v>
      </c>
      <c r="G2796" s="20" t="str">
        <f>IFERROR(__xludf.DUMMYFUNCTION("""COMPUTED_VALUE"""),"Uncle Sams Cider (11/12/2021) (Blue)")</f>
        <v>Uncle Sams Cider (11/12/2021) (Blue)</v>
      </c>
      <c r="H2796" s="19"/>
    </row>
    <row r="2797">
      <c r="A2797" s="9"/>
      <c r="B2797" s="15"/>
      <c r="C2797" s="9">
        <f>IFERROR(__xludf.DUMMYFUNCTION("""COMPUTED_VALUE"""),44576.4092478819)</f>
        <v>44576.40925</v>
      </c>
      <c r="D2797" s="15">
        <f>IFERROR(__xludf.DUMMYFUNCTION("""COMPUTED_VALUE"""),1.003)</f>
        <v>1.003</v>
      </c>
      <c r="E2797" s="16">
        <f>IFERROR(__xludf.DUMMYFUNCTION("""COMPUTED_VALUE"""),64.0)</f>
        <v>64</v>
      </c>
      <c r="F2797" s="19" t="str">
        <f>IFERROR(__xludf.DUMMYFUNCTION("""COMPUTED_VALUE"""),"BLUE")</f>
        <v>BLUE</v>
      </c>
      <c r="G2797" s="20" t="str">
        <f>IFERROR(__xludf.DUMMYFUNCTION("""COMPUTED_VALUE"""),"Uncle Sams Cider (11/12/2021) (Blue)")</f>
        <v>Uncle Sams Cider (11/12/2021) (Blue)</v>
      </c>
      <c r="H2797" s="19"/>
    </row>
    <row r="2798">
      <c r="A2798" s="9"/>
      <c r="B2798" s="15"/>
      <c r="C2798" s="9">
        <f>IFERROR(__xludf.DUMMYFUNCTION("""COMPUTED_VALUE"""),44576.3987811458)</f>
        <v>44576.39878</v>
      </c>
      <c r="D2798" s="15">
        <f>IFERROR(__xludf.DUMMYFUNCTION("""COMPUTED_VALUE"""),1.003)</f>
        <v>1.003</v>
      </c>
      <c r="E2798" s="16">
        <f>IFERROR(__xludf.DUMMYFUNCTION("""COMPUTED_VALUE"""),64.0)</f>
        <v>64</v>
      </c>
      <c r="F2798" s="19" t="str">
        <f>IFERROR(__xludf.DUMMYFUNCTION("""COMPUTED_VALUE"""),"BLUE")</f>
        <v>BLUE</v>
      </c>
      <c r="G2798" s="20" t="str">
        <f>IFERROR(__xludf.DUMMYFUNCTION("""COMPUTED_VALUE"""),"Uncle Sams Cider (11/12/2021) (Blue)")</f>
        <v>Uncle Sams Cider (11/12/2021) (Blue)</v>
      </c>
      <c r="H2798" s="19"/>
    </row>
    <row r="2799">
      <c r="A2799" s="9"/>
      <c r="B2799" s="15"/>
      <c r="C2799" s="9">
        <f>IFERROR(__xludf.DUMMYFUNCTION("""COMPUTED_VALUE"""),44576.3883587847)</f>
        <v>44576.38836</v>
      </c>
      <c r="D2799" s="15">
        <f>IFERROR(__xludf.DUMMYFUNCTION("""COMPUTED_VALUE"""),1.003)</f>
        <v>1.003</v>
      </c>
      <c r="E2799" s="16">
        <f>IFERROR(__xludf.DUMMYFUNCTION("""COMPUTED_VALUE"""),64.0)</f>
        <v>64</v>
      </c>
      <c r="F2799" s="19" t="str">
        <f>IFERROR(__xludf.DUMMYFUNCTION("""COMPUTED_VALUE"""),"BLUE")</f>
        <v>BLUE</v>
      </c>
      <c r="G2799" s="20" t="str">
        <f>IFERROR(__xludf.DUMMYFUNCTION("""COMPUTED_VALUE"""),"Uncle Sams Cider (11/12/2021) (Blue)")</f>
        <v>Uncle Sams Cider (11/12/2021) (Blue)</v>
      </c>
      <c r="H2799" s="19"/>
    </row>
    <row r="2800">
      <c r="A2800" s="9"/>
      <c r="B2800" s="15"/>
      <c r="C2800" s="9">
        <f>IFERROR(__xludf.DUMMYFUNCTION("""COMPUTED_VALUE"""),44576.3779277546)</f>
        <v>44576.37793</v>
      </c>
      <c r="D2800" s="15">
        <f>IFERROR(__xludf.DUMMYFUNCTION("""COMPUTED_VALUE"""),1.003)</f>
        <v>1.003</v>
      </c>
      <c r="E2800" s="16">
        <f>IFERROR(__xludf.DUMMYFUNCTION("""COMPUTED_VALUE"""),64.0)</f>
        <v>64</v>
      </c>
      <c r="F2800" s="19" t="str">
        <f>IFERROR(__xludf.DUMMYFUNCTION("""COMPUTED_VALUE"""),"BLUE")</f>
        <v>BLUE</v>
      </c>
      <c r="G2800" s="20" t="str">
        <f>IFERROR(__xludf.DUMMYFUNCTION("""COMPUTED_VALUE"""),"Uncle Sams Cider (11/12/2021) (Blue)")</f>
        <v>Uncle Sams Cider (11/12/2021) (Blue)</v>
      </c>
      <c r="H2800" s="19"/>
    </row>
    <row r="2801">
      <c r="A2801" s="9"/>
      <c r="B2801" s="15"/>
      <c r="C2801" s="9">
        <f>IFERROR(__xludf.DUMMYFUNCTION("""COMPUTED_VALUE"""),44576.3674827661)</f>
        <v>44576.36748</v>
      </c>
      <c r="D2801" s="15">
        <f>IFERROR(__xludf.DUMMYFUNCTION("""COMPUTED_VALUE"""),1.003)</f>
        <v>1.003</v>
      </c>
      <c r="E2801" s="16">
        <f>IFERROR(__xludf.DUMMYFUNCTION("""COMPUTED_VALUE"""),64.0)</f>
        <v>64</v>
      </c>
      <c r="F2801" s="19" t="str">
        <f>IFERROR(__xludf.DUMMYFUNCTION("""COMPUTED_VALUE"""),"BLUE")</f>
        <v>BLUE</v>
      </c>
      <c r="G2801" s="20" t="str">
        <f>IFERROR(__xludf.DUMMYFUNCTION("""COMPUTED_VALUE"""),"Uncle Sams Cider (11/12/2021) (Blue)")</f>
        <v>Uncle Sams Cider (11/12/2021) (Blue)</v>
      </c>
      <c r="H2801" s="19"/>
    </row>
    <row r="2802">
      <c r="A2802" s="9"/>
      <c r="B2802" s="15"/>
      <c r="C2802" s="9">
        <f>IFERROR(__xludf.DUMMYFUNCTION("""COMPUTED_VALUE"""),44576.3570616435)</f>
        <v>44576.35706</v>
      </c>
      <c r="D2802" s="15">
        <f>IFERROR(__xludf.DUMMYFUNCTION("""COMPUTED_VALUE"""),1.003)</f>
        <v>1.003</v>
      </c>
      <c r="E2802" s="16">
        <f>IFERROR(__xludf.DUMMYFUNCTION("""COMPUTED_VALUE"""),64.0)</f>
        <v>64</v>
      </c>
      <c r="F2802" s="19" t="str">
        <f>IFERROR(__xludf.DUMMYFUNCTION("""COMPUTED_VALUE"""),"BLUE")</f>
        <v>BLUE</v>
      </c>
      <c r="G2802" s="20" t="str">
        <f>IFERROR(__xludf.DUMMYFUNCTION("""COMPUTED_VALUE"""),"Uncle Sams Cider (11/12/2021) (Blue)")</f>
        <v>Uncle Sams Cider (11/12/2021) (Blue)</v>
      </c>
      <c r="H2802" s="19"/>
    </row>
    <row r="2803">
      <c r="A2803" s="9"/>
      <c r="B2803" s="15"/>
      <c r="C2803" s="9">
        <f>IFERROR(__xludf.DUMMYFUNCTION("""COMPUTED_VALUE"""),44576.3466399999)</f>
        <v>44576.34664</v>
      </c>
      <c r="D2803" s="15">
        <f>IFERROR(__xludf.DUMMYFUNCTION("""COMPUTED_VALUE"""),1.003)</f>
        <v>1.003</v>
      </c>
      <c r="E2803" s="16">
        <f>IFERROR(__xludf.DUMMYFUNCTION("""COMPUTED_VALUE"""),64.0)</f>
        <v>64</v>
      </c>
      <c r="F2803" s="19" t="str">
        <f>IFERROR(__xludf.DUMMYFUNCTION("""COMPUTED_VALUE"""),"BLUE")</f>
        <v>BLUE</v>
      </c>
      <c r="G2803" s="20" t="str">
        <f>IFERROR(__xludf.DUMMYFUNCTION("""COMPUTED_VALUE"""),"Uncle Sams Cider (11/12/2021) (Blue)")</f>
        <v>Uncle Sams Cider (11/12/2021) (Blue)</v>
      </c>
      <c r="H2803" s="19"/>
    </row>
    <row r="2804">
      <c r="A2804" s="9"/>
      <c r="B2804" s="15"/>
      <c r="C2804" s="9">
        <f>IFERROR(__xludf.DUMMYFUNCTION("""COMPUTED_VALUE"""),44576.3362189236)</f>
        <v>44576.33622</v>
      </c>
      <c r="D2804" s="15">
        <f>IFERROR(__xludf.DUMMYFUNCTION("""COMPUTED_VALUE"""),1.003)</f>
        <v>1.003</v>
      </c>
      <c r="E2804" s="16">
        <f>IFERROR(__xludf.DUMMYFUNCTION("""COMPUTED_VALUE"""),64.0)</f>
        <v>64</v>
      </c>
      <c r="F2804" s="19" t="str">
        <f>IFERROR(__xludf.DUMMYFUNCTION("""COMPUTED_VALUE"""),"BLUE")</f>
        <v>BLUE</v>
      </c>
      <c r="G2804" s="20" t="str">
        <f>IFERROR(__xludf.DUMMYFUNCTION("""COMPUTED_VALUE"""),"Uncle Sams Cider (11/12/2021) (Blue)")</f>
        <v>Uncle Sams Cider (11/12/2021) (Blue)</v>
      </c>
      <c r="H2804" s="19"/>
    </row>
    <row r="2805">
      <c r="A2805" s="9"/>
      <c r="B2805" s="15"/>
      <c r="C2805" s="9">
        <f>IFERROR(__xludf.DUMMYFUNCTION("""COMPUTED_VALUE"""),44576.3257995254)</f>
        <v>44576.3258</v>
      </c>
      <c r="D2805" s="15">
        <f>IFERROR(__xludf.DUMMYFUNCTION("""COMPUTED_VALUE"""),1.003)</f>
        <v>1.003</v>
      </c>
      <c r="E2805" s="16">
        <f>IFERROR(__xludf.DUMMYFUNCTION("""COMPUTED_VALUE"""),64.0)</f>
        <v>64</v>
      </c>
      <c r="F2805" s="19" t="str">
        <f>IFERROR(__xludf.DUMMYFUNCTION("""COMPUTED_VALUE"""),"BLUE")</f>
        <v>BLUE</v>
      </c>
      <c r="G2805" s="20" t="str">
        <f>IFERROR(__xludf.DUMMYFUNCTION("""COMPUTED_VALUE"""),"Uncle Sams Cider (11/12/2021) (Blue)")</f>
        <v>Uncle Sams Cider (11/12/2021) (Blue)</v>
      </c>
      <c r="H2805" s="19"/>
    </row>
    <row r="2806">
      <c r="A2806" s="9"/>
      <c r="B2806" s="15"/>
      <c r="C2806" s="9">
        <f>IFERROR(__xludf.DUMMYFUNCTION("""COMPUTED_VALUE"""),44576.3153791666)</f>
        <v>44576.31538</v>
      </c>
      <c r="D2806" s="15">
        <f>IFERROR(__xludf.DUMMYFUNCTION("""COMPUTED_VALUE"""),1.003)</f>
        <v>1.003</v>
      </c>
      <c r="E2806" s="16">
        <f>IFERROR(__xludf.DUMMYFUNCTION("""COMPUTED_VALUE"""),64.0)</f>
        <v>64</v>
      </c>
      <c r="F2806" s="19" t="str">
        <f>IFERROR(__xludf.DUMMYFUNCTION("""COMPUTED_VALUE"""),"BLUE")</f>
        <v>BLUE</v>
      </c>
      <c r="G2806" s="20" t="str">
        <f>IFERROR(__xludf.DUMMYFUNCTION("""COMPUTED_VALUE"""),"Uncle Sams Cider (11/12/2021) (Blue)")</f>
        <v>Uncle Sams Cider (11/12/2021) (Blue)</v>
      </c>
      <c r="H2806" s="19"/>
    </row>
    <row r="2807">
      <c r="A2807" s="9"/>
      <c r="B2807" s="15"/>
      <c r="C2807" s="9">
        <f>IFERROR(__xludf.DUMMYFUNCTION("""COMPUTED_VALUE"""),44576.3049464699)</f>
        <v>44576.30495</v>
      </c>
      <c r="D2807" s="15">
        <f>IFERROR(__xludf.DUMMYFUNCTION("""COMPUTED_VALUE"""),1.003)</f>
        <v>1.003</v>
      </c>
      <c r="E2807" s="16">
        <f>IFERROR(__xludf.DUMMYFUNCTION("""COMPUTED_VALUE"""),64.0)</f>
        <v>64</v>
      </c>
      <c r="F2807" s="19" t="str">
        <f>IFERROR(__xludf.DUMMYFUNCTION("""COMPUTED_VALUE"""),"BLUE")</f>
        <v>BLUE</v>
      </c>
      <c r="G2807" s="20" t="str">
        <f>IFERROR(__xludf.DUMMYFUNCTION("""COMPUTED_VALUE"""),"Uncle Sams Cider (11/12/2021) (Blue)")</f>
        <v>Uncle Sams Cider (11/12/2021) (Blue)</v>
      </c>
      <c r="H2807" s="19"/>
    </row>
    <row r="2808">
      <c r="A2808" s="9"/>
      <c r="B2808" s="15"/>
      <c r="C2808" s="9">
        <f>IFERROR(__xludf.DUMMYFUNCTION("""COMPUTED_VALUE"""),44576.2945257986)</f>
        <v>44576.29453</v>
      </c>
      <c r="D2808" s="15">
        <f>IFERROR(__xludf.DUMMYFUNCTION("""COMPUTED_VALUE"""),1.003)</f>
        <v>1.003</v>
      </c>
      <c r="E2808" s="16">
        <f>IFERROR(__xludf.DUMMYFUNCTION("""COMPUTED_VALUE"""),64.0)</f>
        <v>64</v>
      </c>
      <c r="F2808" s="19" t="str">
        <f>IFERROR(__xludf.DUMMYFUNCTION("""COMPUTED_VALUE"""),"BLUE")</f>
        <v>BLUE</v>
      </c>
      <c r="G2808" s="20" t="str">
        <f>IFERROR(__xludf.DUMMYFUNCTION("""COMPUTED_VALUE"""),"Uncle Sams Cider (11/12/2021) (Blue)")</f>
        <v>Uncle Sams Cider (11/12/2021) (Blue)</v>
      </c>
      <c r="H2808" s="19"/>
    </row>
    <row r="2809">
      <c r="A2809" s="9"/>
      <c r="B2809" s="15"/>
      <c r="C2809" s="9">
        <f>IFERROR(__xludf.DUMMYFUNCTION("""COMPUTED_VALUE"""),44576.2841030671)</f>
        <v>44576.2841</v>
      </c>
      <c r="D2809" s="15">
        <f>IFERROR(__xludf.DUMMYFUNCTION("""COMPUTED_VALUE"""),1.003)</f>
        <v>1.003</v>
      </c>
      <c r="E2809" s="16">
        <f>IFERROR(__xludf.DUMMYFUNCTION("""COMPUTED_VALUE"""),64.0)</f>
        <v>64</v>
      </c>
      <c r="F2809" s="19" t="str">
        <f>IFERROR(__xludf.DUMMYFUNCTION("""COMPUTED_VALUE"""),"BLUE")</f>
        <v>BLUE</v>
      </c>
      <c r="G2809" s="20" t="str">
        <f>IFERROR(__xludf.DUMMYFUNCTION("""COMPUTED_VALUE"""),"Uncle Sams Cider (11/12/2021) (Blue)")</f>
        <v>Uncle Sams Cider (11/12/2021) (Blue)</v>
      </c>
      <c r="H2809" s="19"/>
    </row>
    <row r="2810">
      <c r="A2810" s="9"/>
      <c r="B2810" s="15"/>
      <c r="C2810" s="9">
        <f>IFERROR(__xludf.DUMMYFUNCTION("""COMPUTED_VALUE"""),44576.2736574074)</f>
        <v>44576.27366</v>
      </c>
      <c r="D2810" s="15">
        <f>IFERROR(__xludf.DUMMYFUNCTION("""COMPUTED_VALUE"""),1.003)</f>
        <v>1.003</v>
      </c>
      <c r="E2810" s="16">
        <f>IFERROR(__xludf.DUMMYFUNCTION("""COMPUTED_VALUE"""),64.0)</f>
        <v>64</v>
      </c>
      <c r="F2810" s="19" t="str">
        <f>IFERROR(__xludf.DUMMYFUNCTION("""COMPUTED_VALUE"""),"BLUE")</f>
        <v>BLUE</v>
      </c>
      <c r="G2810" s="20" t="str">
        <f>IFERROR(__xludf.DUMMYFUNCTION("""COMPUTED_VALUE"""),"Uncle Sams Cider (11/12/2021) (Blue)")</f>
        <v>Uncle Sams Cider (11/12/2021) (Blue)</v>
      </c>
      <c r="H2810" s="19"/>
    </row>
    <row r="2811">
      <c r="A2811" s="9"/>
      <c r="B2811" s="15"/>
      <c r="C2811" s="9">
        <f>IFERROR(__xludf.DUMMYFUNCTION("""COMPUTED_VALUE"""),44576.2632247222)</f>
        <v>44576.26322</v>
      </c>
      <c r="D2811" s="15">
        <f>IFERROR(__xludf.DUMMYFUNCTION("""COMPUTED_VALUE"""),1.003)</f>
        <v>1.003</v>
      </c>
      <c r="E2811" s="16">
        <f>IFERROR(__xludf.DUMMYFUNCTION("""COMPUTED_VALUE"""),64.0)</f>
        <v>64</v>
      </c>
      <c r="F2811" s="19" t="str">
        <f>IFERROR(__xludf.DUMMYFUNCTION("""COMPUTED_VALUE"""),"BLUE")</f>
        <v>BLUE</v>
      </c>
      <c r="G2811" s="20" t="str">
        <f>IFERROR(__xludf.DUMMYFUNCTION("""COMPUTED_VALUE"""),"Uncle Sams Cider (11/12/2021) (Blue)")</f>
        <v>Uncle Sams Cider (11/12/2021) (Blue)</v>
      </c>
      <c r="H2811" s="19"/>
    </row>
    <row r="2812">
      <c r="A2812" s="9"/>
      <c r="B2812" s="15"/>
      <c r="C2812" s="9">
        <f>IFERROR(__xludf.DUMMYFUNCTION("""COMPUTED_VALUE"""),44576.2528052893)</f>
        <v>44576.25281</v>
      </c>
      <c r="D2812" s="15">
        <f>IFERROR(__xludf.DUMMYFUNCTION("""COMPUTED_VALUE"""),1.003)</f>
        <v>1.003</v>
      </c>
      <c r="E2812" s="16">
        <f>IFERROR(__xludf.DUMMYFUNCTION("""COMPUTED_VALUE"""),64.0)</f>
        <v>64</v>
      </c>
      <c r="F2812" s="19" t="str">
        <f>IFERROR(__xludf.DUMMYFUNCTION("""COMPUTED_VALUE"""),"BLUE")</f>
        <v>BLUE</v>
      </c>
      <c r="G2812" s="20" t="str">
        <f>IFERROR(__xludf.DUMMYFUNCTION("""COMPUTED_VALUE"""),"Uncle Sams Cider (11/12/2021) (Blue)")</f>
        <v>Uncle Sams Cider (11/12/2021) (Blue)</v>
      </c>
      <c r="H2812" s="19"/>
    </row>
    <row r="2813">
      <c r="A2813" s="9"/>
      <c r="B2813" s="15"/>
      <c r="C2813" s="9">
        <f>IFERROR(__xludf.DUMMYFUNCTION("""COMPUTED_VALUE"""),44576.2423850462)</f>
        <v>44576.24239</v>
      </c>
      <c r="D2813" s="15">
        <f>IFERROR(__xludf.DUMMYFUNCTION("""COMPUTED_VALUE"""),1.003)</f>
        <v>1.003</v>
      </c>
      <c r="E2813" s="16">
        <f>IFERROR(__xludf.DUMMYFUNCTION("""COMPUTED_VALUE"""),64.0)</f>
        <v>64</v>
      </c>
      <c r="F2813" s="19" t="str">
        <f>IFERROR(__xludf.DUMMYFUNCTION("""COMPUTED_VALUE"""),"BLUE")</f>
        <v>BLUE</v>
      </c>
      <c r="G2813" s="20" t="str">
        <f>IFERROR(__xludf.DUMMYFUNCTION("""COMPUTED_VALUE"""),"Uncle Sams Cider (11/12/2021) (Blue)")</f>
        <v>Uncle Sams Cider (11/12/2021) (Blue)</v>
      </c>
      <c r="H2813" s="19"/>
    </row>
    <row r="2814">
      <c r="A2814" s="9"/>
      <c r="B2814" s="15"/>
      <c r="C2814" s="9">
        <f>IFERROR(__xludf.DUMMYFUNCTION("""COMPUTED_VALUE"""),44576.2319628124)</f>
        <v>44576.23196</v>
      </c>
      <c r="D2814" s="15">
        <f>IFERROR(__xludf.DUMMYFUNCTION("""COMPUTED_VALUE"""),1.003)</f>
        <v>1.003</v>
      </c>
      <c r="E2814" s="16">
        <f>IFERROR(__xludf.DUMMYFUNCTION("""COMPUTED_VALUE"""),64.0)</f>
        <v>64</v>
      </c>
      <c r="F2814" s="19" t="str">
        <f>IFERROR(__xludf.DUMMYFUNCTION("""COMPUTED_VALUE"""),"BLUE")</f>
        <v>BLUE</v>
      </c>
      <c r="G2814" s="20" t="str">
        <f>IFERROR(__xludf.DUMMYFUNCTION("""COMPUTED_VALUE"""),"Uncle Sams Cider (11/12/2021) (Blue)")</f>
        <v>Uncle Sams Cider (11/12/2021) (Blue)</v>
      </c>
      <c r="H2814" s="19"/>
    </row>
    <row r="2815">
      <c r="A2815" s="9"/>
      <c r="B2815" s="15"/>
      <c r="C2815" s="9">
        <f>IFERROR(__xludf.DUMMYFUNCTION("""COMPUTED_VALUE"""),44576.2215430439)</f>
        <v>44576.22154</v>
      </c>
      <c r="D2815" s="15">
        <f>IFERROR(__xludf.DUMMYFUNCTION("""COMPUTED_VALUE"""),1.003)</f>
        <v>1.003</v>
      </c>
      <c r="E2815" s="16">
        <f>IFERROR(__xludf.DUMMYFUNCTION("""COMPUTED_VALUE"""),64.0)</f>
        <v>64</v>
      </c>
      <c r="F2815" s="19" t="str">
        <f>IFERROR(__xludf.DUMMYFUNCTION("""COMPUTED_VALUE"""),"BLUE")</f>
        <v>BLUE</v>
      </c>
      <c r="G2815" s="20" t="str">
        <f>IFERROR(__xludf.DUMMYFUNCTION("""COMPUTED_VALUE"""),"Uncle Sams Cider (11/12/2021) (Blue)")</f>
        <v>Uncle Sams Cider (11/12/2021) (Blue)</v>
      </c>
      <c r="H2815" s="19"/>
    </row>
    <row r="2816">
      <c r="A2816" s="9"/>
      <c r="B2816" s="15"/>
      <c r="C2816" s="9">
        <f>IFERROR(__xludf.DUMMYFUNCTION("""COMPUTED_VALUE"""),44576.2111106712)</f>
        <v>44576.21111</v>
      </c>
      <c r="D2816" s="15">
        <f>IFERROR(__xludf.DUMMYFUNCTION("""COMPUTED_VALUE"""),1.003)</f>
        <v>1.003</v>
      </c>
      <c r="E2816" s="16">
        <f>IFERROR(__xludf.DUMMYFUNCTION("""COMPUTED_VALUE"""),64.0)</f>
        <v>64</v>
      </c>
      <c r="F2816" s="19" t="str">
        <f>IFERROR(__xludf.DUMMYFUNCTION("""COMPUTED_VALUE"""),"BLUE")</f>
        <v>BLUE</v>
      </c>
      <c r="G2816" s="20" t="str">
        <f>IFERROR(__xludf.DUMMYFUNCTION("""COMPUTED_VALUE"""),"Uncle Sams Cider (11/12/2021) (Blue)")</f>
        <v>Uncle Sams Cider (11/12/2021) (Blue)</v>
      </c>
      <c r="H2816" s="19"/>
    </row>
    <row r="2817">
      <c r="A2817" s="9"/>
      <c r="B2817" s="15"/>
      <c r="C2817" s="9">
        <f>IFERROR(__xludf.DUMMYFUNCTION("""COMPUTED_VALUE"""),44576.2006898263)</f>
        <v>44576.20069</v>
      </c>
      <c r="D2817" s="15">
        <f>IFERROR(__xludf.DUMMYFUNCTION("""COMPUTED_VALUE"""),1.003)</f>
        <v>1.003</v>
      </c>
      <c r="E2817" s="16">
        <f>IFERROR(__xludf.DUMMYFUNCTION("""COMPUTED_VALUE"""),64.0)</f>
        <v>64</v>
      </c>
      <c r="F2817" s="19" t="str">
        <f>IFERROR(__xludf.DUMMYFUNCTION("""COMPUTED_VALUE"""),"BLUE")</f>
        <v>BLUE</v>
      </c>
      <c r="G2817" s="20" t="str">
        <f>IFERROR(__xludf.DUMMYFUNCTION("""COMPUTED_VALUE"""),"Uncle Sams Cider (11/12/2021) (Blue)")</f>
        <v>Uncle Sams Cider (11/12/2021) (Blue)</v>
      </c>
      <c r="H2817" s="19"/>
    </row>
    <row r="2818">
      <c r="A2818" s="9"/>
      <c r="B2818" s="15"/>
      <c r="C2818" s="9">
        <f>IFERROR(__xludf.DUMMYFUNCTION("""COMPUTED_VALUE"""),44576.1902691666)</f>
        <v>44576.19027</v>
      </c>
      <c r="D2818" s="15">
        <f>IFERROR(__xludf.DUMMYFUNCTION("""COMPUTED_VALUE"""),1.003)</f>
        <v>1.003</v>
      </c>
      <c r="E2818" s="16">
        <f>IFERROR(__xludf.DUMMYFUNCTION("""COMPUTED_VALUE"""),64.0)</f>
        <v>64</v>
      </c>
      <c r="F2818" s="19" t="str">
        <f>IFERROR(__xludf.DUMMYFUNCTION("""COMPUTED_VALUE"""),"BLUE")</f>
        <v>BLUE</v>
      </c>
      <c r="G2818" s="20" t="str">
        <f>IFERROR(__xludf.DUMMYFUNCTION("""COMPUTED_VALUE"""),"Uncle Sams Cider (11/12/2021) (Blue)")</f>
        <v>Uncle Sams Cider (11/12/2021) (Blue)</v>
      </c>
      <c r="H2818" s="19"/>
    </row>
    <row r="2819">
      <c r="A2819" s="9"/>
      <c r="B2819" s="15"/>
      <c r="C2819" s="9">
        <f>IFERROR(__xludf.DUMMYFUNCTION("""COMPUTED_VALUE"""),44576.1798496527)</f>
        <v>44576.17985</v>
      </c>
      <c r="D2819" s="15">
        <f>IFERROR(__xludf.DUMMYFUNCTION("""COMPUTED_VALUE"""),1.003)</f>
        <v>1.003</v>
      </c>
      <c r="E2819" s="16">
        <f>IFERROR(__xludf.DUMMYFUNCTION("""COMPUTED_VALUE"""),64.0)</f>
        <v>64</v>
      </c>
      <c r="F2819" s="19" t="str">
        <f>IFERROR(__xludf.DUMMYFUNCTION("""COMPUTED_VALUE"""),"BLUE")</f>
        <v>BLUE</v>
      </c>
      <c r="G2819" s="20" t="str">
        <f>IFERROR(__xludf.DUMMYFUNCTION("""COMPUTED_VALUE"""),"Uncle Sams Cider (11/12/2021) (Blue)")</f>
        <v>Uncle Sams Cider (11/12/2021) (Blue)</v>
      </c>
      <c r="H2819" s="19"/>
    </row>
    <row r="2820">
      <c r="A2820" s="9"/>
      <c r="B2820" s="15"/>
      <c r="C2820" s="9">
        <f>IFERROR(__xludf.DUMMYFUNCTION("""COMPUTED_VALUE"""),44576.1694280439)</f>
        <v>44576.16943</v>
      </c>
      <c r="D2820" s="15">
        <f>IFERROR(__xludf.DUMMYFUNCTION("""COMPUTED_VALUE"""),1.003)</f>
        <v>1.003</v>
      </c>
      <c r="E2820" s="16">
        <f>IFERROR(__xludf.DUMMYFUNCTION("""COMPUTED_VALUE"""),64.0)</f>
        <v>64</v>
      </c>
      <c r="F2820" s="19" t="str">
        <f>IFERROR(__xludf.DUMMYFUNCTION("""COMPUTED_VALUE"""),"BLUE")</f>
        <v>BLUE</v>
      </c>
      <c r="G2820" s="20" t="str">
        <f>IFERROR(__xludf.DUMMYFUNCTION("""COMPUTED_VALUE"""),"Uncle Sams Cider (11/12/2021) (Blue)")</f>
        <v>Uncle Sams Cider (11/12/2021) (Blue)</v>
      </c>
      <c r="H2820" s="19"/>
    </row>
    <row r="2821">
      <c r="A2821" s="9"/>
      <c r="B2821" s="15"/>
      <c r="C2821" s="9">
        <f>IFERROR(__xludf.DUMMYFUNCTION("""COMPUTED_VALUE"""),44576.1589955787)</f>
        <v>44576.159</v>
      </c>
      <c r="D2821" s="15">
        <f>IFERROR(__xludf.DUMMYFUNCTION("""COMPUTED_VALUE"""),1.003)</f>
        <v>1.003</v>
      </c>
      <c r="E2821" s="16">
        <f>IFERROR(__xludf.DUMMYFUNCTION("""COMPUTED_VALUE"""),64.0)</f>
        <v>64</v>
      </c>
      <c r="F2821" s="19" t="str">
        <f>IFERROR(__xludf.DUMMYFUNCTION("""COMPUTED_VALUE"""),"BLUE")</f>
        <v>BLUE</v>
      </c>
      <c r="G2821" s="20" t="str">
        <f>IFERROR(__xludf.DUMMYFUNCTION("""COMPUTED_VALUE"""),"Uncle Sams Cider (11/12/2021) (Blue)")</f>
        <v>Uncle Sams Cider (11/12/2021) (Blue)</v>
      </c>
      <c r="H2821" s="19"/>
    </row>
    <row r="2822">
      <c r="A2822" s="9"/>
      <c r="B2822" s="15"/>
      <c r="C2822" s="9">
        <f>IFERROR(__xludf.DUMMYFUNCTION("""COMPUTED_VALUE"""),44576.1485764351)</f>
        <v>44576.14858</v>
      </c>
      <c r="D2822" s="15">
        <f>IFERROR(__xludf.DUMMYFUNCTION("""COMPUTED_VALUE"""),1.003)</f>
        <v>1.003</v>
      </c>
      <c r="E2822" s="16">
        <f>IFERROR(__xludf.DUMMYFUNCTION("""COMPUTED_VALUE"""),64.0)</f>
        <v>64</v>
      </c>
      <c r="F2822" s="19" t="str">
        <f>IFERROR(__xludf.DUMMYFUNCTION("""COMPUTED_VALUE"""),"BLUE")</f>
        <v>BLUE</v>
      </c>
      <c r="G2822" s="20" t="str">
        <f>IFERROR(__xludf.DUMMYFUNCTION("""COMPUTED_VALUE"""),"Uncle Sams Cider (11/12/2021) (Blue)")</f>
        <v>Uncle Sams Cider (11/12/2021) (Blue)</v>
      </c>
      <c r="H2822" s="19"/>
    </row>
    <row r="2823">
      <c r="A2823" s="9"/>
      <c r="B2823" s="15"/>
      <c r="C2823" s="9">
        <f>IFERROR(__xludf.DUMMYFUNCTION("""COMPUTED_VALUE"""),44576.1381543981)</f>
        <v>44576.13815</v>
      </c>
      <c r="D2823" s="15">
        <f>IFERROR(__xludf.DUMMYFUNCTION("""COMPUTED_VALUE"""),1.003)</f>
        <v>1.003</v>
      </c>
      <c r="E2823" s="16">
        <f>IFERROR(__xludf.DUMMYFUNCTION("""COMPUTED_VALUE"""),64.0)</f>
        <v>64</v>
      </c>
      <c r="F2823" s="19" t="str">
        <f>IFERROR(__xludf.DUMMYFUNCTION("""COMPUTED_VALUE"""),"BLUE")</f>
        <v>BLUE</v>
      </c>
      <c r="G2823" s="20" t="str">
        <f>IFERROR(__xludf.DUMMYFUNCTION("""COMPUTED_VALUE"""),"Uncle Sams Cider (11/12/2021) (Blue)")</f>
        <v>Uncle Sams Cider (11/12/2021) (Blue)</v>
      </c>
      <c r="H2823" s="19"/>
    </row>
    <row r="2824">
      <c r="A2824" s="9"/>
      <c r="B2824" s="15"/>
      <c r="C2824" s="9">
        <f>IFERROR(__xludf.DUMMYFUNCTION("""COMPUTED_VALUE"""),44576.1277334259)</f>
        <v>44576.12773</v>
      </c>
      <c r="D2824" s="15">
        <f>IFERROR(__xludf.DUMMYFUNCTION("""COMPUTED_VALUE"""),1.003)</f>
        <v>1.003</v>
      </c>
      <c r="E2824" s="16">
        <f>IFERROR(__xludf.DUMMYFUNCTION("""COMPUTED_VALUE"""),64.0)</f>
        <v>64</v>
      </c>
      <c r="F2824" s="19" t="str">
        <f>IFERROR(__xludf.DUMMYFUNCTION("""COMPUTED_VALUE"""),"BLUE")</f>
        <v>BLUE</v>
      </c>
      <c r="G2824" s="20" t="str">
        <f>IFERROR(__xludf.DUMMYFUNCTION("""COMPUTED_VALUE"""),"Uncle Sams Cider (11/12/2021) (Blue)")</f>
        <v>Uncle Sams Cider (11/12/2021) (Blue)</v>
      </c>
      <c r="H2824" s="19"/>
    </row>
    <row r="2825">
      <c r="A2825" s="9"/>
      <c r="B2825" s="15"/>
      <c r="C2825" s="9">
        <f>IFERROR(__xludf.DUMMYFUNCTION("""COMPUTED_VALUE"""),44576.1173123032)</f>
        <v>44576.11731</v>
      </c>
      <c r="D2825" s="15">
        <f>IFERROR(__xludf.DUMMYFUNCTION("""COMPUTED_VALUE"""),1.003)</f>
        <v>1.003</v>
      </c>
      <c r="E2825" s="16">
        <f>IFERROR(__xludf.DUMMYFUNCTION("""COMPUTED_VALUE"""),64.0)</f>
        <v>64</v>
      </c>
      <c r="F2825" s="19" t="str">
        <f>IFERROR(__xludf.DUMMYFUNCTION("""COMPUTED_VALUE"""),"BLUE")</f>
        <v>BLUE</v>
      </c>
      <c r="G2825" s="20" t="str">
        <f>IFERROR(__xludf.DUMMYFUNCTION("""COMPUTED_VALUE"""),"Uncle Sams Cider (11/12/2021) (Blue)")</f>
        <v>Uncle Sams Cider (11/12/2021) (Blue)</v>
      </c>
      <c r="H2825" s="19"/>
    </row>
    <row r="2826">
      <c r="A2826" s="9"/>
      <c r="B2826" s="15"/>
      <c r="C2826" s="9">
        <f>IFERROR(__xludf.DUMMYFUNCTION("""COMPUTED_VALUE"""),44576.1068909606)</f>
        <v>44576.10689</v>
      </c>
      <c r="D2826" s="15">
        <f>IFERROR(__xludf.DUMMYFUNCTION("""COMPUTED_VALUE"""),1.003)</f>
        <v>1.003</v>
      </c>
      <c r="E2826" s="16">
        <f>IFERROR(__xludf.DUMMYFUNCTION("""COMPUTED_VALUE"""),65.0)</f>
        <v>65</v>
      </c>
      <c r="F2826" s="19" t="str">
        <f>IFERROR(__xludf.DUMMYFUNCTION("""COMPUTED_VALUE"""),"BLUE")</f>
        <v>BLUE</v>
      </c>
      <c r="G2826" s="20" t="str">
        <f>IFERROR(__xludf.DUMMYFUNCTION("""COMPUTED_VALUE"""),"Uncle Sams Cider (11/12/2021) (Blue)")</f>
        <v>Uncle Sams Cider (11/12/2021) (Blue)</v>
      </c>
      <c r="H2826" s="19"/>
    </row>
    <row r="2827">
      <c r="A2827" s="9"/>
      <c r="B2827" s="15"/>
      <c r="C2827" s="9">
        <f>IFERROR(__xludf.DUMMYFUNCTION("""COMPUTED_VALUE"""),44576.0964690856)</f>
        <v>44576.09647</v>
      </c>
      <c r="D2827" s="15">
        <f>IFERROR(__xludf.DUMMYFUNCTION("""COMPUTED_VALUE"""),1.003)</f>
        <v>1.003</v>
      </c>
      <c r="E2827" s="16">
        <f>IFERROR(__xludf.DUMMYFUNCTION("""COMPUTED_VALUE"""),65.0)</f>
        <v>65</v>
      </c>
      <c r="F2827" s="19" t="str">
        <f>IFERROR(__xludf.DUMMYFUNCTION("""COMPUTED_VALUE"""),"BLUE")</f>
        <v>BLUE</v>
      </c>
      <c r="G2827" s="20" t="str">
        <f>IFERROR(__xludf.DUMMYFUNCTION("""COMPUTED_VALUE"""),"Uncle Sams Cider (11/12/2021) (Blue)")</f>
        <v>Uncle Sams Cider (11/12/2021) (Blue)</v>
      </c>
      <c r="H2827" s="19"/>
    </row>
    <row r="2828">
      <c r="A2828" s="9"/>
      <c r="B2828" s="15"/>
      <c r="C2828" s="9">
        <f>IFERROR(__xludf.DUMMYFUNCTION("""COMPUTED_VALUE"""),44576.0860471412)</f>
        <v>44576.08605</v>
      </c>
      <c r="D2828" s="15">
        <f>IFERROR(__xludf.DUMMYFUNCTION("""COMPUTED_VALUE"""),1.003)</f>
        <v>1.003</v>
      </c>
      <c r="E2828" s="16">
        <f>IFERROR(__xludf.DUMMYFUNCTION("""COMPUTED_VALUE"""),65.0)</f>
        <v>65</v>
      </c>
      <c r="F2828" s="19" t="str">
        <f>IFERROR(__xludf.DUMMYFUNCTION("""COMPUTED_VALUE"""),"BLUE")</f>
        <v>BLUE</v>
      </c>
      <c r="G2828" s="20" t="str">
        <f>IFERROR(__xludf.DUMMYFUNCTION("""COMPUTED_VALUE"""),"Uncle Sams Cider (11/12/2021) (Blue)")</f>
        <v>Uncle Sams Cider (11/12/2021) (Blue)</v>
      </c>
      <c r="H2828" s="19"/>
    </row>
    <row r="2829">
      <c r="A2829" s="9"/>
      <c r="B2829" s="15"/>
      <c r="C2829" s="9">
        <f>IFERROR(__xludf.DUMMYFUNCTION("""COMPUTED_VALUE"""),44576.0756261226)</f>
        <v>44576.07563</v>
      </c>
      <c r="D2829" s="15">
        <f>IFERROR(__xludf.DUMMYFUNCTION("""COMPUTED_VALUE"""),1.003)</f>
        <v>1.003</v>
      </c>
      <c r="E2829" s="16">
        <f>IFERROR(__xludf.DUMMYFUNCTION("""COMPUTED_VALUE"""),65.0)</f>
        <v>65</v>
      </c>
      <c r="F2829" s="19" t="str">
        <f>IFERROR(__xludf.DUMMYFUNCTION("""COMPUTED_VALUE"""),"BLUE")</f>
        <v>BLUE</v>
      </c>
      <c r="G2829" s="20" t="str">
        <f>IFERROR(__xludf.DUMMYFUNCTION("""COMPUTED_VALUE"""),"Uncle Sams Cider (11/12/2021) (Blue)")</f>
        <v>Uncle Sams Cider (11/12/2021) (Blue)</v>
      </c>
      <c r="H2829" s="19"/>
    </row>
    <row r="2830">
      <c r="A2830" s="9"/>
      <c r="B2830" s="15"/>
      <c r="C2830" s="9">
        <f>IFERROR(__xludf.DUMMYFUNCTION("""COMPUTED_VALUE"""),44576.065203831)</f>
        <v>44576.0652</v>
      </c>
      <c r="D2830" s="15">
        <f>IFERROR(__xludf.DUMMYFUNCTION("""COMPUTED_VALUE"""),1.003)</f>
        <v>1.003</v>
      </c>
      <c r="E2830" s="16">
        <f>IFERROR(__xludf.DUMMYFUNCTION("""COMPUTED_VALUE"""),65.0)</f>
        <v>65</v>
      </c>
      <c r="F2830" s="19" t="str">
        <f>IFERROR(__xludf.DUMMYFUNCTION("""COMPUTED_VALUE"""),"BLUE")</f>
        <v>BLUE</v>
      </c>
      <c r="G2830" s="20" t="str">
        <f>IFERROR(__xludf.DUMMYFUNCTION("""COMPUTED_VALUE"""),"Uncle Sams Cider (11/12/2021) (Blue)")</f>
        <v>Uncle Sams Cider (11/12/2021) (Blue)</v>
      </c>
      <c r="H2830" s="19"/>
    </row>
    <row r="2831">
      <c r="A2831" s="9"/>
      <c r="B2831" s="15"/>
      <c r="C2831" s="9">
        <f>IFERROR(__xludf.DUMMYFUNCTION("""COMPUTED_VALUE"""),44576.0547825462)</f>
        <v>44576.05478</v>
      </c>
      <c r="D2831" s="15">
        <f>IFERROR(__xludf.DUMMYFUNCTION("""COMPUTED_VALUE"""),1.003)</f>
        <v>1.003</v>
      </c>
      <c r="E2831" s="16">
        <f>IFERROR(__xludf.DUMMYFUNCTION("""COMPUTED_VALUE"""),65.0)</f>
        <v>65</v>
      </c>
      <c r="F2831" s="19" t="str">
        <f>IFERROR(__xludf.DUMMYFUNCTION("""COMPUTED_VALUE"""),"BLUE")</f>
        <v>BLUE</v>
      </c>
      <c r="G2831" s="20" t="str">
        <f>IFERROR(__xludf.DUMMYFUNCTION("""COMPUTED_VALUE"""),"Uncle Sams Cider (11/12/2021) (Blue)")</f>
        <v>Uncle Sams Cider (11/12/2021) (Blue)</v>
      </c>
      <c r="H2831" s="19"/>
    </row>
    <row r="2832">
      <c r="A2832" s="9"/>
      <c r="B2832" s="15"/>
      <c r="C2832" s="9">
        <f>IFERROR(__xludf.DUMMYFUNCTION("""COMPUTED_VALUE"""),44576.0443511458)</f>
        <v>44576.04435</v>
      </c>
      <c r="D2832" s="15">
        <f>IFERROR(__xludf.DUMMYFUNCTION("""COMPUTED_VALUE"""),1.003)</f>
        <v>1.003</v>
      </c>
      <c r="E2832" s="16">
        <f>IFERROR(__xludf.DUMMYFUNCTION("""COMPUTED_VALUE"""),65.0)</f>
        <v>65</v>
      </c>
      <c r="F2832" s="19" t="str">
        <f>IFERROR(__xludf.DUMMYFUNCTION("""COMPUTED_VALUE"""),"BLUE")</f>
        <v>BLUE</v>
      </c>
      <c r="G2832" s="20" t="str">
        <f>IFERROR(__xludf.DUMMYFUNCTION("""COMPUTED_VALUE"""),"Uncle Sams Cider (11/12/2021) (Blue)")</f>
        <v>Uncle Sams Cider (11/12/2021) (Blue)</v>
      </c>
      <c r="H2832" s="19"/>
    </row>
    <row r="2833">
      <c r="A2833" s="9"/>
      <c r="B2833" s="15"/>
      <c r="C2833" s="9">
        <f>IFERROR(__xludf.DUMMYFUNCTION("""COMPUTED_VALUE"""),44576.0339177546)</f>
        <v>44576.03392</v>
      </c>
      <c r="D2833" s="15">
        <f>IFERROR(__xludf.DUMMYFUNCTION("""COMPUTED_VALUE"""),1.003)</f>
        <v>1.003</v>
      </c>
      <c r="E2833" s="16">
        <f>IFERROR(__xludf.DUMMYFUNCTION("""COMPUTED_VALUE"""),65.0)</f>
        <v>65</v>
      </c>
      <c r="F2833" s="19" t="str">
        <f>IFERROR(__xludf.DUMMYFUNCTION("""COMPUTED_VALUE"""),"BLUE")</f>
        <v>BLUE</v>
      </c>
      <c r="G2833" s="20" t="str">
        <f>IFERROR(__xludf.DUMMYFUNCTION("""COMPUTED_VALUE"""),"Uncle Sams Cider (11/12/2021) (Blue)")</f>
        <v>Uncle Sams Cider (11/12/2021) (Blue)</v>
      </c>
      <c r="H2833" s="19"/>
    </row>
    <row r="2834">
      <c r="A2834" s="9"/>
      <c r="B2834" s="15"/>
      <c r="C2834" s="9">
        <f>IFERROR(__xludf.DUMMYFUNCTION("""COMPUTED_VALUE"""),44576.0234950115)</f>
        <v>44576.0235</v>
      </c>
      <c r="D2834" s="15">
        <f>IFERROR(__xludf.DUMMYFUNCTION("""COMPUTED_VALUE"""),1.003)</f>
        <v>1.003</v>
      </c>
      <c r="E2834" s="16">
        <f>IFERROR(__xludf.DUMMYFUNCTION("""COMPUTED_VALUE"""),65.0)</f>
        <v>65</v>
      </c>
      <c r="F2834" s="19" t="str">
        <f>IFERROR(__xludf.DUMMYFUNCTION("""COMPUTED_VALUE"""),"BLUE")</f>
        <v>BLUE</v>
      </c>
      <c r="G2834" s="20" t="str">
        <f>IFERROR(__xludf.DUMMYFUNCTION("""COMPUTED_VALUE"""),"Uncle Sams Cider (11/12/2021) (Blue)")</f>
        <v>Uncle Sams Cider (11/12/2021) (Blue)</v>
      </c>
      <c r="H2834" s="19"/>
    </row>
    <row r="2835">
      <c r="A2835" s="9"/>
      <c r="B2835" s="15"/>
      <c r="C2835" s="9">
        <f>IFERROR(__xludf.DUMMYFUNCTION("""COMPUTED_VALUE"""),44576.0130733912)</f>
        <v>44576.01307</v>
      </c>
      <c r="D2835" s="15">
        <f>IFERROR(__xludf.DUMMYFUNCTION("""COMPUTED_VALUE"""),1.003)</f>
        <v>1.003</v>
      </c>
      <c r="E2835" s="16">
        <f>IFERROR(__xludf.DUMMYFUNCTION("""COMPUTED_VALUE"""),65.0)</f>
        <v>65</v>
      </c>
      <c r="F2835" s="19" t="str">
        <f>IFERROR(__xludf.DUMMYFUNCTION("""COMPUTED_VALUE"""),"BLUE")</f>
        <v>BLUE</v>
      </c>
      <c r="G2835" s="20" t="str">
        <f>IFERROR(__xludf.DUMMYFUNCTION("""COMPUTED_VALUE"""),"Uncle Sams Cider (11/12/2021) (Blue)")</f>
        <v>Uncle Sams Cider (11/12/2021) (Blue)</v>
      </c>
      <c r="H2835" s="19"/>
    </row>
    <row r="2836">
      <c r="A2836" s="9"/>
      <c r="B2836" s="15"/>
      <c r="C2836" s="9">
        <f>IFERROR(__xludf.DUMMYFUNCTION("""COMPUTED_VALUE"""),44576.002650949)</f>
        <v>44576.00265</v>
      </c>
      <c r="D2836" s="15">
        <f>IFERROR(__xludf.DUMMYFUNCTION("""COMPUTED_VALUE"""),1.003)</f>
        <v>1.003</v>
      </c>
      <c r="E2836" s="16">
        <f>IFERROR(__xludf.DUMMYFUNCTION("""COMPUTED_VALUE"""),65.0)</f>
        <v>65</v>
      </c>
      <c r="F2836" s="19" t="str">
        <f>IFERROR(__xludf.DUMMYFUNCTION("""COMPUTED_VALUE"""),"BLUE")</f>
        <v>BLUE</v>
      </c>
      <c r="G2836" s="20" t="str">
        <f>IFERROR(__xludf.DUMMYFUNCTION("""COMPUTED_VALUE"""),"Uncle Sams Cider (11/12/2021) (Blue)")</f>
        <v>Uncle Sams Cider (11/12/2021) (Blue)</v>
      </c>
      <c r="H2836" s="19"/>
    </row>
    <row r="2837">
      <c r="A2837" s="9"/>
      <c r="B2837" s="15"/>
      <c r="C2837" s="9">
        <f>IFERROR(__xludf.DUMMYFUNCTION("""COMPUTED_VALUE"""),44575.9922300115)</f>
        <v>44575.99223</v>
      </c>
      <c r="D2837" s="15">
        <f>IFERROR(__xludf.DUMMYFUNCTION("""COMPUTED_VALUE"""),1.003)</f>
        <v>1.003</v>
      </c>
      <c r="E2837" s="16">
        <f>IFERROR(__xludf.DUMMYFUNCTION("""COMPUTED_VALUE"""),65.0)</f>
        <v>65</v>
      </c>
      <c r="F2837" s="19" t="str">
        <f>IFERROR(__xludf.DUMMYFUNCTION("""COMPUTED_VALUE"""),"BLUE")</f>
        <v>BLUE</v>
      </c>
      <c r="G2837" s="20" t="str">
        <f>IFERROR(__xludf.DUMMYFUNCTION("""COMPUTED_VALUE"""),"Uncle Sams Cider (11/12/2021) (Blue)")</f>
        <v>Uncle Sams Cider (11/12/2021) (Blue)</v>
      </c>
      <c r="H2837" s="19"/>
    </row>
    <row r="2838">
      <c r="A2838" s="9"/>
      <c r="B2838" s="15"/>
      <c r="C2838" s="9">
        <f>IFERROR(__xludf.DUMMYFUNCTION("""COMPUTED_VALUE"""),44575.9818084606)</f>
        <v>44575.98181</v>
      </c>
      <c r="D2838" s="15">
        <f>IFERROR(__xludf.DUMMYFUNCTION("""COMPUTED_VALUE"""),1.003)</f>
        <v>1.003</v>
      </c>
      <c r="E2838" s="16">
        <f>IFERROR(__xludf.DUMMYFUNCTION("""COMPUTED_VALUE"""),65.0)</f>
        <v>65</v>
      </c>
      <c r="F2838" s="19" t="str">
        <f>IFERROR(__xludf.DUMMYFUNCTION("""COMPUTED_VALUE"""),"BLUE")</f>
        <v>BLUE</v>
      </c>
      <c r="G2838" s="20" t="str">
        <f>IFERROR(__xludf.DUMMYFUNCTION("""COMPUTED_VALUE"""),"Uncle Sams Cider (11/12/2021) (Blue)")</f>
        <v>Uncle Sams Cider (11/12/2021) (Blue)</v>
      </c>
      <c r="H2838" s="19"/>
    </row>
    <row r="2839">
      <c r="A2839" s="9"/>
      <c r="B2839" s="15"/>
      <c r="C2839" s="9">
        <f>IFERROR(__xludf.DUMMYFUNCTION("""COMPUTED_VALUE"""),44575.971375162)</f>
        <v>44575.97138</v>
      </c>
      <c r="D2839" s="15">
        <f>IFERROR(__xludf.DUMMYFUNCTION("""COMPUTED_VALUE"""),1.003)</f>
        <v>1.003</v>
      </c>
      <c r="E2839" s="16">
        <f>IFERROR(__xludf.DUMMYFUNCTION("""COMPUTED_VALUE"""),65.0)</f>
        <v>65</v>
      </c>
      <c r="F2839" s="19" t="str">
        <f>IFERROR(__xludf.DUMMYFUNCTION("""COMPUTED_VALUE"""),"BLUE")</f>
        <v>BLUE</v>
      </c>
      <c r="G2839" s="20" t="str">
        <f>IFERROR(__xludf.DUMMYFUNCTION("""COMPUTED_VALUE"""),"Uncle Sams Cider (11/12/2021) (Blue)")</f>
        <v>Uncle Sams Cider (11/12/2021) (Blue)</v>
      </c>
      <c r="H2839" s="19"/>
    </row>
    <row r="2840">
      <c r="A2840" s="9"/>
      <c r="B2840" s="15"/>
      <c r="C2840" s="9">
        <f>IFERROR(__xludf.DUMMYFUNCTION("""COMPUTED_VALUE"""),44575.9609515046)</f>
        <v>44575.96095</v>
      </c>
      <c r="D2840" s="15">
        <f>IFERROR(__xludf.DUMMYFUNCTION("""COMPUTED_VALUE"""),1.003)</f>
        <v>1.003</v>
      </c>
      <c r="E2840" s="16">
        <f>IFERROR(__xludf.DUMMYFUNCTION("""COMPUTED_VALUE"""),65.0)</f>
        <v>65</v>
      </c>
      <c r="F2840" s="19" t="str">
        <f>IFERROR(__xludf.DUMMYFUNCTION("""COMPUTED_VALUE"""),"BLUE")</f>
        <v>BLUE</v>
      </c>
      <c r="G2840" s="20" t="str">
        <f>IFERROR(__xludf.DUMMYFUNCTION("""COMPUTED_VALUE"""),"Uncle Sams Cider (11/12/2021) (Blue)")</f>
        <v>Uncle Sams Cider (11/12/2021) (Blue)</v>
      </c>
      <c r="H2840" s="19"/>
    </row>
    <row r="2841">
      <c r="A2841" s="9"/>
      <c r="B2841" s="15"/>
      <c r="C2841" s="9">
        <f>IFERROR(__xludf.DUMMYFUNCTION("""COMPUTED_VALUE"""),44575.9505175231)</f>
        <v>44575.95052</v>
      </c>
      <c r="D2841" s="15">
        <f>IFERROR(__xludf.DUMMYFUNCTION("""COMPUTED_VALUE"""),1.003)</f>
        <v>1.003</v>
      </c>
      <c r="E2841" s="16">
        <f>IFERROR(__xludf.DUMMYFUNCTION("""COMPUTED_VALUE"""),65.0)</f>
        <v>65</v>
      </c>
      <c r="F2841" s="19" t="str">
        <f>IFERROR(__xludf.DUMMYFUNCTION("""COMPUTED_VALUE"""),"BLUE")</f>
        <v>BLUE</v>
      </c>
      <c r="G2841" s="20" t="str">
        <f>IFERROR(__xludf.DUMMYFUNCTION("""COMPUTED_VALUE"""),"Uncle Sams Cider (11/12/2021) (Blue)")</f>
        <v>Uncle Sams Cider (11/12/2021) (Blue)</v>
      </c>
      <c r="H2841" s="19"/>
    </row>
    <row r="2842">
      <c r="A2842" s="9"/>
      <c r="B2842" s="15"/>
      <c r="C2842" s="9">
        <f>IFERROR(__xludf.DUMMYFUNCTION("""COMPUTED_VALUE"""),44575.9400968981)</f>
        <v>44575.9401</v>
      </c>
      <c r="D2842" s="15">
        <f>IFERROR(__xludf.DUMMYFUNCTION("""COMPUTED_VALUE"""),1.003)</f>
        <v>1.003</v>
      </c>
      <c r="E2842" s="16">
        <f>IFERROR(__xludf.DUMMYFUNCTION("""COMPUTED_VALUE"""),65.0)</f>
        <v>65</v>
      </c>
      <c r="F2842" s="19" t="str">
        <f>IFERROR(__xludf.DUMMYFUNCTION("""COMPUTED_VALUE"""),"BLUE")</f>
        <v>BLUE</v>
      </c>
      <c r="G2842" s="20" t="str">
        <f>IFERROR(__xludf.DUMMYFUNCTION("""COMPUTED_VALUE"""),"Uncle Sams Cider (11/12/2021) (Blue)")</f>
        <v>Uncle Sams Cider (11/12/2021) (Blue)</v>
      </c>
      <c r="H2842" s="19"/>
    </row>
    <row r="2843">
      <c r="A2843" s="9"/>
      <c r="B2843" s="15"/>
      <c r="C2843" s="9">
        <f>IFERROR(__xludf.DUMMYFUNCTION("""COMPUTED_VALUE"""),44575.9296745138)</f>
        <v>44575.92967</v>
      </c>
      <c r="D2843" s="15">
        <f>IFERROR(__xludf.DUMMYFUNCTION("""COMPUTED_VALUE"""),1.003)</f>
        <v>1.003</v>
      </c>
      <c r="E2843" s="16">
        <f>IFERROR(__xludf.DUMMYFUNCTION("""COMPUTED_VALUE"""),65.0)</f>
        <v>65</v>
      </c>
      <c r="F2843" s="19" t="str">
        <f>IFERROR(__xludf.DUMMYFUNCTION("""COMPUTED_VALUE"""),"BLUE")</f>
        <v>BLUE</v>
      </c>
      <c r="G2843" s="20" t="str">
        <f>IFERROR(__xludf.DUMMYFUNCTION("""COMPUTED_VALUE"""),"Uncle Sams Cider (11/12/2021) (Blue)")</f>
        <v>Uncle Sams Cider (11/12/2021) (Blue)</v>
      </c>
      <c r="H2843" s="19"/>
    </row>
    <row r="2844">
      <c r="A2844" s="9"/>
      <c r="B2844" s="15"/>
      <c r="C2844" s="9">
        <f>IFERROR(__xludf.DUMMYFUNCTION("""COMPUTED_VALUE"""),44575.9192531944)</f>
        <v>44575.91925</v>
      </c>
      <c r="D2844" s="15">
        <f>IFERROR(__xludf.DUMMYFUNCTION("""COMPUTED_VALUE"""),1.003)</f>
        <v>1.003</v>
      </c>
      <c r="E2844" s="16">
        <f>IFERROR(__xludf.DUMMYFUNCTION("""COMPUTED_VALUE"""),65.0)</f>
        <v>65</v>
      </c>
      <c r="F2844" s="19" t="str">
        <f>IFERROR(__xludf.DUMMYFUNCTION("""COMPUTED_VALUE"""),"BLUE")</f>
        <v>BLUE</v>
      </c>
      <c r="G2844" s="20" t="str">
        <f>IFERROR(__xludf.DUMMYFUNCTION("""COMPUTED_VALUE"""),"Uncle Sams Cider (11/12/2021) (Blue)")</f>
        <v>Uncle Sams Cider (11/12/2021) (Blue)</v>
      </c>
      <c r="H2844" s="19"/>
    </row>
    <row r="2845">
      <c r="A2845" s="9"/>
      <c r="B2845" s="15"/>
      <c r="C2845" s="9">
        <f>IFERROR(__xludf.DUMMYFUNCTION("""COMPUTED_VALUE"""),44575.9088323379)</f>
        <v>44575.90883</v>
      </c>
      <c r="D2845" s="15">
        <f>IFERROR(__xludf.DUMMYFUNCTION("""COMPUTED_VALUE"""),1.003)</f>
        <v>1.003</v>
      </c>
      <c r="E2845" s="16">
        <f>IFERROR(__xludf.DUMMYFUNCTION("""COMPUTED_VALUE"""),65.0)</f>
        <v>65</v>
      </c>
      <c r="F2845" s="19" t="str">
        <f>IFERROR(__xludf.DUMMYFUNCTION("""COMPUTED_VALUE"""),"BLUE")</f>
        <v>BLUE</v>
      </c>
      <c r="G2845" s="20" t="str">
        <f>IFERROR(__xludf.DUMMYFUNCTION("""COMPUTED_VALUE"""),"Uncle Sams Cider (11/12/2021) (Blue)")</f>
        <v>Uncle Sams Cider (11/12/2021) (Blue)</v>
      </c>
      <c r="H2845" s="19"/>
    </row>
    <row r="2846">
      <c r="A2846" s="9"/>
      <c r="B2846" s="15"/>
      <c r="C2846" s="9">
        <f>IFERROR(__xludf.DUMMYFUNCTION("""COMPUTED_VALUE"""),44575.8984119907)</f>
        <v>44575.89841</v>
      </c>
      <c r="D2846" s="15">
        <f>IFERROR(__xludf.DUMMYFUNCTION("""COMPUTED_VALUE"""),1.003)</f>
        <v>1.003</v>
      </c>
      <c r="E2846" s="16">
        <f>IFERROR(__xludf.DUMMYFUNCTION("""COMPUTED_VALUE"""),65.0)</f>
        <v>65</v>
      </c>
      <c r="F2846" s="19" t="str">
        <f>IFERROR(__xludf.DUMMYFUNCTION("""COMPUTED_VALUE"""),"BLUE")</f>
        <v>BLUE</v>
      </c>
      <c r="G2846" s="20" t="str">
        <f>IFERROR(__xludf.DUMMYFUNCTION("""COMPUTED_VALUE"""),"Uncle Sams Cider (11/12/2021) (Blue)")</f>
        <v>Uncle Sams Cider (11/12/2021) (Blue)</v>
      </c>
      <c r="H2846" s="19"/>
    </row>
    <row r="2847">
      <c r="A2847" s="9"/>
      <c r="B2847" s="15"/>
      <c r="C2847" s="9">
        <f>IFERROR(__xludf.DUMMYFUNCTION("""COMPUTED_VALUE"""),44575.887979074)</f>
        <v>44575.88798</v>
      </c>
      <c r="D2847" s="15">
        <f>IFERROR(__xludf.DUMMYFUNCTION("""COMPUTED_VALUE"""),1.003)</f>
        <v>1.003</v>
      </c>
      <c r="E2847" s="16">
        <f>IFERROR(__xludf.DUMMYFUNCTION("""COMPUTED_VALUE"""),65.0)</f>
        <v>65</v>
      </c>
      <c r="F2847" s="19" t="str">
        <f>IFERROR(__xludf.DUMMYFUNCTION("""COMPUTED_VALUE"""),"BLUE")</f>
        <v>BLUE</v>
      </c>
      <c r="G2847" s="20" t="str">
        <f>IFERROR(__xludf.DUMMYFUNCTION("""COMPUTED_VALUE"""),"Uncle Sams Cider (11/12/2021) (Blue)")</f>
        <v>Uncle Sams Cider (11/12/2021) (Blue)</v>
      </c>
      <c r="H2847" s="19"/>
    </row>
    <row r="2848">
      <c r="A2848" s="9"/>
      <c r="B2848" s="15"/>
      <c r="C2848" s="9">
        <f>IFERROR(__xludf.DUMMYFUNCTION("""COMPUTED_VALUE"""),44575.8775567592)</f>
        <v>44575.87756</v>
      </c>
      <c r="D2848" s="15">
        <f>IFERROR(__xludf.DUMMYFUNCTION("""COMPUTED_VALUE"""),1.003)</f>
        <v>1.003</v>
      </c>
      <c r="E2848" s="16">
        <f>IFERROR(__xludf.DUMMYFUNCTION("""COMPUTED_VALUE"""),65.0)</f>
        <v>65</v>
      </c>
      <c r="F2848" s="19" t="str">
        <f>IFERROR(__xludf.DUMMYFUNCTION("""COMPUTED_VALUE"""),"BLUE")</f>
        <v>BLUE</v>
      </c>
      <c r="G2848" s="20" t="str">
        <f>IFERROR(__xludf.DUMMYFUNCTION("""COMPUTED_VALUE"""),"Uncle Sams Cider (11/12/2021) (Blue)")</f>
        <v>Uncle Sams Cider (11/12/2021) (Blue)</v>
      </c>
      <c r="H2848" s="19"/>
    </row>
    <row r="2849">
      <c r="A2849" s="9"/>
      <c r="B2849" s="15"/>
      <c r="C2849" s="9">
        <f>IFERROR(__xludf.DUMMYFUNCTION("""COMPUTED_VALUE"""),44575.8671096064)</f>
        <v>44575.86711</v>
      </c>
      <c r="D2849" s="15">
        <f>IFERROR(__xludf.DUMMYFUNCTION("""COMPUTED_VALUE"""),1.003)</f>
        <v>1.003</v>
      </c>
      <c r="E2849" s="16">
        <f>IFERROR(__xludf.DUMMYFUNCTION("""COMPUTED_VALUE"""),65.0)</f>
        <v>65</v>
      </c>
      <c r="F2849" s="19" t="str">
        <f>IFERROR(__xludf.DUMMYFUNCTION("""COMPUTED_VALUE"""),"BLUE")</f>
        <v>BLUE</v>
      </c>
      <c r="G2849" s="20" t="str">
        <f>IFERROR(__xludf.DUMMYFUNCTION("""COMPUTED_VALUE"""),"Uncle Sams Cider (11/12/2021) (Blue)")</f>
        <v>Uncle Sams Cider (11/12/2021) (Blue)</v>
      </c>
      <c r="H2849" s="19"/>
    </row>
    <row r="2850">
      <c r="A2850" s="9"/>
      <c r="B2850" s="15"/>
      <c r="C2850" s="9">
        <f>IFERROR(__xludf.DUMMYFUNCTION("""COMPUTED_VALUE"""),44575.8566873379)</f>
        <v>44575.85669</v>
      </c>
      <c r="D2850" s="15">
        <f>IFERROR(__xludf.DUMMYFUNCTION("""COMPUTED_VALUE"""),1.003)</f>
        <v>1.003</v>
      </c>
      <c r="E2850" s="16">
        <f>IFERROR(__xludf.DUMMYFUNCTION("""COMPUTED_VALUE"""),65.0)</f>
        <v>65</v>
      </c>
      <c r="F2850" s="19" t="str">
        <f>IFERROR(__xludf.DUMMYFUNCTION("""COMPUTED_VALUE"""),"BLUE")</f>
        <v>BLUE</v>
      </c>
      <c r="G2850" s="20" t="str">
        <f>IFERROR(__xludf.DUMMYFUNCTION("""COMPUTED_VALUE"""),"Uncle Sams Cider (11/12/2021) (Blue)")</f>
        <v>Uncle Sams Cider (11/12/2021) (Blue)</v>
      </c>
      <c r="H2850" s="19"/>
    </row>
    <row r="2851">
      <c r="A2851" s="9"/>
      <c r="B2851" s="15"/>
      <c r="C2851" s="9">
        <f>IFERROR(__xludf.DUMMYFUNCTION("""COMPUTED_VALUE"""),44575.8462670254)</f>
        <v>44575.84627</v>
      </c>
      <c r="D2851" s="15">
        <f>IFERROR(__xludf.DUMMYFUNCTION("""COMPUTED_VALUE"""),1.003)</f>
        <v>1.003</v>
      </c>
      <c r="E2851" s="16">
        <f>IFERROR(__xludf.DUMMYFUNCTION("""COMPUTED_VALUE"""),65.0)</f>
        <v>65</v>
      </c>
      <c r="F2851" s="19" t="str">
        <f>IFERROR(__xludf.DUMMYFUNCTION("""COMPUTED_VALUE"""),"BLUE")</f>
        <v>BLUE</v>
      </c>
      <c r="G2851" s="20" t="str">
        <f>IFERROR(__xludf.DUMMYFUNCTION("""COMPUTED_VALUE"""),"Uncle Sams Cider (11/12/2021) (Blue)")</f>
        <v>Uncle Sams Cider (11/12/2021) (Blue)</v>
      </c>
      <c r="H2851" s="19"/>
    </row>
    <row r="2852">
      <c r="A2852" s="9"/>
      <c r="B2852" s="15"/>
      <c r="C2852" s="9">
        <f>IFERROR(__xludf.DUMMYFUNCTION("""COMPUTED_VALUE"""),44575.8358447222)</f>
        <v>44575.83584</v>
      </c>
      <c r="D2852" s="15">
        <f>IFERROR(__xludf.DUMMYFUNCTION("""COMPUTED_VALUE"""),1.003)</f>
        <v>1.003</v>
      </c>
      <c r="E2852" s="16">
        <f>IFERROR(__xludf.DUMMYFUNCTION("""COMPUTED_VALUE"""),65.0)</f>
        <v>65</v>
      </c>
      <c r="F2852" s="19" t="str">
        <f>IFERROR(__xludf.DUMMYFUNCTION("""COMPUTED_VALUE"""),"BLUE")</f>
        <v>BLUE</v>
      </c>
      <c r="G2852" s="20" t="str">
        <f>IFERROR(__xludf.DUMMYFUNCTION("""COMPUTED_VALUE"""),"Uncle Sams Cider (11/12/2021) (Blue)")</f>
        <v>Uncle Sams Cider (11/12/2021) (Blue)</v>
      </c>
      <c r="H2852" s="19"/>
    </row>
    <row r="2853">
      <c r="A2853" s="9"/>
      <c r="B2853" s="15"/>
      <c r="C2853" s="9">
        <f>IFERROR(__xludf.DUMMYFUNCTION("""COMPUTED_VALUE"""),44575.8254108449)</f>
        <v>44575.82541</v>
      </c>
      <c r="D2853" s="15">
        <f>IFERROR(__xludf.DUMMYFUNCTION("""COMPUTED_VALUE"""),1.003)</f>
        <v>1.003</v>
      </c>
      <c r="E2853" s="16">
        <f>IFERROR(__xludf.DUMMYFUNCTION("""COMPUTED_VALUE"""),65.0)</f>
        <v>65</v>
      </c>
      <c r="F2853" s="19" t="str">
        <f>IFERROR(__xludf.DUMMYFUNCTION("""COMPUTED_VALUE"""),"BLUE")</f>
        <v>BLUE</v>
      </c>
      <c r="G2853" s="20" t="str">
        <f>IFERROR(__xludf.DUMMYFUNCTION("""COMPUTED_VALUE"""),"Uncle Sams Cider (11/12/2021) (Blue)")</f>
        <v>Uncle Sams Cider (11/12/2021) (Blue)</v>
      </c>
      <c r="H2853" s="19"/>
    </row>
    <row r="2854">
      <c r="A2854" s="9"/>
      <c r="B2854" s="15"/>
      <c r="C2854" s="9">
        <f>IFERROR(__xludf.DUMMYFUNCTION("""COMPUTED_VALUE"""),44575.814990625)</f>
        <v>44575.81499</v>
      </c>
      <c r="D2854" s="15">
        <f>IFERROR(__xludf.DUMMYFUNCTION("""COMPUTED_VALUE"""),1.003)</f>
        <v>1.003</v>
      </c>
      <c r="E2854" s="16">
        <f>IFERROR(__xludf.DUMMYFUNCTION("""COMPUTED_VALUE"""),65.0)</f>
        <v>65</v>
      </c>
      <c r="F2854" s="19" t="str">
        <f>IFERROR(__xludf.DUMMYFUNCTION("""COMPUTED_VALUE"""),"BLUE")</f>
        <v>BLUE</v>
      </c>
      <c r="G2854" s="20" t="str">
        <f>IFERROR(__xludf.DUMMYFUNCTION("""COMPUTED_VALUE"""),"Uncle Sams Cider (11/12/2021) (Blue)")</f>
        <v>Uncle Sams Cider (11/12/2021) (Blue)</v>
      </c>
      <c r="H2854" s="19"/>
    </row>
    <row r="2855">
      <c r="A2855" s="9"/>
      <c r="B2855" s="15"/>
      <c r="C2855" s="9">
        <f>IFERROR(__xludf.DUMMYFUNCTION("""COMPUTED_VALUE"""),44575.8045693287)</f>
        <v>44575.80457</v>
      </c>
      <c r="D2855" s="15">
        <f>IFERROR(__xludf.DUMMYFUNCTION("""COMPUTED_VALUE"""),1.003)</f>
        <v>1.003</v>
      </c>
      <c r="E2855" s="16">
        <f>IFERROR(__xludf.DUMMYFUNCTION("""COMPUTED_VALUE"""),65.0)</f>
        <v>65</v>
      </c>
      <c r="F2855" s="19" t="str">
        <f>IFERROR(__xludf.DUMMYFUNCTION("""COMPUTED_VALUE"""),"BLUE")</f>
        <v>BLUE</v>
      </c>
      <c r="G2855" s="20" t="str">
        <f>IFERROR(__xludf.DUMMYFUNCTION("""COMPUTED_VALUE"""),"Uncle Sams Cider (11/12/2021) (Blue)")</f>
        <v>Uncle Sams Cider (11/12/2021) (Blue)</v>
      </c>
      <c r="H2855" s="19"/>
    </row>
    <row r="2856">
      <c r="A2856" s="9"/>
      <c r="B2856" s="15"/>
      <c r="C2856" s="9">
        <f>IFERROR(__xludf.DUMMYFUNCTION("""COMPUTED_VALUE"""),44575.794148368)</f>
        <v>44575.79415</v>
      </c>
      <c r="D2856" s="15">
        <f>IFERROR(__xludf.DUMMYFUNCTION("""COMPUTED_VALUE"""),1.003)</f>
        <v>1.003</v>
      </c>
      <c r="E2856" s="16">
        <f>IFERROR(__xludf.DUMMYFUNCTION("""COMPUTED_VALUE"""),65.0)</f>
        <v>65</v>
      </c>
      <c r="F2856" s="19" t="str">
        <f>IFERROR(__xludf.DUMMYFUNCTION("""COMPUTED_VALUE"""),"BLUE")</f>
        <v>BLUE</v>
      </c>
      <c r="G2856" s="20" t="str">
        <f>IFERROR(__xludf.DUMMYFUNCTION("""COMPUTED_VALUE"""),"Uncle Sams Cider (11/12/2021) (Blue)")</f>
        <v>Uncle Sams Cider (11/12/2021) (Blue)</v>
      </c>
      <c r="H2856" s="19"/>
    </row>
    <row r="2857">
      <c r="A2857" s="9"/>
      <c r="B2857" s="15"/>
      <c r="C2857" s="9">
        <f>IFERROR(__xludf.DUMMYFUNCTION("""COMPUTED_VALUE"""),44575.7837285416)</f>
        <v>44575.78373</v>
      </c>
      <c r="D2857" s="15">
        <f>IFERROR(__xludf.DUMMYFUNCTION("""COMPUTED_VALUE"""),1.003)</f>
        <v>1.003</v>
      </c>
      <c r="E2857" s="16">
        <f>IFERROR(__xludf.DUMMYFUNCTION("""COMPUTED_VALUE"""),65.0)</f>
        <v>65</v>
      </c>
      <c r="F2857" s="19" t="str">
        <f>IFERROR(__xludf.DUMMYFUNCTION("""COMPUTED_VALUE"""),"BLUE")</f>
        <v>BLUE</v>
      </c>
      <c r="G2857" s="20" t="str">
        <f>IFERROR(__xludf.DUMMYFUNCTION("""COMPUTED_VALUE"""),"Uncle Sams Cider (11/12/2021) (Blue)")</f>
        <v>Uncle Sams Cider (11/12/2021) (Blue)</v>
      </c>
      <c r="H2857" s="19"/>
    </row>
    <row r="2858">
      <c r="A2858" s="9"/>
      <c r="B2858" s="15"/>
      <c r="C2858" s="9">
        <f>IFERROR(__xludf.DUMMYFUNCTION("""COMPUTED_VALUE"""),44575.7732957986)</f>
        <v>44575.7733</v>
      </c>
      <c r="D2858" s="15">
        <f>IFERROR(__xludf.DUMMYFUNCTION("""COMPUTED_VALUE"""),1.003)</f>
        <v>1.003</v>
      </c>
      <c r="E2858" s="16">
        <f>IFERROR(__xludf.DUMMYFUNCTION("""COMPUTED_VALUE"""),65.0)</f>
        <v>65</v>
      </c>
      <c r="F2858" s="19" t="str">
        <f>IFERROR(__xludf.DUMMYFUNCTION("""COMPUTED_VALUE"""),"BLUE")</f>
        <v>BLUE</v>
      </c>
      <c r="G2858" s="20" t="str">
        <f>IFERROR(__xludf.DUMMYFUNCTION("""COMPUTED_VALUE"""),"Uncle Sams Cider (11/12/2021) (Blue)")</f>
        <v>Uncle Sams Cider (11/12/2021) (Blue)</v>
      </c>
      <c r="H2858" s="19"/>
    </row>
    <row r="2859">
      <c r="A2859" s="9"/>
      <c r="B2859" s="15"/>
      <c r="C2859" s="9">
        <f>IFERROR(__xludf.DUMMYFUNCTION("""COMPUTED_VALUE"""),44575.7628636689)</f>
        <v>44575.76286</v>
      </c>
      <c r="D2859" s="15">
        <f>IFERROR(__xludf.DUMMYFUNCTION("""COMPUTED_VALUE"""),1.003)</f>
        <v>1.003</v>
      </c>
      <c r="E2859" s="16">
        <f>IFERROR(__xludf.DUMMYFUNCTION("""COMPUTED_VALUE"""),66.0)</f>
        <v>66</v>
      </c>
      <c r="F2859" s="19" t="str">
        <f>IFERROR(__xludf.DUMMYFUNCTION("""COMPUTED_VALUE"""),"BLUE")</f>
        <v>BLUE</v>
      </c>
      <c r="G2859" s="20" t="str">
        <f>IFERROR(__xludf.DUMMYFUNCTION("""COMPUTED_VALUE"""),"Uncle Sams Cider (11/12/2021) (Blue)")</f>
        <v>Uncle Sams Cider (11/12/2021) (Blue)</v>
      </c>
      <c r="H2859" s="19"/>
    </row>
    <row r="2860">
      <c r="A2860" s="9"/>
      <c r="B2860" s="15"/>
      <c r="C2860" s="9">
        <f>IFERROR(__xludf.DUMMYFUNCTION("""COMPUTED_VALUE"""),44575.7524442013)</f>
        <v>44575.75244</v>
      </c>
      <c r="D2860" s="15">
        <f>IFERROR(__xludf.DUMMYFUNCTION("""COMPUTED_VALUE"""),1.003)</f>
        <v>1.003</v>
      </c>
      <c r="E2860" s="16">
        <f>IFERROR(__xludf.DUMMYFUNCTION("""COMPUTED_VALUE"""),66.0)</f>
        <v>66</v>
      </c>
      <c r="F2860" s="19" t="str">
        <f>IFERROR(__xludf.DUMMYFUNCTION("""COMPUTED_VALUE"""),"BLUE")</f>
        <v>BLUE</v>
      </c>
      <c r="G2860" s="20" t="str">
        <f>IFERROR(__xludf.DUMMYFUNCTION("""COMPUTED_VALUE"""),"Uncle Sams Cider (11/12/2021) (Blue)")</f>
        <v>Uncle Sams Cider (11/12/2021) (Blue)</v>
      </c>
      <c r="H2860" s="19"/>
    </row>
    <row r="2861">
      <c r="A2861" s="9"/>
      <c r="B2861" s="15"/>
      <c r="C2861" s="9">
        <f>IFERROR(__xludf.DUMMYFUNCTION("""COMPUTED_VALUE"""),44575.7420243402)</f>
        <v>44575.74202</v>
      </c>
      <c r="D2861" s="15">
        <f>IFERROR(__xludf.DUMMYFUNCTION("""COMPUTED_VALUE"""),1.003)</f>
        <v>1.003</v>
      </c>
      <c r="E2861" s="16">
        <f>IFERROR(__xludf.DUMMYFUNCTION("""COMPUTED_VALUE"""),66.0)</f>
        <v>66</v>
      </c>
      <c r="F2861" s="19" t="str">
        <f>IFERROR(__xludf.DUMMYFUNCTION("""COMPUTED_VALUE"""),"BLUE")</f>
        <v>BLUE</v>
      </c>
      <c r="G2861" s="20" t="str">
        <f>IFERROR(__xludf.DUMMYFUNCTION("""COMPUTED_VALUE"""),"Uncle Sams Cider (11/12/2021) (Blue)")</f>
        <v>Uncle Sams Cider (11/12/2021) (Blue)</v>
      </c>
      <c r="H2861" s="19"/>
    </row>
    <row r="2862">
      <c r="A2862" s="9"/>
      <c r="B2862" s="15"/>
      <c r="C2862" s="9">
        <f>IFERROR(__xludf.DUMMYFUNCTION("""COMPUTED_VALUE"""),44575.7316017129)</f>
        <v>44575.7316</v>
      </c>
      <c r="D2862" s="15">
        <f>IFERROR(__xludf.DUMMYFUNCTION("""COMPUTED_VALUE"""),1.003)</f>
        <v>1.003</v>
      </c>
      <c r="E2862" s="16">
        <f>IFERROR(__xludf.DUMMYFUNCTION("""COMPUTED_VALUE"""),66.0)</f>
        <v>66</v>
      </c>
      <c r="F2862" s="19" t="str">
        <f>IFERROR(__xludf.DUMMYFUNCTION("""COMPUTED_VALUE"""),"BLUE")</f>
        <v>BLUE</v>
      </c>
      <c r="G2862" s="20" t="str">
        <f>IFERROR(__xludf.DUMMYFUNCTION("""COMPUTED_VALUE"""),"Uncle Sams Cider (11/12/2021) (Blue)")</f>
        <v>Uncle Sams Cider (11/12/2021) (Blue)</v>
      </c>
      <c r="H2862" s="19"/>
    </row>
    <row r="2863">
      <c r="A2863" s="9"/>
      <c r="B2863" s="15"/>
      <c r="C2863" s="9">
        <f>IFERROR(__xludf.DUMMYFUNCTION("""COMPUTED_VALUE"""),44575.7211558217)</f>
        <v>44575.72116</v>
      </c>
      <c r="D2863" s="15">
        <f>IFERROR(__xludf.DUMMYFUNCTION("""COMPUTED_VALUE"""),1.003)</f>
        <v>1.003</v>
      </c>
      <c r="E2863" s="16">
        <f>IFERROR(__xludf.DUMMYFUNCTION("""COMPUTED_VALUE"""),66.0)</f>
        <v>66</v>
      </c>
      <c r="F2863" s="19" t="str">
        <f>IFERROR(__xludf.DUMMYFUNCTION("""COMPUTED_VALUE"""),"BLUE")</f>
        <v>BLUE</v>
      </c>
      <c r="G2863" s="20" t="str">
        <f>IFERROR(__xludf.DUMMYFUNCTION("""COMPUTED_VALUE"""),"Uncle Sams Cider (11/12/2021) (Blue)")</f>
        <v>Uncle Sams Cider (11/12/2021) (Blue)</v>
      </c>
      <c r="H2863" s="19"/>
    </row>
    <row r="2864">
      <c r="A2864" s="9"/>
      <c r="B2864" s="15"/>
      <c r="C2864" s="9">
        <f>IFERROR(__xludf.DUMMYFUNCTION("""COMPUTED_VALUE"""),44575.7107334027)</f>
        <v>44575.71073</v>
      </c>
      <c r="D2864" s="15">
        <f>IFERROR(__xludf.DUMMYFUNCTION("""COMPUTED_VALUE"""),1.003)</f>
        <v>1.003</v>
      </c>
      <c r="E2864" s="16">
        <f>IFERROR(__xludf.DUMMYFUNCTION("""COMPUTED_VALUE"""),66.0)</f>
        <v>66</v>
      </c>
      <c r="F2864" s="19" t="str">
        <f>IFERROR(__xludf.DUMMYFUNCTION("""COMPUTED_VALUE"""),"BLUE")</f>
        <v>BLUE</v>
      </c>
      <c r="G2864" s="20" t="str">
        <f>IFERROR(__xludf.DUMMYFUNCTION("""COMPUTED_VALUE"""),"Uncle Sams Cider (11/12/2021) (Blue)")</f>
        <v>Uncle Sams Cider (11/12/2021) (Blue)</v>
      </c>
      <c r="H2864" s="19"/>
    </row>
    <row r="2865">
      <c r="A2865" s="9"/>
      <c r="B2865" s="15"/>
      <c r="C2865" s="9">
        <f>IFERROR(__xludf.DUMMYFUNCTION("""COMPUTED_VALUE"""),44575.7003122453)</f>
        <v>44575.70031</v>
      </c>
      <c r="D2865" s="15">
        <f>IFERROR(__xludf.DUMMYFUNCTION("""COMPUTED_VALUE"""),1.003)</f>
        <v>1.003</v>
      </c>
      <c r="E2865" s="16">
        <f>IFERROR(__xludf.DUMMYFUNCTION("""COMPUTED_VALUE"""),66.0)</f>
        <v>66</v>
      </c>
      <c r="F2865" s="19" t="str">
        <f>IFERROR(__xludf.DUMMYFUNCTION("""COMPUTED_VALUE"""),"BLUE")</f>
        <v>BLUE</v>
      </c>
      <c r="G2865" s="20" t="str">
        <f>IFERROR(__xludf.DUMMYFUNCTION("""COMPUTED_VALUE"""),"Uncle Sams Cider (11/12/2021) (Blue)")</f>
        <v>Uncle Sams Cider (11/12/2021) (Blue)</v>
      </c>
      <c r="H2865" s="19"/>
    </row>
    <row r="2866">
      <c r="A2866" s="9"/>
      <c r="B2866" s="15"/>
      <c r="C2866" s="9">
        <f>IFERROR(__xludf.DUMMYFUNCTION("""COMPUTED_VALUE"""),44575.6898926736)</f>
        <v>44575.68989</v>
      </c>
      <c r="D2866" s="15">
        <f>IFERROR(__xludf.DUMMYFUNCTION("""COMPUTED_VALUE"""),1.003)</f>
        <v>1.003</v>
      </c>
      <c r="E2866" s="16">
        <f>IFERROR(__xludf.DUMMYFUNCTION("""COMPUTED_VALUE"""),66.0)</f>
        <v>66</v>
      </c>
      <c r="F2866" s="19" t="str">
        <f>IFERROR(__xludf.DUMMYFUNCTION("""COMPUTED_VALUE"""),"BLUE")</f>
        <v>BLUE</v>
      </c>
      <c r="G2866" s="20" t="str">
        <f>IFERROR(__xludf.DUMMYFUNCTION("""COMPUTED_VALUE"""),"Uncle Sams Cider (11/12/2021) (Blue)")</f>
        <v>Uncle Sams Cider (11/12/2021) (Blue)</v>
      </c>
      <c r="H2866" s="19"/>
    </row>
    <row r="2867">
      <c r="A2867" s="9"/>
      <c r="B2867" s="15"/>
      <c r="C2867" s="9">
        <f>IFERROR(__xludf.DUMMYFUNCTION("""COMPUTED_VALUE"""),44575.6794712962)</f>
        <v>44575.67947</v>
      </c>
      <c r="D2867" s="15">
        <f>IFERROR(__xludf.DUMMYFUNCTION("""COMPUTED_VALUE"""),1.003)</f>
        <v>1.003</v>
      </c>
      <c r="E2867" s="16">
        <f>IFERROR(__xludf.DUMMYFUNCTION("""COMPUTED_VALUE"""),66.0)</f>
        <v>66</v>
      </c>
      <c r="F2867" s="19" t="str">
        <f>IFERROR(__xludf.DUMMYFUNCTION("""COMPUTED_VALUE"""),"BLUE")</f>
        <v>BLUE</v>
      </c>
      <c r="G2867" s="20" t="str">
        <f>IFERROR(__xludf.DUMMYFUNCTION("""COMPUTED_VALUE"""),"Uncle Sams Cider (11/12/2021) (Blue)")</f>
        <v>Uncle Sams Cider (11/12/2021) (Blue)</v>
      </c>
      <c r="H2867" s="19"/>
    </row>
    <row r="2868">
      <c r="A2868" s="9"/>
      <c r="B2868" s="15"/>
      <c r="C2868" s="9">
        <f>IFERROR(__xludf.DUMMYFUNCTION("""COMPUTED_VALUE"""),44575.669050243)</f>
        <v>44575.66905</v>
      </c>
      <c r="D2868" s="15">
        <f>IFERROR(__xludf.DUMMYFUNCTION("""COMPUTED_VALUE"""),1.003)</f>
        <v>1.003</v>
      </c>
      <c r="E2868" s="16">
        <f>IFERROR(__xludf.DUMMYFUNCTION("""COMPUTED_VALUE"""),66.0)</f>
        <v>66</v>
      </c>
      <c r="F2868" s="19" t="str">
        <f>IFERROR(__xludf.DUMMYFUNCTION("""COMPUTED_VALUE"""),"BLUE")</f>
        <v>BLUE</v>
      </c>
      <c r="G2868" s="20" t="str">
        <f>IFERROR(__xludf.DUMMYFUNCTION("""COMPUTED_VALUE"""),"Uncle Sams Cider (11/12/2021) (Blue)")</f>
        <v>Uncle Sams Cider (11/12/2021) (Blue)</v>
      </c>
      <c r="H2868" s="19"/>
    </row>
    <row r="2869">
      <c r="A2869" s="9"/>
      <c r="B2869" s="15"/>
      <c r="C2869" s="9">
        <f>IFERROR(__xludf.DUMMYFUNCTION("""COMPUTED_VALUE"""),44575.6586157407)</f>
        <v>44575.65862</v>
      </c>
      <c r="D2869" s="15">
        <f>IFERROR(__xludf.DUMMYFUNCTION("""COMPUTED_VALUE"""),1.003)</f>
        <v>1.003</v>
      </c>
      <c r="E2869" s="16">
        <f>IFERROR(__xludf.DUMMYFUNCTION("""COMPUTED_VALUE"""),66.0)</f>
        <v>66</v>
      </c>
      <c r="F2869" s="19" t="str">
        <f>IFERROR(__xludf.DUMMYFUNCTION("""COMPUTED_VALUE"""),"BLUE")</f>
        <v>BLUE</v>
      </c>
      <c r="G2869" s="20" t="str">
        <f>IFERROR(__xludf.DUMMYFUNCTION("""COMPUTED_VALUE"""),"Uncle Sams Cider (11/12/2021) (Blue)")</f>
        <v>Uncle Sams Cider (11/12/2021) (Blue)</v>
      </c>
      <c r="H2869" s="19"/>
    </row>
    <row r="2870">
      <c r="A2870" s="9"/>
      <c r="B2870" s="15"/>
      <c r="C2870" s="9">
        <f>IFERROR(__xludf.DUMMYFUNCTION("""COMPUTED_VALUE"""),44575.648194155)</f>
        <v>44575.64819</v>
      </c>
      <c r="D2870" s="15">
        <f>IFERROR(__xludf.DUMMYFUNCTION("""COMPUTED_VALUE"""),1.003)</f>
        <v>1.003</v>
      </c>
      <c r="E2870" s="16">
        <f>IFERROR(__xludf.DUMMYFUNCTION("""COMPUTED_VALUE"""),66.0)</f>
        <v>66</v>
      </c>
      <c r="F2870" s="19" t="str">
        <f>IFERROR(__xludf.DUMMYFUNCTION("""COMPUTED_VALUE"""),"BLUE")</f>
        <v>BLUE</v>
      </c>
      <c r="G2870" s="20" t="str">
        <f>IFERROR(__xludf.DUMMYFUNCTION("""COMPUTED_VALUE"""),"Uncle Sams Cider (11/12/2021) (Blue)")</f>
        <v>Uncle Sams Cider (11/12/2021) (Blue)</v>
      </c>
      <c r="H2870" s="19"/>
    </row>
    <row r="2871">
      <c r="A2871" s="9"/>
      <c r="B2871" s="15"/>
      <c r="C2871" s="9">
        <f>IFERROR(__xludf.DUMMYFUNCTION("""COMPUTED_VALUE"""),44575.6377730787)</f>
        <v>44575.63777</v>
      </c>
      <c r="D2871" s="15">
        <f>IFERROR(__xludf.DUMMYFUNCTION("""COMPUTED_VALUE"""),1.003)</f>
        <v>1.003</v>
      </c>
      <c r="E2871" s="16">
        <f>IFERROR(__xludf.DUMMYFUNCTION("""COMPUTED_VALUE"""),66.0)</f>
        <v>66</v>
      </c>
      <c r="F2871" s="19" t="str">
        <f>IFERROR(__xludf.DUMMYFUNCTION("""COMPUTED_VALUE"""),"BLUE")</f>
        <v>BLUE</v>
      </c>
      <c r="G2871" s="20" t="str">
        <f>IFERROR(__xludf.DUMMYFUNCTION("""COMPUTED_VALUE"""),"Uncle Sams Cider (11/12/2021) (Blue)")</f>
        <v>Uncle Sams Cider (11/12/2021) (Blue)</v>
      </c>
      <c r="H2871" s="19"/>
    </row>
    <row r="2872">
      <c r="A2872" s="9"/>
      <c r="B2872" s="15"/>
      <c r="C2872" s="9">
        <f>IFERROR(__xludf.DUMMYFUNCTION("""COMPUTED_VALUE"""),44575.6273395717)</f>
        <v>44575.62734</v>
      </c>
      <c r="D2872" s="15">
        <f>IFERROR(__xludf.DUMMYFUNCTION("""COMPUTED_VALUE"""),1.003)</f>
        <v>1.003</v>
      </c>
      <c r="E2872" s="16">
        <f>IFERROR(__xludf.DUMMYFUNCTION("""COMPUTED_VALUE"""),66.0)</f>
        <v>66</v>
      </c>
      <c r="F2872" s="19" t="str">
        <f>IFERROR(__xludf.DUMMYFUNCTION("""COMPUTED_VALUE"""),"BLUE")</f>
        <v>BLUE</v>
      </c>
      <c r="G2872" s="20" t="str">
        <f>IFERROR(__xludf.DUMMYFUNCTION("""COMPUTED_VALUE"""),"Uncle Sams Cider (11/12/2021) (Blue)")</f>
        <v>Uncle Sams Cider (11/12/2021) (Blue)</v>
      </c>
      <c r="H2872" s="19"/>
    </row>
    <row r="2873">
      <c r="A2873" s="9"/>
      <c r="B2873" s="15"/>
      <c r="C2873" s="9">
        <f>IFERROR(__xludf.DUMMYFUNCTION("""COMPUTED_VALUE"""),44575.6168937962)</f>
        <v>44575.61689</v>
      </c>
      <c r="D2873" s="15">
        <f>IFERROR(__xludf.DUMMYFUNCTION("""COMPUTED_VALUE"""),1.003)</f>
        <v>1.003</v>
      </c>
      <c r="E2873" s="16">
        <f>IFERROR(__xludf.DUMMYFUNCTION("""COMPUTED_VALUE"""),66.0)</f>
        <v>66</v>
      </c>
      <c r="F2873" s="19" t="str">
        <f>IFERROR(__xludf.DUMMYFUNCTION("""COMPUTED_VALUE"""),"BLUE")</f>
        <v>BLUE</v>
      </c>
      <c r="G2873" s="20" t="str">
        <f>IFERROR(__xludf.DUMMYFUNCTION("""COMPUTED_VALUE"""),"Uncle Sams Cider (11/12/2021) (Blue)")</f>
        <v>Uncle Sams Cider (11/12/2021) (Blue)</v>
      </c>
      <c r="H2873" s="19"/>
    </row>
    <row r="2874">
      <c r="A2874" s="9"/>
      <c r="B2874" s="15"/>
      <c r="C2874" s="9">
        <f>IFERROR(__xludf.DUMMYFUNCTION("""COMPUTED_VALUE"""),44575.6064726273)</f>
        <v>44575.60647</v>
      </c>
      <c r="D2874" s="15">
        <f>IFERROR(__xludf.DUMMYFUNCTION("""COMPUTED_VALUE"""),1.003)</f>
        <v>1.003</v>
      </c>
      <c r="E2874" s="16">
        <f>IFERROR(__xludf.DUMMYFUNCTION("""COMPUTED_VALUE"""),66.0)</f>
        <v>66</v>
      </c>
      <c r="F2874" s="19" t="str">
        <f>IFERROR(__xludf.DUMMYFUNCTION("""COMPUTED_VALUE"""),"BLUE")</f>
        <v>BLUE</v>
      </c>
      <c r="G2874" s="20" t="str">
        <f>IFERROR(__xludf.DUMMYFUNCTION("""COMPUTED_VALUE"""),"Uncle Sams Cider (11/12/2021) (Blue)")</f>
        <v>Uncle Sams Cider (11/12/2021) (Blue)</v>
      </c>
      <c r="H2874" s="19"/>
    </row>
    <row r="2875">
      <c r="A2875" s="9"/>
      <c r="B2875" s="15"/>
      <c r="C2875" s="9">
        <f>IFERROR(__xludf.DUMMYFUNCTION("""COMPUTED_VALUE"""),44575.5960518055)</f>
        <v>44575.59605</v>
      </c>
      <c r="D2875" s="15">
        <f>IFERROR(__xludf.DUMMYFUNCTION("""COMPUTED_VALUE"""),1.003)</f>
        <v>1.003</v>
      </c>
      <c r="E2875" s="16">
        <f>IFERROR(__xludf.DUMMYFUNCTION("""COMPUTED_VALUE"""),66.0)</f>
        <v>66</v>
      </c>
      <c r="F2875" s="19" t="str">
        <f>IFERROR(__xludf.DUMMYFUNCTION("""COMPUTED_VALUE"""),"BLUE")</f>
        <v>BLUE</v>
      </c>
      <c r="G2875" s="20" t="str">
        <f>IFERROR(__xludf.DUMMYFUNCTION("""COMPUTED_VALUE"""),"Uncle Sams Cider (11/12/2021) (Blue)")</f>
        <v>Uncle Sams Cider (11/12/2021) (Blue)</v>
      </c>
      <c r="H2875" s="19"/>
    </row>
    <row r="2876">
      <c r="A2876" s="9"/>
      <c r="B2876" s="15"/>
      <c r="C2876" s="9">
        <f>IFERROR(__xludf.DUMMYFUNCTION("""COMPUTED_VALUE"""),44575.5856192824)</f>
        <v>44575.58562</v>
      </c>
      <c r="D2876" s="15">
        <f>IFERROR(__xludf.DUMMYFUNCTION("""COMPUTED_VALUE"""),1.003)</f>
        <v>1.003</v>
      </c>
      <c r="E2876" s="16">
        <f>IFERROR(__xludf.DUMMYFUNCTION("""COMPUTED_VALUE"""),66.0)</f>
        <v>66</v>
      </c>
      <c r="F2876" s="19" t="str">
        <f>IFERROR(__xludf.DUMMYFUNCTION("""COMPUTED_VALUE"""),"BLUE")</f>
        <v>BLUE</v>
      </c>
      <c r="G2876" s="20" t="str">
        <f>IFERROR(__xludf.DUMMYFUNCTION("""COMPUTED_VALUE"""),"Uncle Sams Cider (11/12/2021) (Blue)")</f>
        <v>Uncle Sams Cider (11/12/2021) (Blue)</v>
      </c>
      <c r="H2876" s="19"/>
    </row>
    <row r="2877">
      <c r="A2877" s="9"/>
      <c r="B2877" s="15"/>
      <c r="C2877" s="9">
        <f>IFERROR(__xludf.DUMMYFUNCTION("""COMPUTED_VALUE"""),44575.5751873148)</f>
        <v>44575.57519</v>
      </c>
      <c r="D2877" s="15">
        <f>IFERROR(__xludf.DUMMYFUNCTION("""COMPUTED_VALUE"""),1.003)</f>
        <v>1.003</v>
      </c>
      <c r="E2877" s="16">
        <f>IFERROR(__xludf.DUMMYFUNCTION("""COMPUTED_VALUE"""),66.0)</f>
        <v>66</v>
      </c>
      <c r="F2877" s="19" t="str">
        <f>IFERROR(__xludf.DUMMYFUNCTION("""COMPUTED_VALUE"""),"BLUE")</f>
        <v>BLUE</v>
      </c>
      <c r="G2877" s="20" t="str">
        <f>IFERROR(__xludf.DUMMYFUNCTION("""COMPUTED_VALUE"""),"Uncle Sams Cider (11/12/2021) (Blue)")</f>
        <v>Uncle Sams Cider (11/12/2021) (Blue)</v>
      </c>
      <c r="H2877" s="19"/>
    </row>
    <row r="2878">
      <c r="A2878" s="9"/>
      <c r="B2878" s="15"/>
      <c r="C2878" s="9">
        <f>IFERROR(__xludf.DUMMYFUNCTION("""COMPUTED_VALUE"""),44575.5647678124)</f>
        <v>44575.56477</v>
      </c>
      <c r="D2878" s="15">
        <f>IFERROR(__xludf.DUMMYFUNCTION("""COMPUTED_VALUE"""),1.003)</f>
        <v>1.003</v>
      </c>
      <c r="E2878" s="16">
        <f>IFERROR(__xludf.DUMMYFUNCTION("""COMPUTED_VALUE"""),66.0)</f>
        <v>66</v>
      </c>
      <c r="F2878" s="19" t="str">
        <f>IFERROR(__xludf.DUMMYFUNCTION("""COMPUTED_VALUE"""),"BLUE")</f>
        <v>BLUE</v>
      </c>
      <c r="G2878" s="20" t="str">
        <f>IFERROR(__xludf.DUMMYFUNCTION("""COMPUTED_VALUE"""),"Uncle Sams Cider (11/12/2021) (Blue)")</f>
        <v>Uncle Sams Cider (11/12/2021) (Blue)</v>
      </c>
      <c r="H2878" s="19"/>
    </row>
    <row r="2879">
      <c r="A2879" s="9"/>
      <c r="B2879" s="15"/>
      <c r="C2879" s="9">
        <f>IFERROR(__xludf.DUMMYFUNCTION("""COMPUTED_VALUE"""),44575.5543452893)</f>
        <v>44575.55435</v>
      </c>
      <c r="D2879" s="15">
        <f>IFERROR(__xludf.DUMMYFUNCTION("""COMPUTED_VALUE"""),1.003)</f>
        <v>1.003</v>
      </c>
      <c r="E2879" s="16">
        <f>IFERROR(__xludf.DUMMYFUNCTION("""COMPUTED_VALUE"""),66.0)</f>
        <v>66</v>
      </c>
      <c r="F2879" s="19" t="str">
        <f>IFERROR(__xludf.DUMMYFUNCTION("""COMPUTED_VALUE"""),"BLUE")</f>
        <v>BLUE</v>
      </c>
      <c r="G2879" s="20" t="str">
        <f>IFERROR(__xludf.DUMMYFUNCTION("""COMPUTED_VALUE"""),"Uncle Sams Cider (11/12/2021) (Blue)")</f>
        <v>Uncle Sams Cider (11/12/2021) (Blue)</v>
      </c>
      <c r="H2879" s="19"/>
    </row>
    <row r="2880">
      <c r="A2880" s="9"/>
      <c r="B2880" s="15"/>
      <c r="C2880" s="9">
        <f>IFERROR(__xludf.DUMMYFUNCTION("""COMPUTED_VALUE"""),44575.5439252661)</f>
        <v>44575.54393</v>
      </c>
      <c r="D2880" s="15">
        <f>IFERROR(__xludf.DUMMYFUNCTION("""COMPUTED_VALUE"""),1.003)</f>
        <v>1.003</v>
      </c>
      <c r="E2880" s="16">
        <f>IFERROR(__xludf.DUMMYFUNCTION("""COMPUTED_VALUE"""),66.0)</f>
        <v>66</v>
      </c>
      <c r="F2880" s="19" t="str">
        <f>IFERROR(__xludf.DUMMYFUNCTION("""COMPUTED_VALUE"""),"BLUE")</f>
        <v>BLUE</v>
      </c>
      <c r="G2880" s="20" t="str">
        <f>IFERROR(__xludf.DUMMYFUNCTION("""COMPUTED_VALUE"""),"Uncle Sams Cider (11/12/2021) (Blue)")</f>
        <v>Uncle Sams Cider (11/12/2021) (Blue)</v>
      </c>
      <c r="H2880" s="19"/>
    </row>
    <row r="2881">
      <c r="A2881" s="9"/>
      <c r="B2881" s="15"/>
      <c r="C2881" s="9">
        <f>IFERROR(__xludf.DUMMYFUNCTION("""COMPUTED_VALUE"""),44575.5334691782)</f>
        <v>44575.53347</v>
      </c>
      <c r="D2881" s="15">
        <f>IFERROR(__xludf.DUMMYFUNCTION("""COMPUTED_VALUE"""),1.003)</f>
        <v>1.003</v>
      </c>
      <c r="E2881" s="16">
        <f>IFERROR(__xludf.DUMMYFUNCTION("""COMPUTED_VALUE"""),66.0)</f>
        <v>66</v>
      </c>
      <c r="F2881" s="19" t="str">
        <f>IFERROR(__xludf.DUMMYFUNCTION("""COMPUTED_VALUE"""),"BLUE")</f>
        <v>BLUE</v>
      </c>
      <c r="G2881" s="20" t="str">
        <f>IFERROR(__xludf.DUMMYFUNCTION("""COMPUTED_VALUE"""),"Uncle Sams Cider (11/12/2021) (Blue)")</f>
        <v>Uncle Sams Cider (11/12/2021) (Blue)</v>
      </c>
      <c r="H2881" s="19"/>
    </row>
    <row r="2882">
      <c r="A2882" s="9"/>
      <c r="B2882" s="15"/>
      <c r="C2882" s="9">
        <f>IFERROR(__xludf.DUMMYFUNCTION("""COMPUTED_VALUE"""),44575.5230479282)</f>
        <v>44575.52305</v>
      </c>
      <c r="D2882" s="15">
        <f>IFERROR(__xludf.DUMMYFUNCTION("""COMPUTED_VALUE"""),1.003)</f>
        <v>1.003</v>
      </c>
      <c r="E2882" s="16">
        <f>IFERROR(__xludf.DUMMYFUNCTION("""COMPUTED_VALUE"""),66.0)</f>
        <v>66</v>
      </c>
      <c r="F2882" s="19" t="str">
        <f>IFERROR(__xludf.DUMMYFUNCTION("""COMPUTED_VALUE"""),"BLUE")</f>
        <v>BLUE</v>
      </c>
      <c r="G2882" s="20" t="str">
        <f>IFERROR(__xludf.DUMMYFUNCTION("""COMPUTED_VALUE"""),"Uncle Sams Cider (11/12/2021) (Blue)")</f>
        <v>Uncle Sams Cider (11/12/2021) (Blue)</v>
      </c>
      <c r="H2882" s="19"/>
    </row>
    <row r="2883">
      <c r="A2883" s="9"/>
      <c r="B2883" s="15"/>
      <c r="C2883" s="9">
        <f>IFERROR(__xludf.DUMMYFUNCTION("""COMPUTED_VALUE"""),44575.5126256712)</f>
        <v>44575.51263</v>
      </c>
      <c r="D2883" s="15">
        <f>IFERROR(__xludf.DUMMYFUNCTION("""COMPUTED_VALUE"""),1.003)</f>
        <v>1.003</v>
      </c>
      <c r="E2883" s="16">
        <f>IFERROR(__xludf.DUMMYFUNCTION("""COMPUTED_VALUE"""),66.0)</f>
        <v>66</v>
      </c>
      <c r="F2883" s="19" t="str">
        <f>IFERROR(__xludf.DUMMYFUNCTION("""COMPUTED_VALUE"""),"BLUE")</f>
        <v>BLUE</v>
      </c>
      <c r="G2883" s="20" t="str">
        <f>IFERROR(__xludf.DUMMYFUNCTION("""COMPUTED_VALUE"""),"Uncle Sams Cider (11/12/2021) (Blue)")</f>
        <v>Uncle Sams Cider (11/12/2021) (Blue)</v>
      </c>
      <c r="H2883" s="19"/>
    </row>
    <row r="2884">
      <c r="A2884" s="9"/>
      <c r="B2884" s="15"/>
      <c r="C2884" s="9">
        <f>IFERROR(__xludf.DUMMYFUNCTION("""COMPUTED_VALUE"""),44575.502204537)</f>
        <v>44575.5022</v>
      </c>
      <c r="D2884" s="15">
        <f>IFERROR(__xludf.DUMMYFUNCTION("""COMPUTED_VALUE"""),1.003)</f>
        <v>1.003</v>
      </c>
      <c r="E2884" s="16">
        <f>IFERROR(__xludf.DUMMYFUNCTION("""COMPUTED_VALUE"""),66.0)</f>
        <v>66</v>
      </c>
      <c r="F2884" s="19" t="str">
        <f>IFERROR(__xludf.DUMMYFUNCTION("""COMPUTED_VALUE"""),"BLUE")</f>
        <v>BLUE</v>
      </c>
      <c r="G2884" s="20" t="str">
        <f>IFERROR(__xludf.DUMMYFUNCTION("""COMPUTED_VALUE"""),"Uncle Sams Cider (11/12/2021) (Blue)")</f>
        <v>Uncle Sams Cider (11/12/2021) (Blue)</v>
      </c>
      <c r="H2884" s="19"/>
    </row>
    <row r="2885">
      <c r="A2885" s="9"/>
      <c r="B2885" s="15"/>
      <c r="C2885" s="9">
        <f>IFERROR(__xludf.DUMMYFUNCTION("""COMPUTED_VALUE"""),44575.4917833217)</f>
        <v>44575.49178</v>
      </c>
      <c r="D2885" s="15">
        <f>IFERROR(__xludf.DUMMYFUNCTION("""COMPUTED_VALUE"""),1.003)</f>
        <v>1.003</v>
      </c>
      <c r="E2885" s="16">
        <f>IFERROR(__xludf.DUMMYFUNCTION("""COMPUTED_VALUE"""),66.0)</f>
        <v>66</v>
      </c>
      <c r="F2885" s="19" t="str">
        <f>IFERROR(__xludf.DUMMYFUNCTION("""COMPUTED_VALUE"""),"BLUE")</f>
        <v>BLUE</v>
      </c>
      <c r="G2885" s="20" t="str">
        <f>IFERROR(__xludf.DUMMYFUNCTION("""COMPUTED_VALUE"""),"Uncle Sams Cider (11/12/2021) (Blue)")</f>
        <v>Uncle Sams Cider (11/12/2021) (Blue)</v>
      </c>
      <c r="H2885" s="19"/>
    </row>
    <row r="2886">
      <c r="A2886" s="9"/>
      <c r="B2886" s="15"/>
      <c r="C2886" s="9">
        <f>IFERROR(__xludf.DUMMYFUNCTION("""COMPUTED_VALUE"""),44575.4813616898)</f>
        <v>44575.48136</v>
      </c>
      <c r="D2886" s="15">
        <f>IFERROR(__xludf.DUMMYFUNCTION("""COMPUTED_VALUE"""),1.003)</f>
        <v>1.003</v>
      </c>
      <c r="E2886" s="16">
        <f>IFERROR(__xludf.DUMMYFUNCTION("""COMPUTED_VALUE"""),66.0)</f>
        <v>66</v>
      </c>
      <c r="F2886" s="19" t="str">
        <f>IFERROR(__xludf.DUMMYFUNCTION("""COMPUTED_VALUE"""),"BLUE")</f>
        <v>BLUE</v>
      </c>
      <c r="G2886" s="20" t="str">
        <f>IFERROR(__xludf.DUMMYFUNCTION("""COMPUTED_VALUE"""),"Uncle Sams Cider (11/12/2021) (Blue)")</f>
        <v>Uncle Sams Cider (11/12/2021) (Blue)</v>
      </c>
      <c r="H2886" s="19"/>
    </row>
    <row r="2887">
      <c r="A2887" s="9"/>
      <c r="B2887" s="15"/>
      <c r="C2887" s="9">
        <f>IFERROR(__xludf.DUMMYFUNCTION("""COMPUTED_VALUE"""),44575.4709399652)</f>
        <v>44575.47094</v>
      </c>
      <c r="D2887" s="15">
        <f>IFERROR(__xludf.DUMMYFUNCTION("""COMPUTED_VALUE"""),1.003)</f>
        <v>1.003</v>
      </c>
      <c r="E2887" s="16">
        <f>IFERROR(__xludf.DUMMYFUNCTION("""COMPUTED_VALUE"""),66.0)</f>
        <v>66</v>
      </c>
      <c r="F2887" s="19" t="str">
        <f>IFERROR(__xludf.DUMMYFUNCTION("""COMPUTED_VALUE"""),"BLUE")</f>
        <v>BLUE</v>
      </c>
      <c r="G2887" s="20" t="str">
        <f>IFERROR(__xludf.DUMMYFUNCTION("""COMPUTED_VALUE"""),"Uncle Sams Cider (11/12/2021) (Blue)")</f>
        <v>Uncle Sams Cider (11/12/2021) (Blue)</v>
      </c>
      <c r="H2887" s="19"/>
    </row>
    <row r="2888">
      <c r="A2888" s="9"/>
      <c r="B2888" s="15"/>
      <c r="C2888" s="9">
        <f>IFERROR(__xludf.DUMMYFUNCTION("""COMPUTED_VALUE"""),44575.4604956712)</f>
        <v>44575.4605</v>
      </c>
      <c r="D2888" s="15">
        <f>IFERROR(__xludf.DUMMYFUNCTION("""COMPUTED_VALUE"""),1.003)</f>
        <v>1.003</v>
      </c>
      <c r="E2888" s="16">
        <f>IFERROR(__xludf.DUMMYFUNCTION("""COMPUTED_VALUE"""),67.0)</f>
        <v>67</v>
      </c>
      <c r="F2888" s="19" t="str">
        <f>IFERROR(__xludf.DUMMYFUNCTION("""COMPUTED_VALUE"""),"BLUE")</f>
        <v>BLUE</v>
      </c>
      <c r="G2888" s="20" t="str">
        <f>IFERROR(__xludf.DUMMYFUNCTION("""COMPUTED_VALUE"""),"Uncle Sams Cider (11/12/2021) (Blue)")</f>
        <v>Uncle Sams Cider (11/12/2021) (Blue)</v>
      </c>
      <c r="H2888" s="19"/>
    </row>
    <row r="2889">
      <c r="A2889" s="9"/>
      <c r="B2889" s="15"/>
      <c r="C2889" s="9">
        <f>IFERROR(__xludf.DUMMYFUNCTION("""COMPUTED_VALUE"""),44575.4500745486)</f>
        <v>44575.45007</v>
      </c>
      <c r="D2889" s="15">
        <f>IFERROR(__xludf.DUMMYFUNCTION("""COMPUTED_VALUE"""),1.003)</f>
        <v>1.003</v>
      </c>
      <c r="E2889" s="16">
        <f>IFERROR(__xludf.DUMMYFUNCTION("""COMPUTED_VALUE"""),66.0)</f>
        <v>66</v>
      </c>
      <c r="F2889" s="19" t="str">
        <f>IFERROR(__xludf.DUMMYFUNCTION("""COMPUTED_VALUE"""),"BLUE")</f>
        <v>BLUE</v>
      </c>
      <c r="G2889" s="20" t="str">
        <f>IFERROR(__xludf.DUMMYFUNCTION("""COMPUTED_VALUE"""),"Uncle Sams Cider (11/12/2021) (Blue)")</f>
        <v>Uncle Sams Cider (11/12/2021) (Blue)</v>
      </c>
      <c r="H2889" s="19"/>
    </row>
    <row r="2890">
      <c r="A2890" s="9"/>
      <c r="B2890" s="15"/>
      <c r="C2890" s="9">
        <f>IFERROR(__xludf.DUMMYFUNCTION("""COMPUTED_VALUE"""),44575.4396525462)</f>
        <v>44575.43965</v>
      </c>
      <c r="D2890" s="15">
        <f>IFERROR(__xludf.DUMMYFUNCTION("""COMPUTED_VALUE"""),1.003)</f>
        <v>1.003</v>
      </c>
      <c r="E2890" s="16">
        <f>IFERROR(__xludf.DUMMYFUNCTION("""COMPUTED_VALUE"""),66.0)</f>
        <v>66</v>
      </c>
      <c r="F2890" s="19" t="str">
        <f>IFERROR(__xludf.DUMMYFUNCTION("""COMPUTED_VALUE"""),"BLUE")</f>
        <v>BLUE</v>
      </c>
      <c r="G2890" s="20" t="str">
        <f>IFERROR(__xludf.DUMMYFUNCTION("""COMPUTED_VALUE"""),"Uncle Sams Cider (11/12/2021) (Blue)")</f>
        <v>Uncle Sams Cider (11/12/2021) (Blue)</v>
      </c>
      <c r="H2890" s="19"/>
    </row>
    <row r="2891">
      <c r="A2891" s="9"/>
      <c r="B2891" s="15"/>
      <c r="C2891" s="9">
        <f>IFERROR(__xludf.DUMMYFUNCTION("""COMPUTED_VALUE"""),44575.4292324537)</f>
        <v>44575.42923</v>
      </c>
      <c r="D2891" s="15">
        <f>IFERROR(__xludf.DUMMYFUNCTION("""COMPUTED_VALUE"""),1.003)</f>
        <v>1.003</v>
      </c>
      <c r="E2891" s="16">
        <f>IFERROR(__xludf.DUMMYFUNCTION("""COMPUTED_VALUE"""),67.0)</f>
        <v>67</v>
      </c>
      <c r="F2891" s="19" t="str">
        <f>IFERROR(__xludf.DUMMYFUNCTION("""COMPUTED_VALUE"""),"BLUE")</f>
        <v>BLUE</v>
      </c>
      <c r="G2891" s="20" t="str">
        <f>IFERROR(__xludf.DUMMYFUNCTION("""COMPUTED_VALUE"""),"Uncle Sams Cider (11/12/2021) (Blue)")</f>
        <v>Uncle Sams Cider (11/12/2021) (Blue)</v>
      </c>
      <c r="H2891" s="19"/>
    </row>
    <row r="2892">
      <c r="A2892" s="9"/>
      <c r="B2892" s="15"/>
      <c r="C2892" s="9">
        <f>IFERROR(__xludf.DUMMYFUNCTION("""COMPUTED_VALUE"""),44575.4188116088)</f>
        <v>44575.41881</v>
      </c>
      <c r="D2892" s="15">
        <f>IFERROR(__xludf.DUMMYFUNCTION("""COMPUTED_VALUE"""),1.003)</f>
        <v>1.003</v>
      </c>
      <c r="E2892" s="16">
        <f>IFERROR(__xludf.DUMMYFUNCTION("""COMPUTED_VALUE"""),67.0)</f>
        <v>67</v>
      </c>
      <c r="F2892" s="19" t="str">
        <f>IFERROR(__xludf.DUMMYFUNCTION("""COMPUTED_VALUE"""),"BLUE")</f>
        <v>BLUE</v>
      </c>
      <c r="G2892" s="20" t="str">
        <f>IFERROR(__xludf.DUMMYFUNCTION("""COMPUTED_VALUE"""),"Uncle Sams Cider (11/12/2021) (Blue)")</f>
        <v>Uncle Sams Cider (11/12/2021) (Blue)</v>
      </c>
      <c r="H2892" s="19"/>
    </row>
    <row r="2893">
      <c r="A2893" s="9"/>
      <c r="B2893" s="15"/>
      <c r="C2893" s="9">
        <f>IFERROR(__xludf.DUMMYFUNCTION("""COMPUTED_VALUE"""),44575.4083913078)</f>
        <v>44575.40839</v>
      </c>
      <c r="D2893" s="15">
        <f>IFERROR(__xludf.DUMMYFUNCTION("""COMPUTED_VALUE"""),1.003)</f>
        <v>1.003</v>
      </c>
      <c r="E2893" s="16">
        <f>IFERROR(__xludf.DUMMYFUNCTION("""COMPUTED_VALUE"""),67.0)</f>
        <v>67</v>
      </c>
      <c r="F2893" s="19" t="str">
        <f>IFERROR(__xludf.DUMMYFUNCTION("""COMPUTED_VALUE"""),"BLUE")</f>
        <v>BLUE</v>
      </c>
      <c r="G2893" s="20" t="str">
        <f>IFERROR(__xludf.DUMMYFUNCTION("""COMPUTED_VALUE"""),"Uncle Sams Cider (11/12/2021) (Blue)")</f>
        <v>Uncle Sams Cider (11/12/2021) (Blue)</v>
      </c>
      <c r="H2893" s="19"/>
    </row>
    <row r="2894">
      <c r="A2894" s="9"/>
      <c r="B2894" s="15"/>
      <c r="C2894" s="9">
        <f>IFERROR(__xludf.DUMMYFUNCTION("""COMPUTED_VALUE"""),44575.3979704861)</f>
        <v>44575.39797</v>
      </c>
      <c r="D2894" s="15">
        <f>IFERROR(__xludf.DUMMYFUNCTION("""COMPUTED_VALUE"""),1.003)</f>
        <v>1.003</v>
      </c>
      <c r="E2894" s="16">
        <f>IFERROR(__xludf.DUMMYFUNCTION("""COMPUTED_VALUE"""),67.0)</f>
        <v>67</v>
      </c>
      <c r="F2894" s="19" t="str">
        <f>IFERROR(__xludf.DUMMYFUNCTION("""COMPUTED_VALUE"""),"BLUE")</f>
        <v>BLUE</v>
      </c>
      <c r="G2894" s="20" t="str">
        <f>IFERROR(__xludf.DUMMYFUNCTION("""COMPUTED_VALUE"""),"Uncle Sams Cider (11/12/2021) (Blue)")</f>
        <v>Uncle Sams Cider (11/12/2021) (Blue)</v>
      </c>
      <c r="H2894" s="19"/>
    </row>
    <row r="2895">
      <c r="A2895" s="9"/>
      <c r="B2895" s="15"/>
      <c r="C2895" s="9">
        <f>IFERROR(__xludf.DUMMYFUNCTION("""COMPUTED_VALUE"""),44575.3875351041)</f>
        <v>44575.38754</v>
      </c>
      <c r="D2895" s="15">
        <f>IFERROR(__xludf.DUMMYFUNCTION("""COMPUTED_VALUE"""),1.003)</f>
        <v>1.003</v>
      </c>
      <c r="E2895" s="16">
        <f>IFERROR(__xludf.DUMMYFUNCTION("""COMPUTED_VALUE"""),67.0)</f>
        <v>67</v>
      </c>
      <c r="F2895" s="19" t="str">
        <f>IFERROR(__xludf.DUMMYFUNCTION("""COMPUTED_VALUE"""),"BLUE")</f>
        <v>BLUE</v>
      </c>
      <c r="G2895" s="20" t="str">
        <f>IFERROR(__xludf.DUMMYFUNCTION("""COMPUTED_VALUE"""),"Uncle Sams Cider (11/12/2021) (Blue)")</f>
        <v>Uncle Sams Cider (11/12/2021) (Blue)</v>
      </c>
      <c r="H2895" s="19"/>
    </row>
    <row r="2896">
      <c r="A2896" s="9"/>
      <c r="B2896" s="15"/>
      <c r="C2896" s="9">
        <f>IFERROR(__xludf.DUMMYFUNCTION("""COMPUTED_VALUE"""),44575.3771005671)</f>
        <v>44575.3771</v>
      </c>
      <c r="D2896" s="15">
        <f>IFERROR(__xludf.DUMMYFUNCTION("""COMPUTED_VALUE"""),1.003)</f>
        <v>1.003</v>
      </c>
      <c r="E2896" s="16">
        <f>IFERROR(__xludf.DUMMYFUNCTION("""COMPUTED_VALUE"""),67.0)</f>
        <v>67</v>
      </c>
      <c r="F2896" s="19" t="str">
        <f>IFERROR(__xludf.DUMMYFUNCTION("""COMPUTED_VALUE"""),"BLUE")</f>
        <v>BLUE</v>
      </c>
      <c r="G2896" s="20" t="str">
        <f>IFERROR(__xludf.DUMMYFUNCTION("""COMPUTED_VALUE"""),"Uncle Sams Cider (11/12/2021) (Blue)")</f>
        <v>Uncle Sams Cider (11/12/2021) (Blue)</v>
      </c>
      <c r="H2896" s="19"/>
    </row>
    <row r="2897">
      <c r="A2897" s="9"/>
      <c r="B2897" s="15"/>
      <c r="C2897" s="9">
        <f>IFERROR(__xludf.DUMMYFUNCTION("""COMPUTED_VALUE"""),44575.366678912)</f>
        <v>44575.36668</v>
      </c>
      <c r="D2897" s="15">
        <f>IFERROR(__xludf.DUMMYFUNCTION("""COMPUTED_VALUE"""),1.003)</f>
        <v>1.003</v>
      </c>
      <c r="E2897" s="16">
        <f>IFERROR(__xludf.DUMMYFUNCTION("""COMPUTED_VALUE"""),67.0)</f>
        <v>67</v>
      </c>
      <c r="F2897" s="19" t="str">
        <f>IFERROR(__xludf.DUMMYFUNCTION("""COMPUTED_VALUE"""),"BLUE")</f>
        <v>BLUE</v>
      </c>
      <c r="G2897" s="20" t="str">
        <f>IFERROR(__xludf.DUMMYFUNCTION("""COMPUTED_VALUE"""),"Uncle Sams Cider (11/12/2021) (Blue)")</f>
        <v>Uncle Sams Cider (11/12/2021) (Blue)</v>
      </c>
      <c r="H2897" s="19"/>
    </row>
    <row r="2898">
      <c r="A2898" s="9"/>
      <c r="B2898" s="15"/>
      <c r="C2898" s="9">
        <f>IFERROR(__xludf.DUMMYFUNCTION("""COMPUTED_VALUE"""),44575.356257581)</f>
        <v>44575.35626</v>
      </c>
      <c r="D2898" s="15">
        <f>IFERROR(__xludf.DUMMYFUNCTION("""COMPUTED_VALUE"""),1.003)</f>
        <v>1.003</v>
      </c>
      <c r="E2898" s="16">
        <f>IFERROR(__xludf.DUMMYFUNCTION("""COMPUTED_VALUE"""),67.0)</f>
        <v>67</v>
      </c>
      <c r="F2898" s="19" t="str">
        <f>IFERROR(__xludf.DUMMYFUNCTION("""COMPUTED_VALUE"""),"BLUE")</f>
        <v>BLUE</v>
      </c>
      <c r="G2898" s="20" t="str">
        <f>IFERROR(__xludf.DUMMYFUNCTION("""COMPUTED_VALUE"""),"Uncle Sams Cider (11/12/2021) (Blue)")</f>
        <v>Uncle Sams Cider (11/12/2021) (Blue)</v>
      </c>
      <c r="H2898" s="19"/>
    </row>
    <row r="2899">
      <c r="A2899" s="9"/>
      <c r="B2899" s="15"/>
      <c r="C2899" s="9">
        <f>IFERROR(__xludf.DUMMYFUNCTION("""COMPUTED_VALUE"""),44575.3458363541)</f>
        <v>44575.34584</v>
      </c>
      <c r="D2899" s="15">
        <f>IFERROR(__xludf.DUMMYFUNCTION("""COMPUTED_VALUE"""),1.003)</f>
        <v>1.003</v>
      </c>
      <c r="E2899" s="16">
        <f>IFERROR(__xludf.DUMMYFUNCTION("""COMPUTED_VALUE"""),67.0)</f>
        <v>67</v>
      </c>
      <c r="F2899" s="19" t="str">
        <f>IFERROR(__xludf.DUMMYFUNCTION("""COMPUTED_VALUE"""),"BLUE")</f>
        <v>BLUE</v>
      </c>
      <c r="G2899" s="20" t="str">
        <f>IFERROR(__xludf.DUMMYFUNCTION("""COMPUTED_VALUE"""),"Uncle Sams Cider (11/12/2021) (Blue)")</f>
        <v>Uncle Sams Cider (11/12/2021) (Blue)</v>
      </c>
      <c r="H2899" s="19"/>
    </row>
    <row r="2900">
      <c r="A2900" s="9"/>
      <c r="B2900" s="15"/>
      <c r="C2900" s="9">
        <f>IFERROR(__xludf.DUMMYFUNCTION("""COMPUTED_VALUE"""),44575.3354031828)</f>
        <v>44575.3354</v>
      </c>
      <c r="D2900" s="15">
        <f>IFERROR(__xludf.DUMMYFUNCTION("""COMPUTED_VALUE"""),1.003)</f>
        <v>1.003</v>
      </c>
      <c r="E2900" s="16">
        <f>IFERROR(__xludf.DUMMYFUNCTION("""COMPUTED_VALUE"""),67.0)</f>
        <v>67</v>
      </c>
      <c r="F2900" s="19" t="str">
        <f>IFERROR(__xludf.DUMMYFUNCTION("""COMPUTED_VALUE"""),"BLUE")</f>
        <v>BLUE</v>
      </c>
      <c r="G2900" s="20" t="str">
        <f>IFERROR(__xludf.DUMMYFUNCTION("""COMPUTED_VALUE"""),"Uncle Sams Cider (11/12/2021) (Blue)")</f>
        <v>Uncle Sams Cider (11/12/2021) (Blue)</v>
      </c>
      <c r="H2900" s="19"/>
    </row>
    <row r="2901">
      <c r="A2901" s="9"/>
      <c r="B2901" s="15"/>
      <c r="C2901" s="9">
        <f>IFERROR(__xludf.DUMMYFUNCTION("""COMPUTED_VALUE"""),44575.3249817245)</f>
        <v>44575.32498</v>
      </c>
      <c r="D2901" s="15">
        <f>IFERROR(__xludf.DUMMYFUNCTION("""COMPUTED_VALUE"""),1.003)</f>
        <v>1.003</v>
      </c>
      <c r="E2901" s="16">
        <f>IFERROR(__xludf.DUMMYFUNCTION("""COMPUTED_VALUE"""),67.0)</f>
        <v>67</v>
      </c>
      <c r="F2901" s="19" t="str">
        <f>IFERROR(__xludf.DUMMYFUNCTION("""COMPUTED_VALUE"""),"BLUE")</f>
        <v>BLUE</v>
      </c>
      <c r="G2901" s="20" t="str">
        <f>IFERROR(__xludf.DUMMYFUNCTION("""COMPUTED_VALUE"""),"Uncle Sams Cider (11/12/2021) (Blue)")</f>
        <v>Uncle Sams Cider (11/12/2021) (Blue)</v>
      </c>
      <c r="H2901" s="19"/>
    </row>
    <row r="2902">
      <c r="A2902" s="9"/>
      <c r="B2902" s="15"/>
      <c r="C2902" s="9">
        <f>IFERROR(__xludf.DUMMYFUNCTION("""COMPUTED_VALUE"""),44575.3145602777)</f>
        <v>44575.31456</v>
      </c>
      <c r="D2902" s="15">
        <f>IFERROR(__xludf.DUMMYFUNCTION("""COMPUTED_VALUE"""),1.003)</f>
        <v>1.003</v>
      </c>
      <c r="E2902" s="16">
        <f>IFERROR(__xludf.DUMMYFUNCTION("""COMPUTED_VALUE"""),67.0)</f>
        <v>67</v>
      </c>
      <c r="F2902" s="19" t="str">
        <f>IFERROR(__xludf.DUMMYFUNCTION("""COMPUTED_VALUE"""),"BLUE")</f>
        <v>BLUE</v>
      </c>
      <c r="G2902" s="20" t="str">
        <f>IFERROR(__xludf.DUMMYFUNCTION("""COMPUTED_VALUE"""),"Uncle Sams Cider (11/12/2021) (Blue)")</f>
        <v>Uncle Sams Cider (11/12/2021) (Blue)</v>
      </c>
      <c r="H2902" s="19"/>
    </row>
    <row r="2903">
      <c r="A2903" s="9"/>
      <c r="B2903" s="15"/>
      <c r="C2903" s="9">
        <f>IFERROR(__xludf.DUMMYFUNCTION("""COMPUTED_VALUE"""),44575.3041376736)</f>
        <v>44575.30414</v>
      </c>
      <c r="D2903" s="15">
        <f>IFERROR(__xludf.DUMMYFUNCTION("""COMPUTED_VALUE"""),1.003)</f>
        <v>1.003</v>
      </c>
      <c r="E2903" s="16">
        <f>IFERROR(__xludf.DUMMYFUNCTION("""COMPUTED_VALUE"""),67.0)</f>
        <v>67</v>
      </c>
      <c r="F2903" s="19" t="str">
        <f>IFERROR(__xludf.DUMMYFUNCTION("""COMPUTED_VALUE"""),"BLUE")</f>
        <v>BLUE</v>
      </c>
      <c r="G2903" s="20" t="str">
        <f>IFERROR(__xludf.DUMMYFUNCTION("""COMPUTED_VALUE"""),"Uncle Sams Cider (11/12/2021) (Blue)")</f>
        <v>Uncle Sams Cider (11/12/2021) (Blue)</v>
      </c>
      <c r="H2903" s="19"/>
    </row>
    <row r="2904">
      <c r="A2904" s="9"/>
      <c r="B2904" s="15"/>
      <c r="C2904" s="9">
        <f>IFERROR(__xludf.DUMMYFUNCTION("""COMPUTED_VALUE"""),44575.2937167361)</f>
        <v>44575.29372</v>
      </c>
      <c r="D2904" s="15">
        <f>IFERROR(__xludf.DUMMYFUNCTION("""COMPUTED_VALUE"""),1.003)</f>
        <v>1.003</v>
      </c>
      <c r="E2904" s="16">
        <f>IFERROR(__xludf.DUMMYFUNCTION("""COMPUTED_VALUE"""),67.0)</f>
        <v>67</v>
      </c>
      <c r="F2904" s="19" t="str">
        <f>IFERROR(__xludf.DUMMYFUNCTION("""COMPUTED_VALUE"""),"BLUE")</f>
        <v>BLUE</v>
      </c>
      <c r="G2904" s="20" t="str">
        <f>IFERROR(__xludf.DUMMYFUNCTION("""COMPUTED_VALUE"""),"Uncle Sams Cider (11/12/2021) (Blue)")</f>
        <v>Uncle Sams Cider (11/12/2021) (Blue)</v>
      </c>
      <c r="H2904" s="19"/>
    </row>
    <row r="2905">
      <c r="A2905" s="9"/>
      <c r="B2905" s="15"/>
      <c r="C2905" s="9">
        <f>IFERROR(__xludf.DUMMYFUNCTION("""COMPUTED_VALUE"""),44575.2832838888)</f>
        <v>44575.28328</v>
      </c>
      <c r="D2905" s="15">
        <f>IFERROR(__xludf.DUMMYFUNCTION("""COMPUTED_VALUE"""),1.003)</f>
        <v>1.003</v>
      </c>
      <c r="E2905" s="16">
        <f>IFERROR(__xludf.DUMMYFUNCTION("""COMPUTED_VALUE"""),67.0)</f>
        <v>67</v>
      </c>
      <c r="F2905" s="19" t="str">
        <f>IFERROR(__xludf.DUMMYFUNCTION("""COMPUTED_VALUE"""),"BLUE")</f>
        <v>BLUE</v>
      </c>
      <c r="G2905" s="20" t="str">
        <f>IFERROR(__xludf.DUMMYFUNCTION("""COMPUTED_VALUE"""),"Uncle Sams Cider (11/12/2021) (Blue)")</f>
        <v>Uncle Sams Cider (11/12/2021) (Blue)</v>
      </c>
      <c r="H2905" s="19"/>
    </row>
    <row r="2906">
      <c r="A2906" s="9"/>
      <c r="B2906" s="15"/>
      <c r="C2906" s="9">
        <f>IFERROR(__xludf.DUMMYFUNCTION("""COMPUTED_VALUE"""),44575.2728607754)</f>
        <v>44575.27286</v>
      </c>
      <c r="D2906" s="15">
        <f>IFERROR(__xludf.DUMMYFUNCTION("""COMPUTED_VALUE"""),1.003)</f>
        <v>1.003</v>
      </c>
      <c r="E2906" s="16">
        <f>IFERROR(__xludf.DUMMYFUNCTION("""COMPUTED_VALUE"""),67.0)</f>
        <v>67</v>
      </c>
      <c r="F2906" s="19" t="str">
        <f>IFERROR(__xludf.DUMMYFUNCTION("""COMPUTED_VALUE"""),"BLUE")</f>
        <v>BLUE</v>
      </c>
      <c r="G2906" s="20" t="str">
        <f>IFERROR(__xludf.DUMMYFUNCTION("""COMPUTED_VALUE"""),"Uncle Sams Cider (11/12/2021) (Blue)")</f>
        <v>Uncle Sams Cider (11/12/2021) (Blue)</v>
      </c>
      <c r="H2906" s="19"/>
    </row>
    <row r="2907">
      <c r="A2907" s="9"/>
      <c r="B2907" s="15"/>
      <c r="C2907" s="9">
        <f>IFERROR(__xludf.DUMMYFUNCTION("""COMPUTED_VALUE"""),44575.2624401157)</f>
        <v>44575.26244</v>
      </c>
      <c r="D2907" s="15">
        <f>IFERROR(__xludf.DUMMYFUNCTION("""COMPUTED_VALUE"""),1.003)</f>
        <v>1.003</v>
      </c>
      <c r="E2907" s="16">
        <f>IFERROR(__xludf.DUMMYFUNCTION("""COMPUTED_VALUE"""),67.0)</f>
        <v>67</v>
      </c>
      <c r="F2907" s="19" t="str">
        <f>IFERROR(__xludf.DUMMYFUNCTION("""COMPUTED_VALUE"""),"BLUE")</f>
        <v>BLUE</v>
      </c>
      <c r="G2907" s="20" t="str">
        <f>IFERROR(__xludf.DUMMYFUNCTION("""COMPUTED_VALUE"""),"Uncle Sams Cider (11/12/2021) (Blue)")</f>
        <v>Uncle Sams Cider (11/12/2021) (Blue)</v>
      </c>
      <c r="H2907" s="19"/>
    </row>
    <row r="2908">
      <c r="A2908" s="9"/>
      <c r="B2908" s="15"/>
      <c r="C2908" s="9">
        <f>IFERROR(__xludf.DUMMYFUNCTION("""COMPUTED_VALUE"""),44575.2520176041)</f>
        <v>44575.25202</v>
      </c>
      <c r="D2908" s="15">
        <f>IFERROR(__xludf.DUMMYFUNCTION("""COMPUTED_VALUE"""),1.003)</f>
        <v>1.003</v>
      </c>
      <c r="E2908" s="16">
        <f>IFERROR(__xludf.DUMMYFUNCTION("""COMPUTED_VALUE"""),67.0)</f>
        <v>67</v>
      </c>
      <c r="F2908" s="19" t="str">
        <f>IFERROR(__xludf.DUMMYFUNCTION("""COMPUTED_VALUE"""),"BLUE")</f>
        <v>BLUE</v>
      </c>
      <c r="G2908" s="20" t="str">
        <f>IFERROR(__xludf.DUMMYFUNCTION("""COMPUTED_VALUE"""),"Uncle Sams Cider (11/12/2021) (Blue)")</f>
        <v>Uncle Sams Cider (11/12/2021) (Blue)</v>
      </c>
      <c r="H2908" s="19"/>
    </row>
    <row r="2909">
      <c r="A2909" s="9"/>
      <c r="B2909" s="15"/>
      <c r="C2909" s="9">
        <f>IFERROR(__xludf.DUMMYFUNCTION("""COMPUTED_VALUE"""),44575.2415954513)</f>
        <v>44575.2416</v>
      </c>
      <c r="D2909" s="15">
        <f>IFERROR(__xludf.DUMMYFUNCTION("""COMPUTED_VALUE"""),1.003)</f>
        <v>1.003</v>
      </c>
      <c r="E2909" s="16">
        <f>IFERROR(__xludf.DUMMYFUNCTION("""COMPUTED_VALUE"""),67.0)</f>
        <v>67</v>
      </c>
      <c r="F2909" s="19" t="str">
        <f>IFERROR(__xludf.DUMMYFUNCTION("""COMPUTED_VALUE"""),"BLUE")</f>
        <v>BLUE</v>
      </c>
      <c r="G2909" s="20" t="str">
        <f>IFERROR(__xludf.DUMMYFUNCTION("""COMPUTED_VALUE"""),"Uncle Sams Cider (11/12/2021) (Blue)")</f>
        <v>Uncle Sams Cider (11/12/2021) (Blue)</v>
      </c>
      <c r="H2909" s="19"/>
    </row>
    <row r="2910">
      <c r="A2910" s="9"/>
      <c r="B2910" s="15"/>
      <c r="C2910" s="9">
        <f>IFERROR(__xludf.DUMMYFUNCTION("""COMPUTED_VALUE"""),44575.2311746064)</f>
        <v>44575.23117</v>
      </c>
      <c r="D2910" s="15">
        <f>IFERROR(__xludf.DUMMYFUNCTION("""COMPUTED_VALUE"""),1.003)</f>
        <v>1.003</v>
      </c>
      <c r="E2910" s="16">
        <f>IFERROR(__xludf.DUMMYFUNCTION("""COMPUTED_VALUE"""),67.0)</f>
        <v>67</v>
      </c>
      <c r="F2910" s="19" t="str">
        <f>IFERROR(__xludf.DUMMYFUNCTION("""COMPUTED_VALUE"""),"BLUE")</f>
        <v>BLUE</v>
      </c>
      <c r="G2910" s="20" t="str">
        <f>IFERROR(__xludf.DUMMYFUNCTION("""COMPUTED_VALUE"""),"Uncle Sams Cider (11/12/2021) (Blue)")</f>
        <v>Uncle Sams Cider (11/12/2021) (Blue)</v>
      </c>
      <c r="H2910" s="19"/>
    </row>
    <row r="2911">
      <c r="A2911" s="9"/>
      <c r="B2911" s="15"/>
      <c r="C2911" s="9">
        <f>IFERROR(__xludf.DUMMYFUNCTION("""COMPUTED_VALUE"""),44575.2207544676)</f>
        <v>44575.22075</v>
      </c>
      <c r="D2911" s="15">
        <f>IFERROR(__xludf.DUMMYFUNCTION("""COMPUTED_VALUE"""),1.003)</f>
        <v>1.003</v>
      </c>
      <c r="E2911" s="16">
        <f>IFERROR(__xludf.DUMMYFUNCTION("""COMPUTED_VALUE"""),67.0)</f>
        <v>67</v>
      </c>
      <c r="F2911" s="19" t="str">
        <f>IFERROR(__xludf.DUMMYFUNCTION("""COMPUTED_VALUE"""),"BLUE")</f>
        <v>BLUE</v>
      </c>
      <c r="G2911" s="20" t="str">
        <f>IFERROR(__xludf.DUMMYFUNCTION("""COMPUTED_VALUE"""),"Uncle Sams Cider (11/12/2021) (Blue)")</f>
        <v>Uncle Sams Cider (11/12/2021) (Blue)</v>
      </c>
      <c r="H2911" s="19"/>
    </row>
    <row r="2912">
      <c r="A2912" s="9"/>
      <c r="B2912" s="15"/>
      <c r="C2912" s="9">
        <f>IFERROR(__xludf.DUMMYFUNCTION("""COMPUTED_VALUE"""),44575.2103307291)</f>
        <v>44575.21033</v>
      </c>
      <c r="D2912" s="15">
        <f>IFERROR(__xludf.DUMMYFUNCTION("""COMPUTED_VALUE"""),1.003)</f>
        <v>1.003</v>
      </c>
      <c r="E2912" s="16">
        <f>IFERROR(__xludf.DUMMYFUNCTION("""COMPUTED_VALUE"""),67.0)</f>
        <v>67</v>
      </c>
      <c r="F2912" s="19" t="str">
        <f>IFERROR(__xludf.DUMMYFUNCTION("""COMPUTED_VALUE"""),"BLUE")</f>
        <v>BLUE</v>
      </c>
      <c r="G2912" s="20" t="str">
        <f>IFERROR(__xludf.DUMMYFUNCTION("""COMPUTED_VALUE"""),"Uncle Sams Cider (11/12/2021) (Blue)")</f>
        <v>Uncle Sams Cider (11/12/2021) (Blue)</v>
      </c>
      <c r="H2912" s="19"/>
    </row>
    <row r="2913">
      <c r="A2913" s="9"/>
      <c r="B2913" s="15"/>
      <c r="C2913" s="9">
        <f>IFERROR(__xludf.DUMMYFUNCTION("""COMPUTED_VALUE"""),44575.1999104745)</f>
        <v>44575.19991</v>
      </c>
      <c r="D2913" s="15">
        <f>IFERROR(__xludf.DUMMYFUNCTION("""COMPUTED_VALUE"""),1.003)</f>
        <v>1.003</v>
      </c>
      <c r="E2913" s="16">
        <f>IFERROR(__xludf.DUMMYFUNCTION("""COMPUTED_VALUE"""),67.0)</f>
        <v>67</v>
      </c>
      <c r="F2913" s="19" t="str">
        <f>IFERROR(__xludf.DUMMYFUNCTION("""COMPUTED_VALUE"""),"BLUE")</f>
        <v>BLUE</v>
      </c>
      <c r="G2913" s="20" t="str">
        <f>IFERROR(__xludf.DUMMYFUNCTION("""COMPUTED_VALUE"""),"Uncle Sams Cider (11/12/2021) (Blue)")</f>
        <v>Uncle Sams Cider (11/12/2021) (Blue)</v>
      </c>
      <c r="H2913" s="19"/>
    </row>
    <row r="2914">
      <c r="A2914" s="9"/>
      <c r="B2914" s="15"/>
      <c r="C2914" s="9">
        <f>IFERROR(__xludf.DUMMYFUNCTION("""COMPUTED_VALUE"""),44575.1894768402)</f>
        <v>44575.18948</v>
      </c>
      <c r="D2914" s="15">
        <f>IFERROR(__xludf.DUMMYFUNCTION("""COMPUTED_VALUE"""),1.003)</f>
        <v>1.003</v>
      </c>
      <c r="E2914" s="16">
        <f>IFERROR(__xludf.DUMMYFUNCTION("""COMPUTED_VALUE"""),67.0)</f>
        <v>67</v>
      </c>
      <c r="F2914" s="19" t="str">
        <f>IFERROR(__xludf.DUMMYFUNCTION("""COMPUTED_VALUE"""),"BLUE")</f>
        <v>BLUE</v>
      </c>
      <c r="G2914" s="20" t="str">
        <f>IFERROR(__xludf.DUMMYFUNCTION("""COMPUTED_VALUE"""),"Uncle Sams Cider (11/12/2021) (Blue)")</f>
        <v>Uncle Sams Cider (11/12/2021) (Blue)</v>
      </c>
      <c r="H2914" s="19"/>
    </row>
    <row r="2915">
      <c r="A2915" s="9"/>
      <c r="B2915" s="15"/>
      <c r="C2915" s="9">
        <f>IFERROR(__xludf.DUMMYFUNCTION("""COMPUTED_VALUE"""),44575.1790442476)</f>
        <v>44575.17904</v>
      </c>
      <c r="D2915" s="15">
        <f>IFERROR(__xludf.DUMMYFUNCTION("""COMPUTED_VALUE"""),1.003)</f>
        <v>1.003</v>
      </c>
      <c r="E2915" s="16">
        <f>IFERROR(__xludf.DUMMYFUNCTION("""COMPUTED_VALUE"""),67.0)</f>
        <v>67</v>
      </c>
      <c r="F2915" s="19" t="str">
        <f>IFERROR(__xludf.DUMMYFUNCTION("""COMPUTED_VALUE"""),"BLUE")</f>
        <v>BLUE</v>
      </c>
      <c r="G2915" s="20" t="str">
        <f>IFERROR(__xludf.DUMMYFUNCTION("""COMPUTED_VALUE"""),"Uncle Sams Cider (11/12/2021) (Blue)")</f>
        <v>Uncle Sams Cider (11/12/2021) (Blue)</v>
      </c>
      <c r="H2915" s="19"/>
    </row>
    <row r="2916">
      <c r="A2916" s="9"/>
      <c r="B2916" s="15"/>
      <c r="C2916" s="9">
        <f>IFERROR(__xludf.DUMMYFUNCTION("""COMPUTED_VALUE"""),44575.1686233912)</f>
        <v>44575.16862</v>
      </c>
      <c r="D2916" s="15">
        <f>IFERROR(__xludf.DUMMYFUNCTION("""COMPUTED_VALUE"""),1.003)</f>
        <v>1.003</v>
      </c>
      <c r="E2916" s="16">
        <f>IFERROR(__xludf.DUMMYFUNCTION("""COMPUTED_VALUE"""),67.0)</f>
        <v>67</v>
      </c>
      <c r="F2916" s="19" t="str">
        <f>IFERROR(__xludf.DUMMYFUNCTION("""COMPUTED_VALUE"""),"BLUE")</f>
        <v>BLUE</v>
      </c>
      <c r="G2916" s="20" t="str">
        <f>IFERROR(__xludf.DUMMYFUNCTION("""COMPUTED_VALUE"""),"Uncle Sams Cider (11/12/2021) (Blue)")</f>
        <v>Uncle Sams Cider (11/12/2021) (Blue)</v>
      </c>
      <c r="H2916" s="19"/>
    </row>
    <row r="2917">
      <c r="A2917" s="9"/>
      <c r="B2917" s="15"/>
      <c r="C2917" s="9">
        <f>IFERROR(__xludf.DUMMYFUNCTION("""COMPUTED_VALUE"""),44575.1582019212)</f>
        <v>44575.1582</v>
      </c>
      <c r="D2917" s="15">
        <f>IFERROR(__xludf.DUMMYFUNCTION("""COMPUTED_VALUE"""),1.003)</f>
        <v>1.003</v>
      </c>
      <c r="E2917" s="16">
        <f>IFERROR(__xludf.DUMMYFUNCTION("""COMPUTED_VALUE"""),67.0)</f>
        <v>67</v>
      </c>
      <c r="F2917" s="19" t="str">
        <f>IFERROR(__xludf.DUMMYFUNCTION("""COMPUTED_VALUE"""),"BLUE")</f>
        <v>BLUE</v>
      </c>
      <c r="G2917" s="20" t="str">
        <f>IFERROR(__xludf.DUMMYFUNCTION("""COMPUTED_VALUE"""),"Uncle Sams Cider (11/12/2021) (Blue)")</f>
        <v>Uncle Sams Cider (11/12/2021) (Blue)</v>
      </c>
      <c r="H2917" s="19"/>
    </row>
    <row r="2918">
      <c r="A2918" s="9"/>
      <c r="B2918" s="15"/>
      <c r="C2918" s="9">
        <f>IFERROR(__xludf.DUMMYFUNCTION("""COMPUTED_VALUE"""),44575.1477705902)</f>
        <v>44575.14777</v>
      </c>
      <c r="D2918" s="15">
        <f>IFERROR(__xludf.DUMMYFUNCTION("""COMPUTED_VALUE"""),1.003)</f>
        <v>1.003</v>
      </c>
      <c r="E2918" s="16">
        <f>IFERROR(__xludf.DUMMYFUNCTION("""COMPUTED_VALUE"""),68.0)</f>
        <v>68</v>
      </c>
      <c r="F2918" s="19" t="str">
        <f>IFERROR(__xludf.DUMMYFUNCTION("""COMPUTED_VALUE"""),"BLUE")</f>
        <v>BLUE</v>
      </c>
      <c r="G2918" s="20" t="str">
        <f>IFERROR(__xludf.DUMMYFUNCTION("""COMPUTED_VALUE"""),"Uncle Sams Cider (11/12/2021) (Blue)")</f>
        <v>Uncle Sams Cider (11/12/2021) (Blue)</v>
      </c>
      <c r="H2918" s="19"/>
    </row>
    <row r="2919">
      <c r="A2919" s="9"/>
      <c r="B2919" s="15"/>
      <c r="C2919" s="9">
        <f>IFERROR(__xludf.DUMMYFUNCTION("""COMPUTED_VALUE"""),44575.1373488888)</f>
        <v>44575.13735</v>
      </c>
      <c r="D2919" s="15">
        <f>IFERROR(__xludf.DUMMYFUNCTION("""COMPUTED_VALUE"""),1.003)</f>
        <v>1.003</v>
      </c>
      <c r="E2919" s="16">
        <f>IFERROR(__xludf.DUMMYFUNCTION("""COMPUTED_VALUE"""),68.0)</f>
        <v>68</v>
      </c>
      <c r="F2919" s="19" t="str">
        <f>IFERROR(__xludf.DUMMYFUNCTION("""COMPUTED_VALUE"""),"BLUE")</f>
        <v>BLUE</v>
      </c>
      <c r="G2919" s="20" t="str">
        <f>IFERROR(__xludf.DUMMYFUNCTION("""COMPUTED_VALUE"""),"Uncle Sams Cider (11/12/2021) (Blue)")</f>
        <v>Uncle Sams Cider (11/12/2021) (Blue)</v>
      </c>
      <c r="H2919" s="19"/>
    </row>
    <row r="2920">
      <c r="A2920" s="9"/>
      <c r="B2920" s="15"/>
      <c r="C2920" s="9">
        <f>IFERROR(__xludf.DUMMYFUNCTION("""COMPUTED_VALUE"""),44575.1269178125)</f>
        <v>44575.12692</v>
      </c>
      <c r="D2920" s="15">
        <f>IFERROR(__xludf.DUMMYFUNCTION("""COMPUTED_VALUE"""),1.003)</f>
        <v>1.003</v>
      </c>
      <c r="E2920" s="16">
        <f>IFERROR(__xludf.DUMMYFUNCTION("""COMPUTED_VALUE"""),68.0)</f>
        <v>68</v>
      </c>
      <c r="F2920" s="19" t="str">
        <f>IFERROR(__xludf.DUMMYFUNCTION("""COMPUTED_VALUE"""),"BLUE")</f>
        <v>BLUE</v>
      </c>
      <c r="G2920" s="20" t="str">
        <f>IFERROR(__xludf.DUMMYFUNCTION("""COMPUTED_VALUE"""),"Uncle Sams Cider (11/12/2021) (Blue)")</f>
        <v>Uncle Sams Cider (11/12/2021) (Blue)</v>
      </c>
      <c r="H2920" s="19"/>
    </row>
    <row r="2921">
      <c r="A2921" s="9"/>
      <c r="B2921" s="15"/>
      <c r="C2921" s="9">
        <f>IFERROR(__xludf.DUMMYFUNCTION("""COMPUTED_VALUE"""),44575.1164955787)</f>
        <v>44575.1165</v>
      </c>
      <c r="D2921" s="15">
        <f>IFERROR(__xludf.DUMMYFUNCTION("""COMPUTED_VALUE"""),1.003)</f>
        <v>1.003</v>
      </c>
      <c r="E2921" s="16">
        <f>IFERROR(__xludf.DUMMYFUNCTION("""COMPUTED_VALUE"""),68.0)</f>
        <v>68</v>
      </c>
      <c r="F2921" s="19" t="str">
        <f>IFERROR(__xludf.DUMMYFUNCTION("""COMPUTED_VALUE"""),"BLUE")</f>
        <v>BLUE</v>
      </c>
      <c r="G2921" s="20" t="str">
        <f>IFERROR(__xludf.DUMMYFUNCTION("""COMPUTED_VALUE"""),"Uncle Sams Cider (11/12/2021) (Blue)")</f>
        <v>Uncle Sams Cider (11/12/2021) (Blue)</v>
      </c>
      <c r="H2921" s="19"/>
    </row>
    <row r="2922">
      <c r="A2922" s="9"/>
      <c r="B2922" s="15"/>
      <c r="C2922" s="9">
        <f>IFERROR(__xludf.DUMMYFUNCTION("""COMPUTED_VALUE"""),44575.1060744097)</f>
        <v>44575.10607</v>
      </c>
      <c r="D2922" s="15">
        <f>IFERROR(__xludf.DUMMYFUNCTION("""COMPUTED_VALUE"""),1.003)</f>
        <v>1.003</v>
      </c>
      <c r="E2922" s="16">
        <f>IFERROR(__xludf.DUMMYFUNCTION("""COMPUTED_VALUE"""),68.0)</f>
        <v>68</v>
      </c>
      <c r="F2922" s="19" t="str">
        <f>IFERROR(__xludf.DUMMYFUNCTION("""COMPUTED_VALUE"""),"BLUE")</f>
        <v>BLUE</v>
      </c>
      <c r="G2922" s="20" t="str">
        <f>IFERROR(__xludf.DUMMYFUNCTION("""COMPUTED_VALUE"""),"Uncle Sams Cider (11/12/2021) (Blue)")</f>
        <v>Uncle Sams Cider (11/12/2021) (Blue)</v>
      </c>
      <c r="H2922" s="19"/>
    </row>
    <row r="2923">
      <c r="A2923" s="9"/>
      <c r="B2923" s="15"/>
      <c r="C2923" s="9">
        <f>IFERROR(__xludf.DUMMYFUNCTION("""COMPUTED_VALUE"""),44575.0956303009)</f>
        <v>44575.09563</v>
      </c>
      <c r="D2923" s="15">
        <f>IFERROR(__xludf.DUMMYFUNCTION("""COMPUTED_VALUE"""),1.003)</f>
        <v>1.003</v>
      </c>
      <c r="E2923" s="16">
        <f>IFERROR(__xludf.DUMMYFUNCTION("""COMPUTED_VALUE"""),67.0)</f>
        <v>67</v>
      </c>
      <c r="F2923" s="19" t="str">
        <f>IFERROR(__xludf.DUMMYFUNCTION("""COMPUTED_VALUE"""),"BLUE")</f>
        <v>BLUE</v>
      </c>
      <c r="G2923" s="20" t="str">
        <f>IFERROR(__xludf.DUMMYFUNCTION("""COMPUTED_VALUE"""),"Uncle Sams Cider (11/12/2021) (Blue)")</f>
        <v>Uncle Sams Cider (11/12/2021) (Blue)</v>
      </c>
      <c r="H2923" s="19"/>
    </row>
    <row r="2924">
      <c r="A2924" s="9"/>
      <c r="B2924" s="15"/>
      <c r="C2924" s="9">
        <f>IFERROR(__xludf.DUMMYFUNCTION("""COMPUTED_VALUE"""),44575.0852090393)</f>
        <v>44575.08521</v>
      </c>
      <c r="D2924" s="15">
        <f>IFERROR(__xludf.DUMMYFUNCTION("""COMPUTED_VALUE"""),1.003)</f>
        <v>1.003</v>
      </c>
      <c r="E2924" s="16">
        <f>IFERROR(__xludf.DUMMYFUNCTION("""COMPUTED_VALUE"""),67.0)</f>
        <v>67</v>
      </c>
      <c r="F2924" s="19" t="str">
        <f>IFERROR(__xludf.DUMMYFUNCTION("""COMPUTED_VALUE"""),"BLUE")</f>
        <v>BLUE</v>
      </c>
      <c r="G2924" s="20" t="str">
        <f>IFERROR(__xludf.DUMMYFUNCTION("""COMPUTED_VALUE"""),"Uncle Sams Cider (11/12/2021) (Blue)")</f>
        <v>Uncle Sams Cider (11/12/2021) (Blue)</v>
      </c>
      <c r="H2924" s="19"/>
    </row>
    <row r="2925">
      <c r="A2925" s="9"/>
      <c r="B2925" s="15"/>
      <c r="C2925" s="9">
        <f>IFERROR(__xludf.DUMMYFUNCTION("""COMPUTED_VALUE"""),44575.0747758796)</f>
        <v>44575.07478</v>
      </c>
      <c r="D2925" s="15">
        <f>IFERROR(__xludf.DUMMYFUNCTION("""COMPUTED_VALUE"""),1.003)</f>
        <v>1.003</v>
      </c>
      <c r="E2925" s="16">
        <f>IFERROR(__xludf.DUMMYFUNCTION("""COMPUTED_VALUE"""),67.0)</f>
        <v>67</v>
      </c>
      <c r="F2925" s="19" t="str">
        <f>IFERROR(__xludf.DUMMYFUNCTION("""COMPUTED_VALUE"""),"BLUE")</f>
        <v>BLUE</v>
      </c>
      <c r="G2925" s="20" t="str">
        <f>IFERROR(__xludf.DUMMYFUNCTION("""COMPUTED_VALUE"""),"Uncle Sams Cider (11/12/2021) (Blue)")</f>
        <v>Uncle Sams Cider (11/12/2021) (Blue)</v>
      </c>
      <c r="H2925" s="19"/>
    </row>
    <row r="2926">
      <c r="A2926" s="9"/>
      <c r="B2926" s="15"/>
      <c r="C2926" s="9">
        <f>IFERROR(__xludf.DUMMYFUNCTION("""COMPUTED_VALUE"""),44575.0643554629)</f>
        <v>44575.06436</v>
      </c>
      <c r="D2926" s="15">
        <f>IFERROR(__xludf.DUMMYFUNCTION("""COMPUTED_VALUE"""),1.003)</f>
        <v>1.003</v>
      </c>
      <c r="E2926" s="16">
        <f>IFERROR(__xludf.DUMMYFUNCTION("""COMPUTED_VALUE"""),66.0)</f>
        <v>66</v>
      </c>
      <c r="F2926" s="19" t="str">
        <f>IFERROR(__xludf.DUMMYFUNCTION("""COMPUTED_VALUE"""),"BLUE")</f>
        <v>BLUE</v>
      </c>
      <c r="G2926" s="20" t="str">
        <f>IFERROR(__xludf.DUMMYFUNCTION("""COMPUTED_VALUE"""),"Uncle Sams Cider (11/12/2021) (Blue)")</f>
        <v>Uncle Sams Cider (11/12/2021) (Blue)</v>
      </c>
      <c r="H2926" s="19"/>
    </row>
    <row r="2927">
      <c r="A2927" s="9"/>
      <c r="B2927" s="15"/>
      <c r="C2927" s="9">
        <f>IFERROR(__xludf.DUMMYFUNCTION("""COMPUTED_VALUE"""),44575.0539351388)</f>
        <v>44575.05394</v>
      </c>
      <c r="D2927" s="15">
        <f>IFERROR(__xludf.DUMMYFUNCTION("""COMPUTED_VALUE"""),1.003)</f>
        <v>1.003</v>
      </c>
      <c r="E2927" s="16">
        <f>IFERROR(__xludf.DUMMYFUNCTION("""COMPUTED_VALUE"""),66.0)</f>
        <v>66</v>
      </c>
      <c r="F2927" s="19" t="str">
        <f>IFERROR(__xludf.DUMMYFUNCTION("""COMPUTED_VALUE"""),"BLUE")</f>
        <v>BLUE</v>
      </c>
      <c r="G2927" s="20" t="str">
        <f>IFERROR(__xludf.DUMMYFUNCTION("""COMPUTED_VALUE"""),"Uncle Sams Cider (11/12/2021) (Blue)")</f>
        <v>Uncle Sams Cider (11/12/2021) (Blue)</v>
      </c>
      <c r="H2927" s="19"/>
    </row>
    <row r="2928">
      <c r="A2928" s="9"/>
      <c r="B2928" s="15"/>
      <c r="C2928" s="9">
        <f>IFERROR(__xludf.DUMMYFUNCTION("""COMPUTED_VALUE"""),44575.0435026157)</f>
        <v>44575.0435</v>
      </c>
      <c r="D2928" s="15">
        <f>IFERROR(__xludf.DUMMYFUNCTION("""COMPUTED_VALUE"""),1.003)</f>
        <v>1.003</v>
      </c>
      <c r="E2928" s="16">
        <f>IFERROR(__xludf.DUMMYFUNCTION("""COMPUTED_VALUE"""),65.0)</f>
        <v>65</v>
      </c>
      <c r="F2928" s="19" t="str">
        <f>IFERROR(__xludf.DUMMYFUNCTION("""COMPUTED_VALUE"""),"BLUE")</f>
        <v>BLUE</v>
      </c>
      <c r="G2928" s="20" t="str">
        <f>IFERROR(__xludf.DUMMYFUNCTION("""COMPUTED_VALUE"""),"Uncle Sams Cider (11/12/2021) (Blue)")</f>
        <v>Uncle Sams Cider (11/12/2021) (Blue)</v>
      </c>
      <c r="H2928" s="19"/>
    </row>
    <row r="2929">
      <c r="A2929" s="9"/>
      <c r="B2929" s="15"/>
      <c r="C2929" s="9">
        <f>IFERROR(__xludf.DUMMYFUNCTION("""COMPUTED_VALUE"""),44575.0330821412)</f>
        <v>44575.03308</v>
      </c>
      <c r="D2929" s="15">
        <f>IFERROR(__xludf.DUMMYFUNCTION("""COMPUTED_VALUE"""),1.004)</f>
        <v>1.004</v>
      </c>
      <c r="E2929" s="16">
        <f>IFERROR(__xludf.DUMMYFUNCTION("""COMPUTED_VALUE"""),65.0)</f>
        <v>65</v>
      </c>
      <c r="F2929" s="19" t="str">
        <f>IFERROR(__xludf.DUMMYFUNCTION("""COMPUTED_VALUE"""),"BLUE")</f>
        <v>BLUE</v>
      </c>
      <c r="G2929" s="20" t="str">
        <f>IFERROR(__xludf.DUMMYFUNCTION("""COMPUTED_VALUE"""),"Uncle Sams Cider (11/12/2021) (Blue)")</f>
        <v>Uncle Sams Cider (11/12/2021) (Blue)</v>
      </c>
      <c r="H2929" s="19"/>
    </row>
    <row r="2930">
      <c r="A2930" s="9"/>
      <c r="B2930" s="15"/>
      <c r="C2930" s="9">
        <f>IFERROR(__xludf.DUMMYFUNCTION("""COMPUTED_VALUE"""),44575.0226511689)</f>
        <v>44575.02265</v>
      </c>
      <c r="D2930" s="15">
        <f>IFERROR(__xludf.DUMMYFUNCTION("""COMPUTED_VALUE"""),1.004)</f>
        <v>1.004</v>
      </c>
      <c r="E2930" s="16">
        <f>IFERROR(__xludf.DUMMYFUNCTION("""COMPUTED_VALUE"""),65.0)</f>
        <v>65</v>
      </c>
      <c r="F2930" s="19" t="str">
        <f>IFERROR(__xludf.DUMMYFUNCTION("""COMPUTED_VALUE"""),"BLUE")</f>
        <v>BLUE</v>
      </c>
      <c r="G2930" s="20" t="str">
        <f>IFERROR(__xludf.DUMMYFUNCTION("""COMPUTED_VALUE"""),"Uncle Sams Cider (11/12/2021) (Blue)")</f>
        <v>Uncle Sams Cider (11/12/2021) (Blue)</v>
      </c>
      <c r="H2930" s="19"/>
    </row>
    <row r="2931">
      <c r="A2931" s="9"/>
      <c r="B2931" s="15"/>
      <c r="C2931" s="9">
        <f>IFERROR(__xludf.DUMMYFUNCTION("""COMPUTED_VALUE"""),44575.0122301273)</f>
        <v>44575.01223</v>
      </c>
      <c r="D2931" s="15">
        <f>IFERROR(__xludf.DUMMYFUNCTION("""COMPUTED_VALUE"""),1.004)</f>
        <v>1.004</v>
      </c>
      <c r="E2931" s="16">
        <f>IFERROR(__xludf.DUMMYFUNCTION("""COMPUTED_VALUE"""),64.0)</f>
        <v>64</v>
      </c>
      <c r="F2931" s="19" t="str">
        <f>IFERROR(__xludf.DUMMYFUNCTION("""COMPUTED_VALUE"""),"BLUE")</f>
        <v>BLUE</v>
      </c>
      <c r="G2931" s="20" t="str">
        <f>IFERROR(__xludf.DUMMYFUNCTION("""COMPUTED_VALUE"""),"Uncle Sams Cider (11/12/2021) (Blue)")</f>
        <v>Uncle Sams Cider (11/12/2021) (Blue)</v>
      </c>
      <c r="H2931" s="19"/>
    </row>
    <row r="2932">
      <c r="A2932" s="9"/>
      <c r="B2932" s="15"/>
      <c r="C2932" s="9">
        <f>IFERROR(__xludf.DUMMYFUNCTION("""COMPUTED_VALUE"""),44575.0018081365)</f>
        <v>44575.00181</v>
      </c>
      <c r="D2932" s="15">
        <f>IFERROR(__xludf.DUMMYFUNCTION("""COMPUTED_VALUE"""),1.004)</f>
        <v>1.004</v>
      </c>
      <c r="E2932" s="16">
        <f>IFERROR(__xludf.DUMMYFUNCTION("""COMPUTED_VALUE"""),64.0)</f>
        <v>64</v>
      </c>
      <c r="F2932" s="19" t="str">
        <f>IFERROR(__xludf.DUMMYFUNCTION("""COMPUTED_VALUE"""),"BLUE")</f>
        <v>BLUE</v>
      </c>
      <c r="G2932" s="20" t="str">
        <f>IFERROR(__xludf.DUMMYFUNCTION("""COMPUTED_VALUE"""),"Uncle Sams Cider (11/12/2021) (Blue)")</f>
        <v>Uncle Sams Cider (11/12/2021) (Blue)</v>
      </c>
      <c r="H2932" s="19"/>
    </row>
    <row r="2933">
      <c r="A2933" s="9"/>
      <c r="B2933" s="15"/>
      <c r="C2933" s="9">
        <f>IFERROR(__xludf.DUMMYFUNCTION("""COMPUTED_VALUE"""),44574.9913642708)</f>
        <v>44574.99136</v>
      </c>
      <c r="D2933" s="15">
        <f>IFERROR(__xludf.DUMMYFUNCTION("""COMPUTED_VALUE"""),1.004)</f>
        <v>1.004</v>
      </c>
      <c r="E2933" s="16">
        <f>IFERROR(__xludf.DUMMYFUNCTION("""COMPUTED_VALUE"""),63.0)</f>
        <v>63</v>
      </c>
      <c r="F2933" s="19" t="str">
        <f>IFERROR(__xludf.DUMMYFUNCTION("""COMPUTED_VALUE"""),"BLUE")</f>
        <v>BLUE</v>
      </c>
      <c r="G2933" s="20" t="str">
        <f>IFERROR(__xludf.DUMMYFUNCTION("""COMPUTED_VALUE"""),"Uncle Sams Cider (11/12/2021) (Blue)")</f>
        <v>Uncle Sams Cider (11/12/2021) (Blue)</v>
      </c>
      <c r="H2933" s="19"/>
    </row>
    <row r="2934">
      <c r="A2934" s="9"/>
      <c r="B2934" s="15"/>
      <c r="C2934" s="9">
        <f>IFERROR(__xludf.DUMMYFUNCTION("""COMPUTED_VALUE"""),44574.9809423379)</f>
        <v>44574.98094</v>
      </c>
      <c r="D2934" s="15">
        <f>IFERROR(__xludf.DUMMYFUNCTION("""COMPUTED_VALUE"""),1.004)</f>
        <v>1.004</v>
      </c>
      <c r="E2934" s="16">
        <f>IFERROR(__xludf.DUMMYFUNCTION("""COMPUTED_VALUE"""),63.0)</f>
        <v>63</v>
      </c>
      <c r="F2934" s="19" t="str">
        <f>IFERROR(__xludf.DUMMYFUNCTION("""COMPUTED_VALUE"""),"BLUE")</f>
        <v>BLUE</v>
      </c>
      <c r="G2934" s="20" t="str">
        <f>IFERROR(__xludf.DUMMYFUNCTION("""COMPUTED_VALUE"""),"Uncle Sams Cider (11/12/2021) (Blue)")</f>
        <v>Uncle Sams Cider (11/12/2021) (Blue)</v>
      </c>
      <c r="H2934" s="19"/>
    </row>
    <row r="2935">
      <c r="A2935" s="9"/>
      <c r="B2935" s="15"/>
      <c r="C2935" s="9">
        <f>IFERROR(__xludf.DUMMYFUNCTION("""COMPUTED_VALUE"""),44574.9704958333)</f>
        <v>44574.9705</v>
      </c>
      <c r="D2935" s="15">
        <f>IFERROR(__xludf.DUMMYFUNCTION("""COMPUTED_VALUE"""),1.004)</f>
        <v>1.004</v>
      </c>
      <c r="E2935" s="16">
        <f>IFERROR(__xludf.DUMMYFUNCTION("""COMPUTED_VALUE"""),62.0)</f>
        <v>62</v>
      </c>
      <c r="F2935" s="19" t="str">
        <f>IFERROR(__xludf.DUMMYFUNCTION("""COMPUTED_VALUE"""),"BLUE")</f>
        <v>BLUE</v>
      </c>
      <c r="G2935" s="20" t="str">
        <f>IFERROR(__xludf.DUMMYFUNCTION("""COMPUTED_VALUE"""),"Uncle Sams Cider (11/12/2021) (Blue)")</f>
        <v>Uncle Sams Cider (11/12/2021) (Blue)</v>
      </c>
      <c r="H2935" s="19"/>
    </row>
    <row r="2936">
      <c r="A2936" s="9"/>
      <c r="B2936" s="15"/>
      <c r="C2936" s="9">
        <f>IFERROR(__xludf.DUMMYFUNCTION("""COMPUTED_VALUE"""),44574.9600741666)</f>
        <v>44574.96007</v>
      </c>
      <c r="D2936" s="15">
        <f>IFERROR(__xludf.DUMMYFUNCTION("""COMPUTED_VALUE"""),1.003)</f>
        <v>1.003</v>
      </c>
      <c r="E2936" s="16">
        <f>IFERROR(__xludf.DUMMYFUNCTION("""COMPUTED_VALUE"""),62.0)</f>
        <v>62</v>
      </c>
      <c r="F2936" s="19" t="str">
        <f>IFERROR(__xludf.DUMMYFUNCTION("""COMPUTED_VALUE"""),"BLUE")</f>
        <v>BLUE</v>
      </c>
      <c r="G2936" s="20" t="str">
        <f>IFERROR(__xludf.DUMMYFUNCTION("""COMPUTED_VALUE"""),"Uncle Sams Cider (11/12/2021) (Blue)")</f>
        <v>Uncle Sams Cider (11/12/2021) (Blue)</v>
      </c>
      <c r="H2936" s="19"/>
    </row>
    <row r="2937">
      <c r="A2937" s="9"/>
      <c r="B2937" s="15"/>
      <c r="C2937" s="9">
        <f>IFERROR(__xludf.DUMMYFUNCTION("""COMPUTED_VALUE"""),44574.9496529398)</f>
        <v>44574.94965</v>
      </c>
      <c r="D2937" s="15">
        <f>IFERROR(__xludf.DUMMYFUNCTION("""COMPUTED_VALUE"""),1.003)</f>
        <v>1.003</v>
      </c>
      <c r="E2937" s="16">
        <f>IFERROR(__xludf.DUMMYFUNCTION("""COMPUTED_VALUE"""),62.0)</f>
        <v>62</v>
      </c>
      <c r="F2937" s="19" t="str">
        <f>IFERROR(__xludf.DUMMYFUNCTION("""COMPUTED_VALUE"""),"BLUE")</f>
        <v>BLUE</v>
      </c>
      <c r="G2937" s="20" t="str">
        <f>IFERROR(__xludf.DUMMYFUNCTION("""COMPUTED_VALUE"""),"Uncle Sams Cider (11/12/2021) (Blue)")</f>
        <v>Uncle Sams Cider (11/12/2021) (Blue)</v>
      </c>
      <c r="H2937" s="19"/>
    </row>
    <row r="2938">
      <c r="A2938" s="9"/>
      <c r="B2938" s="15"/>
      <c r="C2938" s="9">
        <f>IFERROR(__xludf.DUMMYFUNCTION("""COMPUTED_VALUE"""),44574.9392308796)</f>
        <v>44574.93923</v>
      </c>
      <c r="D2938" s="15">
        <f>IFERROR(__xludf.DUMMYFUNCTION("""COMPUTED_VALUE"""),1.003)</f>
        <v>1.003</v>
      </c>
      <c r="E2938" s="16">
        <f>IFERROR(__xludf.DUMMYFUNCTION("""COMPUTED_VALUE"""),62.0)</f>
        <v>62</v>
      </c>
      <c r="F2938" s="19" t="str">
        <f>IFERROR(__xludf.DUMMYFUNCTION("""COMPUTED_VALUE"""),"BLUE")</f>
        <v>BLUE</v>
      </c>
      <c r="G2938" s="20" t="str">
        <f>IFERROR(__xludf.DUMMYFUNCTION("""COMPUTED_VALUE"""),"Uncle Sams Cider (11/12/2021) (Blue)")</f>
        <v>Uncle Sams Cider (11/12/2021) (Blue)</v>
      </c>
      <c r="H2938" s="19"/>
    </row>
    <row r="2939">
      <c r="A2939" s="9"/>
      <c r="B2939" s="15"/>
      <c r="C2939" s="9">
        <f>IFERROR(__xludf.DUMMYFUNCTION("""COMPUTED_VALUE"""),44574.9288094328)</f>
        <v>44574.92881</v>
      </c>
      <c r="D2939" s="15">
        <f>IFERROR(__xludf.DUMMYFUNCTION("""COMPUTED_VALUE"""),1.004)</f>
        <v>1.004</v>
      </c>
      <c r="E2939" s="16">
        <f>IFERROR(__xludf.DUMMYFUNCTION("""COMPUTED_VALUE"""),62.0)</f>
        <v>62</v>
      </c>
      <c r="F2939" s="19" t="str">
        <f>IFERROR(__xludf.DUMMYFUNCTION("""COMPUTED_VALUE"""),"BLUE")</f>
        <v>BLUE</v>
      </c>
      <c r="G2939" s="20" t="str">
        <f>IFERROR(__xludf.DUMMYFUNCTION("""COMPUTED_VALUE"""),"Uncle Sams Cider (11/12/2021) (Blue)")</f>
        <v>Uncle Sams Cider (11/12/2021) (Blue)</v>
      </c>
      <c r="H2939" s="19"/>
    </row>
    <row r="2940">
      <c r="A2940" s="9"/>
      <c r="B2940" s="15"/>
      <c r="C2940" s="9">
        <f>IFERROR(__xludf.DUMMYFUNCTION("""COMPUTED_VALUE"""),44574.9183879745)</f>
        <v>44574.91839</v>
      </c>
      <c r="D2940" s="15">
        <f>IFERROR(__xludf.DUMMYFUNCTION("""COMPUTED_VALUE"""),1.004)</f>
        <v>1.004</v>
      </c>
      <c r="E2940" s="16">
        <f>IFERROR(__xludf.DUMMYFUNCTION("""COMPUTED_VALUE"""),61.0)</f>
        <v>61</v>
      </c>
      <c r="F2940" s="19" t="str">
        <f>IFERROR(__xludf.DUMMYFUNCTION("""COMPUTED_VALUE"""),"BLUE")</f>
        <v>BLUE</v>
      </c>
      <c r="G2940" s="20" t="str">
        <f>IFERROR(__xludf.DUMMYFUNCTION("""COMPUTED_VALUE"""),"Uncle Sams Cider (11/12/2021) (Blue)")</f>
        <v>Uncle Sams Cider (11/12/2021) (Blue)</v>
      </c>
      <c r="H2940" s="19"/>
    </row>
    <row r="2941">
      <c r="A2941" s="9"/>
      <c r="B2941" s="15"/>
      <c r="C2941" s="9">
        <f>IFERROR(__xludf.DUMMYFUNCTION("""COMPUTED_VALUE"""),44574.907965868)</f>
        <v>44574.90797</v>
      </c>
      <c r="D2941" s="15">
        <f>IFERROR(__xludf.DUMMYFUNCTION("""COMPUTED_VALUE"""),1.004)</f>
        <v>1.004</v>
      </c>
      <c r="E2941" s="16">
        <f>IFERROR(__xludf.DUMMYFUNCTION("""COMPUTED_VALUE"""),62.0)</f>
        <v>62</v>
      </c>
      <c r="F2941" s="19" t="str">
        <f>IFERROR(__xludf.DUMMYFUNCTION("""COMPUTED_VALUE"""),"BLUE")</f>
        <v>BLUE</v>
      </c>
      <c r="G2941" s="20" t="str">
        <f>IFERROR(__xludf.DUMMYFUNCTION("""COMPUTED_VALUE"""),"Uncle Sams Cider (11/12/2021) (Blue)")</f>
        <v>Uncle Sams Cider (11/12/2021) (Blue)</v>
      </c>
      <c r="H2941" s="19"/>
    </row>
    <row r="2942">
      <c r="A2942" s="9"/>
      <c r="B2942" s="15"/>
      <c r="C2942" s="9">
        <f>IFERROR(__xludf.DUMMYFUNCTION("""COMPUTED_VALUE"""),44574.8975446412)</f>
        <v>44574.89754</v>
      </c>
      <c r="D2942" s="15">
        <f>IFERROR(__xludf.DUMMYFUNCTION("""COMPUTED_VALUE"""),1.004)</f>
        <v>1.004</v>
      </c>
      <c r="E2942" s="16">
        <f>IFERROR(__xludf.DUMMYFUNCTION("""COMPUTED_VALUE"""),62.0)</f>
        <v>62</v>
      </c>
      <c r="F2942" s="19" t="str">
        <f>IFERROR(__xludf.DUMMYFUNCTION("""COMPUTED_VALUE"""),"BLUE")</f>
        <v>BLUE</v>
      </c>
      <c r="G2942" s="20" t="str">
        <f>IFERROR(__xludf.DUMMYFUNCTION("""COMPUTED_VALUE"""),"Uncle Sams Cider (11/12/2021) (Blue)")</f>
        <v>Uncle Sams Cider (11/12/2021) (Blue)</v>
      </c>
      <c r="H2942" s="19"/>
    </row>
    <row r="2943">
      <c r="A2943" s="9"/>
      <c r="B2943" s="15"/>
      <c r="C2943" s="9">
        <f>IFERROR(__xludf.DUMMYFUNCTION("""COMPUTED_VALUE"""),44574.88712375)</f>
        <v>44574.88712</v>
      </c>
      <c r="D2943" s="15">
        <f>IFERROR(__xludf.DUMMYFUNCTION("""COMPUTED_VALUE"""),1.004)</f>
        <v>1.004</v>
      </c>
      <c r="E2943" s="16">
        <f>IFERROR(__xludf.DUMMYFUNCTION("""COMPUTED_VALUE"""),62.0)</f>
        <v>62</v>
      </c>
      <c r="F2943" s="19" t="str">
        <f>IFERROR(__xludf.DUMMYFUNCTION("""COMPUTED_VALUE"""),"BLUE")</f>
        <v>BLUE</v>
      </c>
      <c r="G2943" s="20" t="str">
        <f>IFERROR(__xludf.DUMMYFUNCTION("""COMPUTED_VALUE"""),"Uncle Sams Cider (11/12/2021) (Blue)")</f>
        <v>Uncle Sams Cider (11/12/2021) (Blue)</v>
      </c>
      <c r="H2943" s="19"/>
    </row>
    <row r="2944">
      <c r="A2944" s="9"/>
      <c r="B2944" s="15"/>
      <c r="C2944" s="9">
        <f>IFERROR(__xludf.DUMMYFUNCTION("""COMPUTED_VALUE"""),44574.8767021064)</f>
        <v>44574.8767</v>
      </c>
      <c r="D2944" s="15">
        <f>IFERROR(__xludf.DUMMYFUNCTION("""COMPUTED_VALUE"""),1.004)</f>
        <v>1.004</v>
      </c>
      <c r="E2944" s="16">
        <f>IFERROR(__xludf.DUMMYFUNCTION("""COMPUTED_VALUE"""),62.0)</f>
        <v>62</v>
      </c>
      <c r="F2944" s="19" t="str">
        <f>IFERROR(__xludf.DUMMYFUNCTION("""COMPUTED_VALUE"""),"BLUE")</f>
        <v>BLUE</v>
      </c>
      <c r="G2944" s="20" t="str">
        <f>IFERROR(__xludf.DUMMYFUNCTION("""COMPUTED_VALUE"""),"Uncle Sams Cider (11/12/2021) (Blue)")</f>
        <v>Uncle Sams Cider (11/12/2021) (Blue)</v>
      </c>
      <c r="H2944" s="19"/>
    </row>
    <row r="2945">
      <c r="A2945" s="9"/>
      <c r="B2945" s="15"/>
      <c r="C2945" s="9">
        <f>IFERROR(__xludf.DUMMYFUNCTION("""COMPUTED_VALUE"""),44574.8662805671)</f>
        <v>44574.86628</v>
      </c>
      <c r="D2945" s="15">
        <f>IFERROR(__xludf.DUMMYFUNCTION("""COMPUTED_VALUE"""),1.004)</f>
        <v>1.004</v>
      </c>
      <c r="E2945" s="16">
        <f>IFERROR(__xludf.DUMMYFUNCTION("""COMPUTED_VALUE"""),62.0)</f>
        <v>62</v>
      </c>
      <c r="F2945" s="19" t="str">
        <f>IFERROR(__xludf.DUMMYFUNCTION("""COMPUTED_VALUE"""),"BLUE")</f>
        <v>BLUE</v>
      </c>
      <c r="G2945" s="20" t="str">
        <f>IFERROR(__xludf.DUMMYFUNCTION("""COMPUTED_VALUE"""),"Uncle Sams Cider (11/12/2021) (Blue)")</f>
        <v>Uncle Sams Cider (11/12/2021) (Blue)</v>
      </c>
      <c r="H2945" s="19"/>
    </row>
    <row r="2946">
      <c r="A2946" s="9"/>
      <c r="B2946" s="15"/>
      <c r="C2946" s="9">
        <f>IFERROR(__xludf.DUMMYFUNCTION("""COMPUTED_VALUE"""),44574.8558603935)</f>
        <v>44574.85586</v>
      </c>
      <c r="D2946" s="15">
        <f>IFERROR(__xludf.DUMMYFUNCTION("""COMPUTED_VALUE"""),1.003)</f>
        <v>1.003</v>
      </c>
      <c r="E2946" s="16">
        <f>IFERROR(__xludf.DUMMYFUNCTION("""COMPUTED_VALUE"""),62.0)</f>
        <v>62</v>
      </c>
      <c r="F2946" s="19" t="str">
        <f>IFERROR(__xludf.DUMMYFUNCTION("""COMPUTED_VALUE"""),"BLUE")</f>
        <v>BLUE</v>
      </c>
      <c r="G2946" s="20" t="str">
        <f>IFERROR(__xludf.DUMMYFUNCTION("""COMPUTED_VALUE"""),"Uncle Sams Cider (11/12/2021) (Blue)")</f>
        <v>Uncle Sams Cider (11/12/2021) (Blue)</v>
      </c>
      <c r="H2946" s="19"/>
    </row>
    <row r="2947">
      <c r="A2947" s="9"/>
      <c r="B2947" s="15"/>
      <c r="C2947" s="9">
        <f>IFERROR(__xludf.DUMMYFUNCTION("""COMPUTED_VALUE"""),44574.8454388773)</f>
        <v>44574.84544</v>
      </c>
      <c r="D2947" s="15">
        <f>IFERROR(__xludf.DUMMYFUNCTION("""COMPUTED_VALUE"""),1.004)</f>
        <v>1.004</v>
      </c>
      <c r="E2947" s="16">
        <f>IFERROR(__xludf.DUMMYFUNCTION("""COMPUTED_VALUE"""),62.0)</f>
        <v>62</v>
      </c>
      <c r="F2947" s="19" t="str">
        <f>IFERROR(__xludf.DUMMYFUNCTION("""COMPUTED_VALUE"""),"BLUE")</f>
        <v>BLUE</v>
      </c>
      <c r="G2947" s="20" t="str">
        <f>IFERROR(__xludf.DUMMYFUNCTION("""COMPUTED_VALUE"""),"Uncle Sams Cider (11/12/2021) (Blue)")</f>
        <v>Uncle Sams Cider (11/12/2021) (Blue)</v>
      </c>
      <c r="H2947" s="19"/>
    </row>
    <row r="2948">
      <c r="A2948" s="9"/>
      <c r="B2948" s="15"/>
      <c r="C2948" s="9">
        <f>IFERROR(__xludf.DUMMYFUNCTION("""COMPUTED_VALUE"""),44574.8350188078)</f>
        <v>44574.83502</v>
      </c>
      <c r="D2948" s="15">
        <f>IFERROR(__xludf.DUMMYFUNCTION("""COMPUTED_VALUE"""),1.004)</f>
        <v>1.004</v>
      </c>
      <c r="E2948" s="16">
        <f>IFERROR(__xludf.DUMMYFUNCTION("""COMPUTED_VALUE"""),62.0)</f>
        <v>62</v>
      </c>
      <c r="F2948" s="19" t="str">
        <f>IFERROR(__xludf.DUMMYFUNCTION("""COMPUTED_VALUE"""),"BLUE")</f>
        <v>BLUE</v>
      </c>
      <c r="G2948" s="20" t="str">
        <f>IFERROR(__xludf.DUMMYFUNCTION("""COMPUTED_VALUE"""),"Uncle Sams Cider (11/12/2021) (Blue)")</f>
        <v>Uncle Sams Cider (11/12/2021) (Blue)</v>
      </c>
      <c r="H2948" s="19"/>
    </row>
    <row r="2949">
      <c r="A2949" s="9"/>
      <c r="B2949" s="15"/>
      <c r="C2949" s="9">
        <f>IFERROR(__xludf.DUMMYFUNCTION("""COMPUTED_VALUE"""),44574.8245728703)</f>
        <v>44574.82457</v>
      </c>
      <c r="D2949" s="15">
        <f>IFERROR(__xludf.DUMMYFUNCTION("""COMPUTED_VALUE"""),1.004)</f>
        <v>1.004</v>
      </c>
      <c r="E2949" s="16">
        <f>IFERROR(__xludf.DUMMYFUNCTION("""COMPUTED_VALUE"""),62.0)</f>
        <v>62</v>
      </c>
      <c r="F2949" s="19" t="str">
        <f>IFERROR(__xludf.DUMMYFUNCTION("""COMPUTED_VALUE"""),"BLUE")</f>
        <v>BLUE</v>
      </c>
      <c r="G2949" s="20" t="str">
        <f>IFERROR(__xludf.DUMMYFUNCTION("""COMPUTED_VALUE"""),"Uncle Sams Cider (11/12/2021) (Blue)")</f>
        <v>Uncle Sams Cider (11/12/2021) (Blue)</v>
      </c>
      <c r="H2949" s="19"/>
    </row>
    <row r="2950">
      <c r="A2950" s="9"/>
      <c r="B2950" s="15"/>
      <c r="C2950" s="9">
        <f>IFERROR(__xludf.DUMMYFUNCTION("""COMPUTED_VALUE"""),44574.8141520486)</f>
        <v>44574.81415</v>
      </c>
      <c r="D2950" s="15">
        <f>IFERROR(__xludf.DUMMYFUNCTION("""COMPUTED_VALUE"""),1.004)</f>
        <v>1.004</v>
      </c>
      <c r="E2950" s="16">
        <f>IFERROR(__xludf.DUMMYFUNCTION("""COMPUTED_VALUE"""),62.0)</f>
        <v>62</v>
      </c>
      <c r="F2950" s="19" t="str">
        <f>IFERROR(__xludf.DUMMYFUNCTION("""COMPUTED_VALUE"""),"BLUE")</f>
        <v>BLUE</v>
      </c>
      <c r="G2950" s="20" t="str">
        <f>IFERROR(__xludf.DUMMYFUNCTION("""COMPUTED_VALUE"""),"Uncle Sams Cider (11/12/2021) (Blue)")</f>
        <v>Uncle Sams Cider (11/12/2021) (Blue)</v>
      </c>
      <c r="H2950" s="19"/>
    </row>
    <row r="2951">
      <c r="A2951" s="9"/>
      <c r="B2951" s="15"/>
      <c r="C2951" s="9">
        <f>IFERROR(__xludf.DUMMYFUNCTION("""COMPUTED_VALUE"""),44574.8037313888)</f>
        <v>44574.80373</v>
      </c>
      <c r="D2951" s="15">
        <f>IFERROR(__xludf.DUMMYFUNCTION("""COMPUTED_VALUE"""),1.004)</f>
        <v>1.004</v>
      </c>
      <c r="E2951" s="16">
        <f>IFERROR(__xludf.DUMMYFUNCTION("""COMPUTED_VALUE"""),62.0)</f>
        <v>62</v>
      </c>
      <c r="F2951" s="19" t="str">
        <f>IFERROR(__xludf.DUMMYFUNCTION("""COMPUTED_VALUE"""),"BLUE")</f>
        <v>BLUE</v>
      </c>
      <c r="G2951" s="20" t="str">
        <f>IFERROR(__xludf.DUMMYFUNCTION("""COMPUTED_VALUE"""),"Uncle Sams Cider (11/12/2021) (Blue)")</f>
        <v>Uncle Sams Cider (11/12/2021) (Blue)</v>
      </c>
      <c r="H2951" s="19"/>
    </row>
    <row r="2952">
      <c r="A2952" s="9"/>
      <c r="B2952" s="15"/>
      <c r="C2952" s="9">
        <f>IFERROR(__xludf.DUMMYFUNCTION("""COMPUTED_VALUE"""),44574.7933098032)</f>
        <v>44574.79331</v>
      </c>
      <c r="D2952" s="15">
        <f>IFERROR(__xludf.DUMMYFUNCTION("""COMPUTED_VALUE"""),1.004)</f>
        <v>1.004</v>
      </c>
      <c r="E2952" s="16">
        <f>IFERROR(__xludf.DUMMYFUNCTION("""COMPUTED_VALUE"""),62.0)</f>
        <v>62</v>
      </c>
      <c r="F2952" s="19" t="str">
        <f>IFERROR(__xludf.DUMMYFUNCTION("""COMPUTED_VALUE"""),"BLUE")</f>
        <v>BLUE</v>
      </c>
      <c r="G2952" s="20" t="str">
        <f>IFERROR(__xludf.DUMMYFUNCTION("""COMPUTED_VALUE"""),"Uncle Sams Cider (11/12/2021) (Blue)")</f>
        <v>Uncle Sams Cider (11/12/2021) (Blue)</v>
      </c>
      <c r="H2952" s="19"/>
    </row>
    <row r="2953">
      <c r="A2953" s="9"/>
      <c r="B2953" s="15"/>
      <c r="C2953" s="9">
        <f>IFERROR(__xludf.DUMMYFUNCTION("""COMPUTED_VALUE"""),44574.782888912)</f>
        <v>44574.78289</v>
      </c>
      <c r="D2953" s="15">
        <f>IFERROR(__xludf.DUMMYFUNCTION("""COMPUTED_VALUE"""),1.004)</f>
        <v>1.004</v>
      </c>
      <c r="E2953" s="16">
        <f>IFERROR(__xludf.DUMMYFUNCTION("""COMPUTED_VALUE"""),62.0)</f>
        <v>62</v>
      </c>
      <c r="F2953" s="19" t="str">
        <f>IFERROR(__xludf.DUMMYFUNCTION("""COMPUTED_VALUE"""),"BLUE")</f>
        <v>BLUE</v>
      </c>
      <c r="G2953" s="20" t="str">
        <f>IFERROR(__xludf.DUMMYFUNCTION("""COMPUTED_VALUE"""),"Uncle Sams Cider (11/12/2021) (Blue)")</f>
        <v>Uncle Sams Cider (11/12/2021) (Blue)</v>
      </c>
      <c r="H2953" s="19"/>
    </row>
    <row r="2954">
      <c r="A2954" s="9"/>
      <c r="B2954" s="15"/>
      <c r="C2954" s="9">
        <f>IFERROR(__xludf.DUMMYFUNCTION("""COMPUTED_VALUE"""),44574.7724687499)</f>
        <v>44574.77247</v>
      </c>
      <c r="D2954" s="15">
        <f>IFERROR(__xludf.DUMMYFUNCTION("""COMPUTED_VALUE"""),1.004)</f>
        <v>1.004</v>
      </c>
      <c r="E2954" s="16">
        <f>IFERROR(__xludf.DUMMYFUNCTION("""COMPUTED_VALUE"""),62.0)</f>
        <v>62</v>
      </c>
      <c r="F2954" s="19" t="str">
        <f>IFERROR(__xludf.DUMMYFUNCTION("""COMPUTED_VALUE"""),"BLUE")</f>
        <v>BLUE</v>
      </c>
      <c r="G2954" s="20" t="str">
        <f>IFERROR(__xludf.DUMMYFUNCTION("""COMPUTED_VALUE"""),"Uncle Sams Cider (11/12/2021) (Blue)")</f>
        <v>Uncle Sams Cider (11/12/2021) (Blue)</v>
      </c>
      <c r="H2954" s="19"/>
    </row>
    <row r="2955">
      <c r="A2955" s="9"/>
      <c r="B2955" s="15"/>
      <c r="C2955" s="9">
        <f>IFERROR(__xludf.DUMMYFUNCTION("""COMPUTED_VALUE"""),44574.7620479398)</f>
        <v>44574.76205</v>
      </c>
      <c r="D2955" s="15">
        <f>IFERROR(__xludf.DUMMYFUNCTION("""COMPUTED_VALUE"""),1.004)</f>
        <v>1.004</v>
      </c>
      <c r="E2955" s="16">
        <f>IFERROR(__xludf.DUMMYFUNCTION("""COMPUTED_VALUE"""),62.0)</f>
        <v>62</v>
      </c>
      <c r="F2955" s="19" t="str">
        <f>IFERROR(__xludf.DUMMYFUNCTION("""COMPUTED_VALUE"""),"BLUE")</f>
        <v>BLUE</v>
      </c>
      <c r="G2955" s="20" t="str">
        <f>IFERROR(__xludf.DUMMYFUNCTION("""COMPUTED_VALUE"""),"Uncle Sams Cider (11/12/2021) (Blue)")</f>
        <v>Uncle Sams Cider (11/12/2021) (Blue)</v>
      </c>
      <c r="H2955" s="19"/>
    </row>
    <row r="2956">
      <c r="A2956" s="9"/>
      <c r="B2956" s="15"/>
      <c r="C2956" s="9">
        <f>IFERROR(__xludf.DUMMYFUNCTION("""COMPUTED_VALUE"""),44574.7516260416)</f>
        <v>44574.75163</v>
      </c>
      <c r="D2956" s="15">
        <f>IFERROR(__xludf.DUMMYFUNCTION("""COMPUTED_VALUE"""),1.004)</f>
        <v>1.004</v>
      </c>
      <c r="E2956" s="16">
        <f>IFERROR(__xludf.DUMMYFUNCTION("""COMPUTED_VALUE"""),62.0)</f>
        <v>62</v>
      </c>
      <c r="F2956" s="19" t="str">
        <f>IFERROR(__xludf.DUMMYFUNCTION("""COMPUTED_VALUE"""),"BLUE")</f>
        <v>BLUE</v>
      </c>
      <c r="G2956" s="20" t="str">
        <f>IFERROR(__xludf.DUMMYFUNCTION("""COMPUTED_VALUE"""),"Uncle Sams Cider (11/12/2021) (Blue)")</f>
        <v>Uncle Sams Cider (11/12/2021) (Blue)</v>
      </c>
      <c r="H2956" s="19"/>
    </row>
    <row r="2957">
      <c r="A2957" s="9"/>
      <c r="B2957" s="15"/>
      <c r="C2957" s="9">
        <f>IFERROR(__xludf.DUMMYFUNCTION("""COMPUTED_VALUE"""),44574.7412042476)</f>
        <v>44574.7412</v>
      </c>
      <c r="D2957" s="15">
        <f>IFERROR(__xludf.DUMMYFUNCTION("""COMPUTED_VALUE"""),1.004)</f>
        <v>1.004</v>
      </c>
      <c r="E2957" s="16">
        <f>IFERROR(__xludf.DUMMYFUNCTION("""COMPUTED_VALUE"""),62.0)</f>
        <v>62</v>
      </c>
      <c r="F2957" s="19" t="str">
        <f>IFERROR(__xludf.DUMMYFUNCTION("""COMPUTED_VALUE"""),"BLUE")</f>
        <v>BLUE</v>
      </c>
      <c r="G2957" s="20" t="str">
        <f>IFERROR(__xludf.DUMMYFUNCTION("""COMPUTED_VALUE"""),"Uncle Sams Cider (11/12/2021) (Blue)")</f>
        <v>Uncle Sams Cider (11/12/2021) (Blue)</v>
      </c>
      <c r="H2957" s="19"/>
    </row>
    <row r="2958">
      <c r="A2958" s="9"/>
      <c r="B2958" s="15"/>
      <c r="C2958" s="9">
        <f>IFERROR(__xludf.DUMMYFUNCTION("""COMPUTED_VALUE"""),44574.7307827314)</f>
        <v>44574.73078</v>
      </c>
      <c r="D2958" s="15">
        <f>IFERROR(__xludf.DUMMYFUNCTION("""COMPUTED_VALUE"""),1.004)</f>
        <v>1.004</v>
      </c>
      <c r="E2958" s="16">
        <f>IFERROR(__xludf.DUMMYFUNCTION("""COMPUTED_VALUE"""),62.0)</f>
        <v>62</v>
      </c>
      <c r="F2958" s="19" t="str">
        <f>IFERROR(__xludf.DUMMYFUNCTION("""COMPUTED_VALUE"""),"BLUE")</f>
        <v>BLUE</v>
      </c>
      <c r="G2958" s="20" t="str">
        <f>IFERROR(__xludf.DUMMYFUNCTION("""COMPUTED_VALUE"""),"Uncle Sams Cider (11/12/2021) (Blue)")</f>
        <v>Uncle Sams Cider (11/12/2021) (Blue)</v>
      </c>
      <c r="H2958" s="19"/>
    </row>
    <row r="2959">
      <c r="A2959" s="9"/>
      <c r="B2959" s="15"/>
      <c r="C2959" s="9">
        <f>IFERROR(__xludf.DUMMYFUNCTION("""COMPUTED_VALUE"""),44574.7203618287)</f>
        <v>44574.72036</v>
      </c>
      <c r="D2959" s="15">
        <f>IFERROR(__xludf.DUMMYFUNCTION("""COMPUTED_VALUE"""),1.004)</f>
        <v>1.004</v>
      </c>
      <c r="E2959" s="16">
        <f>IFERROR(__xludf.DUMMYFUNCTION("""COMPUTED_VALUE"""),62.0)</f>
        <v>62</v>
      </c>
      <c r="F2959" s="19" t="str">
        <f>IFERROR(__xludf.DUMMYFUNCTION("""COMPUTED_VALUE"""),"BLUE")</f>
        <v>BLUE</v>
      </c>
      <c r="G2959" s="20" t="str">
        <f>IFERROR(__xludf.DUMMYFUNCTION("""COMPUTED_VALUE"""),"Uncle Sams Cider (11/12/2021) (Blue)")</f>
        <v>Uncle Sams Cider (11/12/2021) (Blue)</v>
      </c>
      <c r="H2959" s="19"/>
    </row>
    <row r="2960">
      <c r="A2960" s="9"/>
      <c r="B2960" s="15"/>
      <c r="C2960" s="9">
        <f>IFERROR(__xludf.DUMMYFUNCTION("""COMPUTED_VALUE"""),44574.709940405)</f>
        <v>44574.70994</v>
      </c>
      <c r="D2960" s="15">
        <f>IFERROR(__xludf.DUMMYFUNCTION("""COMPUTED_VALUE"""),1.004)</f>
        <v>1.004</v>
      </c>
      <c r="E2960" s="16">
        <f>IFERROR(__xludf.DUMMYFUNCTION("""COMPUTED_VALUE"""),62.0)</f>
        <v>62</v>
      </c>
      <c r="F2960" s="19" t="str">
        <f>IFERROR(__xludf.DUMMYFUNCTION("""COMPUTED_VALUE"""),"BLUE")</f>
        <v>BLUE</v>
      </c>
      <c r="G2960" s="20" t="str">
        <f>IFERROR(__xludf.DUMMYFUNCTION("""COMPUTED_VALUE"""),"Uncle Sams Cider (11/12/2021) (Blue)")</f>
        <v>Uncle Sams Cider (11/12/2021) (Blue)</v>
      </c>
      <c r="H2960" s="19"/>
    </row>
    <row r="2961">
      <c r="A2961" s="9"/>
      <c r="B2961" s="15"/>
      <c r="C2961" s="9">
        <f>IFERROR(__xludf.DUMMYFUNCTION("""COMPUTED_VALUE"""),44574.6995197685)</f>
        <v>44574.69952</v>
      </c>
      <c r="D2961" s="15">
        <f>IFERROR(__xludf.DUMMYFUNCTION("""COMPUTED_VALUE"""),1.004)</f>
        <v>1.004</v>
      </c>
      <c r="E2961" s="16">
        <f>IFERROR(__xludf.DUMMYFUNCTION("""COMPUTED_VALUE"""),62.0)</f>
        <v>62</v>
      </c>
      <c r="F2961" s="19" t="str">
        <f>IFERROR(__xludf.DUMMYFUNCTION("""COMPUTED_VALUE"""),"BLUE")</f>
        <v>BLUE</v>
      </c>
      <c r="G2961" s="20" t="str">
        <f>IFERROR(__xludf.DUMMYFUNCTION("""COMPUTED_VALUE"""),"Uncle Sams Cider (11/12/2021) (Blue)")</f>
        <v>Uncle Sams Cider (11/12/2021) (Blue)</v>
      </c>
      <c r="H2961" s="19"/>
    </row>
    <row r="2962">
      <c r="A2962" s="9"/>
      <c r="B2962" s="15"/>
      <c r="C2962" s="9">
        <f>IFERROR(__xludf.DUMMYFUNCTION("""COMPUTED_VALUE"""),44574.6890997222)</f>
        <v>44574.6891</v>
      </c>
      <c r="D2962" s="15">
        <f>IFERROR(__xludf.DUMMYFUNCTION("""COMPUTED_VALUE"""),1.004)</f>
        <v>1.004</v>
      </c>
      <c r="E2962" s="16">
        <f>IFERROR(__xludf.DUMMYFUNCTION("""COMPUTED_VALUE"""),62.0)</f>
        <v>62</v>
      </c>
      <c r="F2962" s="19" t="str">
        <f>IFERROR(__xludf.DUMMYFUNCTION("""COMPUTED_VALUE"""),"BLUE")</f>
        <v>BLUE</v>
      </c>
      <c r="G2962" s="20" t="str">
        <f>IFERROR(__xludf.DUMMYFUNCTION("""COMPUTED_VALUE"""),"Uncle Sams Cider (11/12/2021) (Blue)")</f>
        <v>Uncle Sams Cider (11/12/2021) (Blue)</v>
      </c>
      <c r="H2962" s="19"/>
    </row>
    <row r="2963">
      <c r="A2963" s="9"/>
      <c r="B2963" s="15"/>
      <c r="C2963" s="9">
        <f>IFERROR(__xludf.DUMMYFUNCTION("""COMPUTED_VALUE"""),44574.6786795486)</f>
        <v>44574.67868</v>
      </c>
      <c r="D2963" s="15">
        <f>IFERROR(__xludf.DUMMYFUNCTION("""COMPUTED_VALUE"""),1.004)</f>
        <v>1.004</v>
      </c>
      <c r="E2963" s="16">
        <f>IFERROR(__xludf.DUMMYFUNCTION("""COMPUTED_VALUE"""),62.0)</f>
        <v>62</v>
      </c>
      <c r="F2963" s="19" t="str">
        <f>IFERROR(__xludf.DUMMYFUNCTION("""COMPUTED_VALUE"""),"BLUE")</f>
        <v>BLUE</v>
      </c>
      <c r="G2963" s="20" t="str">
        <f>IFERROR(__xludf.DUMMYFUNCTION("""COMPUTED_VALUE"""),"Uncle Sams Cider (11/12/2021) (Blue)")</f>
        <v>Uncle Sams Cider (11/12/2021) (Blue)</v>
      </c>
      <c r="H2963" s="19"/>
    </row>
    <row r="2964">
      <c r="A2964" s="9"/>
      <c r="B2964" s="15"/>
      <c r="C2964" s="9">
        <f>IFERROR(__xludf.DUMMYFUNCTION("""COMPUTED_VALUE"""),44574.6682342129)</f>
        <v>44574.66823</v>
      </c>
      <c r="D2964" s="15">
        <f>IFERROR(__xludf.DUMMYFUNCTION("""COMPUTED_VALUE"""),1.004)</f>
        <v>1.004</v>
      </c>
      <c r="E2964" s="16">
        <f>IFERROR(__xludf.DUMMYFUNCTION("""COMPUTED_VALUE"""),62.0)</f>
        <v>62</v>
      </c>
      <c r="F2964" s="19" t="str">
        <f>IFERROR(__xludf.DUMMYFUNCTION("""COMPUTED_VALUE"""),"BLUE")</f>
        <v>BLUE</v>
      </c>
      <c r="G2964" s="20" t="str">
        <f>IFERROR(__xludf.DUMMYFUNCTION("""COMPUTED_VALUE"""),"Uncle Sams Cider (11/12/2021) (Blue)")</f>
        <v>Uncle Sams Cider (11/12/2021) (Blue)</v>
      </c>
      <c r="H2964" s="19"/>
    </row>
    <row r="2965">
      <c r="A2965" s="9"/>
      <c r="B2965" s="15"/>
      <c r="C2965" s="9">
        <f>IFERROR(__xludf.DUMMYFUNCTION("""COMPUTED_VALUE"""),44574.6578145717)</f>
        <v>44574.65781</v>
      </c>
      <c r="D2965" s="15">
        <f>IFERROR(__xludf.DUMMYFUNCTION("""COMPUTED_VALUE"""),1.004)</f>
        <v>1.004</v>
      </c>
      <c r="E2965" s="16">
        <f>IFERROR(__xludf.DUMMYFUNCTION("""COMPUTED_VALUE"""),62.0)</f>
        <v>62</v>
      </c>
      <c r="F2965" s="19" t="str">
        <f>IFERROR(__xludf.DUMMYFUNCTION("""COMPUTED_VALUE"""),"BLUE")</f>
        <v>BLUE</v>
      </c>
      <c r="G2965" s="20" t="str">
        <f>IFERROR(__xludf.DUMMYFUNCTION("""COMPUTED_VALUE"""),"Uncle Sams Cider (11/12/2021) (Blue)")</f>
        <v>Uncle Sams Cider (11/12/2021) (Blue)</v>
      </c>
      <c r="H2965" s="19"/>
    </row>
    <row r="2966">
      <c r="A2966" s="9"/>
      <c r="B2966" s="15"/>
      <c r="C2966" s="9">
        <f>IFERROR(__xludf.DUMMYFUNCTION("""COMPUTED_VALUE"""),44574.6473826157)</f>
        <v>44574.64738</v>
      </c>
      <c r="D2966" s="15">
        <f>IFERROR(__xludf.DUMMYFUNCTION("""COMPUTED_VALUE"""),1.004)</f>
        <v>1.004</v>
      </c>
      <c r="E2966" s="16">
        <f>IFERROR(__xludf.DUMMYFUNCTION("""COMPUTED_VALUE"""),62.0)</f>
        <v>62</v>
      </c>
      <c r="F2966" s="19" t="str">
        <f>IFERROR(__xludf.DUMMYFUNCTION("""COMPUTED_VALUE"""),"BLUE")</f>
        <v>BLUE</v>
      </c>
      <c r="G2966" s="20" t="str">
        <f>IFERROR(__xludf.DUMMYFUNCTION("""COMPUTED_VALUE"""),"Uncle Sams Cider (11/12/2021) (Blue)")</f>
        <v>Uncle Sams Cider (11/12/2021) (Blue)</v>
      </c>
      <c r="H2966" s="19"/>
    </row>
    <row r="2967">
      <c r="A2967" s="9"/>
      <c r="B2967" s="15"/>
      <c r="C2967" s="9">
        <f>IFERROR(__xludf.DUMMYFUNCTION("""COMPUTED_VALUE"""),44574.6369605555)</f>
        <v>44574.63696</v>
      </c>
      <c r="D2967" s="15">
        <f>IFERROR(__xludf.DUMMYFUNCTION("""COMPUTED_VALUE"""),1.004)</f>
        <v>1.004</v>
      </c>
      <c r="E2967" s="16">
        <f>IFERROR(__xludf.DUMMYFUNCTION("""COMPUTED_VALUE"""),62.0)</f>
        <v>62</v>
      </c>
      <c r="F2967" s="19" t="str">
        <f>IFERROR(__xludf.DUMMYFUNCTION("""COMPUTED_VALUE"""),"BLUE")</f>
        <v>BLUE</v>
      </c>
      <c r="G2967" s="20" t="str">
        <f>IFERROR(__xludf.DUMMYFUNCTION("""COMPUTED_VALUE"""),"Uncle Sams Cider (11/12/2021) (Blue)")</f>
        <v>Uncle Sams Cider (11/12/2021) (Blue)</v>
      </c>
      <c r="H2967" s="19"/>
    </row>
    <row r="2968">
      <c r="A2968" s="9"/>
      <c r="B2968" s="15"/>
      <c r="C2968" s="9">
        <f>IFERROR(__xludf.DUMMYFUNCTION("""COMPUTED_VALUE"""),44574.6265395138)</f>
        <v>44574.62654</v>
      </c>
      <c r="D2968" s="15">
        <f>IFERROR(__xludf.DUMMYFUNCTION("""COMPUTED_VALUE"""),1.004)</f>
        <v>1.004</v>
      </c>
      <c r="E2968" s="16">
        <f>IFERROR(__xludf.DUMMYFUNCTION("""COMPUTED_VALUE"""),62.0)</f>
        <v>62</v>
      </c>
      <c r="F2968" s="19" t="str">
        <f>IFERROR(__xludf.DUMMYFUNCTION("""COMPUTED_VALUE"""),"BLUE")</f>
        <v>BLUE</v>
      </c>
      <c r="G2968" s="20" t="str">
        <f>IFERROR(__xludf.DUMMYFUNCTION("""COMPUTED_VALUE"""),"Uncle Sams Cider (11/12/2021) (Blue)")</f>
        <v>Uncle Sams Cider (11/12/2021) (Blue)</v>
      </c>
      <c r="H2968" s="19"/>
    </row>
    <row r="2969">
      <c r="A2969" s="9"/>
      <c r="B2969" s="15"/>
      <c r="C2969" s="9">
        <f>IFERROR(__xludf.DUMMYFUNCTION("""COMPUTED_VALUE"""),44574.6161189004)</f>
        <v>44574.61612</v>
      </c>
      <c r="D2969" s="15">
        <f>IFERROR(__xludf.DUMMYFUNCTION("""COMPUTED_VALUE"""),1.003)</f>
        <v>1.003</v>
      </c>
      <c r="E2969" s="16">
        <f>IFERROR(__xludf.DUMMYFUNCTION("""COMPUTED_VALUE"""),62.0)</f>
        <v>62</v>
      </c>
      <c r="F2969" s="19" t="str">
        <f>IFERROR(__xludf.DUMMYFUNCTION("""COMPUTED_VALUE"""),"BLUE")</f>
        <v>BLUE</v>
      </c>
      <c r="G2969" s="20" t="str">
        <f>IFERROR(__xludf.DUMMYFUNCTION("""COMPUTED_VALUE"""),"Uncle Sams Cider (11/12/2021) (Blue)")</f>
        <v>Uncle Sams Cider (11/12/2021) (Blue)</v>
      </c>
      <c r="H2969" s="19"/>
    </row>
    <row r="2970">
      <c r="A2970" s="9"/>
      <c r="B2970" s="15"/>
      <c r="C2970" s="9">
        <f>IFERROR(__xludf.DUMMYFUNCTION("""COMPUTED_VALUE"""),44574.6056973032)</f>
        <v>44574.6057</v>
      </c>
      <c r="D2970" s="15">
        <f>IFERROR(__xludf.DUMMYFUNCTION("""COMPUTED_VALUE"""),1.004)</f>
        <v>1.004</v>
      </c>
      <c r="E2970" s="16">
        <f>IFERROR(__xludf.DUMMYFUNCTION("""COMPUTED_VALUE"""),62.0)</f>
        <v>62</v>
      </c>
      <c r="F2970" s="19" t="str">
        <f>IFERROR(__xludf.DUMMYFUNCTION("""COMPUTED_VALUE"""),"BLUE")</f>
        <v>BLUE</v>
      </c>
      <c r="G2970" s="20" t="str">
        <f>IFERROR(__xludf.DUMMYFUNCTION("""COMPUTED_VALUE"""),"Uncle Sams Cider (11/12/2021) (Blue)")</f>
        <v>Uncle Sams Cider (11/12/2021) (Blue)</v>
      </c>
      <c r="H2970" s="19"/>
    </row>
    <row r="2971">
      <c r="A2971" s="9"/>
      <c r="B2971" s="15"/>
      <c r="C2971" s="9">
        <f>IFERROR(__xludf.DUMMYFUNCTION("""COMPUTED_VALUE"""),44574.595277743)</f>
        <v>44574.59528</v>
      </c>
      <c r="D2971" s="15">
        <f>IFERROR(__xludf.DUMMYFUNCTION("""COMPUTED_VALUE"""),1.004)</f>
        <v>1.004</v>
      </c>
      <c r="E2971" s="16">
        <f>IFERROR(__xludf.DUMMYFUNCTION("""COMPUTED_VALUE"""),62.0)</f>
        <v>62</v>
      </c>
      <c r="F2971" s="19" t="str">
        <f>IFERROR(__xludf.DUMMYFUNCTION("""COMPUTED_VALUE"""),"BLUE")</f>
        <v>BLUE</v>
      </c>
      <c r="G2971" s="20" t="str">
        <f>IFERROR(__xludf.DUMMYFUNCTION("""COMPUTED_VALUE"""),"Uncle Sams Cider (11/12/2021) (Blue)")</f>
        <v>Uncle Sams Cider (11/12/2021) (Blue)</v>
      </c>
      <c r="H2971" s="19"/>
    </row>
    <row r="2972">
      <c r="A2972" s="9"/>
      <c r="B2972" s="15"/>
      <c r="C2972" s="9">
        <f>IFERROR(__xludf.DUMMYFUNCTION("""COMPUTED_VALUE"""),44574.5848337615)</f>
        <v>44574.58483</v>
      </c>
      <c r="D2972" s="15">
        <f>IFERROR(__xludf.DUMMYFUNCTION("""COMPUTED_VALUE"""),1.003)</f>
        <v>1.003</v>
      </c>
      <c r="E2972" s="16">
        <f>IFERROR(__xludf.DUMMYFUNCTION("""COMPUTED_VALUE"""),62.0)</f>
        <v>62</v>
      </c>
      <c r="F2972" s="19" t="str">
        <f>IFERROR(__xludf.DUMMYFUNCTION("""COMPUTED_VALUE"""),"BLUE")</f>
        <v>BLUE</v>
      </c>
      <c r="G2972" s="20" t="str">
        <f>IFERROR(__xludf.DUMMYFUNCTION("""COMPUTED_VALUE"""),"Uncle Sams Cider (11/12/2021) (Blue)")</f>
        <v>Uncle Sams Cider (11/12/2021) (Blue)</v>
      </c>
      <c r="H2972" s="19"/>
    </row>
    <row r="2973">
      <c r="A2973" s="9"/>
      <c r="B2973" s="15"/>
      <c r="C2973" s="9">
        <f>IFERROR(__xludf.DUMMYFUNCTION("""COMPUTED_VALUE"""),44574.5744118865)</f>
        <v>44574.57441</v>
      </c>
      <c r="D2973" s="15">
        <f>IFERROR(__xludf.DUMMYFUNCTION("""COMPUTED_VALUE"""),1.004)</f>
        <v>1.004</v>
      </c>
      <c r="E2973" s="16">
        <f>IFERROR(__xludf.DUMMYFUNCTION("""COMPUTED_VALUE"""),62.0)</f>
        <v>62</v>
      </c>
      <c r="F2973" s="19" t="str">
        <f>IFERROR(__xludf.DUMMYFUNCTION("""COMPUTED_VALUE"""),"BLUE")</f>
        <v>BLUE</v>
      </c>
      <c r="G2973" s="20" t="str">
        <f>IFERROR(__xludf.DUMMYFUNCTION("""COMPUTED_VALUE"""),"Uncle Sams Cider (11/12/2021) (Blue)")</f>
        <v>Uncle Sams Cider (11/12/2021) (Blue)</v>
      </c>
      <c r="H2973" s="19"/>
    </row>
    <row r="2974">
      <c r="A2974" s="9"/>
      <c r="B2974" s="15"/>
      <c r="C2974" s="9">
        <f>IFERROR(__xludf.DUMMYFUNCTION("""COMPUTED_VALUE"""),44574.563990243)</f>
        <v>44574.56399</v>
      </c>
      <c r="D2974" s="15">
        <f>IFERROR(__xludf.DUMMYFUNCTION("""COMPUTED_VALUE"""),1.004)</f>
        <v>1.004</v>
      </c>
      <c r="E2974" s="16">
        <f>IFERROR(__xludf.DUMMYFUNCTION("""COMPUTED_VALUE"""),62.0)</f>
        <v>62</v>
      </c>
      <c r="F2974" s="19" t="str">
        <f>IFERROR(__xludf.DUMMYFUNCTION("""COMPUTED_VALUE"""),"BLUE")</f>
        <v>BLUE</v>
      </c>
      <c r="G2974" s="20" t="str">
        <f>IFERROR(__xludf.DUMMYFUNCTION("""COMPUTED_VALUE"""),"Uncle Sams Cider (11/12/2021) (Blue)")</f>
        <v>Uncle Sams Cider (11/12/2021) (Blue)</v>
      </c>
      <c r="H2974" s="19"/>
    </row>
    <row r="2975">
      <c r="A2975" s="9"/>
      <c r="B2975" s="15"/>
      <c r="C2975" s="9">
        <f>IFERROR(__xludf.DUMMYFUNCTION("""COMPUTED_VALUE"""),44574.5535698379)</f>
        <v>44574.55357</v>
      </c>
      <c r="D2975" s="15">
        <f>IFERROR(__xludf.DUMMYFUNCTION("""COMPUTED_VALUE"""),1.004)</f>
        <v>1.004</v>
      </c>
      <c r="E2975" s="16">
        <f>IFERROR(__xludf.DUMMYFUNCTION("""COMPUTED_VALUE"""),62.0)</f>
        <v>62</v>
      </c>
      <c r="F2975" s="19" t="str">
        <f>IFERROR(__xludf.DUMMYFUNCTION("""COMPUTED_VALUE"""),"BLUE")</f>
        <v>BLUE</v>
      </c>
      <c r="G2975" s="20" t="str">
        <f>IFERROR(__xludf.DUMMYFUNCTION("""COMPUTED_VALUE"""),"Uncle Sams Cider (11/12/2021) (Blue)")</f>
        <v>Uncle Sams Cider (11/12/2021) (Blue)</v>
      </c>
      <c r="H2975" s="19"/>
    </row>
    <row r="2976">
      <c r="A2976" s="9"/>
      <c r="B2976" s="15"/>
      <c r="C2976" s="9">
        <f>IFERROR(__xludf.DUMMYFUNCTION("""COMPUTED_VALUE"""),44574.5431491087)</f>
        <v>44574.54315</v>
      </c>
      <c r="D2976" s="15">
        <f>IFERROR(__xludf.DUMMYFUNCTION("""COMPUTED_VALUE"""),1.003)</f>
        <v>1.003</v>
      </c>
      <c r="E2976" s="16">
        <f>IFERROR(__xludf.DUMMYFUNCTION("""COMPUTED_VALUE"""),62.0)</f>
        <v>62</v>
      </c>
      <c r="F2976" s="19" t="str">
        <f>IFERROR(__xludf.DUMMYFUNCTION("""COMPUTED_VALUE"""),"BLUE")</f>
        <v>BLUE</v>
      </c>
      <c r="G2976" s="20" t="str">
        <f>IFERROR(__xludf.DUMMYFUNCTION("""COMPUTED_VALUE"""),"Uncle Sams Cider (11/12/2021) (Blue)")</f>
        <v>Uncle Sams Cider (11/12/2021) (Blue)</v>
      </c>
      <c r="H2976" s="19"/>
    </row>
    <row r="2977">
      <c r="A2977" s="9"/>
      <c r="B2977" s="15"/>
      <c r="C2977" s="9">
        <f>IFERROR(__xludf.DUMMYFUNCTION("""COMPUTED_VALUE"""),44574.532717199)</f>
        <v>44574.53272</v>
      </c>
      <c r="D2977" s="15">
        <f>IFERROR(__xludf.DUMMYFUNCTION("""COMPUTED_VALUE"""),1.003)</f>
        <v>1.003</v>
      </c>
      <c r="E2977" s="16">
        <f>IFERROR(__xludf.DUMMYFUNCTION("""COMPUTED_VALUE"""),62.0)</f>
        <v>62</v>
      </c>
      <c r="F2977" s="19" t="str">
        <f>IFERROR(__xludf.DUMMYFUNCTION("""COMPUTED_VALUE"""),"BLUE")</f>
        <v>BLUE</v>
      </c>
      <c r="G2977" s="20" t="str">
        <f>IFERROR(__xludf.DUMMYFUNCTION("""COMPUTED_VALUE"""),"Uncle Sams Cider (11/12/2021) (Blue)")</f>
        <v>Uncle Sams Cider (11/12/2021) (Blue)</v>
      </c>
      <c r="H2977" s="19"/>
    </row>
    <row r="2978">
      <c r="A2978" s="9"/>
      <c r="B2978" s="15"/>
      <c r="C2978" s="9">
        <f>IFERROR(__xludf.DUMMYFUNCTION("""COMPUTED_VALUE"""),44574.5222962152)</f>
        <v>44574.5223</v>
      </c>
      <c r="D2978" s="15">
        <f>IFERROR(__xludf.DUMMYFUNCTION("""COMPUTED_VALUE"""),1.004)</f>
        <v>1.004</v>
      </c>
      <c r="E2978" s="16">
        <f>IFERROR(__xludf.DUMMYFUNCTION("""COMPUTED_VALUE"""),62.0)</f>
        <v>62</v>
      </c>
      <c r="F2978" s="19" t="str">
        <f>IFERROR(__xludf.DUMMYFUNCTION("""COMPUTED_VALUE"""),"BLUE")</f>
        <v>BLUE</v>
      </c>
      <c r="G2978" s="20" t="str">
        <f>IFERROR(__xludf.DUMMYFUNCTION("""COMPUTED_VALUE"""),"Uncle Sams Cider (11/12/2021) (Blue)")</f>
        <v>Uncle Sams Cider (11/12/2021) (Blue)</v>
      </c>
      <c r="H2978" s="19"/>
    </row>
    <row r="2979">
      <c r="A2979" s="9"/>
      <c r="B2979" s="15"/>
      <c r="C2979" s="9">
        <f>IFERROR(__xludf.DUMMYFUNCTION("""COMPUTED_VALUE"""),44574.5118739583)</f>
        <v>44574.51187</v>
      </c>
      <c r="D2979" s="15">
        <f>IFERROR(__xludf.DUMMYFUNCTION("""COMPUTED_VALUE"""),1.004)</f>
        <v>1.004</v>
      </c>
      <c r="E2979" s="16">
        <f>IFERROR(__xludf.DUMMYFUNCTION("""COMPUTED_VALUE"""),62.0)</f>
        <v>62</v>
      </c>
      <c r="F2979" s="19" t="str">
        <f>IFERROR(__xludf.DUMMYFUNCTION("""COMPUTED_VALUE"""),"BLUE")</f>
        <v>BLUE</v>
      </c>
      <c r="G2979" s="20" t="str">
        <f>IFERROR(__xludf.DUMMYFUNCTION("""COMPUTED_VALUE"""),"Uncle Sams Cider (11/12/2021) (Blue)")</f>
        <v>Uncle Sams Cider (11/12/2021) (Blue)</v>
      </c>
      <c r="H2979" s="19"/>
    </row>
    <row r="2980">
      <c r="A2980" s="9"/>
      <c r="B2980" s="15"/>
      <c r="C2980" s="9">
        <f>IFERROR(__xludf.DUMMYFUNCTION("""COMPUTED_VALUE"""),44574.50145353)</f>
        <v>44574.50145</v>
      </c>
      <c r="D2980" s="15">
        <f>IFERROR(__xludf.DUMMYFUNCTION("""COMPUTED_VALUE"""),1.004)</f>
        <v>1.004</v>
      </c>
      <c r="E2980" s="16">
        <f>IFERROR(__xludf.DUMMYFUNCTION("""COMPUTED_VALUE"""),62.0)</f>
        <v>62</v>
      </c>
      <c r="F2980" s="19" t="str">
        <f>IFERROR(__xludf.DUMMYFUNCTION("""COMPUTED_VALUE"""),"BLUE")</f>
        <v>BLUE</v>
      </c>
      <c r="G2980" s="20" t="str">
        <f>IFERROR(__xludf.DUMMYFUNCTION("""COMPUTED_VALUE"""),"Uncle Sams Cider (11/12/2021) (Blue)")</f>
        <v>Uncle Sams Cider (11/12/2021) (Blue)</v>
      </c>
      <c r="H2980" s="19"/>
    </row>
    <row r="2981">
      <c r="A2981" s="9"/>
      <c r="B2981" s="15"/>
      <c r="C2981" s="9">
        <f>IFERROR(__xludf.DUMMYFUNCTION("""COMPUTED_VALUE"""),44574.4910335532)</f>
        <v>44574.49103</v>
      </c>
      <c r="D2981" s="15">
        <f>IFERROR(__xludf.DUMMYFUNCTION("""COMPUTED_VALUE"""),1.004)</f>
        <v>1.004</v>
      </c>
      <c r="E2981" s="16">
        <f>IFERROR(__xludf.DUMMYFUNCTION("""COMPUTED_VALUE"""),62.0)</f>
        <v>62</v>
      </c>
      <c r="F2981" s="19" t="str">
        <f>IFERROR(__xludf.DUMMYFUNCTION("""COMPUTED_VALUE"""),"BLUE")</f>
        <v>BLUE</v>
      </c>
      <c r="G2981" s="20" t="str">
        <f>IFERROR(__xludf.DUMMYFUNCTION("""COMPUTED_VALUE"""),"Uncle Sams Cider (11/12/2021) (Blue)")</f>
        <v>Uncle Sams Cider (11/12/2021) (Blue)</v>
      </c>
      <c r="H2981" s="19"/>
    </row>
    <row r="2982">
      <c r="A2982" s="9"/>
      <c r="B2982" s="15"/>
      <c r="C2982" s="9">
        <f>IFERROR(__xludf.DUMMYFUNCTION("""COMPUTED_VALUE"""),44574.4806113773)</f>
        <v>44574.48061</v>
      </c>
      <c r="D2982" s="15">
        <f>IFERROR(__xludf.DUMMYFUNCTION("""COMPUTED_VALUE"""),1.004)</f>
        <v>1.004</v>
      </c>
      <c r="E2982" s="16">
        <f>IFERROR(__xludf.DUMMYFUNCTION("""COMPUTED_VALUE"""),62.0)</f>
        <v>62</v>
      </c>
      <c r="F2982" s="19" t="str">
        <f>IFERROR(__xludf.DUMMYFUNCTION("""COMPUTED_VALUE"""),"BLUE")</f>
        <v>BLUE</v>
      </c>
      <c r="G2982" s="20" t="str">
        <f>IFERROR(__xludf.DUMMYFUNCTION("""COMPUTED_VALUE"""),"Uncle Sams Cider (11/12/2021) (Blue)")</f>
        <v>Uncle Sams Cider (11/12/2021) (Blue)</v>
      </c>
      <c r="H2982" s="19"/>
    </row>
    <row r="2983">
      <c r="A2983" s="9"/>
      <c r="B2983" s="15"/>
      <c r="C2983" s="9">
        <f>IFERROR(__xludf.DUMMYFUNCTION("""COMPUTED_VALUE"""),44574.4701786921)</f>
        <v>44574.47018</v>
      </c>
      <c r="D2983" s="15">
        <f>IFERROR(__xludf.DUMMYFUNCTION("""COMPUTED_VALUE"""),1.004)</f>
        <v>1.004</v>
      </c>
      <c r="E2983" s="16">
        <f>IFERROR(__xludf.DUMMYFUNCTION("""COMPUTED_VALUE"""),62.0)</f>
        <v>62</v>
      </c>
      <c r="F2983" s="19" t="str">
        <f>IFERROR(__xludf.DUMMYFUNCTION("""COMPUTED_VALUE"""),"BLUE")</f>
        <v>BLUE</v>
      </c>
      <c r="G2983" s="20" t="str">
        <f>IFERROR(__xludf.DUMMYFUNCTION("""COMPUTED_VALUE"""),"Uncle Sams Cider (11/12/2021) (Blue)")</f>
        <v>Uncle Sams Cider (11/12/2021) (Blue)</v>
      </c>
      <c r="H2983" s="19"/>
    </row>
    <row r="2984">
      <c r="A2984" s="9"/>
      <c r="B2984" s="15"/>
      <c r="C2984" s="9">
        <f>IFERROR(__xludf.DUMMYFUNCTION("""COMPUTED_VALUE"""),44574.4597572337)</f>
        <v>44574.45976</v>
      </c>
      <c r="D2984" s="15">
        <f>IFERROR(__xludf.DUMMYFUNCTION("""COMPUTED_VALUE"""),1.004)</f>
        <v>1.004</v>
      </c>
      <c r="E2984" s="16">
        <f>IFERROR(__xludf.DUMMYFUNCTION("""COMPUTED_VALUE"""),62.0)</f>
        <v>62</v>
      </c>
      <c r="F2984" s="19" t="str">
        <f>IFERROR(__xludf.DUMMYFUNCTION("""COMPUTED_VALUE"""),"BLUE")</f>
        <v>BLUE</v>
      </c>
      <c r="G2984" s="20" t="str">
        <f>IFERROR(__xludf.DUMMYFUNCTION("""COMPUTED_VALUE"""),"Uncle Sams Cider (11/12/2021) (Blue)")</f>
        <v>Uncle Sams Cider (11/12/2021) (Blue)</v>
      </c>
      <c r="H2984" s="19"/>
    </row>
    <row r="2985">
      <c r="A2985" s="9"/>
      <c r="B2985" s="15"/>
      <c r="C2985" s="9">
        <f>IFERROR(__xludf.DUMMYFUNCTION("""COMPUTED_VALUE"""),44574.4493377777)</f>
        <v>44574.44934</v>
      </c>
      <c r="D2985" s="15">
        <f>IFERROR(__xludf.DUMMYFUNCTION("""COMPUTED_VALUE"""),1.004)</f>
        <v>1.004</v>
      </c>
      <c r="E2985" s="16">
        <f>IFERROR(__xludf.DUMMYFUNCTION("""COMPUTED_VALUE"""),62.0)</f>
        <v>62</v>
      </c>
      <c r="F2985" s="19" t="str">
        <f>IFERROR(__xludf.DUMMYFUNCTION("""COMPUTED_VALUE"""),"BLUE")</f>
        <v>BLUE</v>
      </c>
      <c r="G2985" s="20" t="str">
        <f>IFERROR(__xludf.DUMMYFUNCTION("""COMPUTED_VALUE"""),"Uncle Sams Cider (11/12/2021) (Blue)")</f>
        <v>Uncle Sams Cider (11/12/2021) (Blue)</v>
      </c>
      <c r="H2985" s="19"/>
    </row>
    <row r="2986">
      <c r="A2986" s="9"/>
      <c r="B2986" s="15"/>
      <c r="C2986" s="9">
        <f>IFERROR(__xludf.DUMMYFUNCTION("""COMPUTED_VALUE"""),44574.4389039699)</f>
        <v>44574.4389</v>
      </c>
      <c r="D2986" s="15">
        <f>IFERROR(__xludf.DUMMYFUNCTION("""COMPUTED_VALUE"""),1.004)</f>
        <v>1.004</v>
      </c>
      <c r="E2986" s="16">
        <f>IFERROR(__xludf.DUMMYFUNCTION("""COMPUTED_VALUE"""),62.0)</f>
        <v>62</v>
      </c>
      <c r="F2986" s="19" t="str">
        <f>IFERROR(__xludf.DUMMYFUNCTION("""COMPUTED_VALUE"""),"BLUE")</f>
        <v>BLUE</v>
      </c>
      <c r="G2986" s="20" t="str">
        <f>IFERROR(__xludf.DUMMYFUNCTION("""COMPUTED_VALUE"""),"Uncle Sams Cider (11/12/2021) (Blue)")</f>
        <v>Uncle Sams Cider (11/12/2021) (Blue)</v>
      </c>
      <c r="H2986" s="19"/>
    </row>
    <row r="2987">
      <c r="A2987" s="9"/>
      <c r="B2987" s="15"/>
      <c r="C2987" s="9">
        <f>IFERROR(__xludf.DUMMYFUNCTION("""COMPUTED_VALUE"""),44574.4284840046)</f>
        <v>44574.42848</v>
      </c>
      <c r="D2987" s="15">
        <f>IFERROR(__xludf.DUMMYFUNCTION("""COMPUTED_VALUE"""),1.004)</f>
        <v>1.004</v>
      </c>
      <c r="E2987" s="16">
        <f>IFERROR(__xludf.DUMMYFUNCTION("""COMPUTED_VALUE"""),62.0)</f>
        <v>62</v>
      </c>
      <c r="F2987" s="19" t="str">
        <f>IFERROR(__xludf.DUMMYFUNCTION("""COMPUTED_VALUE"""),"BLUE")</f>
        <v>BLUE</v>
      </c>
      <c r="G2987" s="20" t="str">
        <f>IFERROR(__xludf.DUMMYFUNCTION("""COMPUTED_VALUE"""),"Uncle Sams Cider (11/12/2021) (Blue)")</f>
        <v>Uncle Sams Cider (11/12/2021) (Blue)</v>
      </c>
      <c r="H2987" s="19"/>
    </row>
    <row r="2988">
      <c r="A2988" s="9"/>
      <c r="B2988" s="15"/>
      <c r="C2988" s="9">
        <f>IFERROR(__xludf.DUMMYFUNCTION("""COMPUTED_VALUE"""),44574.4180637152)</f>
        <v>44574.41806</v>
      </c>
      <c r="D2988" s="15">
        <f>IFERROR(__xludf.DUMMYFUNCTION("""COMPUTED_VALUE"""),1.004)</f>
        <v>1.004</v>
      </c>
      <c r="E2988" s="16">
        <f>IFERROR(__xludf.DUMMYFUNCTION("""COMPUTED_VALUE"""),62.0)</f>
        <v>62</v>
      </c>
      <c r="F2988" s="19" t="str">
        <f>IFERROR(__xludf.DUMMYFUNCTION("""COMPUTED_VALUE"""),"BLUE")</f>
        <v>BLUE</v>
      </c>
      <c r="G2988" s="20" t="str">
        <f>IFERROR(__xludf.DUMMYFUNCTION("""COMPUTED_VALUE"""),"Uncle Sams Cider (11/12/2021) (Blue)")</f>
        <v>Uncle Sams Cider (11/12/2021) (Blue)</v>
      </c>
      <c r="H2988" s="19"/>
    </row>
    <row r="2989">
      <c r="A2989" s="9"/>
      <c r="B2989" s="15"/>
      <c r="C2989" s="9">
        <f>IFERROR(__xludf.DUMMYFUNCTION("""COMPUTED_VALUE"""),44574.4076416666)</f>
        <v>44574.40764</v>
      </c>
      <c r="D2989" s="15">
        <f>IFERROR(__xludf.DUMMYFUNCTION("""COMPUTED_VALUE"""),1.004)</f>
        <v>1.004</v>
      </c>
      <c r="E2989" s="16">
        <f>IFERROR(__xludf.DUMMYFUNCTION("""COMPUTED_VALUE"""),62.0)</f>
        <v>62</v>
      </c>
      <c r="F2989" s="19" t="str">
        <f>IFERROR(__xludf.DUMMYFUNCTION("""COMPUTED_VALUE"""),"BLUE")</f>
        <v>BLUE</v>
      </c>
      <c r="G2989" s="20" t="str">
        <f>IFERROR(__xludf.DUMMYFUNCTION("""COMPUTED_VALUE"""),"Uncle Sams Cider (11/12/2021) (Blue)")</f>
        <v>Uncle Sams Cider (11/12/2021) (Blue)</v>
      </c>
      <c r="H2989" s="19"/>
    </row>
    <row r="2990">
      <c r="A2990" s="9"/>
      <c r="B2990" s="15"/>
      <c r="C2990" s="9">
        <f>IFERROR(__xludf.DUMMYFUNCTION("""COMPUTED_VALUE"""),44574.39721978)</f>
        <v>44574.39722</v>
      </c>
      <c r="D2990" s="15">
        <f>IFERROR(__xludf.DUMMYFUNCTION("""COMPUTED_VALUE"""),1.004)</f>
        <v>1.004</v>
      </c>
      <c r="E2990" s="16">
        <f>IFERROR(__xludf.DUMMYFUNCTION("""COMPUTED_VALUE"""),62.0)</f>
        <v>62</v>
      </c>
      <c r="F2990" s="19" t="str">
        <f>IFERROR(__xludf.DUMMYFUNCTION("""COMPUTED_VALUE"""),"BLUE")</f>
        <v>BLUE</v>
      </c>
      <c r="G2990" s="20" t="str">
        <f>IFERROR(__xludf.DUMMYFUNCTION("""COMPUTED_VALUE"""),"Uncle Sams Cider (11/12/2021) (Blue)")</f>
        <v>Uncle Sams Cider (11/12/2021) (Blue)</v>
      </c>
      <c r="H2990" s="19"/>
    </row>
    <row r="2991">
      <c r="A2991" s="9"/>
      <c r="B2991" s="15"/>
      <c r="C2991" s="9">
        <f>IFERROR(__xludf.DUMMYFUNCTION("""COMPUTED_VALUE"""),44574.3867898958)</f>
        <v>44574.38679</v>
      </c>
      <c r="D2991" s="15">
        <f>IFERROR(__xludf.DUMMYFUNCTION("""COMPUTED_VALUE"""),1.003)</f>
        <v>1.003</v>
      </c>
      <c r="E2991" s="16">
        <f>IFERROR(__xludf.DUMMYFUNCTION("""COMPUTED_VALUE"""),62.0)</f>
        <v>62</v>
      </c>
      <c r="F2991" s="19" t="str">
        <f>IFERROR(__xludf.DUMMYFUNCTION("""COMPUTED_VALUE"""),"BLUE")</f>
        <v>BLUE</v>
      </c>
      <c r="G2991" s="20" t="str">
        <f>IFERROR(__xludf.DUMMYFUNCTION("""COMPUTED_VALUE"""),"Uncle Sams Cider (11/12/2021) (Blue)")</f>
        <v>Uncle Sams Cider (11/12/2021) (Blue)</v>
      </c>
      <c r="H2991" s="19"/>
    </row>
    <row r="2992">
      <c r="A2992" s="9"/>
      <c r="B2992" s="15"/>
      <c r="C2992" s="9">
        <f>IFERROR(__xludf.DUMMYFUNCTION("""COMPUTED_VALUE"""),44574.3763684143)</f>
        <v>44574.37637</v>
      </c>
      <c r="D2992" s="15">
        <f>IFERROR(__xludf.DUMMYFUNCTION("""COMPUTED_VALUE"""),1.004)</f>
        <v>1.004</v>
      </c>
      <c r="E2992" s="16">
        <f>IFERROR(__xludf.DUMMYFUNCTION("""COMPUTED_VALUE"""),62.0)</f>
        <v>62</v>
      </c>
      <c r="F2992" s="19" t="str">
        <f>IFERROR(__xludf.DUMMYFUNCTION("""COMPUTED_VALUE"""),"BLUE")</f>
        <v>BLUE</v>
      </c>
      <c r="G2992" s="20" t="str">
        <f>IFERROR(__xludf.DUMMYFUNCTION("""COMPUTED_VALUE"""),"Uncle Sams Cider (11/12/2021) (Blue)")</f>
        <v>Uncle Sams Cider (11/12/2021) (Blue)</v>
      </c>
      <c r="H2992" s="19"/>
    </row>
    <row r="2993">
      <c r="A2993" s="9"/>
      <c r="B2993" s="15"/>
      <c r="C2993" s="9">
        <f>IFERROR(__xludf.DUMMYFUNCTION("""COMPUTED_VALUE"""),44574.3659489583)</f>
        <v>44574.36595</v>
      </c>
      <c r="D2993" s="15">
        <f>IFERROR(__xludf.DUMMYFUNCTION("""COMPUTED_VALUE"""),1.004)</f>
        <v>1.004</v>
      </c>
      <c r="E2993" s="16">
        <f>IFERROR(__xludf.DUMMYFUNCTION("""COMPUTED_VALUE"""),62.0)</f>
        <v>62</v>
      </c>
      <c r="F2993" s="19" t="str">
        <f>IFERROR(__xludf.DUMMYFUNCTION("""COMPUTED_VALUE"""),"BLUE")</f>
        <v>BLUE</v>
      </c>
      <c r="G2993" s="20" t="str">
        <f>IFERROR(__xludf.DUMMYFUNCTION("""COMPUTED_VALUE"""),"Uncle Sams Cider (11/12/2021) (Blue)")</f>
        <v>Uncle Sams Cider (11/12/2021) (Blue)</v>
      </c>
      <c r="H2993" s="19"/>
    </row>
    <row r="2994">
      <c r="A2994" s="9"/>
      <c r="B2994" s="15"/>
      <c r="C2994" s="9">
        <f>IFERROR(__xludf.DUMMYFUNCTION("""COMPUTED_VALUE"""),44574.3555168981)</f>
        <v>44574.35552</v>
      </c>
      <c r="D2994" s="15">
        <f>IFERROR(__xludf.DUMMYFUNCTION("""COMPUTED_VALUE"""),1.004)</f>
        <v>1.004</v>
      </c>
      <c r="E2994" s="16">
        <f>IFERROR(__xludf.DUMMYFUNCTION("""COMPUTED_VALUE"""),62.0)</f>
        <v>62</v>
      </c>
      <c r="F2994" s="19" t="str">
        <f>IFERROR(__xludf.DUMMYFUNCTION("""COMPUTED_VALUE"""),"BLUE")</f>
        <v>BLUE</v>
      </c>
      <c r="G2994" s="20" t="str">
        <f>IFERROR(__xludf.DUMMYFUNCTION("""COMPUTED_VALUE"""),"Uncle Sams Cider (11/12/2021) (Blue)")</f>
        <v>Uncle Sams Cider (11/12/2021) (Blue)</v>
      </c>
      <c r="H2994" s="19"/>
    </row>
    <row r="2995">
      <c r="A2995" s="9"/>
      <c r="B2995" s="15"/>
      <c r="C2995" s="9">
        <f>IFERROR(__xludf.DUMMYFUNCTION("""COMPUTED_VALUE"""),44574.3450968981)</f>
        <v>44574.3451</v>
      </c>
      <c r="D2995" s="15">
        <f>IFERROR(__xludf.DUMMYFUNCTION("""COMPUTED_VALUE"""),1.004)</f>
        <v>1.004</v>
      </c>
      <c r="E2995" s="16">
        <f>IFERROR(__xludf.DUMMYFUNCTION("""COMPUTED_VALUE"""),62.0)</f>
        <v>62</v>
      </c>
      <c r="F2995" s="19" t="str">
        <f>IFERROR(__xludf.DUMMYFUNCTION("""COMPUTED_VALUE"""),"BLUE")</f>
        <v>BLUE</v>
      </c>
      <c r="G2995" s="20" t="str">
        <f>IFERROR(__xludf.DUMMYFUNCTION("""COMPUTED_VALUE"""),"Uncle Sams Cider (11/12/2021) (Blue)")</f>
        <v>Uncle Sams Cider (11/12/2021) (Blue)</v>
      </c>
      <c r="H2995" s="19"/>
    </row>
    <row r="2996">
      <c r="A2996" s="9"/>
      <c r="B2996" s="15"/>
      <c r="C2996" s="9">
        <f>IFERROR(__xludf.DUMMYFUNCTION("""COMPUTED_VALUE"""),44574.334653449)</f>
        <v>44574.33465</v>
      </c>
      <c r="D2996" s="15">
        <f>IFERROR(__xludf.DUMMYFUNCTION("""COMPUTED_VALUE"""),1.003)</f>
        <v>1.003</v>
      </c>
      <c r="E2996" s="16">
        <f>IFERROR(__xludf.DUMMYFUNCTION("""COMPUTED_VALUE"""),62.0)</f>
        <v>62</v>
      </c>
      <c r="F2996" s="19" t="str">
        <f>IFERROR(__xludf.DUMMYFUNCTION("""COMPUTED_VALUE"""),"BLUE")</f>
        <v>BLUE</v>
      </c>
      <c r="G2996" s="20" t="str">
        <f>IFERROR(__xludf.DUMMYFUNCTION("""COMPUTED_VALUE"""),"Uncle Sams Cider (11/12/2021) (Blue)")</f>
        <v>Uncle Sams Cider (11/12/2021) (Blue)</v>
      </c>
      <c r="H2996" s="19"/>
    </row>
    <row r="2997">
      <c r="A2997" s="9"/>
      <c r="B2997" s="15"/>
      <c r="C2997" s="9">
        <f>IFERROR(__xludf.DUMMYFUNCTION("""COMPUTED_VALUE"""),44574.3242331828)</f>
        <v>44574.32423</v>
      </c>
      <c r="D2997" s="15">
        <f>IFERROR(__xludf.DUMMYFUNCTION("""COMPUTED_VALUE"""),1.004)</f>
        <v>1.004</v>
      </c>
      <c r="E2997" s="16">
        <f>IFERROR(__xludf.DUMMYFUNCTION("""COMPUTED_VALUE"""),62.0)</f>
        <v>62</v>
      </c>
      <c r="F2997" s="19" t="str">
        <f>IFERROR(__xludf.DUMMYFUNCTION("""COMPUTED_VALUE"""),"BLUE")</f>
        <v>BLUE</v>
      </c>
      <c r="G2997" s="20" t="str">
        <f>IFERROR(__xludf.DUMMYFUNCTION("""COMPUTED_VALUE"""),"Uncle Sams Cider (11/12/2021) (Blue)")</f>
        <v>Uncle Sams Cider (11/12/2021) (Blue)</v>
      </c>
      <c r="H2997" s="19"/>
    </row>
    <row r="2998">
      <c r="A2998" s="9"/>
      <c r="B2998" s="15"/>
      <c r="C2998" s="9">
        <f>IFERROR(__xludf.DUMMYFUNCTION("""COMPUTED_VALUE"""),44574.3138108333)</f>
        <v>44574.31381</v>
      </c>
      <c r="D2998" s="15">
        <f>IFERROR(__xludf.DUMMYFUNCTION("""COMPUTED_VALUE"""),1.004)</f>
        <v>1.004</v>
      </c>
      <c r="E2998" s="16">
        <f>IFERROR(__xludf.DUMMYFUNCTION("""COMPUTED_VALUE"""),62.0)</f>
        <v>62</v>
      </c>
      <c r="F2998" s="19" t="str">
        <f>IFERROR(__xludf.DUMMYFUNCTION("""COMPUTED_VALUE"""),"BLUE")</f>
        <v>BLUE</v>
      </c>
      <c r="G2998" s="20" t="str">
        <f>IFERROR(__xludf.DUMMYFUNCTION("""COMPUTED_VALUE"""),"Uncle Sams Cider (11/12/2021) (Blue)")</f>
        <v>Uncle Sams Cider (11/12/2021) (Blue)</v>
      </c>
      <c r="H2998" s="19"/>
    </row>
    <row r="2999">
      <c r="A2999" s="9"/>
      <c r="B2999" s="15"/>
      <c r="C2999" s="9">
        <f>IFERROR(__xludf.DUMMYFUNCTION("""COMPUTED_VALUE"""),44574.303390949)</f>
        <v>44574.30339</v>
      </c>
      <c r="D2999" s="15">
        <f>IFERROR(__xludf.DUMMYFUNCTION("""COMPUTED_VALUE"""),1.004)</f>
        <v>1.004</v>
      </c>
      <c r="E2999" s="16">
        <f>IFERROR(__xludf.DUMMYFUNCTION("""COMPUTED_VALUE"""),62.0)</f>
        <v>62</v>
      </c>
      <c r="F2999" s="19" t="str">
        <f>IFERROR(__xludf.DUMMYFUNCTION("""COMPUTED_VALUE"""),"BLUE")</f>
        <v>BLUE</v>
      </c>
      <c r="G2999" s="20" t="str">
        <f>IFERROR(__xludf.DUMMYFUNCTION("""COMPUTED_VALUE"""),"Uncle Sams Cider (11/12/2021) (Blue)")</f>
        <v>Uncle Sams Cider (11/12/2021) (Blue)</v>
      </c>
      <c r="H2999" s="19"/>
    </row>
    <row r="3000">
      <c r="A3000" s="9"/>
      <c r="B3000" s="15"/>
      <c r="C3000" s="9">
        <f>IFERROR(__xludf.DUMMYFUNCTION("""COMPUTED_VALUE"""),44574.2929693981)</f>
        <v>44574.29297</v>
      </c>
      <c r="D3000" s="15">
        <f>IFERROR(__xludf.DUMMYFUNCTION("""COMPUTED_VALUE"""),1.004)</f>
        <v>1.004</v>
      </c>
      <c r="E3000" s="16">
        <f>IFERROR(__xludf.DUMMYFUNCTION("""COMPUTED_VALUE"""),62.0)</f>
        <v>62</v>
      </c>
      <c r="F3000" s="19" t="str">
        <f>IFERROR(__xludf.DUMMYFUNCTION("""COMPUTED_VALUE"""),"BLUE")</f>
        <v>BLUE</v>
      </c>
      <c r="G3000" s="20" t="str">
        <f>IFERROR(__xludf.DUMMYFUNCTION("""COMPUTED_VALUE"""),"Uncle Sams Cider (11/12/2021) (Blue)")</f>
        <v>Uncle Sams Cider (11/12/2021) (Blue)</v>
      </c>
      <c r="H3000" s="19"/>
    </row>
    <row r="3001">
      <c r="A3001" s="9"/>
      <c r="B3001" s="15"/>
      <c r="C3001" s="9">
        <f>IFERROR(__xludf.DUMMYFUNCTION("""COMPUTED_VALUE"""),44574.2825460532)</f>
        <v>44574.28255</v>
      </c>
      <c r="D3001" s="15">
        <f>IFERROR(__xludf.DUMMYFUNCTION("""COMPUTED_VALUE"""),1.004)</f>
        <v>1.004</v>
      </c>
      <c r="E3001" s="16">
        <f>IFERROR(__xludf.DUMMYFUNCTION("""COMPUTED_VALUE"""),62.0)</f>
        <v>62</v>
      </c>
      <c r="F3001" s="19" t="str">
        <f>IFERROR(__xludf.DUMMYFUNCTION("""COMPUTED_VALUE"""),"BLUE")</f>
        <v>BLUE</v>
      </c>
      <c r="G3001" s="20" t="str">
        <f>IFERROR(__xludf.DUMMYFUNCTION("""COMPUTED_VALUE"""),"Uncle Sams Cider (11/12/2021) (Blue)")</f>
        <v>Uncle Sams Cider (11/12/2021) (Blue)</v>
      </c>
      <c r="H3001" s="19"/>
    </row>
    <row r="3002">
      <c r="A3002" s="9"/>
      <c r="B3002" s="15"/>
      <c r="C3002" s="9">
        <f>IFERROR(__xludf.DUMMYFUNCTION("""COMPUTED_VALUE"""),44574.2721124652)</f>
        <v>44574.27211</v>
      </c>
      <c r="D3002" s="15">
        <f>IFERROR(__xludf.DUMMYFUNCTION("""COMPUTED_VALUE"""),1.004)</f>
        <v>1.004</v>
      </c>
      <c r="E3002" s="16">
        <f>IFERROR(__xludf.DUMMYFUNCTION("""COMPUTED_VALUE"""),62.0)</f>
        <v>62</v>
      </c>
      <c r="F3002" s="19" t="str">
        <f>IFERROR(__xludf.DUMMYFUNCTION("""COMPUTED_VALUE"""),"BLUE")</f>
        <v>BLUE</v>
      </c>
      <c r="G3002" s="20" t="str">
        <f>IFERROR(__xludf.DUMMYFUNCTION("""COMPUTED_VALUE"""),"Uncle Sams Cider (11/12/2021) (Blue)")</f>
        <v>Uncle Sams Cider (11/12/2021) (Blue)</v>
      </c>
      <c r="H3002" s="19"/>
    </row>
    <row r="3003">
      <c r="A3003" s="9"/>
      <c r="B3003" s="15"/>
      <c r="C3003" s="9">
        <f>IFERROR(__xludf.DUMMYFUNCTION("""COMPUTED_VALUE"""),44574.2616797222)</f>
        <v>44574.26168</v>
      </c>
      <c r="D3003" s="15">
        <f>IFERROR(__xludf.DUMMYFUNCTION("""COMPUTED_VALUE"""),1.004)</f>
        <v>1.004</v>
      </c>
      <c r="E3003" s="16">
        <f>IFERROR(__xludf.DUMMYFUNCTION("""COMPUTED_VALUE"""),62.0)</f>
        <v>62</v>
      </c>
      <c r="F3003" s="19" t="str">
        <f>IFERROR(__xludf.DUMMYFUNCTION("""COMPUTED_VALUE"""),"BLUE")</f>
        <v>BLUE</v>
      </c>
      <c r="G3003" s="20" t="str">
        <f>IFERROR(__xludf.DUMMYFUNCTION("""COMPUTED_VALUE"""),"Uncle Sams Cider (11/12/2021) (Blue)")</f>
        <v>Uncle Sams Cider (11/12/2021) (Blue)</v>
      </c>
      <c r="H3003" s="19"/>
    </row>
    <row r="3004">
      <c r="A3004" s="9"/>
      <c r="B3004" s="15"/>
      <c r="C3004" s="9">
        <f>IFERROR(__xludf.DUMMYFUNCTION("""COMPUTED_VALUE"""),44574.2512581365)</f>
        <v>44574.25126</v>
      </c>
      <c r="D3004" s="15">
        <f>IFERROR(__xludf.DUMMYFUNCTION("""COMPUTED_VALUE"""),1.004)</f>
        <v>1.004</v>
      </c>
      <c r="E3004" s="16">
        <f>IFERROR(__xludf.DUMMYFUNCTION("""COMPUTED_VALUE"""),62.0)</f>
        <v>62</v>
      </c>
      <c r="F3004" s="19" t="str">
        <f>IFERROR(__xludf.DUMMYFUNCTION("""COMPUTED_VALUE"""),"BLUE")</f>
        <v>BLUE</v>
      </c>
      <c r="G3004" s="20" t="str">
        <f>IFERROR(__xludf.DUMMYFUNCTION("""COMPUTED_VALUE"""),"Uncle Sams Cider (11/12/2021) (Blue)")</f>
        <v>Uncle Sams Cider (11/12/2021) (Blue)</v>
      </c>
      <c r="H3004" s="19"/>
    </row>
    <row r="3005">
      <c r="A3005" s="9"/>
      <c r="B3005" s="15"/>
      <c r="C3005" s="9">
        <f>IFERROR(__xludf.DUMMYFUNCTION("""COMPUTED_VALUE"""),44574.2408378935)</f>
        <v>44574.24084</v>
      </c>
      <c r="D3005" s="15">
        <f>IFERROR(__xludf.DUMMYFUNCTION("""COMPUTED_VALUE"""),1.003)</f>
        <v>1.003</v>
      </c>
      <c r="E3005" s="16">
        <f>IFERROR(__xludf.DUMMYFUNCTION("""COMPUTED_VALUE"""),62.0)</f>
        <v>62</v>
      </c>
      <c r="F3005" s="19" t="str">
        <f>IFERROR(__xludf.DUMMYFUNCTION("""COMPUTED_VALUE"""),"BLUE")</f>
        <v>BLUE</v>
      </c>
      <c r="G3005" s="20" t="str">
        <f>IFERROR(__xludf.DUMMYFUNCTION("""COMPUTED_VALUE"""),"Uncle Sams Cider (11/12/2021) (Blue)")</f>
        <v>Uncle Sams Cider (11/12/2021) (Blue)</v>
      </c>
      <c r="H3005" s="19"/>
    </row>
    <row r="3006">
      <c r="A3006" s="9"/>
      <c r="B3006" s="15"/>
      <c r="C3006" s="9">
        <f>IFERROR(__xludf.DUMMYFUNCTION("""COMPUTED_VALUE"""),44574.230417199)</f>
        <v>44574.23042</v>
      </c>
      <c r="D3006" s="15">
        <f>IFERROR(__xludf.DUMMYFUNCTION("""COMPUTED_VALUE"""),1.004)</f>
        <v>1.004</v>
      </c>
      <c r="E3006" s="16">
        <f>IFERROR(__xludf.DUMMYFUNCTION("""COMPUTED_VALUE"""),62.0)</f>
        <v>62</v>
      </c>
      <c r="F3006" s="19" t="str">
        <f>IFERROR(__xludf.DUMMYFUNCTION("""COMPUTED_VALUE"""),"BLUE")</f>
        <v>BLUE</v>
      </c>
      <c r="G3006" s="20" t="str">
        <f>IFERROR(__xludf.DUMMYFUNCTION("""COMPUTED_VALUE"""),"Uncle Sams Cider (11/12/2021) (Blue)")</f>
        <v>Uncle Sams Cider (11/12/2021) (Blue)</v>
      </c>
      <c r="H3006" s="19"/>
    </row>
    <row r="3007">
      <c r="A3007" s="9"/>
      <c r="B3007" s="15"/>
      <c r="C3007" s="9">
        <f>IFERROR(__xludf.DUMMYFUNCTION("""COMPUTED_VALUE"""),44574.2199726504)</f>
        <v>44574.21997</v>
      </c>
      <c r="D3007" s="15">
        <f>IFERROR(__xludf.DUMMYFUNCTION("""COMPUTED_VALUE"""),1.004)</f>
        <v>1.004</v>
      </c>
      <c r="E3007" s="16">
        <f>IFERROR(__xludf.DUMMYFUNCTION("""COMPUTED_VALUE"""),62.0)</f>
        <v>62</v>
      </c>
      <c r="F3007" s="19" t="str">
        <f>IFERROR(__xludf.DUMMYFUNCTION("""COMPUTED_VALUE"""),"BLUE")</f>
        <v>BLUE</v>
      </c>
      <c r="G3007" s="20" t="str">
        <f>IFERROR(__xludf.DUMMYFUNCTION("""COMPUTED_VALUE"""),"Uncle Sams Cider (11/12/2021) (Blue)")</f>
        <v>Uncle Sams Cider (11/12/2021) (Blue)</v>
      </c>
      <c r="H3007" s="19"/>
    </row>
    <row r="3008">
      <c r="A3008" s="9"/>
      <c r="B3008" s="15"/>
      <c r="C3008" s="9">
        <f>IFERROR(__xludf.DUMMYFUNCTION("""COMPUTED_VALUE"""),44574.2095514351)</f>
        <v>44574.20955</v>
      </c>
      <c r="D3008" s="15">
        <f>IFERROR(__xludf.DUMMYFUNCTION("""COMPUTED_VALUE"""),1.004)</f>
        <v>1.004</v>
      </c>
      <c r="E3008" s="16">
        <f>IFERROR(__xludf.DUMMYFUNCTION("""COMPUTED_VALUE"""),62.0)</f>
        <v>62</v>
      </c>
      <c r="F3008" s="19" t="str">
        <f>IFERROR(__xludf.DUMMYFUNCTION("""COMPUTED_VALUE"""),"BLUE")</f>
        <v>BLUE</v>
      </c>
      <c r="G3008" s="20" t="str">
        <f>IFERROR(__xludf.DUMMYFUNCTION("""COMPUTED_VALUE"""),"Uncle Sams Cider (11/12/2021) (Blue)")</f>
        <v>Uncle Sams Cider (11/12/2021) (Blue)</v>
      </c>
      <c r="H3008" s="19"/>
    </row>
    <row r="3009">
      <c r="A3009" s="9"/>
      <c r="B3009" s="15"/>
      <c r="C3009" s="9">
        <f>IFERROR(__xludf.DUMMYFUNCTION("""COMPUTED_VALUE"""),44574.1991311921)</f>
        <v>44574.19913</v>
      </c>
      <c r="D3009" s="15">
        <f>IFERROR(__xludf.DUMMYFUNCTION("""COMPUTED_VALUE"""),1.004)</f>
        <v>1.004</v>
      </c>
      <c r="E3009" s="16">
        <f>IFERROR(__xludf.DUMMYFUNCTION("""COMPUTED_VALUE"""),62.0)</f>
        <v>62</v>
      </c>
      <c r="F3009" s="19" t="str">
        <f>IFERROR(__xludf.DUMMYFUNCTION("""COMPUTED_VALUE"""),"BLUE")</f>
        <v>BLUE</v>
      </c>
      <c r="G3009" s="20" t="str">
        <f>IFERROR(__xludf.DUMMYFUNCTION("""COMPUTED_VALUE"""),"Uncle Sams Cider (11/12/2021) (Blue)")</f>
        <v>Uncle Sams Cider (11/12/2021) (Blue)</v>
      </c>
      <c r="H3009" s="19"/>
    </row>
    <row r="3010">
      <c r="A3010" s="9"/>
      <c r="B3010" s="15"/>
      <c r="C3010" s="9">
        <f>IFERROR(__xludf.DUMMYFUNCTION("""COMPUTED_VALUE"""),44574.1887113888)</f>
        <v>44574.18871</v>
      </c>
      <c r="D3010" s="15">
        <f>IFERROR(__xludf.DUMMYFUNCTION("""COMPUTED_VALUE"""),1.004)</f>
        <v>1.004</v>
      </c>
      <c r="E3010" s="16">
        <f>IFERROR(__xludf.DUMMYFUNCTION("""COMPUTED_VALUE"""),62.0)</f>
        <v>62</v>
      </c>
      <c r="F3010" s="19" t="str">
        <f>IFERROR(__xludf.DUMMYFUNCTION("""COMPUTED_VALUE"""),"BLUE")</f>
        <v>BLUE</v>
      </c>
      <c r="G3010" s="20" t="str">
        <f>IFERROR(__xludf.DUMMYFUNCTION("""COMPUTED_VALUE"""),"Uncle Sams Cider (11/12/2021) (Blue)")</f>
        <v>Uncle Sams Cider (11/12/2021) (Blue)</v>
      </c>
      <c r="H3010" s="19"/>
    </row>
    <row r="3011">
      <c r="A3011" s="9"/>
      <c r="B3011" s="15"/>
      <c r="C3011" s="9">
        <f>IFERROR(__xludf.DUMMYFUNCTION("""COMPUTED_VALUE"""),44574.178255706)</f>
        <v>44574.17826</v>
      </c>
      <c r="D3011" s="15">
        <f>IFERROR(__xludf.DUMMYFUNCTION("""COMPUTED_VALUE"""),1.004)</f>
        <v>1.004</v>
      </c>
      <c r="E3011" s="16">
        <f>IFERROR(__xludf.DUMMYFUNCTION("""COMPUTED_VALUE"""),62.0)</f>
        <v>62</v>
      </c>
      <c r="F3011" s="19" t="str">
        <f>IFERROR(__xludf.DUMMYFUNCTION("""COMPUTED_VALUE"""),"BLUE")</f>
        <v>BLUE</v>
      </c>
      <c r="G3011" s="20" t="str">
        <f>IFERROR(__xludf.DUMMYFUNCTION("""COMPUTED_VALUE"""),"Uncle Sams Cider (11/12/2021) (Blue)")</f>
        <v>Uncle Sams Cider (11/12/2021) (Blue)</v>
      </c>
      <c r="H3011" s="19"/>
    </row>
    <row r="3012">
      <c r="A3012" s="9"/>
      <c r="B3012" s="15"/>
      <c r="C3012" s="9">
        <f>IFERROR(__xludf.DUMMYFUNCTION("""COMPUTED_VALUE"""),44574.1678339699)</f>
        <v>44574.16783</v>
      </c>
      <c r="D3012" s="15">
        <f>IFERROR(__xludf.DUMMYFUNCTION("""COMPUTED_VALUE"""),1.004)</f>
        <v>1.004</v>
      </c>
      <c r="E3012" s="16">
        <f>IFERROR(__xludf.DUMMYFUNCTION("""COMPUTED_VALUE"""),62.0)</f>
        <v>62</v>
      </c>
      <c r="F3012" s="19" t="str">
        <f>IFERROR(__xludf.DUMMYFUNCTION("""COMPUTED_VALUE"""),"BLUE")</f>
        <v>BLUE</v>
      </c>
      <c r="G3012" s="20" t="str">
        <f>IFERROR(__xludf.DUMMYFUNCTION("""COMPUTED_VALUE"""),"Uncle Sams Cider (11/12/2021) (Blue)")</f>
        <v>Uncle Sams Cider (11/12/2021) (Blue)</v>
      </c>
      <c r="H3012" s="19"/>
    </row>
    <row r="3013">
      <c r="A3013" s="9"/>
      <c r="B3013" s="15"/>
      <c r="C3013" s="9">
        <f>IFERROR(__xludf.DUMMYFUNCTION("""COMPUTED_VALUE"""),44574.1574011342)</f>
        <v>44574.1574</v>
      </c>
      <c r="D3013" s="15">
        <f>IFERROR(__xludf.DUMMYFUNCTION("""COMPUTED_VALUE"""),1.004)</f>
        <v>1.004</v>
      </c>
      <c r="E3013" s="16">
        <f>IFERROR(__xludf.DUMMYFUNCTION("""COMPUTED_VALUE"""),62.0)</f>
        <v>62</v>
      </c>
      <c r="F3013" s="19" t="str">
        <f>IFERROR(__xludf.DUMMYFUNCTION("""COMPUTED_VALUE"""),"BLUE")</f>
        <v>BLUE</v>
      </c>
      <c r="G3013" s="20" t="str">
        <f>IFERROR(__xludf.DUMMYFUNCTION("""COMPUTED_VALUE"""),"Uncle Sams Cider (11/12/2021) (Blue)")</f>
        <v>Uncle Sams Cider (11/12/2021) (Blue)</v>
      </c>
      <c r="H3013" s="19"/>
    </row>
    <row r="3014">
      <c r="A3014" s="9"/>
      <c r="B3014" s="15"/>
      <c r="C3014" s="9">
        <f>IFERROR(__xludf.DUMMYFUNCTION("""COMPUTED_VALUE"""),44574.1469787268)</f>
        <v>44574.14698</v>
      </c>
      <c r="D3014" s="15">
        <f>IFERROR(__xludf.DUMMYFUNCTION("""COMPUTED_VALUE"""),1.003)</f>
        <v>1.003</v>
      </c>
      <c r="E3014" s="16">
        <f>IFERROR(__xludf.DUMMYFUNCTION("""COMPUTED_VALUE"""),63.0)</f>
        <v>63</v>
      </c>
      <c r="F3014" s="19" t="str">
        <f>IFERROR(__xludf.DUMMYFUNCTION("""COMPUTED_VALUE"""),"BLUE")</f>
        <v>BLUE</v>
      </c>
      <c r="G3014" s="20" t="str">
        <f>IFERROR(__xludf.DUMMYFUNCTION("""COMPUTED_VALUE"""),"Uncle Sams Cider (11/12/2021) (Blue)")</f>
        <v>Uncle Sams Cider (11/12/2021) (Blue)</v>
      </c>
      <c r="H3014" s="19"/>
    </row>
    <row r="3015">
      <c r="A3015" s="9"/>
      <c r="B3015" s="15"/>
      <c r="C3015" s="9">
        <f>IFERROR(__xludf.DUMMYFUNCTION("""COMPUTED_VALUE"""),44574.1365564351)</f>
        <v>44574.13656</v>
      </c>
      <c r="D3015" s="15">
        <f>IFERROR(__xludf.DUMMYFUNCTION("""COMPUTED_VALUE"""),1.004)</f>
        <v>1.004</v>
      </c>
      <c r="E3015" s="16">
        <f>IFERROR(__xludf.DUMMYFUNCTION("""COMPUTED_VALUE"""),63.0)</f>
        <v>63</v>
      </c>
      <c r="F3015" s="19" t="str">
        <f>IFERROR(__xludf.DUMMYFUNCTION("""COMPUTED_VALUE"""),"BLUE")</f>
        <v>BLUE</v>
      </c>
      <c r="G3015" s="20" t="str">
        <f>IFERROR(__xludf.DUMMYFUNCTION("""COMPUTED_VALUE"""),"Uncle Sams Cider (11/12/2021) (Blue)")</f>
        <v>Uncle Sams Cider (11/12/2021) (Blue)</v>
      </c>
      <c r="H3015" s="19"/>
    </row>
    <row r="3016">
      <c r="A3016" s="9"/>
      <c r="B3016" s="15"/>
      <c r="C3016" s="9">
        <f>IFERROR(__xludf.DUMMYFUNCTION("""COMPUTED_VALUE"""),44574.1261355787)</f>
        <v>44574.12614</v>
      </c>
      <c r="D3016" s="15">
        <f>IFERROR(__xludf.DUMMYFUNCTION("""COMPUTED_VALUE"""),1.004)</f>
        <v>1.004</v>
      </c>
      <c r="E3016" s="16">
        <f>IFERROR(__xludf.DUMMYFUNCTION("""COMPUTED_VALUE"""),63.0)</f>
        <v>63</v>
      </c>
      <c r="F3016" s="19" t="str">
        <f>IFERROR(__xludf.DUMMYFUNCTION("""COMPUTED_VALUE"""),"BLUE")</f>
        <v>BLUE</v>
      </c>
      <c r="G3016" s="20" t="str">
        <f>IFERROR(__xludf.DUMMYFUNCTION("""COMPUTED_VALUE"""),"Uncle Sams Cider (11/12/2021) (Blue)")</f>
        <v>Uncle Sams Cider (11/12/2021) (Blue)</v>
      </c>
      <c r="H3016" s="19"/>
    </row>
    <row r="3017">
      <c r="A3017" s="9"/>
      <c r="B3017" s="15"/>
      <c r="C3017" s="9">
        <f>IFERROR(__xludf.DUMMYFUNCTION("""COMPUTED_VALUE"""),44574.1157118518)</f>
        <v>44574.11571</v>
      </c>
      <c r="D3017" s="15">
        <f>IFERROR(__xludf.DUMMYFUNCTION("""COMPUTED_VALUE"""),1.004)</f>
        <v>1.004</v>
      </c>
      <c r="E3017" s="16">
        <f>IFERROR(__xludf.DUMMYFUNCTION("""COMPUTED_VALUE"""),63.0)</f>
        <v>63</v>
      </c>
      <c r="F3017" s="19" t="str">
        <f>IFERROR(__xludf.DUMMYFUNCTION("""COMPUTED_VALUE"""),"BLUE")</f>
        <v>BLUE</v>
      </c>
      <c r="G3017" s="20" t="str">
        <f>IFERROR(__xludf.DUMMYFUNCTION("""COMPUTED_VALUE"""),"Uncle Sams Cider (11/12/2021) (Blue)")</f>
        <v>Uncle Sams Cider (11/12/2021) (Blue)</v>
      </c>
      <c r="H3017" s="19"/>
    </row>
    <row r="3018">
      <c r="A3018" s="9"/>
      <c r="B3018" s="15"/>
      <c r="C3018" s="9">
        <f>IFERROR(__xludf.DUMMYFUNCTION("""COMPUTED_VALUE"""),44574.1052901273)</f>
        <v>44574.10529</v>
      </c>
      <c r="D3018" s="15">
        <f>IFERROR(__xludf.DUMMYFUNCTION("""COMPUTED_VALUE"""),1.004)</f>
        <v>1.004</v>
      </c>
      <c r="E3018" s="16">
        <f>IFERROR(__xludf.DUMMYFUNCTION("""COMPUTED_VALUE"""),63.0)</f>
        <v>63</v>
      </c>
      <c r="F3018" s="19" t="str">
        <f>IFERROR(__xludf.DUMMYFUNCTION("""COMPUTED_VALUE"""),"BLUE")</f>
        <v>BLUE</v>
      </c>
      <c r="G3018" s="20" t="str">
        <f>IFERROR(__xludf.DUMMYFUNCTION("""COMPUTED_VALUE"""),"Uncle Sams Cider (11/12/2021) (Blue)")</f>
        <v>Uncle Sams Cider (11/12/2021) (Blue)</v>
      </c>
      <c r="H3018" s="19"/>
    </row>
    <row r="3019">
      <c r="A3019" s="9"/>
      <c r="B3019" s="15"/>
      <c r="C3019" s="9">
        <f>IFERROR(__xludf.DUMMYFUNCTION("""COMPUTED_VALUE"""),44574.0948704976)</f>
        <v>44574.09487</v>
      </c>
      <c r="D3019" s="15">
        <f>IFERROR(__xludf.DUMMYFUNCTION("""COMPUTED_VALUE"""),1.003)</f>
        <v>1.003</v>
      </c>
      <c r="E3019" s="16">
        <f>IFERROR(__xludf.DUMMYFUNCTION("""COMPUTED_VALUE"""),63.0)</f>
        <v>63</v>
      </c>
      <c r="F3019" s="19" t="str">
        <f>IFERROR(__xludf.DUMMYFUNCTION("""COMPUTED_VALUE"""),"BLUE")</f>
        <v>BLUE</v>
      </c>
      <c r="G3019" s="20" t="str">
        <f>IFERROR(__xludf.DUMMYFUNCTION("""COMPUTED_VALUE"""),"Uncle Sams Cider (11/12/2021) (Blue)")</f>
        <v>Uncle Sams Cider (11/12/2021) (Blue)</v>
      </c>
      <c r="H3019" s="19"/>
    </row>
    <row r="3020">
      <c r="A3020" s="9"/>
      <c r="B3020" s="15"/>
      <c r="C3020" s="9">
        <f>IFERROR(__xludf.DUMMYFUNCTION("""COMPUTED_VALUE"""),44574.084449456)</f>
        <v>44574.08445</v>
      </c>
      <c r="D3020" s="15">
        <f>IFERROR(__xludf.DUMMYFUNCTION("""COMPUTED_VALUE"""),1.004)</f>
        <v>1.004</v>
      </c>
      <c r="E3020" s="16">
        <f>IFERROR(__xludf.DUMMYFUNCTION("""COMPUTED_VALUE"""),63.0)</f>
        <v>63</v>
      </c>
      <c r="F3020" s="19" t="str">
        <f>IFERROR(__xludf.DUMMYFUNCTION("""COMPUTED_VALUE"""),"BLUE")</f>
        <v>BLUE</v>
      </c>
      <c r="G3020" s="20" t="str">
        <f>IFERROR(__xludf.DUMMYFUNCTION("""COMPUTED_VALUE"""),"Uncle Sams Cider (11/12/2021) (Blue)")</f>
        <v>Uncle Sams Cider (11/12/2021) (Blue)</v>
      </c>
      <c r="H3020" s="19"/>
    </row>
    <row r="3021">
      <c r="A3021" s="9"/>
      <c r="B3021" s="15"/>
      <c r="C3021" s="9">
        <f>IFERROR(__xludf.DUMMYFUNCTION("""COMPUTED_VALUE"""),44574.0740276157)</f>
        <v>44574.07403</v>
      </c>
      <c r="D3021" s="15">
        <f>IFERROR(__xludf.DUMMYFUNCTION("""COMPUTED_VALUE"""),1.004)</f>
        <v>1.004</v>
      </c>
      <c r="E3021" s="16">
        <f>IFERROR(__xludf.DUMMYFUNCTION("""COMPUTED_VALUE"""),63.0)</f>
        <v>63</v>
      </c>
      <c r="F3021" s="19" t="str">
        <f>IFERROR(__xludf.DUMMYFUNCTION("""COMPUTED_VALUE"""),"BLUE")</f>
        <v>BLUE</v>
      </c>
      <c r="G3021" s="20" t="str">
        <f>IFERROR(__xludf.DUMMYFUNCTION("""COMPUTED_VALUE"""),"Uncle Sams Cider (11/12/2021) (Blue)")</f>
        <v>Uncle Sams Cider (11/12/2021) (Blue)</v>
      </c>
      <c r="H3021" s="19"/>
    </row>
    <row r="3022">
      <c r="A3022" s="9"/>
      <c r="B3022" s="15"/>
      <c r="C3022" s="9">
        <f>IFERROR(__xludf.DUMMYFUNCTION("""COMPUTED_VALUE"""),44574.0636058912)</f>
        <v>44574.06361</v>
      </c>
      <c r="D3022" s="15">
        <f>IFERROR(__xludf.DUMMYFUNCTION("""COMPUTED_VALUE"""),1.004)</f>
        <v>1.004</v>
      </c>
      <c r="E3022" s="16">
        <f>IFERROR(__xludf.DUMMYFUNCTION("""COMPUTED_VALUE"""),63.0)</f>
        <v>63</v>
      </c>
      <c r="F3022" s="19" t="str">
        <f>IFERROR(__xludf.DUMMYFUNCTION("""COMPUTED_VALUE"""),"BLUE")</f>
        <v>BLUE</v>
      </c>
      <c r="G3022" s="20" t="str">
        <f>IFERROR(__xludf.DUMMYFUNCTION("""COMPUTED_VALUE"""),"Uncle Sams Cider (11/12/2021) (Blue)")</f>
        <v>Uncle Sams Cider (11/12/2021) (Blue)</v>
      </c>
      <c r="H3022" s="19"/>
    </row>
    <row r="3023">
      <c r="A3023" s="9"/>
      <c r="B3023" s="15"/>
      <c r="C3023" s="9">
        <f>IFERROR(__xludf.DUMMYFUNCTION("""COMPUTED_VALUE"""),44574.053174537)</f>
        <v>44574.05317</v>
      </c>
      <c r="D3023" s="15">
        <f>IFERROR(__xludf.DUMMYFUNCTION("""COMPUTED_VALUE"""),1.004)</f>
        <v>1.004</v>
      </c>
      <c r="E3023" s="16">
        <f>IFERROR(__xludf.DUMMYFUNCTION("""COMPUTED_VALUE"""),63.0)</f>
        <v>63</v>
      </c>
      <c r="F3023" s="19" t="str">
        <f>IFERROR(__xludf.DUMMYFUNCTION("""COMPUTED_VALUE"""),"BLUE")</f>
        <v>BLUE</v>
      </c>
      <c r="G3023" s="20" t="str">
        <f>IFERROR(__xludf.DUMMYFUNCTION("""COMPUTED_VALUE"""),"Uncle Sams Cider (11/12/2021) (Blue)")</f>
        <v>Uncle Sams Cider (11/12/2021) (Blue)</v>
      </c>
      <c r="H3023" s="19"/>
    </row>
    <row r="3024">
      <c r="A3024" s="9"/>
      <c r="B3024" s="15"/>
      <c r="C3024" s="9">
        <f>IFERROR(__xludf.DUMMYFUNCTION("""COMPUTED_VALUE"""),44574.0427528819)</f>
        <v>44574.04275</v>
      </c>
      <c r="D3024" s="15">
        <f>IFERROR(__xludf.DUMMYFUNCTION("""COMPUTED_VALUE"""),1.004)</f>
        <v>1.004</v>
      </c>
      <c r="E3024" s="16">
        <f>IFERROR(__xludf.DUMMYFUNCTION("""COMPUTED_VALUE"""),63.0)</f>
        <v>63</v>
      </c>
      <c r="F3024" s="19" t="str">
        <f>IFERROR(__xludf.DUMMYFUNCTION("""COMPUTED_VALUE"""),"BLUE")</f>
        <v>BLUE</v>
      </c>
      <c r="G3024" s="20" t="str">
        <f>IFERROR(__xludf.DUMMYFUNCTION("""COMPUTED_VALUE"""),"Uncle Sams Cider (11/12/2021) (Blue)")</f>
        <v>Uncle Sams Cider (11/12/2021) (Blue)</v>
      </c>
      <c r="H3024" s="19"/>
    </row>
    <row r="3025">
      <c r="A3025" s="9"/>
      <c r="B3025" s="15"/>
      <c r="C3025" s="9">
        <f>IFERROR(__xludf.DUMMYFUNCTION("""COMPUTED_VALUE"""),44574.0323317476)</f>
        <v>44574.03233</v>
      </c>
      <c r="D3025" s="15">
        <f>IFERROR(__xludf.DUMMYFUNCTION("""COMPUTED_VALUE"""),1.004)</f>
        <v>1.004</v>
      </c>
      <c r="E3025" s="16">
        <f>IFERROR(__xludf.DUMMYFUNCTION("""COMPUTED_VALUE"""),63.0)</f>
        <v>63</v>
      </c>
      <c r="F3025" s="19" t="str">
        <f>IFERROR(__xludf.DUMMYFUNCTION("""COMPUTED_VALUE"""),"BLUE")</f>
        <v>BLUE</v>
      </c>
      <c r="G3025" s="20" t="str">
        <f>IFERROR(__xludf.DUMMYFUNCTION("""COMPUTED_VALUE"""),"Uncle Sams Cider (11/12/2021) (Blue)")</f>
        <v>Uncle Sams Cider (11/12/2021) (Blue)</v>
      </c>
      <c r="H3025" s="19"/>
    </row>
    <row r="3026">
      <c r="A3026" s="9"/>
      <c r="B3026" s="15"/>
      <c r="C3026" s="9">
        <f>IFERROR(__xludf.DUMMYFUNCTION("""COMPUTED_VALUE"""),44574.0219104976)</f>
        <v>44574.02191</v>
      </c>
      <c r="D3026" s="15">
        <f>IFERROR(__xludf.DUMMYFUNCTION("""COMPUTED_VALUE"""),1.004)</f>
        <v>1.004</v>
      </c>
      <c r="E3026" s="16">
        <f>IFERROR(__xludf.DUMMYFUNCTION("""COMPUTED_VALUE"""),63.0)</f>
        <v>63</v>
      </c>
      <c r="F3026" s="19" t="str">
        <f>IFERROR(__xludf.DUMMYFUNCTION("""COMPUTED_VALUE"""),"BLUE")</f>
        <v>BLUE</v>
      </c>
      <c r="G3026" s="20" t="str">
        <f>IFERROR(__xludf.DUMMYFUNCTION("""COMPUTED_VALUE"""),"Uncle Sams Cider (11/12/2021) (Blue)")</f>
        <v>Uncle Sams Cider (11/12/2021) (Blue)</v>
      </c>
      <c r="H3026" s="19"/>
    </row>
    <row r="3027">
      <c r="A3027" s="9"/>
      <c r="B3027" s="15"/>
      <c r="C3027" s="9">
        <f>IFERROR(__xludf.DUMMYFUNCTION("""COMPUTED_VALUE"""),44574.0114774421)</f>
        <v>44574.01148</v>
      </c>
      <c r="D3027" s="15">
        <f>IFERROR(__xludf.DUMMYFUNCTION("""COMPUTED_VALUE"""),1.003)</f>
        <v>1.003</v>
      </c>
      <c r="E3027" s="16">
        <f>IFERROR(__xludf.DUMMYFUNCTION("""COMPUTED_VALUE"""),63.0)</f>
        <v>63</v>
      </c>
      <c r="F3027" s="19" t="str">
        <f>IFERROR(__xludf.DUMMYFUNCTION("""COMPUTED_VALUE"""),"BLUE")</f>
        <v>BLUE</v>
      </c>
      <c r="G3027" s="20" t="str">
        <f>IFERROR(__xludf.DUMMYFUNCTION("""COMPUTED_VALUE"""),"Uncle Sams Cider (11/12/2021) (Blue)")</f>
        <v>Uncle Sams Cider (11/12/2021) (Blue)</v>
      </c>
      <c r="H3027" s="19"/>
    </row>
    <row r="3028">
      <c r="A3028" s="9"/>
      <c r="B3028" s="15"/>
      <c r="C3028" s="9">
        <f>IFERROR(__xludf.DUMMYFUNCTION("""COMPUTED_VALUE"""),44574.0010321759)</f>
        <v>44574.00103</v>
      </c>
      <c r="D3028" s="15">
        <f>IFERROR(__xludf.DUMMYFUNCTION("""COMPUTED_VALUE"""),1.004)</f>
        <v>1.004</v>
      </c>
      <c r="E3028" s="16">
        <f>IFERROR(__xludf.DUMMYFUNCTION("""COMPUTED_VALUE"""),63.0)</f>
        <v>63</v>
      </c>
      <c r="F3028" s="19" t="str">
        <f>IFERROR(__xludf.DUMMYFUNCTION("""COMPUTED_VALUE"""),"BLUE")</f>
        <v>BLUE</v>
      </c>
      <c r="G3028" s="20" t="str">
        <f>IFERROR(__xludf.DUMMYFUNCTION("""COMPUTED_VALUE"""),"Uncle Sams Cider (11/12/2021) (Blue)")</f>
        <v>Uncle Sams Cider (11/12/2021) (Blue)</v>
      </c>
      <c r="H3028" s="19"/>
    </row>
    <row r="3029">
      <c r="A3029" s="9"/>
      <c r="B3029" s="15"/>
      <c r="C3029" s="9">
        <f>IFERROR(__xludf.DUMMYFUNCTION("""COMPUTED_VALUE"""),44573.9906109027)</f>
        <v>44573.99061</v>
      </c>
      <c r="D3029" s="15">
        <f>IFERROR(__xludf.DUMMYFUNCTION("""COMPUTED_VALUE"""),1.003)</f>
        <v>1.003</v>
      </c>
      <c r="E3029" s="16">
        <f>IFERROR(__xludf.DUMMYFUNCTION("""COMPUTED_VALUE"""),63.0)</f>
        <v>63</v>
      </c>
      <c r="F3029" s="19" t="str">
        <f>IFERROR(__xludf.DUMMYFUNCTION("""COMPUTED_VALUE"""),"BLUE")</f>
        <v>BLUE</v>
      </c>
      <c r="G3029" s="20" t="str">
        <f>IFERROR(__xludf.DUMMYFUNCTION("""COMPUTED_VALUE"""),"Uncle Sams Cider (11/12/2021) (Blue)")</f>
        <v>Uncle Sams Cider (11/12/2021) (Blue)</v>
      </c>
      <c r="H3029" s="19"/>
    </row>
    <row r="3030">
      <c r="A3030" s="9"/>
      <c r="B3030" s="15"/>
      <c r="C3030" s="9">
        <f>IFERROR(__xludf.DUMMYFUNCTION("""COMPUTED_VALUE"""),44573.980166412)</f>
        <v>44573.98017</v>
      </c>
      <c r="D3030" s="15">
        <f>IFERROR(__xludf.DUMMYFUNCTION("""COMPUTED_VALUE"""),1.004)</f>
        <v>1.004</v>
      </c>
      <c r="E3030" s="16">
        <f>IFERROR(__xludf.DUMMYFUNCTION("""COMPUTED_VALUE"""),63.0)</f>
        <v>63</v>
      </c>
      <c r="F3030" s="19" t="str">
        <f>IFERROR(__xludf.DUMMYFUNCTION("""COMPUTED_VALUE"""),"BLUE")</f>
        <v>BLUE</v>
      </c>
      <c r="G3030" s="20" t="str">
        <f>IFERROR(__xludf.DUMMYFUNCTION("""COMPUTED_VALUE"""),"Uncle Sams Cider (11/12/2021) (Blue)")</f>
        <v>Uncle Sams Cider (11/12/2021) (Blue)</v>
      </c>
      <c r="H3030" s="19"/>
    </row>
    <row r="3031">
      <c r="A3031" s="9"/>
      <c r="B3031" s="15"/>
      <c r="C3031" s="9">
        <f>IFERROR(__xludf.DUMMYFUNCTION("""COMPUTED_VALUE"""),44573.9697436458)</f>
        <v>44573.96974</v>
      </c>
      <c r="D3031" s="15">
        <f>IFERROR(__xludf.DUMMYFUNCTION("""COMPUTED_VALUE"""),1.004)</f>
        <v>1.004</v>
      </c>
      <c r="E3031" s="16">
        <f>IFERROR(__xludf.DUMMYFUNCTION("""COMPUTED_VALUE"""),63.0)</f>
        <v>63</v>
      </c>
      <c r="F3031" s="19" t="str">
        <f>IFERROR(__xludf.DUMMYFUNCTION("""COMPUTED_VALUE"""),"BLUE")</f>
        <v>BLUE</v>
      </c>
      <c r="G3031" s="20" t="str">
        <f>IFERROR(__xludf.DUMMYFUNCTION("""COMPUTED_VALUE"""),"Uncle Sams Cider (11/12/2021) (Blue)")</f>
        <v>Uncle Sams Cider (11/12/2021) (Blue)</v>
      </c>
      <c r="H3031" s="19"/>
    </row>
    <row r="3032">
      <c r="A3032" s="9"/>
      <c r="B3032" s="15"/>
      <c r="C3032" s="9">
        <f>IFERROR(__xludf.DUMMYFUNCTION("""COMPUTED_VALUE"""),44573.9593106712)</f>
        <v>44573.95931</v>
      </c>
      <c r="D3032" s="15">
        <f>IFERROR(__xludf.DUMMYFUNCTION("""COMPUTED_VALUE"""),1.004)</f>
        <v>1.004</v>
      </c>
      <c r="E3032" s="16">
        <f>IFERROR(__xludf.DUMMYFUNCTION("""COMPUTED_VALUE"""),63.0)</f>
        <v>63</v>
      </c>
      <c r="F3032" s="19" t="str">
        <f>IFERROR(__xludf.DUMMYFUNCTION("""COMPUTED_VALUE"""),"BLUE")</f>
        <v>BLUE</v>
      </c>
      <c r="G3032" s="20" t="str">
        <f>IFERROR(__xludf.DUMMYFUNCTION("""COMPUTED_VALUE"""),"Uncle Sams Cider (11/12/2021) (Blue)")</f>
        <v>Uncle Sams Cider (11/12/2021) (Blue)</v>
      </c>
      <c r="H3032" s="19"/>
    </row>
    <row r="3033">
      <c r="A3033" s="9"/>
      <c r="B3033" s="15"/>
      <c r="C3033" s="9">
        <f>IFERROR(__xludf.DUMMYFUNCTION("""COMPUTED_VALUE"""),44573.9488893865)</f>
        <v>44573.94889</v>
      </c>
      <c r="D3033" s="15">
        <f>IFERROR(__xludf.DUMMYFUNCTION("""COMPUTED_VALUE"""),1.004)</f>
        <v>1.004</v>
      </c>
      <c r="E3033" s="16">
        <f>IFERROR(__xludf.DUMMYFUNCTION("""COMPUTED_VALUE"""),63.0)</f>
        <v>63</v>
      </c>
      <c r="F3033" s="19" t="str">
        <f>IFERROR(__xludf.DUMMYFUNCTION("""COMPUTED_VALUE"""),"BLUE")</f>
        <v>BLUE</v>
      </c>
      <c r="G3033" s="20" t="str">
        <f>IFERROR(__xludf.DUMMYFUNCTION("""COMPUTED_VALUE"""),"Uncle Sams Cider (11/12/2021) (Blue)")</f>
        <v>Uncle Sams Cider (11/12/2021) (Blue)</v>
      </c>
      <c r="H3033" s="19"/>
    </row>
    <row r="3034">
      <c r="A3034" s="9"/>
      <c r="B3034" s="15"/>
      <c r="C3034" s="9">
        <f>IFERROR(__xludf.DUMMYFUNCTION("""COMPUTED_VALUE"""),44573.9384567708)</f>
        <v>44573.93846</v>
      </c>
      <c r="D3034" s="15">
        <f>IFERROR(__xludf.DUMMYFUNCTION("""COMPUTED_VALUE"""),1.004)</f>
        <v>1.004</v>
      </c>
      <c r="E3034" s="16">
        <f>IFERROR(__xludf.DUMMYFUNCTION("""COMPUTED_VALUE"""),63.0)</f>
        <v>63</v>
      </c>
      <c r="F3034" s="19" t="str">
        <f>IFERROR(__xludf.DUMMYFUNCTION("""COMPUTED_VALUE"""),"BLUE")</f>
        <v>BLUE</v>
      </c>
      <c r="G3034" s="20" t="str">
        <f>IFERROR(__xludf.DUMMYFUNCTION("""COMPUTED_VALUE"""),"Uncle Sams Cider (11/12/2021) (Blue)")</f>
        <v>Uncle Sams Cider (11/12/2021) (Blue)</v>
      </c>
      <c r="H3034" s="19"/>
    </row>
    <row r="3035">
      <c r="A3035" s="9"/>
      <c r="B3035" s="15"/>
      <c r="C3035" s="9">
        <f>IFERROR(__xludf.DUMMYFUNCTION("""COMPUTED_VALUE"""),44573.9280362731)</f>
        <v>44573.92804</v>
      </c>
      <c r="D3035" s="15">
        <f>IFERROR(__xludf.DUMMYFUNCTION("""COMPUTED_VALUE"""),1.004)</f>
        <v>1.004</v>
      </c>
      <c r="E3035" s="16">
        <f>IFERROR(__xludf.DUMMYFUNCTION("""COMPUTED_VALUE"""),63.0)</f>
        <v>63</v>
      </c>
      <c r="F3035" s="19" t="str">
        <f>IFERROR(__xludf.DUMMYFUNCTION("""COMPUTED_VALUE"""),"BLUE")</f>
        <v>BLUE</v>
      </c>
      <c r="G3035" s="20" t="str">
        <f>IFERROR(__xludf.DUMMYFUNCTION("""COMPUTED_VALUE"""),"Uncle Sams Cider (11/12/2021) (Blue)")</f>
        <v>Uncle Sams Cider (11/12/2021) (Blue)</v>
      </c>
      <c r="H3035" s="19"/>
    </row>
    <row r="3036">
      <c r="A3036" s="9"/>
      <c r="B3036" s="15"/>
      <c r="C3036" s="9">
        <f>IFERROR(__xludf.DUMMYFUNCTION("""COMPUTED_VALUE"""),44573.917604699)</f>
        <v>44573.9176</v>
      </c>
      <c r="D3036" s="15">
        <f>IFERROR(__xludf.DUMMYFUNCTION("""COMPUTED_VALUE"""),1.004)</f>
        <v>1.004</v>
      </c>
      <c r="E3036" s="16">
        <f>IFERROR(__xludf.DUMMYFUNCTION("""COMPUTED_VALUE"""),63.0)</f>
        <v>63</v>
      </c>
      <c r="F3036" s="19" t="str">
        <f>IFERROR(__xludf.DUMMYFUNCTION("""COMPUTED_VALUE"""),"BLUE")</f>
        <v>BLUE</v>
      </c>
      <c r="G3036" s="20" t="str">
        <f>IFERROR(__xludf.DUMMYFUNCTION("""COMPUTED_VALUE"""),"Uncle Sams Cider (11/12/2021) (Blue)")</f>
        <v>Uncle Sams Cider (11/12/2021) (Blue)</v>
      </c>
      <c r="H3036" s="19"/>
    </row>
    <row r="3037">
      <c r="A3037" s="9"/>
      <c r="B3037" s="15"/>
      <c r="C3037" s="9">
        <f>IFERROR(__xludf.DUMMYFUNCTION("""COMPUTED_VALUE"""),44573.9071828935)</f>
        <v>44573.90718</v>
      </c>
      <c r="D3037" s="15">
        <f>IFERROR(__xludf.DUMMYFUNCTION("""COMPUTED_VALUE"""),1.003)</f>
        <v>1.003</v>
      </c>
      <c r="E3037" s="16">
        <f>IFERROR(__xludf.DUMMYFUNCTION("""COMPUTED_VALUE"""),63.0)</f>
        <v>63</v>
      </c>
      <c r="F3037" s="19" t="str">
        <f>IFERROR(__xludf.DUMMYFUNCTION("""COMPUTED_VALUE"""),"BLUE")</f>
        <v>BLUE</v>
      </c>
      <c r="G3037" s="20" t="str">
        <f>IFERROR(__xludf.DUMMYFUNCTION("""COMPUTED_VALUE"""),"Uncle Sams Cider (11/12/2021) (Blue)")</f>
        <v>Uncle Sams Cider (11/12/2021) (Blue)</v>
      </c>
      <c r="H3037" s="19"/>
    </row>
    <row r="3038">
      <c r="A3038" s="9"/>
      <c r="B3038" s="15"/>
      <c r="C3038" s="9">
        <f>IFERROR(__xludf.DUMMYFUNCTION("""COMPUTED_VALUE"""),44573.8967614004)</f>
        <v>44573.89676</v>
      </c>
      <c r="D3038" s="15">
        <f>IFERROR(__xludf.DUMMYFUNCTION("""COMPUTED_VALUE"""),1.004)</f>
        <v>1.004</v>
      </c>
      <c r="E3038" s="16">
        <f>IFERROR(__xludf.DUMMYFUNCTION("""COMPUTED_VALUE"""),63.0)</f>
        <v>63</v>
      </c>
      <c r="F3038" s="19" t="str">
        <f>IFERROR(__xludf.DUMMYFUNCTION("""COMPUTED_VALUE"""),"BLUE")</f>
        <v>BLUE</v>
      </c>
      <c r="G3038" s="20" t="str">
        <f>IFERROR(__xludf.DUMMYFUNCTION("""COMPUTED_VALUE"""),"Uncle Sams Cider (11/12/2021) (Blue)")</f>
        <v>Uncle Sams Cider (11/12/2021) (Blue)</v>
      </c>
      <c r="H3038" s="19"/>
    </row>
    <row r="3039">
      <c r="A3039" s="9"/>
      <c r="B3039" s="15"/>
      <c r="C3039" s="9">
        <f>IFERROR(__xludf.DUMMYFUNCTION("""COMPUTED_VALUE"""),44573.8863162847)</f>
        <v>44573.88632</v>
      </c>
      <c r="D3039" s="15">
        <f>IFERROR(__xludf.DUMMYFUNCTION("""COMPUTED_VALUE"""),1.004)</f>
        <v>1.004</v>
      </c>
      <c r="E3039" s="16">
        <f>IFERROR(__xludf.DUMMYFUNCTION("""COMPUTED_VALUE"""),63.0)</f>
        <v>63</v>
      </c>
      <c r="F3039" s="19" t="str">
        <f>IFERROR(__xludf.DUMMYFUNCTION("""COMPUTED_VALUE"""),"BLUE")</f>
        <v>BLUE</v>
      </c>
      <c r="G3039" s="20" t="str">
        <f>IFERROR(__xludf.DUMMYFUNCTION("""COMPUTED_VALUE"""),"Uncle Sams Cider (11/12/2021) (Blue)")</f>
        <v>Uncle Sams Cider (11/12/2021) (Blue)</v>
      </c>
      <c r="H3039" s="19"/>
    </row>
    <row r="3040">
      <c r="A3040" s="9"/>
      <c r="B3040" s="15"/>
      <c r="C3040" s="9">
        <f>IFERROR(__xludf.DUMMYFUNCTION("""COMPUTED_VALUE"""),44573.8758947569)</f>
        <v>44573.87589</v>
      </c>
      <c r="D3040" s="15">
        <f>IFERROR(__xludf.DUMMYFUNCTION("""COMPUTED_VALUE"""),1.004)</f>
        <v>1.004</v>
      </c>
      <c r="E3040" s="16">
        <f>IFERROR(__xludf.DUMMYFUNCTION("""COMPUTED_VALUE"""),63.0)</f>
        <v>63</v>
      </c>
      <c r="F3040" s="19" t="str">
        <f>IFERROR(__xludf.DUMMYFUNCTION("""COMPUTED_VALUE"""),"BLUE")</f>
        <v>BLUE</v>
      </c>
      <c r="G3040" s="20" t="str">
        <f>IFERROR(__xludf.DUMMYFUNCTION("""COMPUTED_VALUE"""),"Uncle Sams Cider (11/12/2021) (Blue)")</f>
        <v>Uncle Sams Cider (11/12/2021) (Blue)</v>
      </c>
      <c r="H3040" s="19"/>
    </row>
    <row r="3041">
      <c r="A3041" s="9"/>
      <c r="B3041" s="15"/>
      <c r="C3041" s="9">
        <f>IFERROR(__xludf.DUMMYFUNCTION("""COMPUTED_VALUE"""),44573.8654625462)</f>
        <v>44573.86546</v>
      </c>
      <c r="D3041" s="15">
        <f>IFERROR(__xludf.DUMMYFUNCTION("""COMPUTED_VALUE"""),1.004)</f>
        <v>1.004</v>
      </c>
      <c r="E3041" s="16">
        <f>IFERROR(__xludf.DUMMYFUNCTION("""COMPUTED_VALUE"""),63.0)</f>
        <v>63</v>
      </c>
      <c r="F3041" s="19" t="str">
        <f>IFERROR(__xludf.DUMMYFUNCTION("""COMPUTED_VALUE"""),"BLUE")</f>
        <v>BLUE</v>
      </c>
      <c r="G3041" s="20" t="str">
        <f>IFERROR(__xludf.DUMMYFUNCTION("""COMPUTED_VALUE"""),"Uncle Sams Cider (11/12/2021) (Blue)")</f>
        <v>Uncle Sams Cider (11/12/2021) (Blue)</v>
      </c>
      <c r="H3041" s="19"/>
    </row>
    <row r="3042">
      <c r="A3042" s="9"/>
      <c r="B3042" s="15"/>
      <c r="C3042" s="9">
        <f>IFERROR(__xludf.DUMMYFUNCTION("""COMPUTED_VALUE"""),44573.8550432407)</f>
        <v>44573.85504</v>
      </c>
      <c r="D3042" s="15">
        <f>IFERROR(__xludf.DUMMYFUNCTION("""COMPUTED_VALUE"""),1.004)</f>
        <v>1.004</v>
      </c>
      <c r="E3042" s="16">
        <f>IFERROR(__xludf.DUMMYFUNCTION("""COMPUTED_VALUE"""),63.0)</f>
        <v>63</v>
      </c>
      <c r="F3042" s="19" t="str">
        <f>IFERROR(__xludf.DUMMYFUNCTION("""COMPUTED_VALUE"""),"BLUE")</f>
        <v>BLUE</v>
      </c>
      <c r="G3042" s="20" t="str">
        <f>IFERROR(__xludf.DUMMYFUNCTION("""COMPUTED_VALUE"""),"Uncle Sams Cider (11/12/2021) (Blue)")</f>
        <v>Uncle Sams Cider (11/12/2021) (Blue)</v>
      </c>
      <c r="H3042" s="19"/>
    </row>
    <row r="3043">
      <c r="A3043" s="9"/>
      <c r="B3043" s="15"/>
      <c r="C3043" s="9">
        <f>IFERROR(__xludf.DUMMYFUNCTION("""COMPUTED_VALUE"""),44573.8446209259)</f>
        <v>44573.84462</v>
      </c>
      <c r="D3043" s="15">
        <f>IFERROR(__xludf.DUMMYFUNCTION("""COMPUTED_VALUE"""),1.004)</f>
        <v>1.004</v>
      </c>
      <c r="E3043" s="16">
        <f>IFERROR(__xludf.DUMMYFUNCTION("""COMPUTED_VALUE"""),63.0)</f>
        <v>63</v>
      </c>
      <c r="F3043" s="19" t="str">
        <f>IFERROR(__xludf.DUMMYFUNCTION("""COMPUTED_VALUE"""),"BLUE")</f>
        <v>BLUE</v>
      </c>
      <c r="G3043" s="20" t="str">
        <f>IFERROR(__xludf.DUMMYFUNCTION("""COMPUTED_VALUE"""),"Uncle Sams Cider (11/12/2021) (Blue)")</f>
        <v>Uncle Sams Cider (11/12/2021) (Blue)</v>
      </c>
      <c r="H3043" s="19"/>
    </row>
    <row r="3044">
      <c r="A3044" s="9"/>
      <c r="B3044" s="15"/>
      <c r="C3044" s="9">
        <f>IFERROR(__xludf.DUMMYFUNCTION("""COMPUTED_VALUE"""),44573.8341887152)</f>
        <v>44573.83419</v>
      </c>
      <c r="D3044" s="15">
        <f>IFERROR(__xludf.DUMMYFUNCTION("""COMPUTED_VALUE"""),1.004)</f>
        <v>1.004</v>
      </c>
      <c r="E3044" s="16">
        <f>IFERROR(__xludf.DUMMYFUNCTION("""COMPUTED_VALUE"""),63.0)</f>
        <v>63</v>
      </c>
      <c r="F3044" s="19" t="str">
        <f>IFERROR(__xludf.DUMMYFUNCTION("""COMPUTED_VALUE"""),"BLUE")</f>
        <v>BLUE</v>
      </c>
      <c r="G3044" s="20" t="str">
        <f>IFERROR(__xludf.DUMMYFUNCTION("""COMPUTED_VALUE"""),"Uncle Sams Cider (11/12/2021) (Blue)")</f>
        <v>Uncle Sams Cider (11/12/2021) (Blue)</v>
      </c>
      <c r="H3044" s="19"/>
    </row>
    <row r="3045">
      <c r="A3045" s="9"/>
      <c r="B3045" s="15"/>
      <c r="C3045" s="9">
        <f>IFERROR(__xludf.DUMMYFUNCTION("""COMPUTED_VALUE"""),44573.8237327314)</f>
        <v>44573.82373</v>
      </c>
      <c r="D3045" s="15">
        <f>IFERROR(__xludf.DUMMYFUNCTION("""COMPUTED_VALUE"""),1.004)</f>
        <v>1.004</v>
      </c>
      <c r="E3045" s="16">
        <f>IFERROR(__xludf.DUMMYFUNCTION("""COMPUTED_VALUE"""),63.0)</f>
        <v>63</v>
      </c>
      <c r="F3045" s="19" t="str">
        <f>IFERROR(__xludf.DUMMYFUNCTION("""COMPUTED_VALUE"""),"BLUE")</f>
        <v>BLUE</v>
      </c>
      <c r="G3045" s="20" t="str">
        <f>IFERROR(__xludf.DUMMYFUNCTION("""COMPUTED_VALUE"""),"Uncle Sams Cider (11/12/2021) (Blue)")</f>
        <v>Uncle Sams Cider (11/12/2021) (Blue)</v>
      </c>
      <c r="H3045" s="19"/>
    </row>
    <row r="3046">
      <c r="A3046" s="9"/>
      <c r="B3046" s="15"/>
      <c r="C3046" s="9">
        <f>IFERROR(__xludf.DUMMYFUNCTION("""COMPUTED_VALUE"""),44573.8133111458)</f>
        <v>44573.81331</v>
      </c>
      <c r="D3046" s="15">
        <f>IFERROR(__xludf.DUMMYFUNCTION("""COMPUTED_VALUE"""),1.004)</f>
        <v>1.004</v>
      </c>
      <c r="E3046" s="16">
        <f>IFERROR(__xludf.DUMMYFUNCTION("""COMPUTED_VALUE"""),63.0)</f>
        <v>63</v>
      </c>
      <c r="F3046" s="19" t="str">
        <f>IFERROR(__xludf.DUMMYFUNCTION("""COMPUTED_VALUE"""),"BLUE")</f>
        <v>BLUE</v>
      </c>
      <c r="G3046" s="20" t="str">
        <f>IFERROR(__xludf.DUMMYFUNCTION("""COMPUTED_VALUE"""),"Uncle Sams Cider (11/12/2021) (Blue)")</f>
        <v>Uncle Sams Cider (11/12/2021) (Blue)</v>
      </c>
      <c r="H3046" s="19"/>
    </row>
    <row r="3047">
      <c r="A3047" s="9"/>
      <c r="B3047" s="15"/>
      <c r="C3047" s="9">
        <f>IFERROR(__xludf.DUMMYFUNCTION("""COMPUTED_VALUE"""),44573.8028894328)</f>
        <v>44573.80289</v>
      </c>
      <c r="D3047" s="15">
        <f>IFERROR(__xludf.DUMMYFUNCTION("""COMPUTED_VALUE"""),1.004)</f>
        <v>1.004</v>
      </c>
      <c r="E3047" s="16">
        <f>IFERROR(__xludf.DUMMYFUNCTION("""COMPUTED_VALUE"""),63.0)</f>
        <v>63</v>
      </c>
      <c r="F3047" s="19" t="str">
        <f>IFERROR(__xludf.DUMMYFUNCTION("""COMPUTED_VALUE"""),"BLUE")</f>
        <v>BLUE</v>
      </c>
      <c r="G3047" s="20" t="str">
        <f>IFERROR(__xludf.DUMMYFUNCTION("""COMPUTED_VALUE"""),"Uncle Sams Cider (11/12/2021) (Blue)")</f>
        <v>Uncle Sams Cider (11/12/2021) (Blue)</v>
      </c>
      <c r="H3047" s="19"/>
    </row>
    <row r="3048">
      <c r="A3048" s="9"/>
      <c r="B3048" s="15"/>
      <c r="C3048" s="9">
        <f>IFERROR(__xludf.DUMMYFUNCTION("""COMPUTED_VALUE"""),44573.7924685416)</f>
        <v>44573.79247</v>
      </c>
      <c r="D3048" s="15">
        <f>IFERROR(__xludf.DUMMYFUNCTION("""COMPUTED_VALUE"""),1.004)</f>
        <v>1.004</v>
      </c>
      <c r="E3048" s="16">
        <f>IFERROR(__xludf.DUMMYFUNCTION("""COMPUTED_VALUE"""),63.0)</f>
        <v>63</v>
      </c>
      <c r="F3048" s="19" t="str">
        <f>IFERROR(__xludf.DUMMYFUNCTION("""COMPUTED_VALUE"""),"BLUE")</f>
        <v>BLUE</v>
      </c>
      <c r="G3048" s="20" t="str">
        <f>IFERROR(__xludf.DUMMYFUNCTION("""COMPUTED_VALUE"""),"Uncle Sams Cider (11/12/2021) (Blue)")</f>
        <v>Uncle Sams Cider (11/12/2021) (Blue)</v>
      </c>
      <c r="H3048" s="19"/>
    </row>
    <row r="3049">
      <c r="A3049" s="9"/>
      <c r="B3049" s="15"/>
      <c r="C3049" s="9">
        <f>IFERROR(__xludf.DUMMYFUNCTION("""COMPUTED_VALUE"""),44573.7820468518)</f>
        <v>44573.78205</v>
      </c>
      <c r="D3049" s="15">
        <f>IFERROR(__xludf.DUMMYFUNCTION("""COMPUTED_VALUE"""),1.004)</f>
        <v>1.004</v>
      </c>
      <c r="E3049" s="16">
        <f>IFERROR(__xludf.DUMMYFUNCTION("""COMPUTED_VALUE"""),64.0)</f>
        <v>64</v>
      </c>
      <c r="F3049" s="19" t="str">
        <f>IFERROR(__xludf.DUMMYFUNCTION("""COMPUTED_VALUE"""),"BLUE")</f>
        <v>BLUE</v>
      </c>
      <c r="G3049" s="20" t="str">
        <f>IFERROR(__xludf.DUMMYFUNCTION("""COMPUTED_VALUE"""),"Uncle Sams Cider (11/12/2021) (Blue)")</f>
        <v>Uncle Sams Cider (11/12/2021) (Blue)</v>
      </c>
      <c r="H3049" s="19"/>
    </row>
    <row r="3050">
      <c r="A3050" s="9"/>
      <c r="B3050" s="15"/>
      <c r="C3050" s="9">
        <f>IFERROR(__xludf.DUMMYFUNCTION("""COMPUTED_VALUE"""),44573.7716261111)</f>
        <v>44573.77163</v>
      </c>
      <c r="D3050" s="15">
        <f>IFERROR(__xludf.DUMMYFUNCTION("""COMPUTED_VALUE"""),1.004)</f>
        <v>1.004</v>
      </c>
      <c r="E3050" s="16">
        <f>IFERROR(__xludf.DUMMYFUNCTION("""COMPUTED_VALUE"""),63.0)</f>
        <v>63</v>
      </c>
      <c r="F3050" s="19" t="str">
        <f>IFERROR(__xludf.DUMMYFUNCTION("""COMPUTED_VALUE"""),"BLUE")</f>
        <v>BLUE</v>
      </c>
      <c r="G3050" s="20" t="str">
        <f>IFERROR(__xludf.DUMMYFUNCTION("""COMPUTED_VALUE"""),"Uncle Sams Cider (11/12/2021) (Blue)")</f>
        <v>Uncle Sams Cider (11/12/2021) (Blue)</v>
      </c>
      <c r="H3050" s="19"/>
    </row>
    <row r="3051">
      <c r="A3051" s="9"/>
      <c r="B3051" s="15"/>
      <c r="C3051" s="9">
        <f>IFERROR(__xludf.DUMMYFUNCTION("""COMPUTED_VALUE"""),44573.7612068749)</f>
        <v>44573.76121</v>
      </c>
      <c r="D3051" s="15">
        <f>IFERROR(__xludf.DUMMYFUNCTION("""COMPUTED_VALUE"""),1.004)</f>
        <v>1.004</v>
      </c>
      <c r="E3051" s="16">
        <f>IFERROR(__xludf.DUMMYFUNCTION("""COMPUTED_VALUE"""),64.0)</f>
        <v>64</v>
      </c>
      <c r="F3051" s="19" t="str">
        <f>IFERROR(__xludf.DUMMYFUNCTION("""COMPUTED_VALUE"""),"BLUE")</f>
        <v>BLUE</v>
      </c>
      <c r="G3051" s="20" t="str">
        <f>IFERROR(__xludf.DUMMYFUNCTION("""COMPUTED_VALUE"""),"Uncle Sams Cider (11/12/2021) (Blue)")</f>
        <v>Uncle Sams Cider (11/12/2021) (Blue)</v>
      </c>
      <c r="H3051" s="19"/>
    </row>
    <row r="3052">
      <c r="A3052" s="9"/>
      <c r="B3052" s="15"/>
      <c r="C3052" s="9">
        <f>IFERROR(__xludf.DUMMYFUNCTION("""COMPUTED_VALUE"""),44573.7507744097)</f>
        <v>44573.75077</v>
      </c>
      <c r="D3052" s="15">
        <f>IFERROR(__xludf.DUMMYFUNCTION("""COMPUTED_VALUE"""),1.003)</f>
        <v>1.003</v>
      </c>
      <c r="E3052" s="16">
        <f>IFERROR(__xludf.DUMMYFUNCTION("""COMPUTED_VALUE"""),64.0)</f>
        <v>64</v>
      </c>
      <c r="F3052" s="19" t="str">
        <f>IFERROR(__xludf.DUMMYFUNCTION("""COMPUTED_VALUE"""),"BLUE")</f>
        <v>BLUE</v>
      </c>
      <c r="G3052" s="20" t="str">
        <f>IFERROR(__xludf.DUMMYFUNCTION("""COMPUTED_VALUE"""),"Uncle Sams Cider (11/12/2021) (Blue)")</f>
        <v>Uncle Sams Cider (11/12/2021) (Blue)</v>
      </c>
      <c r="H3052" s="19"/>
    </row>
    <row r="3053">
      <c r="A3053" s="9"/>
      <c r="B3053" s="15"/>
      <c r="C3053" s="9">
        <f>IFERROR(__xludf.DUMMYFUNCTION("""COMPUTED_VALUE"""),44573.7403536111)</f>
        <v>44573.74035</v>
      </c>
      <c r="D3053" s="15">
        <f>IFERROR(__xludf.DUMMYFUNCTION("""COMPUTED_VALUE"""),1.004)</f>
        <v>1.004</v>
      </c>
      <c r="E3053" s="16">
        <f>IFERROR(__xludf.DUMMYFUNCTION("""COMPUTED_VALUE"""),64.0)</f>
        <v>64</v>
      </c>
      <c r="F3053" s="19" t="str">
        <f>IFERROR(__xludf.DUMMYFUNCTION("""COMPUTED_VALUE"""),"BLUE")</f>
        <v>BLUE</v>
      </c>
      <c r="G3053" s="20" t="str">
        <f>IFERROR(__xludf.DUMMYFUNCTION("""COMPUTED_VALUE"""),"Uncle Sams Cider (11/12/2021) (Blue)")</f>
        <v>Uncle Sams Cider (11/12/2021) (Blue)</v>
      </c>
      <c r="H3053" s="19"/>
    </row>
    <row r="3054">
      <c r="A3054" s="9"/>
      <c r="B3054" s="15"/>
      <c r="C3054" s="9">
        <f>IFERROR(__xludf.DUMMYFUNCTION("""COMPUTED_VALUE"""),44573.7299317939)</f>
        <v>44573.72993</v>
      </c>
      <c r="D3054" s="15">
        <f>IFERROR(__xludf.DUMMYFUNCTION("""COMPUTED_VALUE"""),1.004)</f>
        <v>1.004</v>
      </c>
      <c r="E3054" s="16">
        <f>IFERROR(__xludf.DUMMYFUNCTION("""COMPUTED_VALUE"""),64.0)</f>
        <v>64</v>
      </c>
      <c r="F3054" s="19" t="str">
        <f>IFERROR(__xludf.DUMMYFUNCTION("""COMPUTED_VALUE"""),"BLUE")</f>
        <v>BLUE</v>
      </c>
      <c r="G3054" s="20" t="str">
        <f>IFERROR(__xludf.DUMMYFUNCTION("""COMPUTED_VALUE"""),"Uncle Sams Cider (11/12/2021) (Blue)")</f>
        <v>Uncle Sams Cider (11/12/2021) (Blue)</v>
      </c>
      <c r="H3054" s="19"/>
    </row>
    <row r="3055">
      <c r="A3055" s="9"/>
      <c r="B3055" s="15"/>
      <c r="C3055" s="9">
        <f>IFERROR(__xludf.DUMMYFUNCTION("""COMPUTED_VALUE"""),44573.7195107754)</f>
        <v>44573.71951</v>
      </c>
      <c r="D3055" s="15">
        <f>IFERROR(__xludf.DUMMYFUNCTION("""COMPUTED_VALUE"""),1.004)</f>
        <v>1.004</v>
      </c>
      <c r="E3055" s="16">
        <f>IFERROR(__xludf.DUMMYFUNCTION("""COMPUTED_VALUE"""),64.0)</f>
        <v>64</v>
      </c>
      <c r="F3055" s="19" t="str">
        <f>IFERROR(__xludf.DUMMYFUNCTION("""COMPUTED_VALUE"""),"BLUE")</f>
        <v>BLUE</v>
      </c>
      <c r="G3055" s="20" t="str">
        <f>IFERROR(__xludf.DUMMYFUNCTION("""COMPUTED_VALUE"""),"Uncle Sams Cider (11/12/2021) (Blue)")</f>
        <v>Uncle Sams Cider (11/12/2021) (Blue)</v>
      </c>
      <c r="H3055" s="19"/>
    </row>
    <row r="3056">
      <c r="A3056" s="9"/>
      <c r="B3056" s="15"/>
      <c r="C3056" s="9">
        <f>IFERROR(__xludf.DUMMYFUNCTION("""COMPUTED_VALUE"""),44573.7090774305)</f>
        <v>44573.70908</v>
      </c>
      <c r="D3056" s="15">
        <f>IFERROR(__xludf.DUMMYFUNCTION("""COMPUTED_VALUE"""),1.004)</f>
        <v>1.004</v>
      </c>
      <c r="E3056" s="16">
        <f>IFERROR(__xludf.DUMMYFUNCTION("""COMPUTED_VALUE"""),64.0)</f>
        <v>64</v>
      </c>
      <c r="F3056" s="19" t="str">
        <f>IFERROR(__xludf.DUMMYFUNCTION("""COMPUTED_VALUE"""),"BLUE")</f>
        <v>BLUE</v>
      </c>
      <c r="G3056" s="20" t="str">
        <f>IFERROR(__xludf.DUMMYFUNCTION("""COMPUTED_VALUE"""),"Uncle Sams Cider (11/12/2021) (Blue)")</f>
        <v>Uncle Sams Cider (11/12/2021) (Blue)</v>
      </c>
      <c r="H3056" s="19"/>
    </row>
    <row r="3057">
      <c r="A3057" s="9"/>
      <c r="B3057" s="15"/>
      <c r="C3057" s="9">
        <f>IFERROR(__xludf.DUMMYFUNCTION("""COMPUTED_VALUE"""),44573.6986575578)</f>
        <v>44573.69866</v>
      </c>
      <c r="D3057" s="15">
        <f>IFERROR(__xludf.DUMMYFUNCTION("""COMPUTED_VALUE"""),1.004)</f>
        <v>1.004</v>
      </c>
      <c r="E3057" s="16">
        <f>IFERROR(__xludf.DUMMYFUNCTION("""COMPUTED_VALUE"""),64.0)</f>
        <v>64</v>
      </c>
      <c r="F3057" s="19" t="str">
        <f>IFERROR(__xludf.DUMMYFUNCTION("""COMPUTED_VALUE"""),"BLUE")</f>
        <v>BLUE</v>
      </c>
      <c r="G3057" s="20" t="str">
        <f>IFERROR(__xludf.DUMMYFUNCTION("""COMPUTED_VALUE"""),"Uncle Sams Cider (11/12/2021) (Blue)")</f>
        <v>Uncle Sams Cider (11/12/2021) (Blue)</v>
      </c>
      <c r="H3057" s="19"/>
    </row>
    <row r="3058">
      <c r="A3058" s="9"/>
      <c r="B3058" s="15"/>
      <c r="C3058" s="9">
        <f>IFERROR(__xludf.DUMMYFUNCTION("""COMPUTED_VALUE"""),44573.6882342939)</f>
        <v>44573.68823</v>
      </c>
      <c r="D3058" s="15">
        <f>IFERROR(__xludf.DUMMYFUNCTION("""COMPUTED_VALUE"""),1.004)</f>
        <v>1.004</v>
      </c>
      <c r="E3058" s="16">
        <f>IFERROR(__xludf.DUMMYFUNCTION("""COMPUTED_VALUE"""),64.0)</f>
        <v>64</v>
      </c>
      <c r="F3058" s="19" t="str">
        <f>IFERROR(__xludf.DUMMYFUNCTION("""COMPUTED_VALUE"""),"BLUE")</f>
        <v>BLUE</v>
      </c>
      <c r="G3058" s="20" t="str">
        <f>IFERROR(__xludf.DUMMYFUNCTION("""COMPUTED_VALUE"""),"Uncle Sams Cider (11/12/2021) (Blue)")</f>
        <v>Uncle Sams Cider (11/12/2021) (Blue)</v>
      </c>
      <c r="H3058" s="19"/>
    </row>
    <row r="3059">
      <c r="A3059" s="9"/>
      <c r="B3059" s="15"/>
      <c r="C3059" s="9">
        <f>IFERROR(__xludf.DUMMYFUNCTION("""COMPUTED_VALUE"""),44573.6778139699)</f>
        <v>44573.67781</v>
      </c>
      <c r="D3059" s="15">
        <f>IFERROR(__xludf.DUMMYFUNCTION("""COMPUTED_VALUE"""),1.004)</f>
        <v>1.004</v>
      </c>
      <c r="E3059" s="16">
        <f>IFERROR(__xludf.DUMMYFUNCTION("""COMPUTED_VALUE"""),64.0)</f>
        <v>64</v>
      </c>
      <c r="F3059" s="19" t="str">
        <f>IFERROR(__xludf.DUMMYFUNCTION("""COMPUTED_VALUE"""),"BLUE")</f>
        <v>BLUE</v>
      </c>
      <c r="G3059" s="20" t="str">
        <f>IFERROR(__xludf.DUMMYFUNCTION("""COMPUTED_VALUE"""),"Uncle Sams Cider (11/12/2021) (Blue)")</f>
        <v>Uncle Sams Cider (11/12/2021) (Blue)</v>
      </c>
      <c r="H3059" s="19"/>
    </row>
    <row r="3060">
      <c r="A3060" s="9"/>
      <c r="B3060" s="15"/>
      <c r="C3060" s="9">
        <f>IFERROR(__xludf.DUMMYFUNCTION("""COMPUTED_VALUE"""),44573.6673921064)</f>
        <v>44573.66739</v>
      </c>
      <c r="D3060" s="15">
        <f>IFERROR(__xludf.DUMMYFUNCTION("""COMPUTED_VALUE"""),1.004)</f>
        <v>1.004</v>
      </c>
      <c r="E3060" s="16">
        <f>IFERROR(__xludf.DUMMYFUNCTION("""COMPUTED_VALUE"""),64.0)</f>
        <v>64</v>
      </c>
      <c r="F3060" s="19" t="str">
        <f>IFERROR(__xludf.DUMMYFUNCTION("""COMPUTED_VALUE"""),"BLUE")</f>
        <v>BLUE</v>
      </c>
      <c r="G3060" s="20" t="str">
        <f>IFERROR(__xludf.DUMMYFUNCTION("""COMPUTED_VALUE"""),"Uncle Sams Cider (11/12/2021) (Blue)")</f>
        <v>Uncle Sams Cider (11/12/2021) (Blue)</v>
      </c>
      <c r="H3060" s="19"/>
    </row>
    <row r="3061">
      <c r="A3061" s="9"/>
      <c r="B3061" s="15"/>
      <c r="C3061" s="9">
        <f>IFERROR(__xludf.DUMMYFUNCTION("""COMPUTED_VALUE"""),44573.6569702777)</f>
        <v>44573.65697</v>
      </c>
      <c r="D3061" s="15">
        <f>IFERROR(__xludf.DUMMYFUNCTION("""COMPUTED_VALUE"""),1.004)</f>
        <v>1.004</v>
      </c>
      <c r="E3061" s="16">
        <f>IFERROR(__xludf.DUMMYFUNCTION("""COMPUTED_VALUE"""),64.0)</f>
        <v>64</v>
      </c>
      <c r="F3061" s="19" t="str">
        <f>IFERROR(__xludf.DUMMYFUNCTION("""COMPUTED_VALUE"""),"BLUE")</f>
        <v>BLUE</v>
      </c>
      <c r="G3061" s="20" t="str">
        <f>IFERROR(__xludf.DUMMYFUNCTION("""COMPUTED_VALUE"""),"Uncle Sams Cider (11/12/2021) (Blue)")</f>
        <v>Uncle Sams Cider (11/12/2021) (Blue)</v>
      </c>
      <c r="H3061" s="19"/>
    </row>
    <row r="3062">
      <c r="A3062" s="9"/>
      <c r="B3062" s="15"/>
      <c r="C3062" s="9">
        <f>IFERROR(__xludf.DUMMYFUNCTION("""COMPUTED_VALUE"""),44573.646549074)</f>
        <v>44573.64655</v>
      </c>
      <c r="D3062" s="15">
        <f>IFERROR(__xludf.DUMMYFUNCTION("""COMPUTED_VALUE"""),1.004)</f>
        <v>1.004</v>
      </c>
      <c r="E3062" s="16">
        <f>IFERROR(__xludf.DUMMYFUNCTION("""COMPUTED_VALUE"""),64.0)</f>
        <v>64</v>
      </c>
      <c r="F3062" s="19" t="str">
        <f>IFERROR(__xludf.DUMMYFUNCTION("""COMPUTED_VALUE"""),"BLUE")</f>
        <v>BLUE</v>
      </c>
      <c r="G3062" s="20" t="str">
        <f>IFERROR(__xludf.DUMMYFUNCTION("""COMPUTED_VALUE"""),"Uncle Sams Cider (11/12/2021) (Blue)")</f>
        <v>Uncle Sams Cider (11/12/2021) (Blue)</v>
      </c>
      <c r="H3062" s="19"/>
    </row>
    <row r="3063">
      <c r="A3063" s="9"/>
      <c r="B3063" s="15"/>
      <c r="C3063" s="9">
        <f>IFERROR(__xludf.DUMMYFUNCTION("""COMPUTED_VALUE"""),44573.6361270717)</f>
        <v>44573.63613</v>
      </c>
      <c r="D3063" s="15">
        <f>IFERROR(__xludf.DUMMYFUNCTION("""COMPUTED_VALUE"""),1.004)</f>
        <v>1.004</v>
      </c>
      <c r="E3063" s="16">
        <f>IFERROR(__xludf.DUMMYFUNCTION("""COMPUTED_VALUE"""),64.0)</f>
        <v>64</v>
      </c>
      <c r="F3063" s="19" t="str">
        <f>IFERROR(__xludf.DUMMYFUNCTION("""COMPUTED_VALUE"""),"BLUE")</f>
        <v>BLUE</v>
      </c>
      <c r="G3063" s="20" t="str">
        <f>IFERROR(__xludf.DUMMYFUNCTION("""COMPUTED_VALUE"""),"Uncle Sams Cider (11/12/2021) (Blue)")</f>
        <v>Uncle Sams Cider (11/12/2021) (Blue)</v>
      </c>
      <c r="H3063" s="19"/>
    </row>
    <row r="3064">
      <c r="A3064" s="9"/>
      <c r="B3064" s="15"/>
      <c r="C3064" s="9">
        <f>IFERROR(__xludf.DUMMYFUNCTION("""COMPUTED_VALUE"""),44573.6256917824)</f>
        <v>44573.62569</v>
      </c>
      <c r="D3064" s="15">
        <f>IFERROR(__xludf.DUMMYFUNCTION("""COMPUTED_VALUE"""),1.004)</f>
        <v>1.004</v>
      </c>
      <c r="E3064" s="16">
        <f>IFERROR(__xludf.DUMMYFUNCTION("""COMPUTED_VALUE"""),64.0)</f>
        <v>64</v>
      </c>
      <c r="F3064" s="19" t="str">
        <f>IFERROR(__xludf.DUMMYFUNCTION("""COMPUTED_VALUE"""),"BLUE")</f>
        <v>BLUE</v>
      </c>
      <c r="G3064" s="20" t="str">
        <f>IFERROR(__xludf.DUMMYFUNCTION("""COMPUTED_VALUE"""),"Uncle Sams Cider (11/12/2021) (Blue)")</f>
        <v>Uncle Sams Cider (11/12/2021) (Blue)</v>
      </c>
      <c r="H3064" s="19"/>
    </row>
    <row r="3065">
      <c r="A3065" s="9"/>
      <c r="B3065" s="15"/>
      <c r="C3065" s="9">
        <f>IFERROR(__xludf.DUMMYFUNCTION("""COMPUTED_VALUE"""),44573.6152719907)</f>
        <v>44573.61527</v>
      </c>
      <c r="D3065" s="15">
        <f>IFERROR(__xludf.DUMMYFUNCTION("""COMPUTED_VALUE"""),1.003)</f>
        <v>1.003</v>
      </c>
      <c r="E3065" s="16">
        <f>IFERROR(__xludf.DUMMYFUNCTION("""COMPUTED_VALUE"""),64.0)</f>
        <v>64</v>
      </c>
      <c r="F3065" s="19" t="str">
        <f>IFERROR(__xludf.DUMMYFUNCTION("""COMPUTED_VALUE"""),"BLUE")</f>
        <v>BLUE</v>
      </c>
      <c r="G3065" s="20" t="str">
        <f>IFERROR(__xludf.DUMMYFUNCTION("""COMPUTED_VALUE"""),"Uncle Sams Cider (11/12/2021) (Blue)")</f>
        <v>Uncle Sams Cider (11/12/2021) (Blue)</v>
      </c>
      <c r="H3065" s="19"/>
    </row>
    <row r="3066">
      <c r="A3066" s="9"/>
      <c r="B3066" s="15"/>
      <c r="C3066" s="9">
        <f>IFERROR(__xludf.DUMMYFUNCTION("""COMPUTED_VALUE"""),44573.6048504282)</f>
        <v>44573.60485</v>
      </c>
      <c r="D3066" s="15">
        <f>IFERROR(__xludf.DUMMYFUNCTION("""COMPUTED_VALUE"""),1.003)</f>
        <v>1.003</v>
      </c>
      <c r="E3066" s="16">
        <f>IFERROR(__xludf.DUMMYFUNCTION("""COMPUTED_VALUE"""),64.0)</f>
        <v>64</v>
      </c>
      <c r="F3066" s="19" t="str">
        <f>IFERROR(__xludf.DUMMYFUNCTION("""COMPUTED_VALUE"""),"BLUE")</f>
        <v>BLUE</v>
      </c>
      <c r="G3066" s="20" t="str">
        <f>IFERROR(__xludf.DUMMYFUNCTION("""COMPUTED_VALUE"""),"Uncle Sams Cider (11/12/2021) (Blue)")</f>
        <v>Uncle Sams Cider (11/12/2021) (Blue)</v>
      </c>
      <c r="H3066" s="19"/>
    </row>
    <row r="3067">
      <c r="A3067" s="9"/>
      <c r="B3067" s="15"/>
      <c r="C3067" s="9">
        <f>IFERROR(__xludf.DUMMYFUNCTION("""COMPUTED_VALUE"""),44573.5944056713)</f>
        <v>44573.59441</v>
      </c>
      <c r="D3067" s="15">
        <f>IFERROR(__xludf.DUMMYFUNCTION("""COMPUTED_VALUE"""),1.004)</f>
        <v>1.004</v>
      </c>
      <c r="E3067" s="16">
        <f>IFERROR(__xludf.DUMMYFUNCTION("""COMPUTED_VALUE"""),64.0)</f>
        <v>64</v>
      </c>
      <c r="F3067" s="19" t="str">
        <f>IFERROR(__xludf.DUMMYFUNCTION("""COMPUTED_VALUE"""),"BLUE")</f>
        <v>BLUE</v>
      </c>
      <c r="G3067" s="20" t="str">
        <f>IFERROR(__xludf.DUMMYFUNCTION("""COMPUTED_VALUE"""),"Uncle Sams Cider (11/12/2021) (Blue)")</f>
        <v>Uncle Sams Cider (11/12/2021) (Blue)</v>
      </c>
      <c r="H3067" s="19"/>
    </row>
    <row r="3068">
      <c r="A3068" s="9"/>
      <c r="B3068" s="15"/>
      <c r="C3068" s="9">
        <f>IFERROR(__xludf.DUMMYFUNCTION("""COMPUTED_VALUE"""),44573.5839753472)</f>
        <v>44573.58398</v>
      </c>
      <c r="D3068" s="15">
        <f>IFERROR(__xludf.DUMMYFUNCTION("""COMPUTED_VALUE"""),1.003)</f>
        <v>1.003</v>
      </c>
      <c r="E3068" s="16">
        <f>IFERROR(__xludf.DUMMYFUNCTION("""COMPUTED_VALUE"""),64.0)</f>
        <v>64</v>
      </c>
      <c r="F3068" s="19" t="str">
        <f>IFERROR(__xludf.DUMMYFUNCTION("""COMPUTED_VALUE"""),"BLUE")</f>
        <v>BLUE</v>
      </c>
      <c r="G3068" s="20" t="str">
        <f>IFERROR(__xludf.DUMMYFUNCTION("""COMPUTED_VALUE"""),"Uncle Sams Cider (11/12/2021) (Blue)")</f>
        <v>Uncle Sams Cider (11/12/2021) (Blue)</v>
      </c>
      <c r="H3068" s="19"/>
    </row>
    <row r="3069">
      <c r="A3069" s="9"/>
      <c r="B3069" s="15"/>
      <c r="C3069" s="9">
        <f>IFERROR(__xludf.DUMMYFUNCTION("""COMPUTED_VALUE"""),44573.5735313194)</f>
        <v>44573.57353</v>
      </c>
      <c r="D3069" s="15">
        <f>IFERROR(__xludf.DUMMYFUNCTION("""COMPUTED_VALUE"""),1.004)</f>
        <v>1.004</v>
      </c>
      <c r="E3069" s="16">
        <f>IFERROR(__xludf.DUMMYFUNCTION("""COMPUTED_VALUE"""),64.0)</f>
        <v>64</v>
      </c>
      <c r="F3069" s="19" t="str">
        <f>IFERROR(__xludf.DUMMYFUNCTION("""COMPUTED_VALUE"""),"BLUE")</f>
        <v>BLUE</v>
      </c>
      <c r="G3069" s="20" t="str">
        <f>IFERROR(__xludf.DUMMYFUNCTION("""COMPUTED_VALUE"""),"Uncle Sams Cider (11/12/2021) (Blue)")</f>
        <v>Uncle Sams Cider (11/12/2021) (Blue)</v>
      </c>
      <c r="H3069" s="19"/>
    </row>
    <row r="3070">
      <c r="A3070" s="9"/>
      <c r="B3070" s="15"/>
      <c r="C3070" s="9">
        <f>IFERROR(__xludf.DUMMYFUNCTION("""COMPUTED_VALUE"""),44573.5631110416)</f>
        <v>44573.56311</v>
      </c>
      <c r="D3070" s="15">
        <f>IFERROR(__xludf.DUMMYFUNCTION("""COMPUTED_VALUE"""),1.003)</f>
        <v>1.003</v>
      </c>
      <c r="E3070" s="16">
        <f>IFERROR(__xludf.DUMMYFUNCTION("""COMPUTED_VALUE"""),64.0)</f>
        <v>64</v>
      </c>
      <c r="F3070" s="19" t="str">
        <f>IFERROR(__xludf.DUMMYFUNCTION("""COMPUTED_VALUE"""),"BLUE")</f>
        <v>BLUE</v>
      </c>
      <c r="G3070" s="20" t="str">
        <f>IFERROR(__xludf.DUMMYFUNCTION("""COMPUTED_VALUE"""),"Uncle Sams Cider (11/12/2021) (Blue)")</f>
        <v>Uncle Sams Cider (11/12/2021) (Blue)</v>
      </c>
      <c r="H3070" s="19"/>
    </row>
    <row r="3071">
      <c r="A3071" s="9"/>
      <c r="B3071" s="15"/>
      <c r="C3071" s="9">
        <f>IFERROR(__xludf.DUMMYFUNCTION("""COMPUTED_VALUE"""),44573.5526909953)</f>
        <v>44573.55269</v>
      </c>
      <c r="D3071" s="15">
        <f>IFERROR(__xludf.DUMMYFUNCTION("""COMPUTED_VALUE"""),1.004)</f>
        <v>1.004</v>
      </c>
      <c r="E3071" s="16">
        <f>IFERROR(__xludf.DUMMYFUNCTION("""COMPUTED_VALUE"""),64.0)</f>
        <v>64</v>
      </c>
      <c r="F3071" s="19" t="str">
        <f>IFERROR(__xludf.DUMMYFUNCTION("""COMPUTED_VALUE"""),"BLUE")</f>
        <v>BLUE</v>
      </c>
      <c r="G3071" s="20" t="str">
        <f>IFERROR(__xludf.DUMMYFUNCTION("""COMPUTED_VALUE"""),"Uncle Sams Cider (11/12/2021) (Blue)")</f>
        <v>Uncle Sams Cider (11/12/2021) (Blue)</v>
      </c>
      <c r="H3071" s="19"/>
    </row>
    <row r="3072">
      <c r="A3072" s="9"/>
      <c r="B3072" s="15"/>
      <c r="C3072" s="9">
        <f>IFERROR(__xludf.DUMMYFUNCTION("""COMPUTED_VALUE"""),44573.5422692476)</f>
        <v>44573.54227</v>
      </c>
      <c r="D3072" s="15">
        <f>IFERROR(__xludf.DUMMYFUNCTION("""COMPUTED_VALUE"""),1.003)</f>
        <v>1.003</v>
      </c>
      <c r="E3072" s="16">
        <f>IFERROR(__xludf.DUMMYFUNCTION("""COMPUTED_VALUE"""),64.0)</f>
        <v>64</v>
      </c>
      <c r="F3072" s="19" t="str">
        <f>IFERROR(__xludf.DUMMYFUNCTION("""COMPUTED_VALUE"""),"BLUE")</f>
        <v>BLUE</v>
      </c>
      <c r="G3072" s="20" t="str">
        <f>IFERROR(__xludf.DUMMYFUNCTION("""COMPUTED_VALUE"""),"Uncle Sams Cider (11/12/2021) (Blue)")</f>
        <v>Uncle Sams Cider (11/12/2021) (Blue)</v>
      </c>
      <c r="H3072" s="19"/>
    </row>
    <row r="3073">
      <c r="A3073" s="9"/>
      <c r="B3073" s="15"/>
      <c r="C3073" s="9">
        <f>IFERROR(__xludf.DUMMYFUNCTION("""COMPUTED_VALUE"""),44573.5318496296)</f>
        <v>44573.53185</v>
      </c>
      <c r="D3073" s="15">
        <f>IFERROR(__xludf.DUMMYFUNCTION("""COMPUTED_VALUE"""),1.004)</f>
        <v>1.004</v>
      </c>
      <c r="E3073" s="16">
        <f>IFERROR(__xludf.DUMMYFUNCTION("""COMPUTED_VALUE"""),64.0)</f>
        <v>64</v>
      </c>
      <c r="F3073" s="19" t="str">
        <f>IFERROR(__xludf.DUMMYFUNCTION("""COMPUTED_VALUE"""),"BLUE")</f>
        <v>BLUE</v>
      </c>
      <c r="G3073" s="20" t="str">
        <f>IFERROR(__xludf.DUMMYFUNCTION("""COMPUTED_VALUE"""),"Uncle Sams Cider (11/12/2021) (Blue)")</f>
        <v>Uncle Sams Cider (11/12/2021) (Blue)</v>
      </c>
      <c r="H3073" s="19"/>
    </row>
    <row r="3074">
      <c r="A3074" s="9"/>
      <c r="B3074" s="15"/>
      <c r="C3074" s="9">
        <f>IFERROR(__xludf.DUMMYFUNCTION("""COMPUTED_VALUE"""),44573.5214179282)</f>
        <v>44573.52142</v>
      </c>
      <c r="D3074" s="15">
        <f>IFERROR(__xludf.DUMMYFUNCTION("""COMPUTED_VALUE"""),1.003)</f>
        <v>1.003</v>
      </c>
      <c r="E3074" s="16">
        <f>IFERROR(__xludf.DUMMYFUNCTION("""COMPUTED_VALUE"""),64.0)</f>
        <v>64</v>
      </c>
      <c r="F3074" s="19" t="str">
        <f>IFERROR(__xludf.DUMMYFUNCTION("""COMPUTED_VALUE"""),"BLUE")</f>
        <v>BLUE</v>
      </c>
      <c r="G3074" s="20" t="str">
        <f>IFERROR(__xludf.DUMMYFUNCTION("""COMPUTED_VALUE"""),"Uncle Sams Cider (11/12/2021) (Blue)")</f>
        <v>Uncle Sams Cider (11/12/2021) (Blue)</v>
      </c>
      <c r="H3074" s="19"/>
    </row>
    <row r="3075">
      <c r="A3075" s="9"/>
      <c r="B3075" s="15"/>
      <c r="C3075" s="9">
        <f>IFERROR(__xludf.DUMMYFUNCTION("""COMPUTED_VALUE"""),44573.5109951388)</f>
        <v>44573.511</v>
      </c>
      <c r="D3075" s="15">
        <f>IFERROR(__xludf.DUMMYFUNCTION("""COMPUTED_VALUE"""),1.004)</f>
        <v>1.004</v>
      </c>
      <c r="E3075" s="16">
        <f>IFERROR(__xludf.DUMMYFUNCTION("""COMPUTED_VALUE"""),64.0)</f>
        <v>64</v>
      </c>
      <c r="F3075" s="19" t="str">
        <f>IFERROR(__xludf.DUMMYFUNCTION("""COMPUTED_VALUE"""),"BLUE")</f>
        <v>BLUE</v>
      </c>
      <c r="G3075" s="20" t="str">
        <f>IFERROR(__xludf.DUMMYFUNCTION("""COMPUTED_VALUE"""),"Uncle Sams Cider (11/12/2021) (Blue)")</f>
        <v>Uncle Sams Cider (11/12/2021) (Blue)</v>
      </c>
      <c r="H3075" s="19"/>
    </row>
    <row r="3076">
      <c r="A3076" s="9"/>
      <c r="B3076" s="15"/>
      <c r="C3076" s="9">
        <f>IFERROR(__xludf.DUMMYFUNCTION("""COMPUTED_VALUE"""),44573.5005617013)</f>
        <v>44573.50056</v>
      </c>
      <c r="D3076" s="15">
        <f>IFERROR(__xludf.DUMMYFUNCTION("""COMPUTED_VALUE"""),1.004)</f>
        <v>1.004</v>
      </c>
      <c r="E3076" s="16">
        <f>IFERROR(__xludf.DUMMYFUNCTION("""COMPUTED_VALUE"""),64.0)</f>
        <v>64</v>
      </c>
      <c r="F3076" s="19" t="str">
        <f>IFERROR(__xludf.DUMMYFUNCTION("""COMPUTED_VALUE"""),"BLUE")</f>
        <v>BLUE</v>
      </c>
      <c r="G3076" s="20" t="str">
        <f>IFERROR(__xludf.DUMMYFUNCTION("""COMPUTED_VALUE"""),"Uncle Sams Cider (11/12/2021) (Blue)")</f>
        <v>Uncle Sams Cider (11/12/2021) (Blue)</v>
      </c>
      <c r="H3076" s="19"/>
    </row>
    <row r="3077">
      <c r="A3077" s="9"/>
      <c r="B3077" s="15"/>
      <c r="C3077" s="9">
        <f>IFERROR(__xludf.DUMMYFUNCTION("""COMPUTED_VALUE"""),44573.4901412847)</f>
        <v>44573.49014</v>
      </c>
      <c r="D3077" s="15">
        <f>IFERROR(__xludf.DUMMYFUNCTION("""COMPUTED_VALUE"""),1.004)</f>
        <v>1.004</v>
      </c>
      <c r="E3077" s="16">
        <f>IFERROR(__xludf.DUMMYFUNCTION("""COMPUTED_VALUE"""),64.0)</f>
        <v>64</v>
      </c>
      <c r="F3077" s="19" t="str">
        <f>IFERROR(__xludf.DUMMYFUNCTION("""COMPUTED_VALUE"""),"BLUE")</f>
        <v>BLUE</v>
      </c>
      <c r="G3077" s="20" t="str">
        <f>IFERROR(__xludf.DUMMYFUNCTION("""COMPUTED_VALUE"""),"Uncle Sams Cider (11/12/2021) (Blue)")</f>
        <v>Uncle Sams Cider (11/12/2021) (Blue)</v>
      </c>
      <c r="H3077" s="19"/>
    </row>
    <row r="3078">
      <c r="A3078" s="9"/>
      <c r="B3078" s="15"/>
      <c r="C3078" s="9">
        <f>IFERROR(__xludf.DUMMYFUNCTION("""COMPUTED_VALUE"""),44573.4797202546)</f>
        <v>44573.47972</v>
      </c>
      <c r="D3078" s="15">
        <f>IFERROR(__xludf.DUMMYFUNCTION("""COMPUTED_VALUE"""),1.004)</f>
        <v>1.004</v>
      </c>
      <c r="E3078" s="16">
        <f>IFERROR(__xludf.DUMMYFUNCTION("""COMPUTED_VALUE"""),64.0)</f>
        <v>64</v>
      </c>
      <c r="F3078" s="19" t="str">
        <f>IFERROR(__xludf.DUMMYFUNCTION("""COMPUTED_VALUE"""),"BLUE")</f>
        <v>BLUE</v>
      </c>
      <c r="G3078" s="20" t="str">
        <f>IFERROR(__xludf.DUMMYFUNCTION("""COMPUTED_VALUE"""),"Uncle Sams Cider (11/12/2021) (Blue)")</f>
        <v>Uncle Sams Cider (11/12/2021) (Blue)</v>
      </c>
      <c r="H3078" s="19"/>
    </row>
    <row r="3079">
      <c r="A3079" s="9"/>
      <c r="B3079" s="15"/>
      <c r="C3079" s="9">
        <f>IFERROR(__xludf.DUMMYFUNCTION("""COMPUTED_VALUE"""),44573.4692985185)</f>
        <v>44573.4693</v>
      </c>
      <c r="D3079" s="15">
        <f>IFERROR(__xludf.DUMMYFUNCTION("""COMPUTED_VALUE"""),1.004)</f>
        <v>1.004</v>
      </c>
      <c r="E3079" s="16">
        <f>IFERROR(__xludf.DUMMYFUNCTION("""COMPUTED_VALUE"""),64.0)</f>
        <v>64</v>
      </c>
      <c r="F3079" s="19" t="str">
        <f>IFERROR(__xludf.DUMMYFUNCTION("""COMPUTED_VALUE"""),"BLUE")</f>
        <v>BLUE</v>
      </c>
      <c r="G3079" s="20" t="str">
        <f>IFERROR(__xludf.DUMMYFUNCTION("""COMPUTED_VALUE"""),"Uncle Sams Cider (11/12/2021) (Blue)")</f>
        <v>Uncle Sams Cider (11/12/2021) (Blue)</v>
      </c>
      <c r="H3079" s="19"/>
    </row>
    <row r="3080">
      <c r="A3080" s="9"/>
      <c r="B3080" s="15"/>
      <c r="C3080" s="9">
        <f>IFERROR(__xludf.DUMMYFUNCTION("""COMPUTED_VALUE"""),44573.4588778124)</f>
        <v>44573.45888</v>
      </c>
      <c r="D3080" s="15">
        <f>IFERROR(__xludf.DUMMYFUNCTION("""COMPUTED_VALUE"""),1.004)</f>
        <v>1.004</v>
      </c>
      <c r="E3080" s="16">
        <f>IFERROR(__xludf.DUMMYFUNCTION("""COMPUTED_VALUE"""),64.0)</f>
        <v>64</v>
      </c>
      <c r="F3080" s="19" t="str">
        <f>IFERROR(__xludf.DUMMYFUNCTION("""COMPUTED_VALUE"""),"BLUE")</f>
        <v>BLUE</v>
      </c>
      <c r="G3080" s="20" t="str">
        <f>IFERROR(__xludf.DUMMYFUNCTION("""COMPUTED_VALUE"""),"Uncle Sams Cider (11/12/2021) (Blue)")</f>
        <v>Uncle Sams Cider (11/12/2021) (Blue)</v>
      </c>
      <c r="H3080" s="19"/>
    </row>
    <row r="3081">
      <c r="A3081" s="9"/>
      <c r="B3081" s="15"/>
      <c r="C3081" s="9">
        <f>IFERROR(__xludf.DUMMYFUNCTION("""COMPUTED_VALUE"""),44573.4484572222)</f>
        <v>44573.44846</v>
      </c>
      <c r="D3081" s="15">
        <f>IFERROR(__xludf.DUMMYFUNCTION("""COMPUTED_VALUE"""),1.004)</f>
        <v>1.004</v>
      </c>
      <c r="E3081" s="16">
        <f>IFERROR(__xludf.DUMMYFUNCTION("""COMPUTED_VALUE"""),64.0)</f>
        <v>64</v>
      </c>
      <c r="F3081" s="19" t="str">
        <f>IFERROR(__xludf.DUMMYFUNCTION("""COMPUTED_VALUE"""),"BLUE")</f>
        <v>BLUE</v>
      </c>
      <c r="G3081" s="20" t="str">
        <f>IFERROR(__xludf.DUMMYFUNCTION("""COMPUTED_VALUE"""),"Uncle Sams Cider (11/12/2021) (Blue)")</f>
        <v>Uncle Sams Cider (11/12/2021) (Blue)</v>
      </c>
      <c r="H3081" s="19"/>
    </row>
    <row r="3082">
      <c r="A3082" s="9"/>
      <c r="B3082" s="15"/>
      <c r="C3082" s="9">
        <f>IFERROR(__xludf.DUMMYFUNCTION("""COMPUTED_VALUE"""),44573.4380365277)</f>
        <v>44573.43804</v>
      </c>
      <c r="D3082" s="15">
        <f>IFERROR(__xludf.DUMMYFUNCTION("""COMPUTED_VALUE"""),1.004)</f>
        <v>1.004</v>
      </c>
      <c r="E3082" s="16">
        <f>IFERROR(__xludf.DUMMYFUNCTION("""COMPUTED_VALUE"""),65.0)</f>
        <v>65</v>
      </c>
      <c r="F3082" s="19" t="str">
        <f>IFERROR(__xludf.DUMMYFUNCTION("""COMPUTED_VALUE"""),"BLUE")</f>
        <v>BLUE</v>
      </c>
      <c r="G3082" s="20" t="str">
        <f>IFERROR(__xludf.DUMMYFUNCTION("""COMPUTED_VALUE"""),"Uncle Sams Cider (11/12/2021) (Blue)")</f>
        <v>Uncle Sams Cider (11/12/2021) (Blue)</v>
      </c>
      <c r="H3082" s="19"/>
    </row>
    <row r="3083">
      <c r="A3083" s="9"/>
      <c r="B3083" s="15"/>
      <c r="C3083" s="9">
        <f>IFERROR(__xludf.DUMMYFUNCTION("""COMPUTED_VALUE"""),44573.4276164236)</f>
        <v>44573.42762</v>
      </c>
      <c r="D3083" s="15">
        <f>IFERROR(__xludf.DUMMYFUNCTION("""COMPUTED_VALUE"""),1.004)</f>
        <v>1.004</v>
      </c>
      <c r="E3083" s="16">
        <f>IFERROR(__xludf.DUMMYFUNCTION("""COMPUTED_VALUE"""),64.0)</f>
        <v>64</v>
      </c>
      <c r="F3083" s="19" t="str">
        <f>IFERROR(__xludf.DUMMYFUNCTION("""COMPUTED_VALUE"""),"BLUE")</f>
        <v>BLUE</v>
      </c>
      <c r="G3083" s="20" t="str">
        <f>IFERROR(__xludf.DUMMYFUNCTION("""COMPUTED_VALUE"""),"Uncle Sams Cider (11/12/2021) (Blue)")</f>
        <v>Uncle Sams Cider (11/12/2021) (Blue)</v>
      </c>
      <c r="H3083" s="19"/>
    </row>
    <row r="3084">
      <c r="A3084" s="9"/>
      <c r="B3084" s="15"/>
      <c r="C3084" s="9">
        <f>IFERROR(__xludf.DUMMYFUNCTION("""COMPUTED_VALUE"""),44573.4171971759)</f>
        <v>44573.4172</v>
      </c>
      <c r="D3084" s="15">
        <f>IFERROR(__xludf.DUMMYFUNCTION("""COMPUTED_VALUE"""),1.004)</f>
        <v>1.004</v>
      </c>
      <c r="E3084" s="16">
        <f>IFERROR(__xludf.DUMMYFUNCTION("""COMPUTED_VALUE"""),65.0)</f>
        <v>65</v>
      </c>
      <c r="F3084" s="19" t="str">
        <f>IFERROR(__xludf.DUMMYFUNCTION("""COMPUTED_VALUE"""),"BLUE")</f>
        <v>BLUE</v>
      </c>
      <c r="G3084" s="20" t="str">
        <f>IFERROR(__xludf.DUMMYFUNCTION("""COMPUTED_VALUE"""),"Uncle Sams Cider (11/12/2021) (Blue)")</f>
        <v>Uncle Sams Cider (11/12/2021) (Blue)</v>
      </c>
      <c r="H3084" s="19"/>
    </row>
    <row r="3085">
      <c r="A3085" s="9"/>
      <c r="B3085" s="15"/>
      <c r="C3085" s="9">
        <f>IFERROR(__xludf.DUMMYFUNCTION("""COMPUTED_VALUE"""),44573.4067522222)</f>
        <v>44573.40675</v>
      </c>
      <c r="D3085" s="15">
        <f>IFERROR(__xludf.DUMMYFUNCTION("""COMPUTED_VALUE"""),1.004)</f>
        <v>1.004</v>
      </c>
      <c r="E3085" s="16">
        <f>IFERROR(__xludf.DUMMYFUNCTION("""COMPUTED_VALUE"""),65.0)</f>
        <v>65</v>
      </c>
      <c r="F3085" s="19" t="str">
        <f>IFERROR(__xludf.DUMMYFUNCTION("""COMPUTED_VALUE"""),"BLUE")</f>
        <v>BLUE</v>
      </c>
      <c r="G3085" s="20" t="str">
        <f>IFERROR(__xludf.DUMMYFUNCTION("""COMPUTED_VALUE"""),"Uncle Sams Cider (11/12/2021) (Blue)")</f>
        <v>Uncle Sams Cider (11/12/2021) (Blue)</v>
      </c>
      <c r="H3085" s="19"/>
    </row>
    <row r="3086">
      <c r="A3086" s="9"/>
      <c r="B3086" s="15"/>
      <c r="C3086" s="9">
        <f>IFERROR(__xludf.DUMMYFUNCTION("""COMPUTED_VALUE"""),44573.396307824)</f>
        <v>44573.39631</v>
      </c>
      <c r="D3086" s="15">
        <f>IFERROR(__xludf.DUMMYFUNCTION("""COMPUTED_VALUE"""),1.004)</f>
        <v>1.004</v>
      </c>
      <c r="E3086" s="16">
        <f>IFERROR(__xludf.DUMMYFUNCTION("""COMPUTED_VALUE"""),65.0)</f>
        <v>65</v>
      </c>
      <c r="F3086" s="19" t="str">
        <f>IFERROR(__xludf.DUMMYFUNCTION("""COMPUTED_VALUE"""),"BLUE")</f>
        <v>BLUE</v>
      </c>
      <c r="G3086" s="20" t="str">
        <f>IFERROR(__xludf.DUMMYFUNCTION("""COMPUTED_VALUE"""),"Uncle Sams Cider (11/12/2021) (Blue)")</f>
        <v>Uncle Sams Cider (11/12/2021) (Blue)</v>
      </c>
      <c r="H3086" s="19"/>
    </row>
    <row r="3087">
      <c r="A3087" s="9"/>
      <c r="B3087" s="15"/>
      <c r="C3087" s="9">
        <f>IFERROR(__xludf.DUMMYFUNCTION("""COMPUTED_VALUE"""),44573.385875)</f>
        <v>44573.38588</v>
      </c>
      <c r="D3087" s="15">
        <f>IFERROR(__xludf.DUMMYFUNCTION("""COMPUTED_VALUE"""),1.004)</f>
        <v>1.004</v>
      </c>
      <c r="E3087" s="16">
        <f>IFERROR(__xludf.DUMMYFUNCTION("""COMPUTED_VALUE"""),65.0)</f>
        <v>65</v>
      </c>
      <c r="F3087" s="19" t="str">
        <f>IFERROR(__xludf.DUMMYFUNCTION("""COMPUTED_VALUE"""),"BLUE")</f>
        <v>BLUE</v>
      </c>
      <c r="G3087" s="20" t="str">
        <f>IFERROR(__xludf.DUMMYFUNCTION("""COMPUTED_VALUE"""),"Uncle Sams Cider (11/12/2021) (Blue)")</f>
        <v>Uncle Sams Cider (11/12/2021) (Blue)</v>
      </c>
      <c r="H3087" s="19"/>
    </row>
    <row r="3088">
      <c r="A3088" s="9"/>
      <c r="B3088" s="15"/>
      <c r="C3088" s="9">
        <f>IFERROR(__xludf.DUMMYFUNCTION("""COMPUTED_VALUE"""),44573.3754545486)</f>
        <v>44573.37545</v>
      </c>
      <c r="D3088" s="15">
        <f>IFERROR(__xludf.DUMMYFUNCTION("""COMPUTED_VALUE"""),1.004)</f>
        <v>1.004</v>
      </c>
      <c r="E3088" s="16">
        <f>IFERROR(__xludf.DUMMYFUNCTION("""COMPUTED_VALUE"""),65.0)</f>
        <v>65</v>
      </c>
      <c r="F3088" s="19" t="str">
        <f>IFERROR(__xludf.DUMMYFUNCTION("""COMPUTED_VALUE"""),"BLUE")</f>
        <v>BLUE</v>
      </c>
      <c r="G3088" s="20" t="str">
        <f>IFERROR(__xludf.DUMMYFUNCTION("""COMPUTED_VALUE"""),"Uncle Sams Cider (11/12/2021) (Blue)")</f>
        <v>Uncle Sams Cider (11/12/2021) (Blue)</v>
      </c>
      <c r="H3088" s="19"/>
    </row>
    <row r="3089">
      <c r="A3089" s="9"/>
      <c r="B3089" s="15"/>
      <c r="C3089" s="9">
        <f>IFERROR(__xludf.DUMMYFUNCTION("""COMPUTED_VALUE"""),44573.3650220717)</f>
        <v>44573.36502</v>
      </c>
      <c r="D3089" s="15">
        <f>IFERROR(__xludf.DUMMYFUNCTION("""COMPUTED_VALUE"""),1.004)</f>
        <v>1.004</v>
      </c>
      <c r="E3089" s="16">
        <f>IFERROR(__xludf.DUMMYFUNCTION("""COMPUTED_VALUE"""),65.0)</f>
        <v>65</v>
      </c>
      <c r="F3089" s="19" t="str">
        <f>IFERROR(__xludf.DUMMYFUNCTION("""COMPUTED_VALUE"""),"BLUE")</f>
        <v>BLUE</v>
      </c>
      <c r="G3089" s="20" t="str">
        <f>IFERROR(__xludf.DUMMYFUNCTION("""COMPUTED_VALUE"""),"Uncle Sams Cider (11/12/2021) (Blue)")</f>
        <v>Uncle Sams Cider (11/12/2021) (Blue)</v>
      </c>
      <c r="H3089" s="19"/>
    </row>
    <row r="3090">
      <c r="A3090" s="9"/>
      <c r="B3090" s="15"/>
      <c r="C3090" s="9">
        <f>IFERROR(__xludf.DUMMYFUNCTION("""COMPUTED_VALUE"""),44573.3546018055)</f>
        <v>44573.3546</v>
      </c>
      <c r="D3090" s="15">
        <f>IFERROR(__xludf.DUMMYFUNCTION("""COMPUTED_VALUE"""),1.003)</f>
        <v>1.003</v>
      </c>
      <c r="E3090" s="16">
        <f>IFERROR(__xludf.DUMMYFUNCTION("""COMPUTED_VALUE"""),65.0)</f>
        <v>65</v>
      </c>
      <c r="F3090" s="19" t="str">
        <f>IFERROR(__xludf.DUMMYFUNCTION("""COMPUTED_VALUE"""),"BLUE")</f>
        <v>BLUE</v>
      </c>
      <c r="G3090" s="20" t="str">
        <f>IFERROR(__xludf.DUMMYFUNCTION("""COMPUTED_VALUE"""),"Uncle Sams Cider (11/12/2021) (Blue)")</f>
        <v>Uncle Sams Cider (11/12/2021) (Blue)</v>
      </c>
      <c r="H3090" s="19"/>
    </row>
    <row r="3091">
      <c r="A3091" s="9"/>
      <c r="B3091" s="15"/>
      <c r="C3091" s="9">
        <f>IFERROR(__xludf.DUMMYFUNCTION("""COMPUTED_VALUE"""),44573.3441694791)</f>
        <v>44573.34417</v>
      </c>
      <c r="D3091" s="15">
        <f>IFERROR(__xludf.DUMMYFUNCTION("""COMPUTED_VALUE"""),1.004)</f>
        <v>1.004</v>
      </c>
      <c r="E3091" s="16">
        <f>IFERROR(__xludf.DUMMYFUNCTION("""COMPUTED_VALUE"""),65.0)</f>
        <v>65</v>
      </c>
      <c r="F3091" s="19" t="str">
        <f>IFERROR(__xludf.DUMMYFUNCTION("""COMPUTED_VALUE"""),"BLUE")</f>
        <v>BLUE</v>
      </c>
      <c r="G3091" s="20" t="str">
        <f>IFERROR(__xludf.DUMMYFUNCTION("""COMPUTED_VALUE"""),"Uncle Sams Cider (11/12/2021) (Blue)")</f>
        <v>Uncle Sams Cider (11/12/2021) (Blue)</v>
      </c>
      <c r="H3091" s="19"/>
    </row>
    <row r="3092">
      <c r="A3092" s="9"/>
      <c r="B3092" s="15"/>
      <c r="C3092" s="9">
        <f>IFERROR(__xludf.DUMMYFUNCTION("""COMPUTED_VALUE"""),44573.3337477199)</f>
        <v>44573.33375</v>
      </c>
      <c r="D3092" s="15">
        <f>IFERROR(__xludf.DUMMYFUNCTION("""COMPUTED_VALUE"""),1.004)</f>
        <v>1.004</v>
      </c>
      <c r="E3092" s="16">
        <f>IFERROR(__xludf.DUMMYFUNCTION("""COMPUTED_VALUE"""),65.0)</f>
        <v>65</v>
      </c>
      <c r="F3092" s="19" t="str">
        <f>IFERROR(__xludf.DUMMYFUNCTION("""COMPUTED_VALUE"""),"BLUE")</f>
        <v>BLUE</v>
      </c>
      <c r="G3092" s="20" t="str">
        <f>IFERROR(__xludf.DUMMYFUNCTION("""COMPUTED_VALUE"""),"Uncle Sams Cider (11/12/2021) (Blue)")</f>
        <v>Uncle Sams Cider (11/12/2021) (Blue)</v>
      </c>
      <c r="H3092" s="19"/>
    </row>
    <row r="3093">
      <c r="A3093" s="9"/>
      <c r="B3093" s="15"/>
      <c r="C3093" s="9">
        <f>IFERROR(__xludf.DUMMYFUNCTION("""COMPUTED_VALUE"""),44573.3233277199)</f>
        <v>44573.32333</v>
      </c>
      <c r="D3093" s="15">
        <f>IFERROR(__xludf.DUMMYFUNCTION("""COMPUTED_VALUE"""),1.004)</f>
        <v>1.004</v>
      </c>
      <c r="E3093" s="16">
        <f>IFERROR(__xludf.DUMMYFUNCTION("""COMPUTED_VALUE"""),65.0)</f>
        <v>65</v>
      </c>
      <c r="F3093" s="19" t="str">
        <f>IFERROR(__xludf.DUMMYFUNCTION("""COMPUTED_VALUE"""),"BLUE")</f>
        <v>BLUE</v>
      </c>
      <c r="G3093" s="20" t="str">
        <f>IFERROR(__xludf.DUMMYFUNCTION("""COMPUTED_VALUE"""),"Uncle Sams Cider (11/12/2021) (Blue)")</f>
        <v>Uncle Sams Cider (11/12/2021) (Blue)</v>
      </c>
      <c r="H3093" s="19"/>
    </row>
    <row r="3094">
      <c r="A3094" s="9"/>
      <c r="B3094" s="15"/>
      <c r="C3094" s="9">
        <f>IFERROR(__xludf.DUMMYFUNCTION("""COMPUTED_VALUE"""),44573.3129055324)</f>
        <v>44573.31291</v>
      </c>
      <c r="D3094" s="15">
        <f>IFERROR(__xludf.DUMMYFUNCTION("""COMPUTED_VALUE"""),1.003)</f>
        <v>1.003</v>
      </c>
      <c r="E3094" s="16">
        <f>IFERROR(__xludf.DUMMYFUNCTION("""COMPUTED_VALUE"""),65.0)</f>
        <v>65</v>
      </c>
      <c r="F3094" s="19" t="str">
        <f>IFERROR(__xludf.DUMMYFUNCTION("""COMPUTED_VALUE"""),"BLUE")</f>
        <v>BLUE</v>
      </c>
      <c r="G3094" s="20" t="str">
        <f>IFERROR(__xludf.DUMMYFUNCTION("""COMPUTED_VALUE"""),"Uncle Sams Cider (11/12/2021) (Blue)")</f>
        <v>Uncle Sams Cider (11/12/2021) (Blue)</v>
      </c>
      <c r="H3094" s="19"/>
    </row>
    <row r="3095">
      <c r="A3095" s="9"/>
      <c r="B3095" s="15"/>
      <c r="C3095" s="9">
        <f>IFERROR(__xludf.DUMMYFUNCTION("""COMPUTED_VALUE"""),44573.3024848148)</f>
        <v>44573.30248</v>
      </c>
      <c r="D3095" s="15">
        <f>IFERROR(__xludf.DUMMYFUNCTION("""COMPUTED_VALUE"""),1.003)</f>
        <v>1.003</v>
      </c>
      <c r="E3095" s="16">
        <f>IFERROR(__xludf.DUMMYFUNCTION("""COMPUTED_VALUE"""),65.0)</f>
        <v>65</v>
      </c>
      <c r="F3095" s="19" t="str">
        <f>IFERROR(__xludf.DUMMYFUNCTION("""COMPUTED_VALUE"""),"BLUE")</f>
        <v>BLUE</v>
      </c>
      <c r="G3095" s="20" t="str">
        <f>IFERROR(__xludf.DUMMYFUNCTION("""COMPUTED_VALUE"""),"Uncle Sams Cider (11/12/2021) (Blue)")</f>
        <v>Uncle Sams Cider (11/12/2021) (Blue)</v>
      </c>
      <c r="H3095" s="19"/>
    </row>
    <row r="3096">
      <c r="A3096" s="9"/>
      <c r="B3096" s="15"/>
      <c r="C3096" s="9">
        <f>IFERROR(__xludf.DUMMYFUNCTION("""COMPUTED_VALUE"""),44573.2920634953)</f>
        <v>44573.29206</v>
      </c>
      <c r="D3096" s="15">
        <f>IFERROR(__xludf.DUMMYFUNCTION("""COMPUTED_VALUE"""),1.003)</f>
        <v>1.003</v>
      </c>
      <c r="E3096" s="16">
        <f>IFERROR(__xludf.DUMMYFUNCTION("""COMPUTED_VALUE"""),65.0)</f>
        <v>65</v>
      </c>
      <c r="F3096" s="19" t="str">
        <f>IFERROR(__xludf.DUMMYFUNCTION("""COMPUTED_VALUE"""),"BLUE")</f>
        <v>BLUE</v>
      </c>
      <c r="G3096" s="20" t="str">
        <f>IFERROR(__xludf.DUMMYFUNCTION("""COMPUTED_VALUE"""),"Uncle Sams Cider (11/12/2021) (Blue)")</f>
        <v>Uncle Sams Cider (11/12/2021) (Blue)</v>
      </c>
      <c r="H3096" s="19"/>
    </row>
    <row r="3097">
      <c r="A3097" s="9"/>
      <c r="B3097" s="15"/>
      <c r="C3097" s="9">
        <f>IFERROR(__xludf.DUMMYFUNCTION("""COMPUTED_VALUE"""),44573.2816433101)</f>
        <v>44573.28164</v>
      </c>
      <c r="D3097" s="15">
        <f>IFERROR(__xludf.DUMMYFUNCTION("""COMPUTED_VALUE"""),1.004)</f>
        <v>1.004</v>
      </c>
      <c r="E3097" s="16">
        <f>IFERROR(__xludf.DUMMYFUNCTION("""COMPUTED_VALUE"""),65.0)</f>
        <v>65</v>
      </c>
      <c r="F3097" s="19" t="str">
        <f>IFERROR(__xludf.DUMMYFUNCTION("""COMPUTED_VALUE"""),"BLUE")</f>
        <v>BLUE</v>
      </c>
      <c r="G3097" s="20" t="str">
        <f>IFERROR(__xludf.DUMMYFUNCTION("""COMPUTED_VALUE"""),"Uncle Sams Cider (11/12/2021) (Blue)")</f>
        <v>Uncle Sams Cider (11/12/2021) (Blue)</v>
      </c>
      <c r="H3097" s="19"/>
    </row>
    <row r="3098">
      <c r="A3098" s="9"/>
      <c r="B3098" s="15"/>
      <c r="C3098" s="9">
        <f>IFERROR(__xludf.DUMMYFUNCTION("""COMPUTED_VALUE"""),44573.2711883912)</f>
        <v>44573.27119</v>
      </c>
      <c r="D3098" s="15">
        <f>IFERROR(__xludf.DUMMYFUNCTION("""COMPUTED_VALUE"""),1.004)</f>
        <v>1.004</v>
      </c>
      <c r="E3098" s="16">
        <f>IFERROR(__xludf.DUMMYFUNCTION("""COMPUTED_VALUE"""),65.0)</f>
        <v>65</v>
      </c>
      <c r="F3098" s="19" t="str">
        <f>IFERROR(__xludf.DUMMYFUNCTION("""COMPUTED_VALUE"""),"BLUE")</f>
        <v>BLUE</v>
      </c>
      <c r="G3098" s="20" t="str">
        <f>IFERROR(__xludf.DUMMYFUNCTION("""COMPUTED_VALUE"""),"Uncle Sams Cider (11/12/2021) (Blue)")</f>
        <v>Uncle Sams Cider (11/12/2021) (Blue)</v>
      </c>
      <c r="H3098" s="19"/>
    </row>
    <row r="3099">
      <c r="A3099" s="9"/>
      <c r="B3099" s="15"/>
      <c r="C3099" s="9">
        <f>IFERROR(__xludf.DUMMYFUNCTION("""COMPUTED_VALUE"""),44573.260765949)</f>
        <v>44573.26077</v>
      </c>
      <c r="D3099" s="15">
        <f>IFERROR(__xludf.DUMMYFUNCTION("""COMPUTED_VALUE"""),1.004)</f>
        <v>1.004</v>
      </c>
      <c r="E3099" s="16">
        <f>IFERROR(__xludf.DUMMYFUNCTION("""COMPUTED_VALUE"""),65.0)</f>
        <v>65</v>
      </c>
      <c r="F3099" s="19" t="str">
        <f>IFERROR(__xludf.DUMMYFUNCTION("""COMPUTED_VALUE"""),"BLUE")</f>
        <v>BLUE</v>
      </c>
      <c r="G3099" s="20" t="str">
        <f>IFERROR(__xludf.DUMMYFUNCTION("""COMPUTED_VALUE"""),"Uncle Sams Cider (11/12/2021) (Blue)")</f>
        <v>Uncle Sams Cider (11/12/2021) (Blue)</v>
      </c>
      <c r="H3099" s="19"/>
    </row>
    <row r="3100">
      <c r="A3100" s="9"/>
      <c r="B3100" s="15"/>
      <c r="C3100" s="9">
        <f>IFERROR(__xludf.DUMMYFUNCTION("""COMPUTED_VALUE"""),44573.250321493)</f>
        <v>44573.25032</v>
      </c>
      <c r="D3100" s="15">
        <f>IFERROR(__xludf.DUMMYFUNCTION("""COMPUTED_VALUE"""),1.004)</f>
        <v>1.004</v>
      </c>
      <c r="E3100" s="16">
        <f>IFERROR(__xludf.DUMMYFUNCTION("""COMPUTED_VALUE"""),65.0)</f>
        <v>65</v>
      </c>
      <c r="F3100" s="19" t="str">
        <f>IFERROR(__xludf.DUMMYFUNCTION("""COMPUTED_VALUE"""),"BLUE")</f>
        <v>BLUE</v>
      </c>
      <c r="G3100" s="20" t="str">
        <f>IFERROR(__xludf.DUMMYFUNCTION("""COMPUTED_VALUE"""),"Uncle Sams Cider (11/12/2021) (Blue)")</f>
        <v>Uncle Sams Cider (11/12/2021) (Blue)</v>
      </c>
      <c r="H3100" s="19"/>
    </row>
    <row r="3101">
      <c r="A3101" s="9"/>
      <c r="B3101" s="15"/>
      <c r="C3101" s="9">
        <f>IFERROR(__xludf.DUMMYFUNCTION("""COMPUTED_VALUE"""),44573.2399016435)</f>
        <v>44573.2399</v>
      </c>
      <c r="D3101" s="15">
        <f>IFERROR(__xludf.DUMMYFUNCTION("""COMPUTED_VALUE"""),1.004)</f>
        <v>1.004</v>
      </c>
      <c r="E3101" s="16">
        <f>IFERROR(__xludf.DUMMYFUNCTION("""COMPUTED_VALUE"""),65.0)</f>
        <v>65</v>
      </c>
      <c r="F3101" s="19" t="str">
        <f>IFERROR(__xludf.DUMMYFUNCTION("""COMPUTED_VALUE"""),"BLUE")</f>
        <v>BLUE</v>
      </c>
      <c r="G3101" s="20" t="str">
        <f>IFERROR(__xludf.DUMMYFUNCTION("""COMPUTED_VALUE"""),"Uncle Sams Cider (11/12/2021) (Blue)")</f>
        <v>Uncle Sams Cider (11/12/2021) (Blue)</v>
      </c>
      <c r="H3101" s="19"/>
    </row>
    <row r="3102">
      <c r="A3102" s="9"/>
      <c r="B3102" s="15"/>
      <c r="C3102" s="9">
        <f>IFERROR(__xludf.DUMMYFUNCTION("""COMPUTED_VALUE"""),44573.2294805787)</f>
        <v>44573.22948</v>
      </c>
      <c r="D3102" s="15">
        <f>IFERROR(__xludf.DUMMYFUNCTION("""COMPUTED_VALUE"""),1.004)</f>
        <v>1.004</v>
      </c>
      <c r="E3102" s="16">
        <f>IFERROR(__xludf.DUMMYFUNCTION("""COMPUTED_VALUE"""),65.0)</f>
        <v>65</v>
      </c>
      <c r="F3102" s="19" t="str">
        <f>IFERROR(__xludf.DUMMYFUNCTION("""COMPUTED_VALUE"""),"BLUE")</f>
        <v>BLUE</v>
      </c>
      <c r="G3102" s="20" t="str">
        <f>IFERROR(__xludf.DUMMYFUNCTION("""COMPUTED_VALUE"""),"Uncle Sams Cider (11/12/2021) (Blue)")</f>
        <v>Uncle Sams Cider (11/12/2021) (Blue)</v>
      </c>
      <c r="H3102" s="19"/>
    </row>
    <row r="3103">
      <c r="A3103" s="9"/>
      <c r="B3103" s="15"/>
      <c r="C3103" s="9">
        <f>IFERROR(__xludf.DUMMYFUNCTION("""COMPUTED_VALUE"""),44573.219060405)</f>
        <v>44573.21906</v>
      </c>
      <c r="D3103" s="15">
        <f>IFERROR(__xludf.DUMMYFUNCTION("""COMPUTED_VALUE"""),1.004)</f>
        <v>1.004</v>
      </c>
      <c r="E3103" s="16">
        <f>IFERROR(__xludf.DUMMYFUNCTION("""COMPUTED_VALUE"""),65.0)</f>
        <v>65</v>
      </c>
      <c r="F3103" s="19" t="str">
        <f>IFERROR(__xludf.DUMMYFUNCTION("""COMPUTED_VALUE"""),"BLUE")</f>
        <v>BLUE</v>
      </c>
      <c r="G3103" s="20" t="str">
        <f>IFERROR(__xludf.DUMMYFUNCTION("""COMPUTED_VALUE"""),"Uncle Sams Cider (11/12/2021) (Blue)")</f>
        <v>Uncle Sams Cider (11/12/2021) (Blue)</v>
      </c>
      <c r="H3103" s="19"/>
    </row>
    <row r="3104">
      <c r="A3104" s="9"/>
      <c r="B3104" s="15"/>
      <c r="C3104" s="9">
        <f>IFERROR(__xludf.DUMMYFUNCTION("""COMPUTED_VALUE"""),44573.2086376388)</f>
        <v>44573.20864</v>
      </c>
      <c r="D3104" s="15">
        <f>IFERROR(__xludf.DUMMYFUNCTION("""COMPUTED_VALUE"""),1.004)</f>
        <v>1.004</v>
      </c>
      <c r="E3104" s="16">
        <f>IFERROR(__xludf.DUMMYFUNCTION("""COMPUTED_VALUE"""),65.0)</f>
        <v>65</v>
      </c>
      <c r="F3104" s="19" t="str">
        <f>IFERROR(__xludf.DUMMYFUNCTION("""COMPUTED_VALUE"""),"BLUE")</f>
        <v>BLUE</v>
      </c>
      <c r="G3104" s="20" t="str">
        <f>IFERROR(__xludf.DUMMYFUNCTION("""COMPUTED_VALUE"""),"Uncle Sams Cider (11/12/2021) (Blue)")</f>
        <v>Uncle Sams Cider (11/12/2021) (Blue)</v>
      </c>
      <c r="H3104" s="19"/>
    </row>
    <row r="3105">
      <c r="A3105" s="9"/>
      <c r="B3105" s="15"/>
      <c r="C3105" s="9">
        <f>IFERROR(__xludf.DUMMYFUNCTION("""COMPUTED_VALUE"""),44573.1982156018)</f>
        <v>44573.19822</v>
      </c>
      <c r="D3105" s="15">
        <f>IFERROR(__xludf.DUMMYFUNCTION("""COMPUTED_VALUE"""),1.004)</f>
        <v>1.004</v>
      </c>
      <c r="E3105" s="16">
        <f>IFERROR(__xludf.DUMMYFUNCTION("""COMPUTED_VALUE"""),65.0)</f>
        <v>65</v>
      </c>
      <c r="F3105" s="19" t="str">
        <f>IFERROR(__xludf.DUMMYFUNCTION("""COMPUTED_VALUE"""),"BLUE")</f>
        <v>BLUE</v>
      </c>
      <c r="G3105" s="20" t="str">
        <f>IFERROR(__xludf.DUMMYFUNCTION("""COMPUTED_VALUE"""),"Uncle Sams Cider (11/12/2021) (Blue)")</f>
        <v>Uncle Sams Cider (11/12/2021) (Blue)</v>
      </c>
      <c r="H3105" s="19"/>
    </row>
    <row r="3106">
      <c r="A3106" s="9"/>
      <c r="B3106" s="15"/>
      <c r="C3106" s="9">
        <f>IFERROR(__xludf.DUMMYFUNCTION("""COMPUTED_VALUE"""),44573.1877945254)</f>
        <v>44573.18779</v>
      </c>
      <c r="D3106" s="15">
        <f>IFERROR(__xludf.DUMMYFUNCTION("""COMPUTED_VALUE"""),1.004)</f>
        <v>1.004</v>
      </c>
      <c r="E3106" s="16">
        <f>IFERROR(__xludf.DUMMYFUNCTION("""COMPUTED_VALUE"""),65.0)</f>
        <v>65</v>
      </c>
      <c r="F3106" s="19" t="str">
        <f>IFERROR(__xludf.DUMMYFUNCTION("""COMPUTED_VALUE"""),"BLUE")</f>
        <v>BLUE</v>
      </c>
      <c r="G3106" s="20" t="str">
        <f>IFERROR(__xludf.DUMMYFUNCTION("""COMPUTED_VALUE"""),"Uncle Sams Cider (11/12/2021) (Blue)")</f>
        <v>Uncle Sams Cider (11/12/2021) (Blue)</v>
      </c>
      <c r="H3106" s="19"/>
    </row>
    <row r="3107">
      <c r="A3107" s="9"/>
      <c r="B3107" s="15"/>
      <c r="C3107" s="9">
        <f>IFERROR(__xludf.DUMMYFUNCTION("""COMPUTED_VALUE"""),44573.1773732754)</f>
        <v>44573.17737</v>
      </c>
      <c r="D3107" s="15">
        <f>IFERROR(__xludf.DUMMYFUNCTION("""COMPUTED_VALUE"""),1.004)</f>
        <v>1.004</v>
      </c>
      <c r="E3107" s="16">
        <f>IFERROR(__xludf.DUMMYFUNCTION("""COMPUTED_VALUE"""),65.0)</f>
        <v>65</v>
      </c>
      <c r="F3107" s="19" t="str">
        <f>IFERROR(__xludf.DUMMYFUNCTION("""COMPUTED_VALUE"""),"BLUE")</f>
        <v>BLUE</v>
      </c>
      <c r="G3107" s="20" t="str">
        <f>IFERROR(__xludf.DUMMYFUNCTION("""COMPUTED_VALUE"""),"Uncle Sams Cider (11/12/2021) (Blue)")</f>
        <v>Uncle Sams Cider (11/12/2021) (Blue)</v>
      </c>
      <c r="H3107" s="19"/>
    </row>
    <row r="3108">
      <c r="A3108" s="9"/>
      <c r="B3108" s="15"/>
      <c r="C3108" s="9">
        <f>IFERROR(__xludf.DUMMYFUNCTION("""COMPUTED_VALUE"""),44573.1669505092)</f>
        <v>44573.16695</v>
      </c>
      <c r="D3108" s="15">
        <f>IFERROR(__xludf.DUMMYFUNCTION("""COMPUTED_VALUE"""),1.004)</f>
        <v>1.004</v>
      </c>
      <c r="E3108" s="16">
        <f>IFERROR(__xludf.DUMMYFUNCTION("""COMPUTED_VALUE"""),65.0)</f>
        <v>65</v>
      </c>
      <c r="F3108" s="19" t="str">
        <f>IFERROR(__xludf.DUMMYFUNCTION("""COMPUTED_VALUE"""),"BLUE")</f>
        <v>BLUE</v>
      </c>
      <c r="G3108" s="20" t="str">
        <f>IFERROR(__xludf.DUMMYFUNCTION("""COMPUTED_VALUE"""),"Uncle Sams Cider (11/12/2021) (Blue)")</f>
        <v>Uncle Sams Cider (11/12/2021) (Blue)</v>
      </c>
      <c r="H3108" s="19"/>
    </row>
    <row r="3109">
      <c r="A3109" s="9"/>
      <c r="B3109" s="15"/>
      <c r="C3109" s="9">
        <f>IFERROR(__xludf.DUMMYFUNCTION("""COMPUTED_VALUE"""),44573.156505949)</f>
        <v>44573.15651</v>
      </c>
      <c r="D3109" s="15">
        <f>IFERROR(__xludf.DUMMYFUNCTION("""COMPUTED_VALUE"""),1.003)</f>
        <v>1.003</v>
      </c>
      <c r="E3109" s="16">
        <f>IFERROR(__xludf.DUMMYFUNCTION("""COMPUTED_VALUE"""),65.0)</f>
        <v>65</v>
      </c>
      <c r="F3109" s="19" t="str">
        <f>IFERROR(__xludf.DUMMYFUNCTION("""COMPUTED_VALUE"""),"BLUE")</f>
        <v>BLUE</v>
      </c>
      <c r="G3109" s="20" t="str">
        <f>IFERROR(__xludf.DUMMYFUNCTION("""COMPUTED_VALUE"""),"Uncle Sams Cider (11/12/2021) (Blue)")</f>
        <v>Uncle Sams Cider (11/12/2021) (Blue)</v>
      </c>
      <c r="H3109" s="19"/>
    </row>
    <row r="3110">
      <c r="A3110" s="9"/>
      <c r="B3110" s="15"/>
      <c r="C3110" s="9">
        <f>IFERROR(__xludf.DUMMYFUNCTION("""COMPUTED_VALUE"""),44573.1460844328)</f>
        <v>44573.14608</v>
      </c>
      <c r="D3110" s="15">
        <f>IFERROR(__xludf.DUMMYFUNCTION("""COMPUTED_VALUE"""),1.004)</f>
        <v>1.004</v>
      </c>
      <c r="E3110" s="16">
        <f>IFERROR(__xludf.DUMMYFUNCTION("""COMPUTED_VALUE"""),65.0)</f>
        <v>65</v>
      </c>
      <c r="F3110" s="19" t="str">
        <f>IFERROR(__xludf.DUMMYFUNCTION("""COMPUTED_VALUE"""),"BLUE")</f>
        <v>BLUE</v>
      </c>
      <c r="G3110" s="20" t="str">
        <f>IFERROR(__xludf.DUMMYFUNCTION("""COMPUTED_VALUE"""),"Uncle Sams Cider (11/12/2021) (Blue)")</f>
        <v>Uncle Sams Cider (11/12/2021) (Blue)</v>
      </c>
      <c r="H3110" s="19"/>
    </row>
    <row r="3111">
      <c r="A3111" s="9"/>
      <c r="B3111" s="15"/>
      <c r="C3111" s="9">
        <f>IFERROR(__xludf.DUMMYFUNCTION("""COMPUTED_VALUE"""),44573.1356403819)</f>
        <v>44573.13564</v>
      </c>
      <c r="D3111" s="15">
        <f>IFERROR(__xludf.DUMMYFUNCTION("""COMPUTED_VALUE"""),1.004)</f>
        <v>1.004</v>
      </c>
      <c r="E3111" s="16">
        <f>IFERROR(__xludf.DUMMYFUNCTION("""COMPUTED_VALUE"""),66.0)</f>
        <v>66</v>
      </c>
      <c r="F3111" s="19" t="str">
        <f>IFERROR(__xludf.DUMMYFUNCTION("""COMPUTED_VALUE"""),"BLUE")</f>
        <v>BLUE</v>
      </c>
      <c r="G3111" s="20" t="str">
        <f>IFERROR(__xludf.DUMMYFUNCTION("""COMPUTED_VALUE"""),"Uncle Sams Cider (11/12/2021) (Blue)")</f>
        <v>Uncle Sams Cider (11/12/2021) (Blue)</v>
      </c>
      <c r="H3111" s="19"/>
    </row>
    <row r="3112">
      <c r="A3112" s="9"/>
      <c r="B3112" s="15"/>
      <c r="C3112" s="9">
        <f>IFERROR(__xludf.DUMMYFUNCTION("""COMPUTED_VALUE"""),44573.1252205555)</f>
        <v>44573.12522</v>
      </c>
      <c r="D3112" s="15">
        <f>IFERROR(__xludf.DUMMYFUNCTION("""COMPUTED_VALUE"""),1.003)</f>
        <v>1.003</v>
      </c>
      <c r="E3112" s="16">
        <f>IFERROR(__xludf.DUMMYFUNCTION("""COMPUTED_VALUE"""),66.0)</f>
        <v>66</v>
      </c>
      <c r="F3112" s="19" t="str">
        <f>IFERROR(__xludf.DUMMYFUNCTION("""COMPUTED_VALUE"""),"BLUE")</f>
        <v>BLUE</v>
      </c>
      <c r="G3112" s="20" t="str">
        <f>IFERROR(__xludf.DUMMYFUNCTION("""COMPUTED_VALUE"""),"Uncle Sams Cider (11/12/2021) (Blue)")</f>
        <v>Uncle Sams Cider (11/12/2021) (Blue)</v>
      </c>
      <c r="H3112" s="19"/>
    </row>
    <row r="3113">
      <c r="A3113" s="9"/>
      <c r="B3113" s="15"/>
      <c r="C3113" s="9">
        <f>IFERROR(__xludf.DUMMYFUNCTION("""COMPUTED_VALUE"""),44573.114798993)</f>
        <v>44573.1148</v>
      </c>
      <c r="D3113" s="15">
        <f>IFERROR(__xludf.DUMMYFUNCTION("""COMPUTED_VALUE"""),1.003)</f>
        <v>1.003</v>
      </c>
      <c r="E3113" s="16">
        <f>IFERROR(__xludf.DUMMYFUNCTION("""COMPUTED_VALUE"""),66.0)</f>
        <v>66</v>
      </c>
      <c r="F3113" s="19" t="str">
        <f>IFERROR(__xludf.DUMMYFUNCTION("""COMPUTED_VALUE"""),"BLUE")</f>
        <v>BLUE</v>
      </c>
      <c r="G3113" s="20" t="str">
        <f>IFERROR(__xludf.DUMMYFUNCTION("""COMPUTED_VALUE"""),"Uncle Sams Cider (11/12/2021) (Blue)")</f>
        <v>Uncle Sams Cider (11/12/2021) (Blue)</v>
      </c>
      <c r="H3113" s="19"/>
    </row>
    <row r="3114">
      <c r="A3114" s="9"/>
      <c r="B3114" s="15"/>
      <c r="C3114" s="9">
        <f>IFERROR(__xludf.DUMMYFUNCTION("""COMPUTED_VALUE"""),44573.1043762615)</f>
        <v>44573.10438</v>
      </c>
      <c r="D3114" s="15">
        <f>IFERROR(__xludf.DUMMYFUNCTION("""COMPUTED_VALUE"""),1.003)</f>
        <v>1.003</v>
      </c>
      <c r="E3114" s="16">
        <f>IFERROR(__xludf.DUMMYFUNCTION("""COMPUTED_VALUE"""),66.0)</f>
        <v>66</v>
      </c>
      <c r="F3114" s="19" t="str">
        <f>IFERROR(__xludf.DUMMYFUNCTION("""COMPUTED_VALUE"""),"BLUE")</f>
        <v>BLUE</v>
      </c>
      <c r="G3114" s="20" t="str">
        <f>IFERROR(__xludf.DUMMYFUNCTION("""COMPUTED_VALUE"""),"Uncle Sams Cider (11/12/2021) (Blue)")</f>
        <v>Uncle Sams Cider (11/12/2021) (Blue)</v>
      </c>
      <c r="H3114" s="19"/>
    </row>
    <row r="3115">
      <c r="A3115" s="9"/>
      <c r="B3115" s="15"/>
      <c r="C3115" s="9">
        <f>IFERROR(__xludf.DUMMYFUNCTION("""COMPUTED_VALUE"""),44573.093956493)</f>
        <v>44573.09396</v>
      </c>
      <c r="D3115" s="15">
        <f>IFERROR(__xludf.DUMMYFUNCTION("""COMPUTED_VALUE"""),1.003)</f>
        <v>1.003</v>
      </c>
      <c r="E3115" s="16">
        <f>IFERROR(__xludf.DUMMYFUNCTION("""COMPUTED_VALUE"""),66.0)</f>
        <v>66</v>
      </c>
      <c r="F3115" s="19" t="str">
        <f>IFERROR(__xludf.DUMMYFUNCTION("""COMPUTED_VALUE"""),"BLUE")</f>
        <v>BLUE</v>
      </c>
      <c r="G3115" s="20" t="str">
        <f>IFERROR(__xludf.DUMMYFUNCTION("""COMPUTED_VALUE"""),"Uncle Sams Cider (11/12/2021) (Blue)")</f>
        <v>Uncle Sams Cider (11/12/2021) (Blue)</v>
      </c>
      <c r="H3115" s="19"/>
    </row>
    <row r="3116">
      <c r="A3116" s="9"/>
      <c r="B3116" s="15"/>
      <c r="C3116" s="9">
        <f>IFERROR(__xludf.DUMMYFUNCTION("""COMPUTED_VALUE"""),44573.0835237847)</f>
        <v>44573.08352</v>
      </c>
      <c r="D3116" s="15">
        <f>IFERROR(__xludf.DUMMYFUNCTION("""COMPUTED_VALUE"""),1.004)</f>
        <v>1.004</v>
      </c>
      <c r="E3116" s="16">
        <f>IFERROR(__xludf.DUMMYFUNCTION("""COMPUTED_VALUE"""),66.0)</f>
        <v>66</v>
      </c>
      <c r="F3116" s="19" t="str">
        <f>IFERROR(__xludf.DUMMYFUNCTION("""COMPUTED_VALUE"""),"BLUE")</f>
        <v>BLUE</v>
      </c>
      <c r="G3116" s="20" t="str">
        <f>IFERROR(__xludf.DUMMYFUNCTION("""COMPUTED_VALUE"""),"Uncle Sams Cider (11/12/2021) (Blue)")</f>
        <v>Uncle Sams Cider (11/12/2021) (Blue)</v>
      </c>
      <c r="H3116" s="19"/>
    </row>
    <row r="3117">
      <c r="A3117" s="9"/>
      <c r="B3117" s="15"/>
      <c r="C3117" s="9">
        <f>IFERROR(__xludf.DUMMYFUNCTION("""COMPUTED_VALUE"""),44573.073101875)</f>
        <v>44573.0731</v>
      </c>
      <c r="D3117" s="15">
        <f>IFERROR(__xludf.DUMMYFUNCTION("""COMPUTED_VALUE"""),1.003)</f>
        <v>1.003</v>
      </c>
      <c r="E3117" s="16">
        <f>IFERROR(__xludf.DUMMYFUNCTION("""COMPUTED_VALUE"""),66.0)</f>
        <v>66</v>
      </c>
      <c r="F3117" s="19" t="str">
        <f>IFERROR(__xludf.DUMMYFUNCTION("""COMPUTED_VALUE"""),"BLUE")</f>
        <v>BLUE</v>
      </c>
      <c r="G3117" s="20" t="str">
        <f>IFERROR(__xludf.DUMMYFUNCTION("""COMPUTED_VALUE"""),"Uncle Sams Cider (11/12/2021) (Blue)")</f>
        <v>Uncle Sams Cider (11/12/2021) (Blue)</v>
      </c>
      <c r="H3117" s="19"/>
    </row>
    <row r="3118">
      <c r="A3118" s="9"/>
      <c r="B3118" s="15"/>
      <c r="C3118" s="9">
        <f>IFERROR(__xludf.DUMMYFUNCTION("""COMPUTED_VALUE"""),44573.062679537)</f>
        <v>44573.06268</v>
      </c>
      <c r="D3118" s="15">
        <f>IFERROR(__xludf.DUMMYFUNCTION("""COMPUTED_VALUE"""),1.004)</f>
        <v>1.004</v>
      </c>
      <c r="E3118" s="16">
        <f>IFERROR(__xludf.DUMMYFUNCTION("""COMPUTED_VALUE"""),66.0)</f>
        <v>66</v>
      </c>
      <c r="F3118" s="19" t="str">
        <f>IFERROR(__xludf.DUMMYFUNCTION("""COMPUTED_VALUE"""),"BLUE")</f>
        <v>BLUE</v>
      </c>
      <c r="G3118" s="20" t="str">
        <f>IFERROR(__xludf.DUMMYFUNCTION("""COMPUTED_VALUE"""),"Uncle Sams Cider (11/12/2021) (Blue)")</f>
        <v>Uncle Sams Cider (11/12/2021) (Blue)</v>
      </c>
      <c r="H3118" s="19"/>
    </row>
    <row r="3119">
      <c r="A3119" s="9"/>
      <c r="B3119" s="15"/>
      <c r="C3119" s="9">
        <f>IFERROR(__xludf.DUMMYFUNCTION("""COMPUTED_VALUE"""),44573.0522599189)</f>
        <v>44573.05226</v>
      </c>
      <c r="D3119" s="15">
        <f>IFERROR(__xludf.DUMMYFUNCTION("""COMPUTED_VALUE"""),1.004)</f>
        <v>1.004</v>
      </c>
      <c r="E3119" s="16">
        <f>IFERROR(__xludf.DUMMYFUNCTION("""COMPUTED_VALUE"""),66.0)</f>
        <v>66</v>
      </c>
      <c r="F3119" s="19" t="str">
        <f>IFERROR(__xludf.DUMMYFUNCTION("""COMPUTED_VALUE"""),"BLUE")</f>
        <v>BLUE</v>
      </c>
      <c r="G3119" s="20" t="str">
        <f>IFERROR(__xludf.DUMMYFUNCTION("""COMPUTED_VALUE"""),"Uncle Sams Cider (11/12/2021) (Blue)")</f>
        <v>Uncle Sams Cider (11/12/2021) (Blue)</v>
      </c>
      <c r="H3119" s="19"/>
    </row>
    <row r="3120">
      <c r="A3120" s="9"/>
      <c r="B3120" s="15"/>
      <c r="C3120" s="9">
        <f>IFERROR(__xludf.DUMMYFUNCTION("""COMPUTED_VALUE"""),44573.0418377662)</f>
        <v>44573.04184</v>
      </c>
      <c r="D3120" s="15">
        <f>IFERROR(__xludf.DUMMYFUNCTION("""COMPUTED_VALUE"""),1.004)</f>
        <v>1.004</v>
      </c>
      <c r="E3120" s="16">
        <f>IFERROR(__xludf.DUMMYFUNCTION("""COMPUTED_VALUE"""),66.0)</f>
        <v>66</v>
      </c>
      <c r="F3120" s="19" t="str">
        <f>IFERROR(__xludf.DUMMYFUNCTION("""COMPUTED_VALUE"""),"BLUE")</f>
        <v>BLUE</v>
      </c>
      <c r="G3120" s="20" t="str">
        <f>IFERROR(__xludf.DUMMYFUNCTION("""COMPUTED_VALUE"""),"Uncle Sams Cider (11/12/2021) (Blue)")</f>
        <v>Uncle Sams Cider (11/12/2021) (Blue)</v>
      </c>
      <c r="H3120" s="19"/>
    </row>
    <row r="3121">
      <c r="A3121" s="9"/>
      <c r="B3121" s="15"/>
      <c r="C3121" s="9">
        <f>IFERROR(__xludf.DUMMYFUNCTION("""COMPUTED_VALUE"""),44573.0314166782)</f>
        <v>44573.03142</v>
      </c>
      <c r="D3121" s="15">
        <f>IFERROR(__xludf.DUMMYFUNCTION("""COMPUTED_VALUE"""),1.003)</f>
        <v>1.003</v>
      </c>
      <c r="E3121" s="16">
        <f>IFERROR(__xludf.DUMMYFUNCTION("""COMPUTED_VALUE"""),66.0)</f>
        <v>66</v>
      </c>
      <c r="F3121" s="19" t="str">
        <f>IFERROR(__xludf.DUMMYFUNCTION("""COMPUTED_VALUE"""),"BLUE")</f>
        <v>BLUE</v>
      </c>
      <c r="G3121" s="20" t="str">
        <f>IFERROR(__xludf.DUMMYFUNCTION("""COMPUTED_VALUE"""),"Uncle Sams Cider (11/12/2021) (Blue)")</f>
        <v>Uncle Sams Cider (11/12/2021) (Blue)</v>
      </c>
      <c r="H3121" s="19"/>
    </row>
    <row r="3122">
      <c r="A3122" s="9"/>
      <c r="B3122" s="15"/>
      <c r="C3122" s="9">
        <f>IFERROR(__xludf.DUMMYFUNCTION("""COMPUTED_VALUE"""),44573.020995243)</f>
        <v>44573.021</v>
      </c>
      <c r="D3122" s="15">
        <f>IFERROR(__xludf.DUMMYFUNCTION("""COMPUTED_VALUE"""),1.003)</f>
        <v>1.003</v>
      </c>
      <c r="E3122" s="16">
        <f>IFERROR(__xludf.DUMMYFUNCTION("""COMPUTED_VALUE"""),66.0)</f>
        <v>66</v>
      </c>
      <c r="F3122" s="19" t="str">
        <f>IFERROR(__xludf.DUMMYFUNCTION("""COMPUTED_VALUE"""),"BLUE")</f>
        <v>BLUE</v>
      </c>
      <c r="G3122" s="20" t="str">
        <f>IFERROR(__xludf.DUMMYFUNCTION("""COMPUTED_VALUE"""),"Uncle Sams Cider (11/12/2021) (Blue)")</f>
        <v>Uncle Sams Cider (11/12/2021) (Blue)</v>
      </c>
      <c r="H3122" s="19"/>
    </row>
    <row r="3123">
      <c r="A3123" s="9"/>
      <c r="B3123" s="15"/>
      <c r="C3123" s="9">
        <f>IFERROR(__xludf.DUMMYFUNCTION("""COMPUTED_VALUE"""),44573.0105726504)</f>
        <v>44573.01057</v>
      </c>
      <c r="D3123" s="15">
        <f>IFERROR(__xludf.DUMMYFUNCTION("""COMPUTED_VALUE"""),1.004)</f>
        <v>1.004</v>
      </c>
      <c r="E3123" s="16">
        <f>IFERROR(__xludf.DUMMYFUNCTION("""COMPUTED_VALUE"""),66.0)</f>
        <v>66</v>
      </c>
      <c r="F3123" s="19" t="str">
        <f>IFERROR(__xludf.DUMMYFUNCTION("""COMPUTED_VALUE"""),"BLUE")</f>
        <v>BLUE</v>
      </c>
      <c r="G3123" s="20" t="str">
        <f>IFERROR(__xludf.DUMMYFUNCTION("""COMPUTED_VALUE"""),"Uncle Sams Cider (11/12/2021) (Blue)")</f>
        <v>Uncle Sams Cider (11/12/2021) (Blue)</v>
      </c>
      <c r="H3123" s="19"/>
    </row>
    <row r="3124">
      <c r="A3124" s="9"/>
      <c r="B3124" s="15"/>
      <c r="C3124" s="9">
        <f>IFERROR(__xludf.DUMMYFUNCTION("""COMPUTED_VALUE"""),44573.0001424305)</f>
        <v>44573.00014</v>
      </c>
      <c r="D3124" s="15">
        <f>IFERROR(__xludf.DUMMYFUNCTION("""COMPUTED_VALUE"""),1.004)</f>
        <v>1.004</v>
      </c>
      <c r="E3124" s="16">
        <f>IFERROR(__xludf.DUMMYFUNCTION("""COMPUTED_VALUE"""),66.0)</f>
        <v>66</v>
      </c>
      <c r="F3124" s="19" t="str">
        <f>IFERROR(__xludf.DUMMYFUNCTION("""COMPUTED_VALUE"""),"BLUE")</f>
        <v>BLUE</v>
      </c>
      <c r="G3124" s="20" t="str">
        <f>IFERROR(__xludf.DUMMYFUNCTION("""COMPUTED_VALUE"""),"Uncle Sams Cider (11/12/2021) (Blue)")</f>
        <v>Uncle Sams Cider (11/12/2021) (Blue)</v>
      </c>
      <c r="H3124" s="19"/>
    </row>
    <row r="3125">
      <c r="A3125" s="9"/>
      <c r="B3125" s="15"/>
      <c r="C3125" s="9">
        <f>IFERROR(__xludf.DUMMYFUNCTION("""COMPUTED_VALUE"""),44572.9897219212)</f>
        <v>44572.98972</v>
      </c>
      <c r="D3125" s="15">
        <f>IFERROR(__xludf.DUMMYFUNCTION("""COMPUTED_VALUE"""),1.004)</f>
        <v>1.004</v>
      </c>
      <c r="E3125" s="16">
        <f>IFERROR(__xludf.DUMMYFUNCTION("""COMPUTED_VALUE"""),66.0)</f>
        <v>66</v>
      </c>
      <c r="F3125" s="19" t="str">
        <f>IFERROR(__xludf.DUMMYFUNCTION("""COMPUTED_VALUE"""),"BLUE")</f>
        <v>BLUE</v>
      </c>
      <c r="G3125" s="20" t="str">
        <f>IFERROR(__xludf.DUMMYFUNCTION("""COMPUTED_VALUE"""),"Uncle Sams Cider (11/12/2021) (Blue)")</f>
        <v>Uncle Sams Cider (11/12/2021) (Blue)</v>
      </c>
      <c r="H3125" s="19"/>
    </row>
    <row r="3126">
      <c r="A3126" s="9"/>
      <c r="B3126" s="15"/>
      <c r="C3126" s="9">
        <f>IFERROR(__xludf.DUMMYFUNCTION("""COMPUTED_VALUE"""),44572.9792879513)</f>
        <v>44572.97929</v>
      </c>
      <c r="D3126" s="15">
        <f>IFERROR(__xludf.DUMMYFUNCTION("""COMPUTED_VALUE"""),1.004)</f>
        <v>1.004</v>
      </c>
      <c r="E3126" s="16">
        <f>IFERROR(__xludf.DUMMYFUNCTION("""COMPUTED_VALUE"""),66.0)</f>
        <v>66</v>
      </c>
      <c r="F3126" s="19" t="str">
        <f>IFERROR(__xludf.DUMMYFUNCTION("""COMPUTED_VALUE"""),"BLUE")</f>
        <v>BLUE</v>
      </c>
      <c r="G3126" s="20" t="str">
        <f>IFERROR(__xludf.DUMMYFUNCTION("""COMPUTED_VALUE"""),"Uncle Sams Cider (11/12/2021) (Blue)")</f>
        <v>Uncle Sams Cider (11/12/2021) (Blue)</v>
      </c>
      <c r="H3126" s="19"/>
    </row>
    <row r="3127">
      <c r="A3127" s="9"/>
      <c r="B3127" s="15"/>
      <c r="C3127" s="9">
        <f>IFERROR(__xludf.DUMMYFUNCTION("""COMPUTED_VALUE"""),44572.9688670601)</f>
        <v>44572.96887</v>
      </c>
      <c r="D3127" s="15">
        <f>IFERROR(__xludf.DUMMYFUNCTION("""COMPUTED_VALUE"""),1.003)</f>
        <v>1.003</v>
      </c>
      <c r="E3127" s="16">
        <f>IFERROR(__xludf.DUMMYFUNCTION("""COMPUTED_VALUE"""),66.0)</f>
        <v>66</v>
      </c>
      <c r="F3127" s="19" t="str">
        <f>IFERROR(__xludf.DUMMYFUNCTION("""COMPUTED_VALUE"""),"BLUE")</f>
        <v>BLUE</v>
      </c>
      <c r="G3127" s="20" t="str">
        <f>IFERROR(__xludf.DUMMYFUNCTION("""COMPUTED_VALUE"""),"Uncle Sams Cider (11/12/2021) (Blue)")</f>
        <v>Uncle Sams Cider (11/12/2021) (Blue)</v>
      </c>
      <c r="H3127" s="19"/>
    </row>
    <row r="3128">
      <c r="A3128" s="9"/>
      <c r="B3128" s="15"/>
      <c r="C3128" s="9">
        <f>IFERROR(__xludf.DUMMYFUNCTION("""COMPUTED_VALUE"""),44572.9584454513)</f>
        <v>44572.95845</v>
      </c>
      <c r="D3128" s="15">
        <f>IFERROR(__xludf.DUMMYFUNCTION("""COMPUTED_VALUE"""),1.004)</f>
        <v>1.004</v>
      </c>
      <c r="E3128" s="16">
        <f>IFERROR(__xludf.DUMMYFUNCTION("""COMPUTED_VALUE"""),66.0)</f>
        <v>66</v>
      </c>
      <c r="F3128" s="19" t="str">
        <f>IFERROR(__xludf.DUMMYFUNCTION("""COMPUTED_VALUE"""),"BLUE")</f>
        <v>BLUE</v>
      </c>
      <c r="G3128" s="20" t="str">
        <f>IFERROR(__xludf.DUMMYFUNCTION("""COMPUTED_VALUE"""),"Uncle Sams Cider (11/12/2021) (Blue)")</f>
        <v>Uncle Sams Cider (11/12/2021) (Blue)</v>
      </c>
      <c r="H3128" s="19"/>
    </row>
    <row r="3129">
      <c r="A3129" s="9"/>
      <c r="B3129" s="15"/>
      <c r="C3129" s="9">
        <f>IFERROR(__xludf.DUMMYFUNCTION("""COMPUTED_VALUE"""),44572.9480237152)</f>
        <v>44572.94802</v>
      </c>
      <c r="D3129" s="15">
        <f>IFERROR(__xludf.DUMMYFUNCTION("""COMPUTED_VALUE"""),1.004)</f>
        <v>1.004</v>
      </c>
      <c r="E3129" s="16">
        <f>IFERROR(__xludf.DUMMYFUNCTION("""COMPUTED_VALUE"""),66.0)</f>
        <v>66</v>
      </c>
      <c r="F3129" s="19" t="str">
        <f>IFERROR(__xludf.DUMMYFUNCTION("""COMPUTED_VALUE"""),"BLUE")</f>
        <v>BLUE</v>
      </c>
      <c r="G3129" s="20" t="str">
        <f>IFERROR(__xludf.DUMMYFUNCTION("""COMPUTED_VALUE"""),"Uncle Sams Cider (11/12/2021) (Blue)")</f>
        <v>Uncle Sams Cider (11/12/2021) (Blue)</v>
      </c>
      <c r="H3129" s="19"/>
    </row>
    <row r="3130">
      <c r="A3130" s="9"/>
      <c r="B3130" s="15"/>
      <c r="C3130" s="9">
        <f>IFERROR(__xludf.DUMMYFUNCTION("""COMPUTED_VALUE"""),44572.9376020833)</f>
        <v>44572.9376</v>
      </c>
      <c r="D3130" s="15">
        <f>IFERROR(__xludf.DUMMYFUNCTION("""COMPUTED_VALUE"""),1.004)</f>
        <v>1.004</v>
      </c>
      <c r="E3130" s="16">
        <f>IFERROR(__xludf.DUMMYFUNCTION("""COMPUTED_VALUE"""),66.0)</f>
        <v>66</v>
      </c>
      <c r="F3130" s="19" t="str">
        <f>IFERROR(__xludf.DUMMYFUNCTION("""COMPUTED_VALUE"""),"BLUE")</f>
        <v>BLUE</v>
      </c>
      <c r="G3130" s="20" t="str">
        <f>IFERROR(__xludf.DUMMYFUNCTION("""COMPUTED_VALUE"""),"Uncle Sams Cider (11/12/2021) (Blue)")</f>
        <v>Uncle Sams Cider (11/12/2021) (Blue)</v>
      </c>
      <c r="H3130" s="19"/>
    </row>
    <row r="3131">
      <c r="A3131" s="9"/>
      <c r="B3131" s="15"/>
      <c r="C3131" s="9">
        <f>IFERROR(__xludf.DUMMYFUNCTION("""COMPUTED_VALUE"""),44572.9271802314)</f>
        <v>44572.92718</v>
      </c>
      <c r="D3131" s="15">
        <f>IFERROR(__xludf.DUMMYFUNCTION("""COMPUTED_VALUE"""),1.003)</f>
        <v>1.003</v>
      </c>
      <c r="E3131" s="16">
        <f>IFERROR(__xludf.DUMMYFUNCTION("""COMPUTED_VALUE"""),66.0)</f>
        <v>66</v>
      </c>
      <c r="F3131" s="19" t="str">
        <f>IFERROR(__xludf.DUMMYFUNCTION("""COMPUTED_VALUE"""),"BLUE")</f>
        <v>BLUE</v>
      </c>
      <c r="G3131" s="20" t="str">
        <f>IFERROR(__xludf.DUMMYFUNCTION("""COMPUTED_VALUE"""),"Uncle Sams Cider (11/12/2021) (Blue)")</f>
        <v>Uncle Sams Cider (11/12/2021) (Blue)</v>
      </c>
      <c r="H3131" s="19"/>
    </row>
    <row r="3132">
      <c r="A3132" s="9"/>
      <c r="B3132" s="15"/>
      <c r="C3132" s="9">
        <f>IFERROR(__xludf.DUMMYFUNCTION("""COMPUTED_VALUE"""),44572.9167605208)</f>
        <v>44572.91676</v>
      </c>
      <c r="D3132" s="15">
        <f>IFERROR(__xludf.DUMMYFUNCTION("""COMPUTED_VALUE"""),1.004)</f>
        <v>1.004</v>
      </c>
      <c r="E3132" s="16">
        <f>IFERROR(__xludf.DUMMYFUNCTION("""COMPUTED_VALUE"""),66.0)</f>
        <v>66</v>
      </c>
      <c r="F3132" s="19" t="str">
        <f>IFERROR(__xludf.DUMMYFUNCTION("""COMPUTED_VALUE"""),"BLUE")</f>
        <v>BLUE</v>
      </c>
      <c r="G3132" s="20" t="str">
        <f>IFERROR(__xludf.DUMMYFUNCTION("""COMPUTED_VALUE"""),"Uncle Sams Cider (11/12/2021) (Blue)")</f>
        <v>Uncle Sams Cider (11/12/2021) (Blue)</v>
      </c>
      <c r="H3132" s="19"/>
    </row>
    <row r="3133">
      <c r="A3133" s="9"/>
      <c r="B3133" s="15"/>
      <c r="C3133" s="9">
        <f>IFERROR(__xludf.DUMMYFUNCTION("""COMPUTED_VALUE"""),44572.9063381018)</f>
        <v>44572.90634</v>
      </c>
      <c r="D3133" s="15">
        <f>IFERROR(__xludf.DUMMYFUNCTION("""COMPUTED_VALUE"""),1.004)</f>
        <v>1.004</v>
      </c>
      <c r="E3133" s="16">
        <f>IFERROR(__xludf.DUMMYFUNCTION("""COMPUTED_VALUE"""),66.0)</f>
        <v>66</v>
      </c>
      <c r="F3133" s="19" t="str">
        <f>IFERROR(__xludf.DUMMYFUNCTION("""COMPUTED_VALUE"""),"BLUE")</f>
        <v>BLUE</v>
      </c>
      <c r="G3133" s="20" t="str">
        <f>IFERROR(__xludf.DUMMYFUNCTION("""COMPUTED_VALUE"""),"Uncle Sams Cider (11/12/2021) (Blue)")</f>
        <v>Uncle Sams Cider (11/12/2021) (Blue)</v>
      </c>
      <c r="H3133" s="19"/>
    </row>
    <row r="3134">
      <c r="A3134" s="9"/>
      <c r="B3134" s="15"/>
      <c r="C3134" s="9">
        <f>IFERROR(__xludf.DUMMYFUNCTION("""COMPUTED_VALUE"""),44572.8959171296)</f>
        <v>44572.89592</v>
      </c>
      <c r="D3134" s="15">
        <f>IFERROR(__xludf.DUMMYFUNCTION("""COMPUTED_VALUE"""),1.004)</f>
        <v>1.004</v>
      </c>
      <c r="E3134" s="16">
        <f>IFERROR(__xludf.DUMMYFUNCTION("""COMPUTED_VALUE"""),67.0)</f>
        <v>67</v>
      </c>
      <c r="F3134" s="19" t="str">
        <f>IFERROR(__xludf.DUMMYFUNCTION("""COMPUTED_VALUE"""),"BLUE")</f>
        <v>BLUE</v>
      </c>
      <c r="G3134" s="20" t="str">
        <f>IFERROR(__xludf.DUMMYFUNCTION("""COMPUTED_VALUE"""),"Uncle Sams Cider (11/12/2021) (Blue)")</f>
        <v>Uncle Sams Cider (11/12/2021) (Blue)</v>
      </c>
      <c r="H3134" s="19"/>
    </row>
    <row r="3135">
      <c r="A3135" s="9"/>
      <c r="B3135" s="15"/>
      <c r="C3135" s="9">
        <f>IFERROR(__xludf.DUMMYFUNCTION("""COMPUTED_VALUE"""),44572.8854982291)</f>
        <v>44572.8855</v>
      </c>
      <c r="D3135" s="15">
        <f>IFERROR(__xludf.DUMMYFUNCTION("""COMPUTED_VALUE"""),1.003)</f>
        <v>1.003</v>
      </c>
      <c r="E3135" s="16">
        <f>IFERROR(__xludf.DUMMYFUNCTION("""COMPUTED_VALUE"""),67.0)</f>
        <v>67</v>
      </c>
      <c r="F3135" s="19" t="str">
        <f>IFERROR(__xludf.DUMMYFUNCTION("""COMPUTED_VALUE"""),"BLUE")</f>
        <v>BLUE</v>
      </c>
      <c r="G3135" s="20" t="str">
        <f>IFERROR(__xludf.DUMMYFUNCTION("""COMPUTED_VALUE"""),"Uncle Sams Cider (11/12/2021) (Blue)")</f>
        <v>Uncle Sams Cider (11/12/2021) (Blue)</v>
      </c>
      <c r="H3135" s="19"/>
    </row>
    <row r="3136">
      <c r="A3136" s="9"/>
      <c r="B3136" s="15"/>
      <c r="C3136" s="9">
        <f>IFERROR(__xludf.DUMMYFUNCTION("""COMPUTED_VALUE"""),44572.8750435763)</f>
        <v>44572.87504</v>
      </c>
      <c r="D3136" s="15">
        <f>IFERROR(__xludf.DUMMYFUNCTION("""COMPUTED_VALUE"""),1.003)</f>
        <v>1.003</v>
      </c>
      <c r="E3136" s="16">
        <f>IFERROR(__xludf.DUMMYFUNCTION("""COMPUTED_VALUE"""),67.0)</f>
        <v>67</v>
      </c>
      <c r="F3136" s="19" t="str">
        <f>IFERROR(__xludf.DUMMYFUNCTION("""COMPUTED_VALUE"""),"BLUE")</f>
        <v>BLUE</v>
      </c>
      <c r="G3136" s="20" t="str">
        <f>IFERROR(__xludf.DUMMYFUNCTION("""COMPUTED_VALUE"""),"Uncle Sams Cider (11/12/2021) (Blue)")</f>
        <v>Uncle Sams Cider (11/12/2021) (Blue)</v>
      </c>
      <c r="H3136" s="19"/>
    </row>
    <row r="3137">
      <c r="A3137" s="9"/>
      <c r="B3137" s="15"/>
      <c r="C3137" s="9">
        <f>IFERROR(__xludf.DUMMYFUNCTION("""COMPUTED_VALUE"""),44572.8646111921)</f>
        <v>44572.86461</v>
      </c>
      <c r="D3137" s="15">
        <f>IFERROR(__xludf.DUMMYFUNCTION("""COMPUTED_VALUE"""),1.003)</f>
        <v>1.003</v>
      </c>
      <c r="E3137" s="16">
        <f>IFERROR(__xludf.DUMMYFUNCTION("""COMPUTED_VALUE"""),67.0)</f>
        <v>67</v>
      </c>
      <c r="F3137" s="19" t="str">
        <f>IFERROR(__xludf.DUMMYFUNCTION("""COMPUTED_VALUE"""),"BLUE")</f>
        <v>BLUE</v>
      </c>
      <c r="G3137" s="20" t="str">
        <f>IFERROR(__xludf.DUMMYFUNCTION("""COMPUTED_VALUE"""),"Uncle Sams Cider (11/12/2021) (Blue)")</f>
        <v>Uncle Sams Cider (11/12/2021) (Blue)</v>
      </c>
      <c r="H3137" s="19"/>
    </row>
    <row r="3138">
      <c r="A3138" s="9"/>
      <c r="B3138" s="15"/>
      <c r="C3138" s="9">
        <f>IFERROR(__xludf.DUMMYFUNCTION("""COMPUTED_VALUE"""),44572.8541902083)</f>
        <v>44572.85419</v>
      </c>
      <c r="D3138" s="15">
        <f>IFERROR(__xludf.DUMMYFUNCTION("""COMPUTED_VALUE"""),1.003)</f>
        <v>1.003</v>
      </c>
      <c r="E3138" s="16">
        <f>IFERROR(__xludf.DUMMYFUNCTION("""COMPUTED_VALUE"""),67.0)</f>
        <v>67</v>
      </c>
      <c r="F3138" s="19" t="str">
        <f>IFERROR(__xludf.DUMMYFUNCTION("""COMPUTED_VALUE"""),"BLUE")</f>
        <v>BLUE</v>
      </c>
      <c r="G3138" s="20" t="str">
        <f>IFERROR(__xludf.DUMMYFUNCTION("""COMPUTED_VALUE"""),"Uncle Sams Cider (11/12/2021) (Blue)")</f>
        <v>Uncle Sams Cider (11/12/2021) (Blue)</v>
      </c>
      <c r="H3138" s="19"/>
    </row>
    <row r="3139">
      <c r="A3139" s="9"/>
      <c r="B3139" s="15"/>
      <c r="C3139" s="9">
        <f>IFERROR(__xludf.DUMMYFUNCTION("""COMPUTED_VALUE"""),44572.843745)</f>
        <v>44572.84375</v>
      </c>
      <c r="D3139" s="15">
        <f>IFERROR(__xludf.DUMMYFUNCTION("""COMPUTED_VALUE"""),1.004)</f>
        <v>1.004</v>
      </c>
      <c r="E3139" s="16">
        <f>IFERROR(__xludf.DUMMYFUNCTION("""COMPUTED_VALUE"""),67.0)</f>
        <v>67</v>
      </c>
      <c r="F3139" s="19" t="str">
        <f>IFERROR(__xludf.DUMMYFUNCTION("""COMPUTED_VALUE"""),"BLUE")</f>
        <v>BLUE</v>
      </c>
      <c r="G3139" s="20" t="str">
        <f>IFERROR(__xludf.DUMMYFUNCTION("""COMPUTED_VALUE"""),"Uncle Sams Cider (11/12/2021) (Blue)")</f>
        <v>Uncle Sams Cider (11/12/2021) (Blue)</v>
      </c>
      <c r="H3139" s="19"/>
    </row>
    <row r="3140">
      <c r="A3140" s="9"/>
      <c r="B3140" s="15"/>
      <c r="C3140" s="9">
        <f>IFERROR(__xludf.DUMMYFUNCTION("""COMPUTED_VALUE"""),44572.8333247337)</f>
        <v>44572.83332</v>
      </c>
      <c r="D3140" s="15">
        <f>IFERROR(__xludf.DUMMYFUNCTION("""COMPUTED_VALUE"""),1.003)</f>
        <v>1.003</v>
      </c>
      <c r="E3140" s="16">
        <f>IFERROR(__xludf.DUMMYFUNCTION("""COMPUTED_VALUE"""),67.0)</f>
        <v>67</v>
      </c>
      <c r="F3140" s="19" t="str">
        <f>IFERROR(__xludf.DUMMYFUNCTION("""COMPUTED_VALUE"""),"BLUE")</f>
        <v>BLUE</v>
      </c>
      <c r="G3140" s="20" t="str">
        <f>IFERROR(__xludf.DUMMYFUNCTION("""COMPUTED_VALUE"""),"Uncle Sams Cider (11/12/2021) (Blue)")</f>
        <v>Uncle Sams Cider (11/12/2021) (Blue)</v>
      </c>
      <c r="H3140" s="19"/>
    </row>
    <row r="3141">
      <c r="A3141" s="9"/>
      <c r="B3141" s="15"/>
      <c r="C3141" s="9">
        <f>IFERROR(__xludf.DUMMYFUNCTION("""COMPUTED_VALUE"""),44572.8229044444)</f>
        <v>44572.8229</v>
      </c>
      <c r="D3141" s="15">
        <f>IFERROR(__xludf.DUMMYFUNCTION("""COMPUTED_VALUE"""),1.003)</f>
        <v>1.003</v>
      </c>
      <c r="E3141" s="16">
        <f>IFERROR(__xludf.DUMMYFUNCTION("""COMPUTED_VALUE"""),67.0)</f>
        <v>67</v>
      </c>
      <c r="F3141" s="19" t="str">
        <f>IFERROR(__xludf.DUMMYFUNCTION("""COMPUTED_VALUE"""),"BLUE")</f>
        <v>BLUE</v>
      </c>
      <c r="G3141" s="20" t="str">
        <f>IFERROR(__xludf.DUMMYFUNCTION("""COMPUTED_VALUE"""),"Uncle Sams Cider (11/12/2021) (Blue)")</f>
        <v>Uncle Sams Cider (11/12/2021) (Blue)</v>
      </c>
      <c r="H3141" s="19"/>
    </row>
    <row r="3142">
      <c r="A3142" s="9"/>
      <c r="B3142" s="15"/>
      <c r="C3142" s="9">
        <f>IFERROR(__xludf.DUMMYFUNCTION("""COMPUTED_VALUE"""),44572.8124820949)</f>
        <v>44572.81248</v>
      </c>
      <c r="D3142" s="15">
        <f>IFERROR(__xludf.DUMMYFUNCTION("""COMPUTED_VALUE"""),1.003)</f>
        <v>1.003</v>
      </c>
      <c r="E3142" s="16">
        <f>IFERROR(__xludf.DUMMYFUNCTION("""COMPUTED_VALUE"""),67.0)</f>
        <v>67</v>
      </c>
      <c r="F3142" s="19" t="str">
        <f>IFERROR(__xludf.DUMMYFUNCTION("""COMPUTED_VALUE"""),"BLUE")</f>
        <v>BLUE</v>
      </c>
      <c r="G3142" s="20" t="str">
        <f>IFERROR(__xludf.DUMMYFUNCTION("""COMPUTED_VALUE"""),"Uncle Sams Cider (11/12/2021) (Blue)")</f>
        <v>Uncle Sams Cider (11/12/2021) (Blue)</v>
      </c>
      <c r="H3142" s="19"/>
    </row>
    <row r="3143">
      <c r="A3143" s="9"/>
      <c r="B3143" s="15"/>
      <c r="C3143" s="9">
        <f>IFERROR(__xludf.DUMMYFUNCTION("""COMPUTED_VALUE"""),44572.8020608796)</f>
        <v>44572.80206</v>
      </c>
      <c r="D3143" s="15">
        <f>IFERROR(__xludf.DUMMYFUNCTION("""COMPUTED_VALUE"""),1.003)</f>
        <v>1.003</v>
      </c>
      <c r="E3143" s="16">
        <f>IFERROR(__xludf.DUMMYFUNCTION("""COMPUTED_VALUE"""),67.0)</f>
        <v>67</v>
      </c>
      <c r="F3143" s="19" t="str">
        <f>IFERROR(__xludf.DUMMYFUNCTION("""COMPUTED_VALUE"""),"BLUE")</f>
        <v>BLUE</v>
      </c>
      <c r="G3143" s="20" t="str">
        <f>IFERROR(__xludf.DUMMYFUNCTION("""COMPUTED_VALUE"""),"Uncle Sams Cider (11/12/2021) (Blue)")</f>
        <v>Uncle Sams Cider (11/12/2021) (Blue)</v>
      </c>
      <c r="H3143" s="19"/>
    </row>
    <row r="3144">
      <c r="A3144" s="9"/>
      <c r="B3144" s="15"/>
      <c r="C3144" s="9">
        <f>IFERROR(__xludf.DUMMYFUNCTION("""COMPUTED_VALUE"""),44572.7916278587)</f>
        <v>44572.79163</v>
      </c>
      <c r="D3144" s="15">
        <f>IFERROR(__xludf.DUMMYFUNCTION("""COMPUTED_VALUE"""),1.003)</f>
        <v>1.003</v>
      </c>
      <c r="E3144" s="16">
        <f>IFERROR(__xludf.DUMMYFUNCTION("""COMPUTED_VALUE"""),67.0)</f>
        <v>67</v>
      </c>
      <c r="F3144" s="19" t="str">
        <f>IFERROR(__xludf.DUMMYFUNCTION("""COMPUTED_VALUE"""),"BLUE")</f>
        <v>BLUE</v>
      </c>
      <c r="G3144" s="20" t="str">
        <f>IFERROR(__xludf.DUMMYFUNCTION("""COMPUTED_VALUE"""),"Uncle Sams Cider (11/12/2021) (Blue)")</f>
        <v>Uncle Sams Cider (11/12/2021) (Blue)</v>
      </c>
      <c r="H3144" s="19"/>
    </row>
    <row r="3145">
      <c r="A3145" s="9"/>
      <c r="B3145" s="15"/>
      <c r="C3145" s="9">
        <f>IFERROR(__xludf.DUMMYFUNCTION("""COMPUTED_VALUE"""),44572.7812059606)</f>
        <v>44572.78121</v>
      </c>
      <c r="D3145" s="15">
        <f>IFERROR(__xludf.DUMMYFUNCTION("""COMPUTED_VALUE"""),1.004)</f>
        <v>1.004</v>
      </c>
      <c r="E3145" s="16">
        <f>IFERROR(__xludf.DUMMYFUNCTION("""COMPUTED_VALUE"""),67.0)</f>
        <v>67</v>
      </c>
      <c r="F3145" s="19" t="str">
        <f>IFERROR(__xludf.DUMMYFUNCTION("""COMPUTED_VALUE"""),"BLUE")</f>
        <v>BLUE</v>
      </c>
      <c r="G3145" s="20" t="str">
        <f>IFERROR(__xludf.DUMMYFUNCTION("""COMPUTED_VALUE"""),"Uncle Sams Cider (11/12/2021) (Blue)")</f>
        <v>Uncle Sams Cider (11/12/2021) (Blue)</v>
      </c>
      <c r="H3145" s="19"/>
    </row>
    <row r="3146">
      <c r="A3146" s="9"/>
      <c r="B3146" s="15"/>
      <c r="C3146" s="9">
        <f>IFERROR(__xludf.DUMMYFUNCTION("""COMPUTED_VALUE"""),44572.7707724536)</f>
        <v>44572.77077</v>
      </c>
      <c r="D3146" s="15">
        <f>IFERROR(__xludf.DUMMYFUNCTION("""COMPUTED_VALUE"""),1.004)</f>
        <v>1.004</v>
      </c>
      <c r="E3146" s="16">
        <f>IFERROR(__xludf.DUMMYFUNCTION("""COMPUTED_VALUE"""),67.0)</f>
        <v>67</v>
      </c>
      <c r="F3146" s="19" t="str">
        <f>IFERROR(__xludf.DUMMYFUNCTION("""COMPUTED_VALUE"""),"BLUE")</f>
        <v>BLUE</v>
      </c>
      <c r="G3146" s="20" t="str">
        <f>IFERROR(__xludf.DUMMYFUNCTION("""COMPUTED_VALUE"""),"Uncle Sams Cider (11/12/2021) (Blue)")</f>
        <v>Uncle Sams Cider (11/12/2021) (Blue)</v>
      </c>
      <c r="H3146" s="19"/>
    </row>
    <row r="3147">
      <c r="A3147" s="9"/>
      <c r="B3147" s="15"/>
      <c r="C3147" s="9">
        <f>IFERROR(__xludf.DUMMYFUNCTION("""COMPUTED_VALUE"""),44572.7603396296)</f>
        <v>44572.76034</v>
      </c>
      <c r="D3147" s="15">
        <f>IFERROR(__xludf.DUMMYFUNCTION("""COMPUTED_VALUE"""),1.003)</f>
        <v>1.003</v>
      </c>
      <c r="E3147" s="16">
        <f>IFERROR(__xludf.DUMMYFUNCTION("""COMPUTED_VALUE"""),67.0)</f>
        <v>67</v>
      </c>
      <c r="F3147" s="19" t="str">
        <f>IFERROR(__xludf.DUMMYFUNCTION("""COMPUTED_VALUE"""),"BLUE")</f>
        <v>BLUE</v>
      </c>
      <c r="G3147" s="20" t="str">
        <f>IFERROR(__xludf.DUMMYFUNCTION("""COMPUTED_VALUE"""),"Uncle Sams Cider (11/12/2021) (Blue)")</f>
        <v>Uncle Sams Cider (11/12/2021) (Blue)</v>
      </c>
      <c r="H3147" s="19"/>
    </row>
    <row r="3148">
      <c r="A3148" s="9"/>
      <c r="B3148" s="15"/>
      <c r="C3148" s="9">
        <f>IFERROR(__xludf.DUMMYFUNCTION("""COMPUTED_VALUE"""),44572.7499194444)</f>
        <v>44572.74992</v>
      </c>
      <c r="D3148" s="15">
        <f>IFERROR(__xludf.DUMMYFUNCTION("""COMPUTED_VALUE"""),1.004)</f>
        <v>1.004</v>
      </c>
      <c r="E3148" s="16">
        <f>IFERROR(__xludf.DUMMYFUNCTION("""COMPUTED_VALUE"""),67.0)</f>
        <v>67</v>
      </c>
      <c r="F3148" s="19" t="str">
        <f>IFERROR(__xludf.DUMMYFUNCTION("""COMPUTED_VALUE"""),"BLUE")</f>
        <v>BLUE</v>
      </c>
      <c r="G3148" s="20" t="str">
        <f>IFERROR(__xludf.DUMMYFUNCTION("""COMPUTED_VALUE"""),"Uncle Sams Cider (11/12/2021) (Blue)")</f>
        <v>Uncle Sams Cider (11/12/2021) (Blue)</v>
      </c>
      <c r="H3148" s="19"/>
    </row>
    <row r="3149">
      <c r="A3149" s="9"/>
      <c r="B3149" s="15"/>
      <c r="C3149" s="9">
        <f>IFERROR(__xludf.DUMMYFUNCTION("""COMPUTED_VALUE"""),44572.7395016319)</f>
        <v>44572.7395</v>
      </c>
      <c r="D3149" s="15">
        <f>IFERROR(__xludf.DUMMYFUNCTION("""COMPUTED_VALUE"""),1.004)</f>
        <v>1.004</v>
      </c>
      <c r="E3149" s="16">
        <f>IFERROR(__xludf.DUMMYFUNCTION("""COMPUTED_VALUE"""),67.0)</f>
        <v>67</v>
      </c>
      <c r="F3149" s="19" t="str">
        <f>IFERROR(__xludf.DUMMYFUNCTION("""COMPUTED_VALUE"""),"BLUE")</f>
        <v>BLUE</v>
      </c>
      <c r="G3149" s="20" t="str">
        <f>IFERROR(__xludf.DUMMYFUNCTION("""COMPUTED_VALUE"""),"Uncle Sams Cider (11/12/2021) (Blue)")</f>
        <v>Uncle Sams Cider (11/12/2021) (Blue)</v>
      </c>
      <c r="H3149" s="19"/>
    </row>
    <row r="3150">
      <c r="A3150" s="9"/>
      <c r="B3150" s="15"/>
      <c r="C3150" s="9">
        <f>IFERROR(__xludf.DUMMYFUNCTION("""COMPUTED_VALUE"""),44572.7290798842)</f>
        <v>44572.72908</v>
      </c>
      <c r="D3150" s="15">
        <f>IFERROR(__xludf.DUMMYFUNCTION("""COMPUTED_VALUE"""),1.004)</f>
        <v>1.004</v>
      </c>
      <c r="E3150" s="16">
        <f>IFERROR(__xludf.DUMMYFUNCTION("""COMPUTED_VALUE"""),67.0)</f>
        <v>67</v>
      </c>
      <c r="F3150" s="19" t="str">
        <f>IFERROR(__xludf.DUMMYFUNCTION("""COMPUTED_VALUE"""),"BLUE")</f>
        <v>BLUE</v>
      </c>
      <c r="G3150" s="20" t="str">
        <f>IFERROR(__xludf.DUMMYFUNCTION("""COMPUTED_VALUE"""),"Uncle Sams Cider (11/12/2021) (Blue)")</f>
        <v>Uncle Sams Cider (11/12/2021) (Blue)</v>
      </c>
      <c r="H3150" s="19"/>
    </row>
    <row r="3151">
      <c r="A3151" s="9"/>
      <c r="B3151" s="15"/>
      <c r="C3151" s="9">
        <f>IFERROR(__xludf.DUMMYFUNCTION("""COMPUTED_VALUE"""),44572.7186367939)</f>
        <v>44572.71864</v>
      </c>
      <c r="D3151" s="15">
        <f>IFERROR(__xludf.DUMMYFUNCTION("""COMPUTED_VALUE"""),1.004)</f>
        <v>1.004</v>
      </c>
      <c r="E3151" s="16">
        <f>IFERROR(__xludf.DUMMYFUNCTION("""COMPUTED_VALUE"""),67.0)</f>
        <v>67</v>
      </c>
      <c r="F3151" s="19" t="str">
        <f>IFERROR(__xludf.DUMMYFUNCTION("""COMPUTED_VALUE"""),"BLUE")</f>
        <v>BLUE</v>
      </c>
      <c r="G3151" s="20" t="str">
        <f>IFERROR(__xludf.DUMMYFUNCTION("""COMPUTED_VALUE"""),"Uncle Sams Cider (11/12/2021) (Blue)")</f>
        <v>Uncle Sams Cider (11/12/2021) (Blue)</v>
      </c>
      <c r="H3151" s="19"/>
    </row>
    <row r="3152">
      <c r="A3152" s="9"/>
      <c r="B3152" s="15"/>
      <c r="C3152" s="9">
        <f>IFERROR(__xludf.DUMMYFUNCTION("""COMPUTED_VALUE"""),44572.7082149768)</f>
        <v>44572.70821</v>
      </c>
      <c r="D3152" s="15">
        <f>IFERROR(__xludf.DUMMYFUNCTION("""COMPUTED_VALUE"""),1.004)</f>
        <v>1.004</v>
      </c>
      <c r="E3152" s="16">
        <f>IFERROR(__xludf.DUMMYFUNCTION("""COMPUTED_VALUE"""),67.0)</f>
        <v>67</v>
      </c>
      <c r="F3152" s="19" t="str">
        <f>IFERROR(__xludf.DUMMYFUNCTION("""COMPUTED_VALUE"""),"BLUE")</f>
        <v>BLUE</v>
      </c>
      <c r="G3152" s="20" t="str">
        <f>IFERROR(__xludf.DUMMYFUNCTION("""COMPUTED_VALUE"""),"Uncle Sams Cider (11/12/2021) (Blue)")</f>
        <v>Uncle Sams Cider (11/12/2021) (Blue)</v>
      </c>
      <c r="H3152" s="19"/>
    </row>
    <row r="3153">
      <c r="A3153" s="9"/>
      <c r="B3153" s="15"/>
      <c r="C3153" s="9">
        <f>IFERROR(__xludf.DUMMYFUNCTION("""COMPUTED_VALUE"""),44572.6977937037)</f>
        <v>44572.69779</v>
      </c>
      <c r="D3153" s="15">
        <f>IFERROR(__xludf.DUMMYFUNCTION("""COMPUTED_VALUE"""),1.003)</f>
        <v>1.003</v>
      </c>
      <c r="E3153" s="16">
        <f>IFERROR(__xludf.DUMMYFUNCTION("""COMPUTED_VALUE"""),67.0)</f>
        <v>67</v>
      </c>
      <c r="F3153" s="19" t="str">
        <f>IFERROR(__xludf.DUMMYFUNCTION("""COMPUTED_VALUE"""),"BLUE")</f>
        <v>BLUE</v>
      </c>
      <c r="G3153" s="20" t="str">
        <f>IFERROR(__xludf.DUMMYFUNCTION("""COMPUTED_VALUE"""),"Uncle Sams Cider (11/12/2021) (Blue)")</f>
        <v>Uncle Sams Cider (11/12/2021) (Blue)</v>
      </c>
      <c r="H3153" s="19"/>
    </row>
    <row r="3154">
      <c r="A3154" s="9"/>
      <c r="B3154" s="15"/>
      <c r="C3154" s="9">
        <f>IFERROR(__xludf.DUMMYFUNCTION("""COMPUTED_VALUE"""),44572.6873711111)</f>
        <v>44572.68737</v>
      </c>
      <c r="D3154" s="15">
        <f>IFERROR(__xludf.DUMMYFUNCTION("""COMPUTED_VALUE"""),1.004)</f>
        <v>1.004</v>
      </c>
      <c r="E3154" s="16">
        <f>IFERROR(__xludf.DUMMYFUNCTION("""COMPUTED_VALUE"""),67.0)</f>
        <v>67</v>
      </c>
      <c r="F3154" s="19" t="str">
        <f>IFERROR(__xludf.DUMMYFUNCTION("""COMPUTED_VALUE"""),"BLUE")</f>
        <v>BLUE</v>
      </c>
      <c r="G3154" s="20" t="str">
        <f>IFERROR(__xludf.DUMMYFUNCTION("""COMPUTED_VALUE"""),"Uncle Sams Cider (11/12/2021) (Blue)")</f>
        <v>Uncle Sams Cider (11/12/2021) (Blue)</v>
      </c>
      <c r="H3154" s="19"/>
    </row>
    <row r="3155">
      <c r="A3155" s="9"/>
      <c r="B3155" s="15"/>
      <c r="C3155" s="9">
        <f>IFERROR(__xludf.DUMMYFUNCTION("""COMPUTED_VALUE"""),44572.6769498842)</f>
        <v>44572.67695</v>
      </c>
      <c r="D3155" s="15">
        <f>IFERROR(__xludf.DUMMYFUNCTION("""COMPUTED_VALUE"""),1.003)</f>
        <v>1.003</v>
      </c>
      <c r="E3155" s="16">
        <f>IFERROR(__xludf.DUMMYFUNCTION("""COMPUTED_VALUE"""),67.0)</f>
        <v>67</v>
      </c>
      <c r="F3155" s="19" t="str">
        <f>IFERROR(__xludf.DUMMYFUNCTION("""COMPUTED_VALUE"""),"BLUE")</f>
        <v>BLUE</v>
      </c>
      <c r="G3155" s="20" t="str">
        <f>IFERROR(__xludf.DUMMYFUNCTION("""COMPUTED_VALUE"""),"Uncle Sams Cider (11/12/2021) (Blue)")</f>
        <v>Uncle Sams Cider (11/12/2021) (Blue)</v>
      </c>
      <c r="H3155" s="19"/>
    </row>
    <row r="3156">
      <c r="A3156" s="9"/>
      <c r="B3156" s="15"/>
      <c r="C3156" s="9">
        <f>IFERROR(__xludf.DUMMYFUNCTION("""COMPUTED_VALUE"""),44572.6665294328)</f>
        <v>44572.66653</v>
      </c>
      <c r="D3156" s="15">
        <f>IFERROR(__xludf.DUMMYFUNCTION("""COMPUTED_VALUE"""),1.004)</f>
        <v>1.004</v>
      </c>
      <c r="E3156" s="16">
        <f>IFERROR(__xludf.DUMMYFUNCTION("""COMPUTED_VALUE"""),67.0)</f>
        <v>67</v>
      </c>
      <c r="F3156" s="19" t="str">
        <f>IFERROR(__xludf.DUMMYFUNCTION("""COMPUTED_VALUE"""),"BLUE")</f>
        <v>BLUE</v>
      </c>
      <c r="G3156" s="20" t="str">
        <f>IFERROR(__xludf.DUMMYFUNCTION("""COMPUTED_VALUE"""),"Uncle Sams Cider (11/12/2021) (Blue)")</f>
        <v>Uncle Sams Cider (11/12/2021) (Blue)</v>
      </c>
      <c r="H3156" s="19"/>
    </row>
    <row r="3157">
      <c r="A3157" s="9"/>
      <c r="B3157" s="15"/>
      <c r="C3157" s="9">
        <f>IFERROR(__xludf.DUMMYFUNCTION("""COMPUTED_VALUE"""),44572.6561094675)</f>
        <v>44572.65611</v>
      </c>
      <c r="D3157" s="15">
        <f>IFERROR(__xludf.DUMMYFUNCTION("""COMPUTED_VALUE"""),1.004)</f>
        <v>1.004</v>
      </c>
      <c r="E3157" s="16">
        <f>IFERROR(__xludf.DUMMYFUNCTION("""COMPUTED_VALUE"""),67.0)</f>
        <v>67</v>
      </c>
      <c r="F3157" s="19" t="str">
        <f>IFERROR(__xludf.DUMMYFUNCTION("""COMPUTED_VALUE"""),"BLUE")</f>
        <v>BLUE</v>
      </c>
      <c r="G3157" s="20" t="str">
        <f>IFERROR(__xludf.DUMMYFUNCTION("""COMPUTED_VALUE"""),"Uncle Sams Cider (11/12/2021) (Blue)")</f>
        <v>Uncle Sams Cider (11/12/2021) (Blue)</v>
      </c>
      <c r="H3157" s="19"/>
    </row>
    <row r="3158">
      <c r="A3158" s="9"/>
      <c r="B3158" s="15"/>
      <c r="C3158" s="9">
        <f>IFERROR(__xludf.DUMMYFUNCTION("""COMPUTED_VALUE"""),44572.6456878588)</f>
        <v>44572.64569</v>
      </c>
      <c r="D3158" s="15">
        <f>IFERROR(__xludf.DUMMYFUNCTION("""COMPUTED_VALUE"""),1.003)</f>
        <v>1.003</v>
      </c>
      <c r="E3158" s="16">
        <f>IFERROR(__xludf.DUMMYFUNCTION("""COMPUTED_VALUE"""),67.0)</f>
        <v>67</v>
      </c>
      <c r="F3158" s="19" t="str">
        <f>IFERROR(__xludf.DUMMYFUNCTION("""COMPUTED_VALUE"""),"BLUE")</f>
        <v>BLUE</v>
      </c>
      <c r="G3158" s="20" t="str">
        <f>IFERROR(__xludf.DUMMYFUNCTION("""COMPUTED_VALUE"""),"Uncle Sams Cider (11/12/2021) (Blue)")</f>
        <v>Uncle Sams Cider (11/12/2021) (Blue)</v>
      </c>
      <c r="H3158" s="19"/>
    </row>
    <row r="3159">
      <c r="A3159" s="9"/>
      <c r="B3159" s="15"/>
      <c r="C3159" s="9">
        <f>IFERROR(__xludf.DUMMYFUNCTION("""COMPUTED_VALUE"""),44572.635265625)</f>
        <v>44572.63527</v>
      </c>
      <c r="D3159" s="15">
        <f>IFERROR(__xludf.DUMMYFUNCTION("""COMPUTED_VALUE"""),1.004)</f>
        <v>1.004</v>
      </c>
      <c r="E3159" s="16">
        <f>IFERROR(__xludf.DUMMYFUNCTION("""COMPUTED_VALUE"""),68.0)</f>
        <v>68</v>
      </c>
      <c r="F3159" s="19" t="str">
        <f>IFERROR(__xludf.DUMMYFUNCTION("""COMPUTED_VALUE"""),"BLUE")</f>
        <v>BLUE</v>
      </c>
      <c r="G3159" s="20" t="str">
        <f>IFERROR(__xludf.DUMMYFUNCTION("""COMPUTED_VALUE"""),"Uncle Sams Cider (11/12/2021) (Blue)")</f>
        <v>Uncle Sams Cider (11/12/2021) (Blue)</v>
      </c>
      <c r="H3159" s="19"/>
    </row>
    <row r="3160">
      <c r="A3160" s="9"/>
      <c r="B3160" s="15"/>
      <c r="C3160" s="9">
        <f>IFERROR(__xludf.DUMMYFUNCTION("""COMPUTED_VALUE"""),44572.6248334837)</f>
        <v>44572.62483</v>
      </c>
      <c r="D3160" s="15">
        <f>IFERROR(__xludf.DUMMYFUNCTION("""COMPUTED_VALUE"""),1.003)</f>
        <v>1.003</v>
      </c>
      <c r="E3160" s="16">
        <f>IFERROR(__xludf.DUMMYFUNCTION("""COMPUTED_VALUE"""),68.0)</f>
        <v>68</v>
      </c>
      <c r="F3160" s="19" t="str">
        <f>IFERROR(__xludf.DUMMYFUNCTION("""COMPUTED_VALUE"""),"BLUE")</f>
        <v>BLUE</v>
      </c>
      <c r="G3160" s="20" t="str">
        <f>IFERROR(__xludf.DUMMYFUNCTION("""COMPUTED_VALUE"""),"Uncle Sams Cider (11/12/2021) (Blue)")</f>
        <v>Uncle Sams Cider (11/12/2021) (Blue)</v>
      </c>
      <c r="H3160" s="19"/>
    </row>
    <row r="3161">
      <c r="A3161" s="9"/>
      <c r="B3161" s="15"/>
      <c r="C3161" s="9">
        <f>IFERROR(__xludf.DUMMYFUNCTION("""COMPUTED_VALUE"""),44572.6144105902)</f>
        <v>44572.61441</v>
      </c>
      <c r="D3161" s="15">
        <f>IFERROR(__xludf.DUMMYFUNCTION("""COMPUTED_VALUE"""),1.004)</f>
        <v>1.004</v>
      </c>
      <c r="E3161" s="16">
        <f>IFERROR(__xludf.DUMMYFUNCTION("""COMPUTED_VALUE"""),68.0)</f>
        <v>68</v>
      </c>
      <c r="F3161" s="19" t="str">
        <f>IFERROR(__xludf.DUMMYFUNCTION("""COMPUTED_VALUE"""),"BLUE")</f>
        <v>BLUE</v>
      </c>
      <c r="G3161" s="20" t="str">
        <f>IFERROR(__xludf.DUMMYFUNCTION("""COMPUTED_VALUE"""),"Uncle Sams Cider (11/12/2021) (Blue)")</f>
        <v>Uncle Sams Cider (11/12/2021) (Blue)</v>
      </c>
      <c r="H3161" s="19"/>
    </row>
    <row r="3162">
      <c r="A3162" s="9"/>
      <c r="B3162" s="15"/>
      <c r="C3162" s="9">
        <f>IFERROR(__xludf.DUMMYFUNCTION("""COMPUTED_VALUE"""),44572.6039921296)</f>
        <v>44572.60399</v>
      </c>
      <c r="D3162" s="15">
        <f>IFERROR(__xludf.DUMMYFUNCTION("""COMPUTED_VALUE"""),1.004)</f>
        <v>1.004</v>
      </c>
      <c r="E3162" s="16">
        <f>IFERROR(__xludf.DUMMYFUNCTION("""COMPUTED_VALUE"""),67.0)</f>
        <v>67</v>
      </c>
      <c r="F3162" s="19" t="str">
        <f>IFERROR(__xludf.DUMMYFUNCTION("""COMPUTED_VALUE"""),"BLUE")</f>
        <v>BLUE</v>
      </c>
      <c r="G3162" s="20" t="str">
        <f>IFERROR(__xludf.DUMMYFUNCTION("""COMPUTED_VALUE"""),"Uncle Sams Cider (11/12/2021) (Blue)")</f>
        <v>Uncle Sams Cider (11/12/2021) (Blue)</v>
      </c>
      <c r="H3162" s="19"/>
    </row>
    <row r="3163">
      <c r="A3163" s="9"/>
      <c r="B3163" s="15"/>
      <c r="C3163" s="9">
        <f>IFERROR(__xludf.DUMMYFUNCTION("""COMPUTED_VALUE"""),44572.5935601041)</f>
        <v>44572.59356</v>
      </c>
      <c r="D3163" s="15">
        <f>IFERROR(__xludf.DUMMYFUNCTION("""COMPUTED_VALUE"""),1.003)</f>
        <v>1.003</v>
      </c>
      <c r="E3163" s="16">
        <f>IFERROR(__xludf.DUMMYFUNCTION("""COMPUTED_VALUE"""),67.0)</f>
        <v>67</v>
      </c>
      <c r="F3163" s="19" t="str">
        <f>IFERROR(__xludf.DUMMYFUNCTION("""COMPUTED_VALUE"""),"BLUE")</f>
        <v>BLUE</v>
      </c>
      <c r="G3163" s="20" t="str">
        <f>IFERROR(__xludf.DUMMYFUNCTION("""COMPUTED_VALUE"""),"Uncle Sams Cider (11/12/2021) (Blue)")</f>
        <v>Uncle Sams Cider (11/12/2021) (Blue)</v>
      </c>
      <c r="H3163" s="19"/>
    </row>
    <row r="3164">
      <c r="A3164" s="9"/>
      <c r="B3164" s="15"/>
      <c r="C3164" s="9">
        <f>IFERROR(__xludf.DUMMYFUNCTION("""COMPUTED_VALUE"""),44572.5831386226)</f>
        <v>44572.58314</v>
      </c>
      <c r="D3164" s="15">
        <f>IFERROR(__xludf.DUMMYFUNCTION("""COMPUTED_VALUE"""),1.004)</f>
        <v>1.004</v>
      </c>
      <c r="E3164" s="16">
        <f>IFERROR(__xludf.DUMMYFUNCTION("""COMPUTED_VALUE"""),67.0)</f>
        <v>67</v>
      </c>
      <c r="F3164" s="19" t="str">
        <f>IFERROR(__xludf.DUMMYFUNCTION("""COMPUTED_VALUE"""),"BLUE")</f>
        <v>BLUE</v>
      </c>
      <c r="G3164" s="20" t="str">
        <f>IFERROR(__xludf.DUMMYFUNCTION("""COMPUTED_VALUE"""),"Uncle Sams Cider (11/12/2021) (Blue)")</f>
        <v>Uncle Sams Cider (11/12/2021) (Blue)</v>
      </c>
      <c r="H3164" s="19"/>
    </row>
    <row r="3165">
      <c r="A3165" s="9"/>
      <c r="B3165" s="15"/>
      <c r="C3165" s="9">
        <f>IFERROR(__xludf.DUMMYFUNCTION("""COMPUTED_VALUE"""),44572.5727051388)</f>
        <v>44572.57271</v>
      </c>
      <c r="D3165" s="15">
        <f>IFERROR(__xludf.DUMMYFUNCTION("""COMPUTED_VALUE"""),1.004)</f>
        <v>1.004</v>
      </c>
      <c r="E3165" s="16">
        <f>IFERROR(__xludf.DUMMYFUNCTION("""COMPUTED_VALUE"""),66.0)</f>
        <v>66</v>
      </c>
      <c r="F3165" s="19" t="str">
        <f>IFERROR(__xludf.DUMMYFUNCTION("""COMPUTED_VALUE"""),"BLUE")</f>
        <v>BLUE</v>
      </c>
      <c r="G3165" s="20" t="str">
        <f>IFERROR(__xludf.DUMMYFUNCTION("""COMPUTED_VALUE"""),"Uncle Sams Cider (11/12/2021) (Blue)")</f>
        <v>Uncle Sams Cider (11/12/2021) (Blue)</v>
      </c>
      <c r="H3165" s="19"/>
    </row>
    <row r="3166">
      <c r="A3166" s="9"/>
      <c r="B3166" s="15"/>
      <c r="C3166" s="9">
        <f>IFERROR(__xludf.DUMMYFUNCTION("""COMPUTED_VALUE"""),44572.562283287)</f>
        <v>44572.56228</v>
      </c>
      <c r="D3166" s="15">
        <f>IFERROR(__xludf.DUMMYFUNCTION("""COMPUTED_VALUE"""),1.004)</f>
        <v>1.004</v>
      </c>
      <c r="E3166" s="16">
        <f>IFERROR(__xludf.DUMMYFUNCTION("""COMPUTED_VALUE"""),66.0)</f>
        <v>66</v>
      </c>
      <c r="F3166" s="19" t="str">
        <f>IFERROR(__xludf.DUMMYFUNCTION("""COMPUTED_VALUE"""),"BLUE")</f>
        <v>BLUE</v>
      </c>
      <c r="G3166" s="20" t="str">
        <f>IFERROR(__xludf.DUMMYFUNCTION("""COMPUTED_VALUE"""),"Uncle Sams Cider (11/12/2021) (Blue)")</f>
        <v>Uncle Sams Cider (11/12/2021) (Blue)</v>
      </c>
      <c r="H3166" s="19"/>
    </row>
    <row r="3167">
      <c r="A3167" s="9"/>
      <c r="B3167" s="15"/>
      <c r="C3167" s="9">
        <f>IFERROR(__xludf.DUMMYFUNCTION("""COMPUTED_VALUE"""),44572.5518615625)</f>
        <v>44572.55186</v>
      </c>
      <c r="D3167" s="15">
        <f>IFERROR(__xludf.DUMMYFUNCTION("""COMPUTED_VALUE"""),1.004)</f>
        <v>1.004</v>
      </c>
      <c r="E3167" s="16">
        <f>IFERROR(__xludf.DUMMYFUNCTION("""COMPUTED_VALUE"""),65.0)</f>
        <v>65</v>
      </c>
      <c r="F3167" s="19" t="str">
        <f>IFERROR(__xludf.DUMMYFUNCTION("""COMPUTED_VALUE"""),"BLUE")</f>
        <v>BLUE</v>
      </c>
      <c r="G3167" s="20" t="str">
        <f>IFERROR(__xludf.DUMMYFUNCTION("""COMPUTED_VALUE"""),"Uncle Sams Cider (11/12/2021) (Blue)")</f>
        <v>Uncle Sams Cider (11/12/2021) (Blue)</v>
      </c>
      <c r="H3167" s="19"/>
    </row>
    <row r="3168">
      <c r="A3168" s="9"/>
      <c r="B3168" s="15"/>
      <c r="C3168" s="9">
        <f>IFERROR(__xludf.DUMMYFUNCTION("""COMPUTED_VALUE"""),44572.5414410648)</f>
        <v>44572.54144</v>
      </c>
      <c r="D3168" s="15">
        <f>IFERROR(__xludf.DUMMYFUNCTION("""COMPUTED_VALUE"""),1.004)</f>
        <v>1.004</v>
      </c>
      <c r="E3168" s="16">
        <f>IFERROR(__xludf.DUMMYFUNCTION("""COMPUTED_VALUE"""),65.0)</f>
        <v>65</v>
      </c>
      <c r="F3168" s="19" t="str">
        <f>IFERROR(__xludf.DUMMYFUNCTION("""COMPUTED_VALUE"""),"BLUE")</f>
        <v>BLUE</v>
      </c>
      <c r="G3168" s="20" t="str">
        <f>IFERROR(__xludf.DUMMYFUNCTION("""COMPUTED_VALUE"""),"Uncle Sams Cider (11/12/2021) (Blue)")</f>
        <v>Uncle Sams Cider (11/12/2021) (Blue)</v>
      </c>
      <c r="H3168" s="19"/>
    </row>
    <row r="3169">
      <c r="A3169" s="9"/>
      <c r="B3169" s="15"/>
      <c r="C3169" s="9">
        <f>IFERROR(__xludf.DUMMYFUNCTION("""COMPUTED_VALUE"""),44572.531018912)</f>
        <v>44572.53102</v>
      </c>
      <c r="D3169" s="15">
        <f>IFERROR(__xludf.DUMMYFUNCTION("""COMPUTED_VALUE"""),1.004)</f>
        <v>1.004</v>
      </c>
      <c r="E3169" s="16">
        <f>IFERROR(__xludf.DUMMYFUNCTION("""COMPUTED_VALUE"""),64.0)</f>
        <v>64</v>
      </c>
      <c r="F3169" s="19" t="str">
        <f>IFERROR(__xludf.DUMMYFUNCTION("""COMPUTED_VALUE"""),"BLUE")</f>
        <v>BLUE</v>
      </c>
      <c r="G3169" s="20" t="str">
        <f>IFERROR(__xludf.DUMMYFUNCTION("""COMPUTED_VALUE"""),"Uncle Sams Cider (11/12/2021) (Blue)")</f>
        <v>Uncle Sams Cider (11/12/2021) (Blue)</v>
      </c>
      <c r="H3169" s="19"/>
    </row>
    <row r="3170">
      <c r="A3170" s="9"/>
      <c r="B3170" s="15"/>
      <c r="C3170" s="9">
        <f>IFERROR(__xludf.DUMMYFUNCTION("""COMPUTED_VALUE"""),44572.5205981365)</f>
        <v>44572.5206</v>
      </c>
      <c r="D3170" s="15">
        <f>IFERROR(__xludf.DUMMYFUNCTION("""COMPUTED_VALUE"""),1.004)</f>
        <v>1.004</v>
      </c>
      <c r="E3170" s="16">
        <f>IFERROR(__xludf.DUMMYFUNCTION("""COMPUTED_VALUE"""),64.0)</f>
        <v>64</v>
      </c>
      <c r="F3170" s="19" t="str">
        <f>IFERROR(__xludf.DUMMYFUNCTION("""COMPUTED_VALUE"""),"BLUE")</f>
        <v>BLUE</v>
      </c>
      <c r="G3170" s="20" t="str">
        <f>IFERROR(__xludf.DUMMYFUNCTION("""COMPUTED_VALUE"""),"Uncle Sams Cider (11/12/2021) (Blue)")</f>
        <v>Uncle Sams Cider (11/12/2021) (Blue)</v>
      </c>
      <c r="H3170" s="19"/>
    </row>
    <row r="3171">
      <c r="A3171" s="9"/>
      <c r="B3171" s="15"/>
      <c r="C3171" s="9">
        <f>IFERROR(__xludf.DUMMYFUNCTION("""COMPUTED_VALUE"""),44572.5101760532)</f>
        <v>44572.51018</v>
      </c>
      <c r="D3171" s="15">
        <f>IFERROR(__xludf.DUMMYFUNCTION("""COMPUTED_VALUE"""),1.004)</f>
        <v>1.004</v>
      </c>
      <c r="E3171" s="16">
        <f>IFERROR(__xludf.DUMMYFUNCTION("""COMPUTED_VALUE"""),64.0)</f>
        <v>64</v>
      </c>
      <c r="F3171" s="19" t="str">
        <f>IFERROR(__xludf.DUMMYFUNCTION("""COMPUTED_VALUE"""),"BLUE")</f>
        <v>BLUE</v>
      </c>
      <c r="G3171" s="20" t="str">
        <f>IFERROR(__xludf.DUMMYFUNCTION("""COMPUTED_VALUE"""),"Uncle Sams Cider (11/12/2021) (Blue)")</f>
        <v>Uncle Sams Cider (11/12/2021) (Blue)</v>
      </c>
      <c r="H3171" s="19"/>
    </row>
    <row r="3172">
      <c r="A3172" s="9"/>
      <c r="B3172" s="15"/>
      <c r="C3172" s="9">
        <f>IFERROR(__xludf.DUMMYFUNCTION("""COMPUTED_VALUE"""),44572.4997542129)</f>
        <v>44572.49975</v>
      </c>
      <c r="D3172" s="15">
        <f>IFERROR(__xludf.DUMMYFUNCTION("""COMPUTED_VALUE"""),1.004)</f>
        <v>1.004</v>
      </c>
      <c r="E3172" s="16">
        <f>IFERROR(__xludf.DUMMYFUNCTION("""COMPUTED_VALUE"""),63.0)</f>
        <v>63</v>
      </c>
      <c r="F3172" s="19" t="str">
        <f>IFERROR(__xludf.DUMMYFUNCTION("""COMPUTED_VALUE"""),"BLUE")</f>
        <v>BLUE</v>
      </c>
      <c r="G3172" s="20" t="str">
        <f>IFERROR(__xludf.DUMMYFUNCTION("""COMPUTED_VALUE"""),"Uncle Sams Cider (11/12/2021) (Blue)")</f>
        <v>Uncle Sams Cider (11/12/2021) (Blue)</v>
      </c>
      <c r="H3172" s="19"/>
    </row>
    <row r="3173">
      <c r="A3173" s="9"/>
      <c r="B3173" s="15"/>
      <c r="C3173" s="9">
        <f>IFERROR(__xludf.DUMMYFUNCTION("""COMPUTED_VALUE"""),44572.4893335069)</f>
        <v>44572.48933</v>
      </c>
      <c r="D3173" s="15">
        <f>IFERROR(__xludf.DUMMYFUNCTION("""COMPUTED_VALUE"""),1.004)</f>
        <v>1.004</v>
      </c>
      <c r="E3173" s="16">
        <f>IFERROR(__xludf.DUMMYFUNCTION("""COMPUTED_VALUE"""),63.0)</f>
        <v>63</v>
      </c>
      <c r="F3173" s="19" t="str">
        <f>IFERROR(__xludf.DUMMYFUNCTION("""COMPUTED_VALUE"""),"BLUE")</f>
        <v>BLUE</v>
      </c>
      <c r="G3173" s="20" t="str">
        <f>IFERROR(__xludf.DUMMYFUNCTION("""COMPUTED_VALUE"""),"Uncle Sams Cider (11/12/2021) (Blue)")</f>
        <v>Uncle Sams Cider (11/12/2021) (Blue)</v>
      </c>
      <c r="H3173" s="19"/>
    </row>
    <row r="3174">
      <c r="A3174" s="9"/>
      <c r="B3174" s="15"/>
      <c r="C3174" s="9">
        <f>IFERROR(__xludf.DUMMYFUNCTION("""COMPUTED_VALUE"""),44572.4789127777)</f>
        <v>44572.47891</v>
      </c>
      <c r="D3174" s="15">
        <f>IFERROR(__xludf.DUMMYFUNCTION("""COMPUTED_VALUE"""),1.004)</f>
        <v>1.004</v>
      </c>
      <c r="E3174" s="16">
        <f>IFERROR(__xludf.DUMMYFUNCTION("""COMPUTED_VALUE"""),62.0)</f>
        <v>62</v>
      </c>
      <c r="F3174" s="19" t="str">
        <f>IFERROR(__xludf.DUMMYFUNCTION("""COMPUTED_VALUE"""),"BLUE")</f>
        <v>BLUE</v>
      </c>
      <c r="G3174" s="20" t="str">
        <f>IFERROR(__xludf.DUMMYFUNCTION("""COMPUTED_VALUE"""),"Uncle Sams Cider (11/12/2021) (Blue)")</f>
        <v>Uncle Sams Cider (11/12/2021) (Blue)</v>
      </c>
      <c r="H3174" s="19"/>
    </row>
    <row r="3175">
      <c r="A3175" s="9"/>
      <c r="B3175" s="15"/>
      <c r="C3175" s="9">
        <f>IFERROR(__xludf.DUMMYFUNCTION("""COMPUTED_VALUE"""),44572.4684920833)</f>
        <v>44572.46849</v>
      </c>
      <c r="D3175" s="15">
        <f>IFERROR(__xludf.DUMMYFUNCTION("""COMPUTED_VALUE"""),1.004)</f>
        <v>1.004</v>
      </c>
      <c r="E3175" s="16">
        <f>IFERROR(__xludf.DUMMYFUNCTION("""COMPUTED_VALUE"""),62.0)</f>
        <v>62</v>
      </c>
      <c r="F3175" s="19" t="str">
        <f>IFERROR(__xludf.DUMMYFUNCTION("""COMPUTED_VALUE"""),"BLUE")</f>
        <v>BLUE</v>
      </c>
      <c r="G3175" s="20" t="str">
        <f>IFERROR(__xludf.DUMMYFUNCTION("""COMPUTED_VALUE"""),"Uncle Sams Cider (11/12/2021) (Blue)")</f>
        <v>Uncle Sams Cider (11/12/2021) (Blue)</v>
      </c>
      <c r="H3175" s="19"/>
    </row>
    <row r="3176">
      <c r="A3176" s="9"/>
      <c r="B3176" s="15"/>
      <c r="C3176" s="9">
        <f>IFERROR(__xludf.DUMMYFUNCTION("""COMPUTED_VALUE"""),44572.4580711226)</f>
        <v>44572.45807</v>
      </c>
      <c r="D3176" s="15">
        <f>IFERROR(__xludf.DUMMYFUNCTION("""COMPUTED_VALUE"""),1.004)</f>
        <v>1.004</v>
      </c>
      <c r="E3176" s="16">
        <f>IFERROR(__xludf.DUMMYFUNCTION("""COMPUTED_VALUE"""),62.0)</f>
        <v>62</v>
      </c>
      <c r="F3176" s="19" t="str">
        <f>IFERROR(__xludf.DUMMYFUNCTION("""COMPUTED_VALUE"""),"BLUE")</f>
        <v>BLUE</v>
      </c>
      <c r="G3176" s="20" t="str">
        <f>IFERROR(__xludf.DUMMYFUNCTION("""COMPUTED_VALUE"""),"Uncle Sams Cider (11/12/2021) (Blue)")</f>
        <v>Uncle Sams Cider (11/12/2021) (Blue)</v>
      </c>
      <c r="H3176" s="19"/>
    </row>
    <row r="3177">
      <c r="A3177" s="9"/>
      <c r="B3177" s="15"/>
      <c r="C3177" s="9">
        <f>IFERROR(__xludf.DUMMYFUNCTION("""COMPUTED_VALUE"""),44572.4476504398)</f>
        <v>44572.44765</v>
      </c>
      <c r="D3177" s="15">
        <f>IFERROR(__xludf.DUMMYFUNCTION("""COMPUTED_VALUE"""),1.004)</f>
        <v>1.004</v>
      </c>
      <c r="E3177" s="16">
        <f>IFERROR(__xludf.DUMMYFUNCTION("""COMPUTED_VALUE"""),61.0)</f>
        <v>61</v>
      </c>
      <c r="F3177" s="19" t="str">
        <f>IFERROR(__xludf.DUMMYFUNCTION("""COMPUTED_VALUE"""),"BLUE")</f>
        <v>BLUE</v>
      </c>
      <c r="G3177" s="20" t="str">
        <f>IFERROR(__xludf.DUMMYFUNCTION("""COMPUTED_VALUE"""),"Uncle Sams Cider (11/12/2021) (Blue)")</f>
        <v>Uncle Sams Cider (11/12/2021) (Blue)</v>
      </c>
      <c r="H3177" s="19"/>
    </row>
    <row r="3178">
      <c r="A3178" s="9"/>
      <c r="B3178" s="15"/>
      <c r="C3178" s="9">
        <f>IFERROR(__xludf.DUMMYFUNCTION("""COMPUTED_VALUE"""),44572.4372283912)</f>
        <v>44572.43723</v>
      </c>
      <c r="D3178" s="15">
        <f>IFERROR(__xludf.DUMMYFUNCTION("""COMPUTED_VALUE"""),1.004)</f>
        <v>1.004</v>
      </c>
      <c r="E3178" s="16">
        <f>IFERROR(__xludf.DUMMYFUNCTION("""COMPUTED_VALUE"""),61.0)</f>
        <v>61</v>
      </c>
      <c r="F3178" s="19" t="str">
        <f>IFERROR(__xludf.DUMMYFUNCTION("""COMPUTED_VALUE"""),"BLUE")</f>
        <v>BLUE</v>
      </c>
      <c r="G3178" s="20" t="str">
        <f>IFERROR(__xludf.DUMMYFUNCTION("""COMPUTED_VALUE"""),"Uncle Sams Cider (11/12/2021) (Blue)")</f>
        <v>Uncle Sams Cider (11/12/2021) (Blue)</v>
      </c>
      <c r="H3178" s="19"/>
    </row>
    <row r="3179">
      <c r="A3179" s="9"/>
      <c r="B3179" s="15"/>
      <c r="C3179" s="9">
        <f>IFERROR(__xludf.DUMMYFUNCTION("""COMPUTED_VALUE"""),44572.4268073379)</f>
        <v>44572.42681</v>
      </c>
      <c r="D3179" s="15">
        <f>IFERROR(__xludf.DUMMYFUNCTION("""COMPUTED_VALUE"""),1.004)</f>
        <v>1.004</v>
      </c>
      <c r="E3179" s="16">
        <f>IFERROR(__xludf.DUMMYFUNCTION("""COMPUTED_VALUE"""),61.0)</f>
        <v>61</v>
      </c>
      <c r="F3179" s="19" t="str">
        <f>IFERROR(__xludf.DUMMYFUNCTION("""COMPUTED_VALUE"""),"BLUE")</f>
        <v>BLUE</v>
      </c>
      <c r="G3179" s="20" t="str">
        <f>IFERROR(__xludf.DUMMYFUNCTION("""COMPUTED_VALUE"""),"Uncle Sams Cider (11/12/2021) (Blue)")</f>
        <v>Uncle Sams Cider (11/12/2021) (Blue)</v>
      </c>
      <c r="H3179" s="19"/>
    </row>
    <row r="3180">
      <c r="A3180" s="9"/>
      <c r="B3180" s="15"/>
      <c r="C3180" s="9">
        <f>IFERROR(__xludf.DUMMYFUNCTION("""COMPUTED_VALUE"""),44572.4163859953)</f>
        <v>44572.41639</v>
      </c>
      <c r="D3180" s="15">
        <f>IFERROR(__xludf.DUMMYFUNCTION("""COMPUTED_VALUE"""),1.004)</f>
        <v>1.004</v>
      </c>
      <c r="E3180" s="16">
        <f>IFERROR(__xludf.DUMMYFUNCTION("""COMPUTED_VALUE"""),61.0)</f>
        <v>61</v>
      </c>
      <c r="F3180" s="19" t="str">
        <f>IFERROR(__xludf.DUMMYFUNCTION("""COMPUTED_VALUE"""),"BLUE")</f>
        <v>BLUE</v>
      </c>
      <c r="G3180" s="20" t="str">
        <f>IFERROR(__xludf.DUMMYFUNCTION("""COMPUTED_VALUE"""),"Uncle Sams Cider (11/12/2021) (Blue)")</f>
        <v>Uncle Sams Cider (11/12/2021) (Blue)</v>
      </c>
      <c r="H3180" s="19"/>
    </row>
    <row r="3181">
      <c r="A3181" s="9"/>
      <c r="B3181" s="15"/>
      <c r="C3181" s="9">
        <f>IFERROR(__xludf.DUMMYFUNCTION("""COMPUTED_VALUE"""),44572.4059533333)</f>
        <v>44572.40595</v>
      </c>
      <c r="D3181" s="15">
        <f>IFERROR(__xludf.DUMMYFUNCTION("""COMPUTED_VALUE"""),1.004)</f>
        <v>1.004</v>
      </c>
      <c r="E3181" s="16">
        <f>IFERROR(__xludf.DUMMYFUNCTION("""COMPUTED_VALUE"""),61.0)</f>
        <v>61</v>
      </c>
      <c r="F3181" s="19" t="str">
        <f>IFERROR(__xludf.DUMMYFUNCTION("""COMPUTED_VALUE"""),"BLUE")</f>
        <v>BLUE</v>
      </c>
      <c r="G3181" s="20" t="str">
        <f>IFERROR(__xludf.DUMMYFUNCTION("""COMPUTED_VALUE"""),"Uncle Sams Cider (11/12/2021) (Blue)")</f>
        <v>Uncle Sams Cider (11/12/2021) (Blue)</v>
      </c>
      <c r="H3181" s="19"/>
    </row>
    <row r="3182">
      <c r="A3182" s="9"/>
      <c r="B3182" s="15"/>
      <c r="C3182" s="9">
        <f>IFERROR(__xludf.DUMMYFUNCTION("""COMPUTED_VALUE"""),44572.395531331)</f>
        <v>44572.39553</v>
      </c>
      <c r="D3182" s="15">
        <f>IFERROR(__xludf.DUMMYFUNCTION("""COMPUTED_VALUE"""),1.004)</f>
        <v>1.004</v>
      </c>
      <c r="E3182" s="16">
        <f>IFERROR(__xludf.DUMMYFUNCTION("""COMPUTED_VALUE"""),61.0)</f>
        <v>61</v>
      </c>
      <c r="F3182" s="19" t="str">
        <f>IFERROR(__xludf.DUMMYFUNCTION("""COMPUTED_VALUE"""),"BLUE")</f>
        <v>BLUE</v>
      </c>
      <c r="G3182" s="20" t="str">
        <f>IFERROR(__xludf.DUMMYFUNCTION("""COMPUTED_VALUE"""),"Uncle Sams Cider (11/12/2021) (Blue)")</f>
        <v>Uncle Sams Cider (11/12/2021) (Blue)</v>
      </c>
      <c r="H3182" s="19"/>
    </row>
    <row r="3183">
      <c r="A3183" s="9"/>
      <c r="B3183" s="15"/>
      <c r="C3183" s="9">
        <f>IFERROR(__xludf.DUMMYFUNCTION("""COMPUTED_VALUE"""),44572.3851104861)</f>
        <v>44572.38511</v>
      </c>
      <c r="D3183" s="15">
        <f>IFERROR(__xludf.DUMMYFUNCTION("""COMPUTED_VALUE"""),1.004)</f>
        <v>1.004</v>
      </c>
      <c r="E3183" s="16">
        <f>IFERROR(__xludf.DUMMYFUNCTION("""COMPUTED_VALUE"""),61.0)</f>
        <v>61</v>
      </c>
      <c r="F3183" s="19" t="str">
        <f>IFERROR(__xludf.DUMMYFUNCTION("""COMPUTED_VALUE"""),"BLUE")</f>
        <v>BLUE</v>
      </c>
      <c r="G3183" s="20" t="str">
        <f>IFERROR(__xludf.DUMMYFUNCTION("""COMPUTED_VALUE"""),"Uncle Sams Cider (11/12/2021) (Blue)")</f>
        <v>Uncle Sams Cider (11/12/2021) (Blue)</v>
      </c>
      <c r="H3183" s="19"/>
    </row>
    <row r="3184">
      <c r="A3184" s="9"/>
      <c r="B3184" s="15"/>
      <c r="C3184" s="9">
        <f>IFERROR(__xludf.DUMMYFUNCTION("""COMPUTED_VALUE"""),44572.3746909606)</f>
        <v>44572.37469</v>
      </c>
      <c r="D3184" s="15">
        <f>IFERROR(__xludf.DUMMYFUNCTION("""COMPUTED_VALUE"""),1.004)</f>
        <v>1.004</v>
      </c>
      <c r="E3184" s="16">
        <f>IFERROR(__xludf.DUMMYFUNCTION("""COMPUTED_VALUE"""),62.0)</f>
        <v>62</v>
      </c>
      <c r="F3184" s="19" t="str">
        <f>IFERROR(__xludf.DUMMYFUNCTION("""COMPUTED_VALUE"""),"BLUE")</f>
        <v>BLUE</v>
      </c>
      <c r="G3184" s="20" t="str">
        <f>IFERROR(__xludf.DUMMYFUNCTION("""COMPUTED_VALUE"""),"Uncle Sams Cider (11/12/2021) (Blue)")</f>
        <v>Uncle Sams Cider (11/12/2021) (Blue)</v>
      </c>
      <c r="H3184" s="19"/>
    </row>
    <row r="3185">
      <c r="A3185" s="9"/>
      <c r="B3185" s="15"/>
      <c r="C3185" s="9">
        <f>IFERROR(__xludf.DUMMYFUNCTION("""COMPUTED_VALUE"""),44572.3642698958)</f>
        <v>44572.36427</v>
      </c>
      <c r="D3185" s="15">
        <f>IFERROR(__xludf.DUMMYFUNCTION("""COMPUTED_VALUE"""),1.004)</f>
        <v>1.004</v>
      </c>
      <c r="E3185" s="16">
        <f>IFERROR(__xludf.DUMMYFUNCTION("""COMPUTED_VALUE"""),62.0)</f>
        <v>62</v>
      </c>
      <c r="F3185" s="19" t="str">
        <f>IFERROR(__xludf.DUMMYFUNCTION("""COMPUTED_VALUE"""),"BLUE")</f>
        <v>BLUE</v>
      </c>
      <c r="G3185" s="20" t="str">
        <f>IFERROR(__xludf.DUMMYFUNCTION("""COMPUTED_VALUE"""),"Uncle Sams Cider (11/12/2021) (Blue)")</f>
        <v>Uncle Sams Cider (11/12/2021) (Blue)</v>
      </c>
      <c r="H3185" s="19"/>
    </row>
    <row r="3186">
      <c r="A3186" s="9"/>
      <c r="B3186" s="15"/>
      <c r="C3186" s="9">
        <f>IFERROR(__xludf.DUMMYFUNCTION("""COMPUTED_VALUE"""),44572.3538480902)</f>
        <v>44572.35385</v>
      </c>
      <c r="D3186" s="15">
        <f>IFERROR(__xludf.DUMMYFUNCTION("""COMPUTED_VALUE"""),1.004)</f>
        <v>1.004</v>
      </c>
      <c r="E3186" s="16">
        <f>IFERROR(__xludf.DUMMYFUNCTION("""COMPUTED_VALUE"""),62.0)</f>
        <v>62</v>
      </c>
      <c r="F3186" s="19" t="str">
        <f>IFERROR(__xludf.DUMMYFUNCTION("""COMPUTED_VALUE"""),"BLUE")</f>
        <v>BLUE</v>
      </c>
      <c r="G3186" s="20" t="str">
        <f>IFERROR(__xludf.DUMMYFUNCTION("""COMPUTED_VALUE"""),"Uncle Sams Cider (11/12/2021) (Blue)")</f>
        <v>Uncle Sams Cider (11/12/2021) (Blue)</v>
      </c>
      <c r="H3186" s="19"/>
    </row>
    <row r="3187">
      <c r="A3187" s="9"/>
      <c r="B3187" s="15"/>
      <c r="C3187" s="9">
        <f>IFERROR(__xludf.DUMMYFUNCTION("""COMPUTED_VALUE"""),44572.3434275578)</f>
        <v>44572.34343</v>
      </c>
      <c r="D3187" s="15">
        <f>IFERROR(__xludf.DUMMYFUNCTION("""COMPUTED_VALUE"""),1.004)</f>
        <v>1.004</v>
      </c>
      <c r="E3187" s="16">
        <f>IFERROR(__xludf.DUMMYFUNCTION("""COMPUTED_VALUE"""),62.0)</f>
        <v>62</v>
      </c>
      <c r="F3187" s="19" t="str">
        <f>IFERROR(__xludf.DUMMYFUNCTION("""COMPUTED_VALUE"""),"BLUE")</f>
        <v>BLUE</v>
      </c>
      <c r="G3187" s="20" t="str">
        <f>IFERROR(__xludf.DUMMYFUNCTION("""COMPUTED_VALUE"""),"Uncle Sams Cider (11/12/2021) (Blue)")</f>
        <v>Uncle Sams Cider (11/12/2021) (Blue)</v>
      </c>
      <c r="H3187" s="19"/>
    </row>
    <row r="3188">
      <c r="A3188" s="9"/>
      <c r="B3188" s="15"/>
      <c r="C3188" s="9">
        <f>IFERROR(__xludf.DUMMYFUNCTION("""COMPUTED_VALUE"""),44572.3330055208)</f>
        <v>44572.33301</v>
      </c>
      <c r="D3188" s="15">
        <f>IFERROR(__xludf.DUMMYFUNCTION("""COMPUTED_VALUE"""),1.004)</f>
        <v>1.004</v>
      </c>
      <c r="E3188" s="16">
        <f>IFERROR(__xludf.DUMMYFUNCTION("""COMPUTED_VALUE"""),62.0)</f>
        <v>62</v>
      </c>
      <c r="F3188" s="19" t="str">
        <f>IFERROR(__xludf.DUMMYFUNCTION("""COMPUTED_VALUE"""),"BLUE")</f>
        <v>BLUE</v>
      </c>
      <c r="G3188" s="20" t="str">
        <f>IFERROR(__xludf.DUMMYFUNCTION("""COMPUTED_VALUE"""),"Uncle Sams Cider (11/12/2021) (Blue)")</f>
        <v>Uncle Sams Cider (11/12/2021) (Blue)</v>
      </c>
      <c r="H3188" s="19"/>
    </row>
    <row r="3189">
      <c r="A3189" s="9"/>
      <c r="B3189" s="15"/>
      <c r="C3189" s="9">
        <f>IFERROR(__xludf.DUMMYFUNCTION("""COMPUTED_VALUE"""),44572.322583912)</f>
        <v>44572.32258</v>
      </c>
      <c r="D3189" s="15">
        <f>IFERROR(__xludf.DUMMYFUNCTION("""COMPUTED_VALUE"""),1.004)</f>
        <v>1.004</v>
      </c>
      <c r="E3189" s="16">
        <f>IFERROR(__xludf.DUMMYFUNCTION("""COMPUTED_VALUE"""),62.0)</f>
        <v>62</v>
      </c>
      <c r="F3189" s="19" t="str">
        <f>IFERROR(__xludf.DUMMYFUNCTION("""COMPUTED_VALUE"""),"BLUE")</f>
        <v>BLUE</v>
      </c>
      <c r="G3189" s="20" t="str">
        <f>IFERROR(__xludf.DUMMYFUNCTION("""COMPUTED_VALUE"""),"Uncle Sams Cider (11/12/2021) (Blue)")</f>
        <v>Uncle Sams Cider (11/12/2021) (Blue)</v>
      </c>
      <c r="H3189" s="19"/>
    </row>
    <row r="3190">
      <c r="A3190" s="9"/>
      <c r="B3190" s="15"/>
      <c r="C3190" s="9">
        <f>IFERROR(__xludf.DUMMYFUNCTION("""COMPUTED_VALUE"""),44572.3121601504)</f>
        <v>44572.31216</v>
      </c>
      <c r="D3190" s="15">
        <f>IFERROR(__xludf.DUMMYFUNCTION("""COMPUTED_VALUE"""),1.004)</f>
        <v>1.004</v>
      </c>
      <c r="E3190" s="16">
        <f>IFERROR(__xludf.DUMMYFUNCTION("""COMPUTED_VALUE"""),62.0)</f>
        <v>62</v>
      </c>
      <c r="F3190" s="19" t="str">
        <f>IFERROR(__xludf.DUMMYFUNCTION("""COMPUTED_VALUE"""),"BLUE")</f>
        <v>BLUE</v>
      </c>
      <c r="G3190" s="20" t="str">
        <f>IFERROR(__xludf.DUMMYFUNCTION("""COMPUTED_VALUE"""),"Uncle Sams Cider (11/12/2021) (Blue)")</f>
        <v>Uncle Sams Cider (11/12/2021) (Blue)</v>
      </c>
      <c r="H3190" s="19"/>
    </row>
    <row r="3191">
      <c r="A3191" s="9"/>
      <c r="B3191" s="15"/>
      <c r="C3191" s="9">
        <f>IFERROR(__xludf.DUMMYFUNCTION("""COMPUTED_VALUE"""),44572.3017395138)</f>
        <v>44572.30174</v>
      </c>
      <c r="D3191" s="15">
        <f>IFERROR(__xludf.DUMMYFUNCTION("""COMPUTED_VALUE"""),1.004)</f>
        <v>1.004</v>
      </c>
      <c r="E3191" s="16">
        <f>IFERROR(__xludf.DUMMYFUNCTION("""COMPUTED_VALUE"""),62.0)</f>
        <v>62</v>
      </c>
      <c r="F3191" s="19" t="str">
        <f>IFERROR(__xludf.DUMMYFUNCTION("""COMPUTED_VALUE"""),"BLUE")</f>
        <v>BLUE</v>
      </c>
      <c r="G3191" s="20" t="str">
        <f>IFERROR(__xludf.DUMMYFUNCTION("""COMPUTED_VALUE"""),"Uncle Sams Cider (11/12/2021) (Blue)")</f>
        <v>Uncle Sams Cider (11/12/2021) (Blue)</v>
      </c>
      <c r="H3191" s="19"/>
    </row>
    <row r="3192">
      <c r="A3192" s="9"/>
      <c r="B3192" s="15"/>
      <c r="C3192" s="9">
        <f>IFERROR(__xludf.DUMMYFUNCTION("""COMPUTED_VALUE"""),44572.2913181713)</f>
        <v>44572.29132</v>
      </c>
      <c r="D3192" s="15">
        <f>IFERROR(__xludf.DUMMYFUNCTION("""COMPUTED_VALUE"""),1.004)</f>
        <v>1.004</v>
      </c>
      <c r="E3192" s="16">
        <f>IFERROR(__xludf.DUMMYFUNCTION("""COMPUTED_VALUE"""),62.0)</f>
        <v>62</v>
      </c>
      <c r="F3192" s="19" t="str">
        <f>IFERROR(__xludf.DUMMYFUNCTION("""COMPUTED_VALUE"""),"BLUE")</f>
        <v>BLUE</v>
      </c>
      <c r="G3192" s="20" t="str">
        <f>IFERROR(__xludf.DUMMYFUNCTION("""COMPUTED_VALUE"""),"Uncle Sams Cider (11/12/2021) (Blue)")</f>
        <v>Uncle Sams Cider (11/12/2021) (Blue)</v>
      </c>
      <c r="H3192" s="19"/>
    </row>
    <row r="3193">
      <c r="A3193" s="9"/>
      <c r="B3193" s="15"/>
      <c r="C3193" s="9">
        <f>IFERROR(__xludf.DUMMYFUNCTION("""COMPUTED_VALUE"""),44572.280899074)</f>
        <v>44572.2809</v>
      </c>
      <c r="D3193" s="15">
        <f>IFERROR(__xludf.DUMMYFUNCTION("""COMPUTED_VALUE"""),1.004)</f>
        <v>1.004</v>
      </c>
      <c r="E3193" s="16">
        <f>IFERROR(__xludf.DUMMYFUNCTION("""COMPUTED_VALUE"""),62.0)</f>
        <v>62</v>
      </c>
      <c r="F3193" s="19" t="str">
        <f>IFERROR(__xludf.DUMMYFUNCTION("""COMPUTED_VALUE"""),"BLUE")</f>
        <v>BLUE</v>
      </c>
      <c r="G3193" s="20" t="str">
        <f>IFERROR(__xludf.DUMMYFUNCTION("""COMPUTED_VALUE"""),"Uncle Sams Cider (11/12/2021) (Blue)")</f>
        <v>Uncle Sams Cider (11/12/2021) (Blue)</v>
      </c>
      <c r="H3193" s="19"/>
    </row>
    <row r="3194">
      <c r="A3194" s="9"/>
      <c r="B3194" s="15"/>
      <c r="C3194" s="9">
        <f>IFERROR(__xludf.DUMMYFUNCTION("""COMPUTED_VALUE"""),44572.2704795717)</f>
        <v>44572.27048</v>
      </c>
      <c r="D3194" s="15">
        <f>IFERROR(__xludf.DUMMYFUNCTION("""COMPUTED_VALUE"""),1.004)</f>
        <v>1.004</v>
      </c>
      <c r="E3194" s="16">
        <f>IFERROR(__xludf.DUMMYFUNCTION("""COMPUTED_VALUE"""),62.0)</f>
        <v>62</v>
      </c>
      <c r="F3194" s="19" t="str">
        <f>IFERROR(__xludf.DUMMYFUNCTION("""COMPUTED_VALUE"""),"BLUE")</f>
        <v>BLUE</v>
      </c>
      <c r="G3194" s="20" t="str">
        <f>IFERROR(__xludf.DUMMYFUNCTION("""COMPUTED_VALUE"""),"Uncle Sams Cider (11/12/2021) (Blue)")</f>
        <v>Uncle Sams Cider (11/12/2021) (Blue)</v>
      </c>
      <c r="H3194" s="19"/>
    </row>
    <row r="3195">
      <c r="A3195" s="9"/>
      <c r="B3195" s="15"/>
      <c r="C3195" s="9">
        <f>IFERROR(__xludf.DUMMYFUNCTION("""COMPUTED_VALUE"""),44572.2600465393)</f>
        <v>44572.26005</v>
      </c>
      <c r="D3195" s="15">
        <f>IFERROR(__xludf.DUMMYFUNCTION("""COMPUTED_VALUE"""),1.004)</f>
        <v>1.004</v>
      </c>
      <c r="E3195" s="16">
        <f>IFERROR(__xludf.DUMMYFUNCTION("""COMPUTED_VALUE"""),62.0)</f>
        <v>62</v>
      </c>
      <c r="F3195" s="19" t="str">
        <f>IFERROR(__xludf.DUMMYFUNCTION("""COMPUTED_VALUE"""),"BLUE")</f>
        <v>BLUE</v>
      </c>
      <c r="G3195" s="20" t="str">
        <f>IFERROR(__xludf.DUMMYFUNCTION("""COMPUTED_VALUE"""),"Uncle Sams Cider (11/12/2021) (Blue)")</f>
        <v>Uncle Sams Cider (11/12/2021) (Blue)</v>
      </c>
      <c r="H3195" s="19"/>
    </row>
    <row r="3196">
      <c r="A3196" s="9"/>
      <c r="B3196" s="15"/>
      <c r="C3196" s="9">
        <f>IFERROR(__xludf.DUMMYFUNCTION("""COMPUTED_VALUE"""),44572.2496144675)</f>
        <v>44572.24961</v>
      </c>
      <c r="D3196" s="15">
        <f>IFERROR(__xludf.DUMMYFUNCTION("""COMPUTED_VALUE"""),1.004)</f>
        <v>1.004</v>
      </c>
      <c r="E3196" s="16">
        <f>IFERROR(__xludf.DUMMYFUNCTION("""COMPUTED_VALUE"""),62.0)</f>
        <v>62</v>
      </c>
      <c r="F3196" s="19" t="str">
        <f>IFERROR(__xludf.DUMMYFUNCTION("""COMPUTED_VALUE"""),"BLUE")</f>
        <v>BLUE</v>
      </c>
      <c r="G3196" s="20" t="str">
        <f>IFERROR(__xludf.DUMMYFUNCTION("""COMPUTED_VALUE"""),"Uncle Sams Cider (11/12/2021) (Blue)")</f>
        <v>Uncle Sams Cider (11/12/2021) (Blue)</v>
      </c>
      <c r="H3196" s="19"/>
    </row>
    <row r="3197">
      <c r="A3197" s="9"/>
      <c r="B3197" s="15"/>
      <c r="C3197" s="9">
        <f>IFERROR(__xludf.DUMMYFUNCTION("""COMPUTED_VALUE"""),44572.2391949189)</f>
        <v>44572.23919</v>
      </c>
      <c r="D3197" s="15">
        <f>IFERROR(__xludf.DUMMYFUNCTION("""COMPUTED_VALUE"""),1.004)</f>
        <v>1.004</v>
      </c>
      <c r="E3197" s="16">
        <f>IFERROR(__xludf.DUMMYFUNCTION("""COMPUTED_VALUE"""),62.0)</f>
        <v>62</v>
      </c>
      <c r="F3197" s="19" t="str">
        <f>IFERROR(__xludf.DUMMYFUNCTION("""COMPUTED_VALUE"""),"BLUE")</f>
        <v>BLUE</v>
      </c>
      <c r="G3197" s="20" t="str">
        <f>IFERROR(__xludf.DUMMYFUNCTION("""COMPUTED_VALUE"""),"Uncle Sams Cider (11/12/2021) (Blue)")</f>
        <v>Uncle Sams Cider (11/12/2021) (Blue)</v>
      </c>
      <c r="H3197" s="19"/>
    </row>
    <row r="3198">
      <c r="A3198" s="9"/>
      <c r="B3198" s="15"/>
      <c r="C3198" s="9">
        <f>IFERROR(__xludf.DUMMYFUNCTION("""COMPUTED_VALUE"""),44572.2287620138)</f>
        <v>44572.22876</v>
      </c>
      <c r="D3198" s="15">
        <f>IFERROR(__xludf.DUMMYFUNCTION("""COMPUTED_VALUE"""),1.004)</f>
        <v>1.004</v>
      </c>
      <c r="E3198" s="16">
        <f>IFERROR(__xludf.DUMMYFUNCTION("""COMPUTED_VALUE"""),62.0)</f>
        <v>62</v>
      </c>
      <c r="F3198" s="19" t="str">
        <f>IFERROR(__xludf.DUMMYFUNCTION("""COMPUTED_VALUE"""),"BLUE")</f>
        <v>BLUE</v>
      </c>
      <c r="G3198" s="20" t="str">
        <f>IFERROR(__xludf.DUMMYFUNCTION("""COMPUTED_VALUE"""),"Uncle Sams Cider (11/12/2021) (Blue)")</f>
        <v>Uncle Sams Cider (11/12/2021) (Blue)</v>
      </c>
      <c r="H3198" s="19"/>
    </row>
    <row r="3199">
      <c r="A3199" s="9"/>
      <c r="B3199" s="15"/>
      <c r="C3199" s="9">
        <f>IFERROR(__xludf.DUMMYFUNCTION("""COMPUTED_VALUE"""),44572.2183409606)</f>
        <v>44572.21834</v>
      </c>
      <c r="D3199" s="15">
        <f>IFERROR(__xludf.DUMMYFUNCTION("""COMPUTED_VALUE"""),1.005)</f>
        <v>1.005</v>
      </c>
      <c r="E3199" s="16">
        <f>IFERROR(__xludf.DUMMYFUNCTION("""COMPUTED_VALUE"""),62.0)</f>
        <v>62</v>
      </c>
      <c r="F3199" s="19" t="str">
        <f>IFERROR(__xludf.DUMMYFUNCTION("""COMPUTED_VALUE"""),"BLUE")</f>
        <v>BLUE</v>
      </c>
      <c r="G3199" s="20" t="str">
        <f>IFERROR(__xludf.DUMMYFUNCTION("""COMPUTED_VALUE"""),"Uncle Sams Cider (11/12/2021) (Blue)")</f>
        <v>Uncle Sams Cider (11/12/2021) (Blue)</v>
      </c>
      <c r="H3199" s="19"/>
    </row>
    <row r="3200">
      <c r="A3200" s="9"/>
      <c r="B3200" s="15"/>
      <c r="C3200" s="9">
        <f>IFERROR(__xludf.DUMMYFUNCTION("""COMPUTED_VALUE"""),44572.2079202083)</f>
        <v>44572.20792</v>
      </c>
      <c r="D3200" s="15">
        <f>IFERROR(__xludf.DUMMYFUNCTION("""COMPUTED_VALUE"""),1.004)</f>
        <v>1.004</v>
      </c>
      <c r="E3200" s="16">
        <f>IFERROR(__xludf.DUMMYFUNCTION("""COMPUTED_VALUE"""),62.0)</f>
        <v>62</v>
      </c>
      <c r="F3200" s="19" t="str">
        <f>IFERROR(__xludf.DUMMYFUNCTION("""COMPUTED_VALUE"""),"BLUE")</f>
        <v>BLUE</v>
      </c>
      <c r="G3200" s="20" t="str">
        <f>IFERROR(__xludf.DUMMYFUNCTION("""COMPUTED_VALUE"""),"Uncle Sams Cider (11/12/2021) (Blue)")</f>
        <v>Uncle Sams Cider (11/12/2021) (Blue)</v>
      </c>
      <c r="H3200" s="19"/>
    </row>
    <row r="3201">
      <c r="A3201" s="9"/>
      <c r="B3201" s="15"/>
      <c r="C3201" s="9">
        <f>IFERROR(__xludf.DUMMYFUNCTION("""COMPUTED_VALUE"""),44572.1975)</f>
        <v>44572.1975</v>
      </c>
      <c r="D3201" s="15">
        <f>IFERROR(__xludf.DUMMYFUNCTION("""COMPUTED_VALUE"""),1.004)</f>
        <v>1.004</v>
      </c>
      <c r="E3201" s="16">
        <f>IFERROR(__xludf.DUMMYFUNCTION("""COMPUTED_VALUE"""),62.0)</f>
        <v>62</v>
      </c>
      <c r="F3201" s="19" t="str">
        <f>IFERROR(__xludf.DUMMYFUNCTION("""COMPUTED_VALUE"""),"BLUE")</f>
        <v>BLUE</v>
      </c>
      <c r="G3201" s="20" t="str">
        <f>IFERROR(__xludf.DUMMYFUNCTION("""COMPUTED_VALUE"""),"Uncle Sams Cider (11/12/2021) (Blue)")</f>
        <v>Uncle Sams Cider (11/12/2021) (Blue)</v>
      </c>
      <c r="H3201" s="19"/>
    </row>
    <row r="3202">
      <c r="A3202" s="9"/>
      <c r="B3202" s="15"/>
      <c r="C3202" s="9">
        <f>IFERROR(__xludf.DUMMYFUNCTION("""COMPUTED_VALUE"""),44572.1870778009)</f>
        <v>44572.18708</v>
      </c>
      <c r="D3202" s="15">
        <f>IFERROR(__xludf.DUMMYFUNCTION("""COMPUTED_VALUE"""),1.004)</f>
        <v>1.004</v>
      </c>
      <c r="E3202" s="16">
        <f>IFERROR(__xludf.DUMMYFUNCTION("""COMPUTED_VALUE"""),62.0)</f>
        <v>62</v>
      </c>
      <c r="F3202" s="19" t="str">
        <f>IFERROR(__xludf.DUMMYFUNCTION("""COMPUTED_VALUE"""),"BLUE")</f>
        <v>BLUE</v>
      </c>
      <c r="G3202" s="20" t="str">
        <f>IFERROR(__xludf.DUMMYFUNCTION("""COMPUTED_VALUE"""),"Uncle Sams Cider (11/12/2021) (Blue)")</f>
        <v>Uncle Sams Cider (11/12/2021) (Blue)</v>
      </c>
      <c r="H3202" s="19"/>
    </row>
    <row r="3203">
      <c r="A3203" s="9"/>
      <c r="B3203" s="15"/>
      <c r="C3203" s="9">
        <f>IFERROR(__xludf.DUMMYFUNCTION("""COMPUTED_VALUE"""),44572.1766585648)</f>
        <v>44572.17666</v>
      </c>
      <c r="D3203" s="15">
        <f>IFERROR(__xludf.DUMMYFUNCTION("""COMPUTED_VALUE"""),1.004)</f>
        <v>1.004</v>
      </c>
      <c r="E3203" s="16">
        <f>IFERROR(__xludf.DUMMYFUNCTION("""COMPUTED_VALUE"""),62.0)</f>
        <v>62</v>
      </c>
      <c r="F3203" s="19" t="str">
        <f>IFERROR(__xludf.DUMMYFUNCTION("""COMPUTED_VALUE"""),"BLUE")</f>
        <v>BLUE</v>
      </c>
      <c r="G3203" s="20" t="str">
        <f>IFERROR(__xludf.DUMMYFUNCTION("""COMPUTED_VALUE"""),"Uncle Sams Cider (11/12/2021) (Blue)")</f>
        <v>Uncle Sams Cider (11/12/2021) (Blue)</v>
      </c>
      <c r="H3203" s="19"/>
    </row>
    <row r="3204">
      <c r="A3204" s="9"/>
      <c r="B3204" s="15"/>
      <c r="C3204" s="9">
        <f>IFERROR(__xludf.DUMMYFUNCTION("""COMPUTED_VALUE"""),44572.1662376736)</f>
        <v>44572.16624</v>
      </c>
      <c r="D3204" s="15">
        <f>IFERROR(__xludf.DUMMYFUNCTION("""COMPUTED_VALUE"""),1.004)</f>
        <v>1.004</v>
      </c>
      <c r="E3204" s="16">
        <f>IFERROR(__xludf.DUMMYFUNCTION("""COMPUTED_VALUE"""),62.0)</f>
        <v>62</v>
      </c>
      <c r="F3204" s="19" t="str">
        <f>IFERROR(__xludf.DUMMYFUNCTION("""COMPUTED_VALUE"""),"BLUE")</f>
        <v>BLUE</v>
      </c>
      <c r="G3204" s="20" t="str">
        <f>IFERROR(__xludf.DUMMYFUNCTION("""COMPUTED_VALUE"""),"Uncle Sams Cider (11/12/2021) (Blue)")</f>
        <v>Uncle Sams Cider (11/12/2021) (Blue)</v>
      </c>
      <c r="H3204" s="19"/>
    </row>
    <row r="3205">
      <c r="A3205" s="9"/>
      <c r="B3205" s="15"/>
      <c r="C3205" s="9">
        <f>IFERROR(__xludf.DUMMYFUNCTION("""COMPUTED_VALUE"""),44572.1558172106)</f>
        <v>44572.15582</v>
      </c>
      <c r="D3205" s="15">
        <f>IFERROR(__xludf.DUMMYFUNCTION("""COMPUTED_VALUE"""),1.004)</f>
        <v>1.004</v>
      </c>
      <c r="E3205" s="16">
        <f>IFERROR(__xludf.DUMMYFUNCTION("""COMPUTED_VALUE"""),62.0)</f>
        <v>62</v>
      </c>
      <c r="F3205" s="19" t="str">
        <f>IFERROR(__xludf.DUMMYFUNCTION("""COMPUTED_VALUE"""),"BLUE")</f>
        <v>BLUE</v>
      </c>
      <c r="G3205" s="20" t="str">
        <f>IFERROR(__xludf.DUMMYFUNCTION("""COMPUTED_VALUE"""),"Uncle Sams Cider (11/12/2021) (Blue)")</f>
        <v>Uncle Sams Cider (11/12/2021) (Blue)</v>
      </c>
      <c r="H3205" s="19"/>
    </row>
    <row r="3206">
      <c r="A3206" s="9"/>
      <c r="B3206" s="15"/>
      <c r="C3206" s="9">
        <f>IFERROR(__xludf.DUMMYFUNCTION("""COMPUTED_VALUE"""),44572.1453839236)</f>
        <v>44572.14538</v>
      </c>
      <c r="D3206" s="15">
        <f>IFERROR(__xludf.DUMMYFUNCTION("""COMPUTED_VALUE"""),1.004)</f>
        <v>1.004</v>
      </c>
      <c r="E3206" s="16">
        <f>IFERROR(__xludf.DUMMYFUNCTION("""COMPUTED_VALUE"""),62.0)</f>
        <v>62</v>
      </c>
      <c r="F3206" s="19" t="str">
        <f>IFERROR(__xludf.DUMMYFUNCTION("""COMPUTED_VALUE"""),"BLUE")</f>
        <v>BLUE</v>
      </c>
      <c r="G3206" s="20" t="str">
        <f>IFERROR(__xludf.DUMMYFUNCTION("""COMPUTED_VALUE"""),"Uncle Sams Cider (11/12/2021) (Blue)")</f>
        <v>Uncle Sams Cider (11/12/2021) (Blue)</v>
      </c>
      <c r="H3206" s="19"/>
    </row>
    <row r="3207">
      <c r="A3207" s="9"/>
      <c r="B3207" s="15"/>
      <c r="C3207" s="9">
        <f>IFERROR(__xludf.DUMMYFUNCTION("""COMPUTED_VALUE"""),44572.1349604513)</f>
        <v>44572.13496</v>
      </c>
      <c r="D3207" s="15">
        <f>IFERROR(__xludf.DUMMYFUNCTION("""COMPUTED_VALUE"""),1.004)</f>
        <v>1.004</v>
      </c>
      <c r="E3207" s="16">
        <f>IFERROR(__xludf.DUMMYFUNCTION("""COMPUTED_VALUE"""),62.0)</f>
        <v>62</v>
      </c>
      <c r="F3207" s="19" t="str">
        <f>IFERROR(__xludf.DUMMYFUNCTION("""COMPUTED_VALUE"""),"BLUE")</f>
        <v>BLUE</v>
      </c>
      <c r="G3207" s="20" t="str">
        <f>IFERROR(__xludf.DUMMYFUNCTION("""COMPUTED_VALUE"""),"Uncle Sams Cider (11/12/2021) (Blue)")</f>
        <v>Uncle Sams Cider (11/12/2021) (Blue)</v>
      </c>
      <c r="H3207" s="19"/>
    </row>
    <row r="3208">
      <c r="A3208" s="9"/>
      <c r="B3208" s="15"/>
      <c r="C3208" s="9">
        <f>IFERROR(__xludf.DUMMYFUNCTION("""COMPUTED_VALUE"""),44572.1245259374)</f>
        <v>44572.12453</v>
      </c>
      <c r="D3208" s="15">
        <f>IFERROR(__xludf.DUMMYFUNCTION("""COMPUTED_VALUE"""),1.005)</f>
        <v>1.005</v>
      </c>
      <c r="E3208" s="16">
        <f>IFERROR(__xludf.DUMMYFUNCTION("""COMPUTED_VALUE"""),62.0)</f>
        <v>62</v>
      </c>
      <c r="F3208" s="19" t="str">
        <f>IFERROR(__xludf.DUMMYFUNCTION("""COMPUTED_VALUE"""),"BLUE")</f>
        <v>BLUE</v>
      </c>
      <c r="G3208" s="20" t="str">
        <f>IFERROR(__xludf.DUMMYFUNCTION("""COMPUTED_VALUE"""),"Uncle Sams Cider (11/12/2021) (Blue)")</f>
        <v>Uncle Sams Cider (11/12/2021) (Blue)</v>
      </c>
      <c r="H3208" s="19"/>
    </row>
    <row r="3209">
      <c r="A3209" s="9"/>
      <c r="B3209" s="15"/>
      <c r="C3209" s="9">
        <f>IFERROR(__xludf.DUMMYFUNCTION("""COMPUTED_VALUE"""),44572.1141042939)</f>
        <v>44572.1141</v>
      </c>
      <c r="D3209" s="15">
        <f>IFERROR(__xludf.DUMMYFUNCTION("""COMPUTED_VALUE"""),1.004)</f>
        <v>1.004</v>
      </c>
      <c r="E3209" s="16">
        <f>IFERROR(__xludf.DUMMYFUNCTION("""COMPUTED_VALUE"""),62.0)</f>
        <v>62</v>
      </c>
      <c r="F3209" s="19" t="str">
        <f>IFERROR(__xludf.DUMMYFUNCTION("""COMPUTED_VALUE"""),"BLUE")</f>
        <v>BLUE</v>
      </c>
      <c r="G3209" s="20" t="str">
        <f>IFERROR(__xludf.DUMMYFUNCTION("""COMPUTED_VALUE"""),"Uncle Sams Cider (11/12/2021) (Blue)")</f>
        <v>Uncle Sams Cider (11/12/2021) (Blue)</v>
      </c>
      <c r="H3209" s="19"/>
    </row>
    <row r="3210">
      <c r="A3210" s="9"/>
      <c r="B3210" s="15"/>
      <c r="C3210" s="9">
        <f>IFERROR(__xludf.DUMMYFUNCTION("""COMPUTED_VALUE"""),44572.1036824305)</f>
        <v>44572.10368</v>
      </c>
      <c r="D3210" s="15">
        <f>IFERROR(__xludf.DUMMYFUNCTION("""COMPUTED_VALUE"""),1.004)</f>
        <v>1.004</v>
      </c>
      <c r="E3210" s="16">
        <f>IFERROR(__xludf.DUMMYFUNCTION("""COMPUTED_VALUE"""),62.0)</f>
        <v>62</v>
      </c>
      <c r="F3210" s="19" t="str">
        <f>IFERROR(__xludf.DUMMYFUNCTION("""COMPUTED_VALUE"""),"BLUE")</f>
        <v>BLUE</v>
      </c>
      <c r="G3210" s="20" t="str">
        <f>IFERROR(__xludf.DUMMYFUNCTION("""COMPUTED_VALUE"""),"Uncle Sams Cider (11/12/2021) (Blue)")</f>
        <v>Uncle Sams Cider (11/12/2021) (Blue)</v>
      </c>
      <c r="H3210" s="19"/>
    </row>
    <row r="3211">
      <c r="A3211" s="9"/>
      <c r="B3211" s="15"/>
      <c r="C3211" s="9">
        <f>IFERROR(__xludf.DUMMYFUNCTION("""COMPUTED_VALUE"""),44572.093261412)</f>
        <v>44572.09326</v>
      </c>
      <c r="D3211" s="15">
        <f>IFERROR(__xludf.DUMMYFUNCTION("""COMPUTED_VALUE"""),1.004)</f>
        <v>1.004</v>
      </c>
      <c r="E3211" s="16">
        <f>IFERROR(__xludf.DUMMYFUNCTION("""COMPUTED_VALUE"""),62.0)</f>
        <v>62</v>
      </c>
      <c r="F3211" s="19" t="str">
        <f>IFERROR(__xludf.DUMMYFUNCTION("""COMPUTED_VALUE"""),"BLUE")</f>
        <v>BLUE</v>
      </c>
      <c r="G3211" s="20" t="str">
        <f>IFERROR(__xludf.DUMMYFUNCTION("""COMPUTED_VALUE"""),"Uncle Sams Cider (11/12/2021) (Blue)")</f>
        <v>Uncle Sams Cider (11/12/2021) (Blue)</v>
      </c>
      <c r="H3211" s="19"/>
    </row>
    <row r="3212">
      <c r="A3212" s="9"/>
      <c r="B3212" s="15"/>
      <c r="C3212" s="9">
        <f>IFERROR(__xludf.DUMMYFUNCTION("""COMPUTED_VALUE"""),44572.0828167939)</f>
        <v>44572.08282</v>
      </c>
      <c r="D3212" s="15">
        <f>IFERROR(__xludf.DUMMYFUNCTION("""COMPUTED_VALUE"""),1.004)</f>
        <v>1.004</v>
      </c>
      <c r="E3212" s="16">
        <f>IFERROR(__xludf.DUMMYFUNCTION("""COMPUTED_VALUE"""),62.0)</f>
        <v>62</v>
      </c>
      <c r="F3212" s="19" t="str">
        <f>IFERROR(__xludf.DUMMYFUNCTION("""COMPUTED_VALUE"""),"BLUE")</f>
        <v>BLUE</v>
      </c>
      <c r="G3212" s="20" t="str">
        <f>IFERROR(__xludf.DUMMYFUNCTION("""COMPUTED_VALUE"""),"Uncle Sams Cider (11/12/2021) (Blue)")</f>
        <v>Uncle Sams Cider (11/12/2021) (Blue)</v>
      </c>
      <c r="H3212" s="19"/>
    </row>
    <row r="3213">
      <c r="A3213" s="9"/>
      <c r="B3213" s="15"/>
      <c r="C3213" s="9">
        <f>IFERROR(__xludf.DUMMYFUNCTION("""COMPUTED_VALUE"""),44572.0723954629)</f>
        <v>44572.0724</v>
      </c>
      <c r="D3213" s="15">
        <f>IFERROR(__xludf.DUMMYFUNCTION("""COMPUTED_VALUE"""),1.004)</f>
        <v>1.004</v>
      </c>
      <c r="E3213" s="16">
        <f>IFERROR(__xludf.DUMMYFUNCTION("""COMPUTED_VALUE"""),62.0)</f>
        <v>62</v>
      </c>
      <c r="F3213" s="19" t="str">
        <f>IFERROR(__xludf.DUMMYFUNCTION("""COMPUTED_VALUE"""),"BLUE")</f>
        <v>BLUE</v>
      </c>
      <c r="G3213" s="20" t="str">
        <f>IFERROR(__xludf.DUMMYFUNCTION("""COMPUTED_VALUE"""),"Uncle Sams Cider (11/12/2021) (Blue)")</f>
        <v>Uncle Sams Cider (11/12/2021) (Blue)</v>
      </c>
      <c r="H3213" s="19"/>
    </row>
    <row r="3214">
      <c r="A3214" s="9"/>
      <c r="B3214" s="15"/>
      <c r="C3214" s="9">
        <f>IFERROR(__xludf.DUMMYFUNCTION("""COMPUTED_VALUE"""),44572.0619747338)</f>
        <v>44572.06197</v>
      </c>
      <c r="D3214" s="15">
        <f>IFERROR(__xludf.DUMMYFUNCTION("""COMPUTED_VALUE"""),1.004)</f>
        <v>1.004</v>
      </c>
      <c r="E3214" s="16">
        <f>IFERROR(__xludf.DUMMYFUNCTION("""COMPUTED_VALUE"""),62.0)</f>
        <v>62</v>
      </c>
      <c r="F3214" s="19" t="str">
        <f>IFERROR(__xludf.DUMMYFUNCTION("""COMPUTED_VALUE"""),"BLUE")</f>
        <v>BLUE</v>
      </c>
      <c r="G3214" s="20" t="str">
        <f>IFERROR(__xludf.DUMMYFUNCTION("""COMPUTED_VALUE"""),"Uncle Sams Cider (11/12/2021) (Blue)")</f>
        <v>Uncle Sams Cider (11/12/2021) (Blue)</v>
      </c>
      <c r="H3214" s="19"/>
    </row>
    <row r="3215">
      <c r="A3215" s="9"/>
      <c r="B3215" s="15"/>
      <c r="C3215" s="9">
        <f>IFERROR(__xludf.DUMMYFUNCTION("""COMPUTED_VALUE"""),44572.0515529398)</f>
        <v>44572.05155</v>
      </c>
      <c r="D3215" s="15">
        <f>IFERROR(__xludf.DUMMYFUNCTION("""COMPUTED_VALUE"""),1.004)</f>
        <v>1.004</v>
      </c>
      <c r="E3215" s="16">
        <f>IFERROR(__xludf.DUMMYFUNCTION("""COMPUTED_VALUE"""),62.0)</f>
        <v>62</v>
      </c>
      <c r="F3215" s="19" t="str">
        <f>IFERROR(__xludf.DUMMYFUNCTION("""COMPUTED_VALUE"""),"BLUE")</f>
        <v>BLUE</v>
      </c>
      <c r="G3215" s="20" t="str">
        <f>IFERROR(__xludf.DUMMYFUNCTION("""COMPUTED_VALUE"""),"Uncle Sams Cider (11/12/2021) (Blue)")</f>
        <v>Uncle Sams Cider (11/12/2021) (Blue)</v>
      </c>
      <c r="H3215" s="19"/>
    </row>
    <row r="3216">
      <c r="A3216" s="9"/>
      <c r="B3216" s="15"/>
      <c r="C3216" s="9">
        <f>IFERROR(__xludf.DUMMYFUNCTION("""COMPUTED_VALUE"""),44572.0411316782)</f>
        <v>44572.04113</v>
      </c>
      <c r="D3216" s="15">
        <f>IFERROR(__xludf.DUMMYFUNCTION("""COMPUTED_VALUE"""),1.005)</f>
        <v>1.005</v>
      </c>
      <c r="E3216" s="16">
        <f>IFERROR(__xludf.DUMMYFUNCTION("""COMPUTED_VALUE"""),62.0)</f>
        <v>62</v>
      </c>
      <c r="F3216" s="19" t="str">
        <f>IFERROR(__xludf.DUMMYFUNCTION("""COMPUTED_VALUE"""),"BLUE")</f>
        <v>BLUE</v>
      </c>
      <c r="G3216" s="20" t="str">
        <f>IFERROR(__xludf.DUMMYFUNCTION("""COMPUTED_VALUE"""),"Uncle Sams Cider (11/12/2021) (Blue)")</f>
        <v>Uncle Sams Cider (11/12/2021) (Blue)</v>
      </c>
      <c r="H3216" s="19"/>
    </row>
    <row r="3217">
      <c r="A3217" s="9"/>
      <c r="B3217" s="15"/>
      <c r="C3217" s="9">
        <f>IFERROR(__xludf.DUMMYFUNCTION("""COMPUTED_VALUE"""),44572.030710162)</f>
        <v>44572.03071</v>
      </c>
      <c r="D3217" s="15">
        <f>IFERROR(__xludf.DUMMYFUNCTION("""COMPUTED_VALUE"""),1.004)</f>
        <v>1.004</v>
      </c>
      <c r="E3217" s="16">
        <f>IFERROR(__xludf.DUMMYFUNCTION("""COMPUTED_VALUE"""),62.0)</f>
        <v>62</v>
      </c>
      <c r="F3217" s="19" t="str">
        <f>IFERROR(__xludf.DUMMYFUNCTION("""COMPUTED_VALUE"""),"BLUE")</f>
        <v>BLUE</v>
      </c>
      <c r="G3217" s="20" t="str">
        <f>IFERROR(__xludf.DUMMYFUNCTION("""COMPUTED_VALUE"""),"Uncle Sams Cider (11/12/2021) (Blue)")</f>
        <v>Uncle Sams Cider (11/12/2021) (Blue)</v>
      </c>
      <c r="H3217" s="19"/>
    </row>
    <row r="3218">
      <c r="A3218" s="9"/>
      <c r="B3218" s="15"/>
      <c r="C3218" s="9">
        <f>IFERROR(__xludf.DUMMYFUNCTION("""COMPUTED_VALUE"""),44572.0202895254)</f>
        <v>44572.02029</v>
      </c>
      <c r="D3218" s="15">
        <f>IFERROR(__xludf.DUMMYFUNCTION("""COMPUTED_VALUE"""),1.004)</f>
        <v>1.004</v>
      </c>
      <c r="E3218" s="16">
        <f>IFERROR(__xludf.DUMMYFUNCTION("""COMPUTED_VALUE"""),62.0)</f>
        <v>62</v>
      </c>
      <c r="F3218" s="19" t="str">
        <f>IFERROR(__xludf.DUMMYFUNCTION("""COMPUTED_VALUE"""),"BLUE")</f>
        <v>BLUE</v>
      </c>
      <c r="G3218" s="20" t="str">
        <f>IFERROR(__xludf.DUMMYFUNCTION("""COMPUTED_VALUE"""),"Uncle Sams Cider (11/12/2021) (Blue)")</f>
        <v>Uncle Sams Cider (11/12/2021) (Blue)</v>
      </c>
      <c r="H3218" s="19"/>
    </row>
    <row r="3219">
      <c r="A3219" s="9"/>
      <c r="B3219" s="15"/>
      <c r="C3219" s="9">
        <f>IFERROR(__xludf.DUMMYFUNCTION("""COMPUTED_VALUE"""),44572.0098556828)</f>
        <v>44572.00986</v>
      </c>
      <c r="D3219" s="15">
        <f>IFERROR(__xludf.DUMMYFUNCTION("""COMPUTED_VALUE"""),1.004)</f>
        <v>1.004</v>
      </c>
      <c r="E3219" s="16">
        <f>IFERROR(__xludf.DUMMYFUNCTION("""COMPUTED_VALUE"""),62.0)</f>
        <v>62</v>
      </c>
      <c r="F3219" s="19" t="str">
        <f>IFERROR(__xludf.DUMMYFUNCTION("""COMPUTED_VALUE"""),"BLUE")</f>
        <v>BLUE</v>
      </c>
      <c r="G3219" s="20" t="str">
        <f>IFERROR(__xludf.DUMMYFUNCTION("""COMPUTED_VALUE"""),"Uncle Sams Cider (11/12/2021) (Blue)")</f>
        <v>Uncle Sams Cider (11/12/2021) (Blue)</v>
      </c>
      <c r="H3219" s="19"/>
    </row>
    <row r="3220">
      <c r="A3220" s="9"/>
      <c r="B3220" s="15"/>
      <c r="C3220" s="9">
        <f>IFERROR(__xludf.DUMMYFUNCTION("""COMPUTED_VALUE"""),44571.9994229745)</f>
        <v>44571.99942</v>
      </c>
      <c r="D3220" s="15">
        <f>IFERROR(__xludf.DUMMYFUNCTION("""COMPUTED_VALUE"""),1.004)</f>
        <v>1.004</v>
      </c>
      <c r="E3220" s="16">
        <f>IFERROR(__xludf.DUMMYFUNCTION("""COMPUTED_VALUE"""),62.0)</f>
        <v>62</v>
      </c>
      <c r="F3220" s="19" t="str">
        <f>IFERROR(__xludf.DUMMYFUNCTION("""COMPUTED_VALUE"""),"BLUE")</f>
        <v>BLUE</v>
      </c>
      <c r="G3220" s="20" t="str">
        <f>IFERROR(__xludf.DUMMYFUNCTION("""COMPUTED_VALUE"""),"Uncle Sams Cider (11/12/2021) (Blue)")</f>
        <v>Uncle Sams Cider (11/12/2021) (Blue)</v>
      </c>
      <c r="H3220" s="19"/>
    </row>
    <row r="3221">
      <c r="A3221" s="9"/>
      <c r="B3221" s="15"/>
      <c r="C3221" s="9">
        <f>IFERROR(__xludf.DUMMYFUNCTION("""COMPUTED_VALUE"""),44571.9890024074)</f>
        <v>44571.989</v>
      </c>
      <c r="D3221" s="15">
        <f>IFERROR(__xludf.DUMMYFUNCTION("""COMPUTED_VALUE"""),1.004)</f>
        <v>1.004</v>
      </c>
      <c r="E3221" s="16">
        <f>IFERROR(__xludf.DUMMYFUNCTION("""COMPUTED_VALUE"""),62.0)</f>
        <v>62</v>
      </c>
      <c r="F3221" s="19" t="str">
        <f>IFERROR(__xludf.DUMMYFUNCTION("""COMPUTED_VALUE"""),"BLUE")</f>
        <v>BLUE</v>
      </c>
      <c r="G3221" s="20" t="str">
        <f>IFERROR(__xludf.DUMMYFUNCTION("""COMPUTED_VALUE"""),"Uncle Sams Cider (11/12/2021) (Blue)")</f>
        <v>Uncle Sams Cider (11/12/2021) (Blue)</v>
      </c>
      <c r="H3221" s="19"/>
    </row>
    <row r="3222">
      <c r="A3222" s="9"/>
      <c r="B3222" s="15"/>
      <c r="C3222" s="9">
        <f>IFERROR(__xludf.DUMMYFUNCTION("""COMPUTED_VALUE"""),44571.9785804166)</f>
        <v>44571.97858</v>
      </c>
      <c r="D3222" s="15">
        <f>IFERROR(__xludf.DUMMYFUNCTION("""COMPUTED_VALUE"""),1.004)</f>
        <v>1.004</v>
      </c>
      <c r="E3222" s="16">
        <f>IFERROR(__xludf.DUMMYFUNCTION("""COMPUTED_VALUE"""),62.0)</f>
        <v>62</v>
      </c>
      <c r="F3222" s="19" t="str">
        <f>IFERROR(__xludf.DUMMYFUNCTION("""COMPUTED_VALUE"""),"BLUE")</f>
        <v>BLUE</v>
      </c>
      <c r="G3222" s="20" t="str">
        <f>IFERROR(__xludf.DUMMYFUNCTION("""COMPUTED_VALUE"""),"Uncle Sams Cider (11/12/2021) (Blue)")</f>
        <v>Uncle Sams Cider (11/12/2021) (Blue)</v>
      </c>
      <c r="H3222" s="19"/>
    </row>
    <row r="3223">
      <c r="A3223" s="9"/>
      <c r="B3223" s="15"/>
      <c r="C3223" s="9">
        <f>IFERROR(__xludf.DUMMYFUNCTION("""COMPUTED_VALUE"""),44571.9681476273)</f>
        <v>44571.96815</v>
      </c>
      <c r="D3223" s="15">
        <f>IFERROR(__xludf.DUMMYFUNCTION("""COMPUTED_VALUE"""),1.004)</f>
        <v>1.004</v>
      </c>
      <c r="E3223" s="16">
        <f>IFERROR(__xludf.DUMMYFUNCTION("""COMPUTED_VALUE"""),62.0)</f>
        <v>62</v>
      </c>
      <c r="F3223" s="19" t="str">
        <f>IFERROR(__xludf.DUMMYFUNCTION("""COMPUTED_VALUE"""),"BLUE")</f>
        <v>BLUE</v>
      </c>
      <c r="G3223" s="20" t="str">
        <f>IFERROR(__xludf.DUMMYFUNCTION("""COMPUTED_VALUE"""),"Uncle Sams Cider (11/12/2021) (Blue)")</f>
        <v>Uncle Sams Cider (11/12/2021) (Blue)</v>
      </c>
      <c r="H3223" s="19"/>
    </row>
    <row r="3224">
      <c r="A3224" s="9"/>
      <c r="B3224" s="15"/>
      <c r="C3224" s="9">
        <f>IFERROR(__xludf.DUMMYFUNCTION("""COMPUTED_VALUE"""),44571.9577262384)</f>
        <v>44571.95773</v>
      </c>
      <c r="D3224" s="15">
        <f>IFERROR(__xludf.DUMMYFUNCTION("""COMPUTED_VALUE"""),1.004)</f>
        <v>1.004</v>
      </c>
      <c r="E3224" s="16">
        <f>IFERROR(__xludf.DUMMYFUNCTION("""COMPUTED_VALUE"""),62.0)</f>
        <v>62</v>
      </c>
      <c r="F3224" s="19" t="str">
        <f>IFERROR(__xludf.DUMMYFUNCTION("""COMPUTED_VALUE"""),"BLUE")</f>
        <v>BLUE</v>
      </c>
      <c r="G3224" s="20" t="str">
        <f>IFERROR(__xludf.DUMMYFUNCTION("""COMPUTED_VALUE"""),"Uncle Sams Cider (11/12/2021) (Blue)")</f>
        <v>Uncle Sams Cider (11/12/2021) (Blue)</v>
      </c>
      <c r="H3224" s="19"/>
    </row>
    <row r="3225">
      <c r="A3225" s="9"/>
      <c r="B3225" s="15"/>
      <c r="C3225" s="9">
        <f>IFERROR(__xludf.DUMMYFUNCTION("""COMPUTED_VALUE"""),44571.9473065509)</f>
        <v>44571.94731</v>
      </c>
      <c r="D3225" s="15">
        <f>IFERROR(__xludf.DUMMYFUNCTION("""COMPUTED_VALUE"""),1.005)</f>
        <v>1.005</v>
      </c>
      <c r="E3225" s="16">
        <f>IFERROR(__xludf.DUMMYFUNCTION("""COMPUTED_VALUE"""),62.0)</f>
        <v>62</v>
      </c>
      <c r="F3225" s="19" t="str">
        <f>IFERROR(__xludf.DUMMYFUNCTION("""COMPUTED_VALUE"""),"BLUE")</f>
        <v>BLUE</v>
      </c>
      <c r="G3225" s="20" t="str">
        <f>IFERROR(__xludf.DUMMYFUNCTION("""COMPUTED_VALUE"""),"Uncle Sams Cider (11/12/2021) (Blue)")</f>
        <v>Uncle Sams Cider (11/12/2021) (Blue)</v>
      </c>
      <c r="H3225" s="19"/>
    </row>
    <row r="3226">
      <c r="A3226" s="9"/>
      <c r="B3226" s="15"/>
      <c r="C3226" s="9">
        <f>IFERROR(__xludf.DUMMYFUNCTION("""COMPUTED_VALUE"""),44571.9368749884)</f>
        <v>44571.93687</v>
      </c>
      <c r="D3226" s="15">
        <f>IFERROR(__xludf.DUMMYFUNCTION("""COMPUTED_VALUE"""),1.005)</f>
        <v>1.005</v>
      </c>
      <c r="E3226" s="16">
        <f>IFERROR(__xludf.DUMMYFUNCTION("""COMPUTED_VALUE"""),62.0)</f>
        <v>62</v>
      </c>
      <c r="F3226" s="19" t="str">
        <f>IFERROR(__xludf.DUMMYFUNCTION("""COMPUTED_VALUE"""),"BLUE")</f>
        <v>BLUE</v>
      </c>
      <c r="G3226" s="20" t="str">
        <f>IFERROR(__xludf.DUMMYFUNCTION("""COMPUTED_VALUE"""),"Uncle Sams Cider (11/12/2021) (Blue)")</f>
        <v>Uncle Sams Cider (11/12/2021) (Blue)</v>
      </c>
      <c r="H3226" s="19"/>
    </row>
    <row r="3227">
      <c r="A3227" s="9"/>
      <c r="B3227" s="15"/>
      <c r="C3227" s="9">
        <f>IFERROR(__xludf.DUMMYFUNCTION("""COMPUTED_VALUE"""),44571.9264543981)</f>
        <v>44571.92645</v>
      </c>
      <c r="D3227" s="15">
        <f>IFERROR(__xludf.DUMMYFUNCTION("""COMPUTED_VALUE"""),1.004)</f>
        <v>1.004</v>
      </c>
      <c r="E3227" s="16">
        <f>IFERROR(__xludf.DUMMYFUNCTION("""COMPUTED_VALUE"""),62.0)</f>
        <v>62</v>
      </c>
      <c r="F3227" s="19" t="str">
        <f>IFERROR(__xludf.DUMMYFUNCTION("""COMPUTED_VALUE"""),"BLUE")</f>
        <v>BLUE</v>
      </c>
      <c r="G3227" s="20" t="str">
        <f>IFERROR(__xludf.DUMMYFUNCTION("""COMPUTED_VALUE"""),"Uncle Sams Cider (11/12/2021) (Blue)")</f>
        <v>Uncle Sams Cider (11/12/2021) (Blue)</v>
      </c>
      <c r="H3227" s="19"/>
    </row>
    <row r="3228">
      <c r="A3228" s="9"/>
      <c r="B3228" s="15"/>
      <c r="C3228" s="9">
        <f>IFERROR(__xludf.DUMMYFUNCTION("""COMPUTED_VALUE"""),44571.9160321759)</f>
        <v>44571.91603</v>
      </c>
      <c r="D3228" s="15">
        <f>IFERROR(__xludf.DUMMYFUNCTION("""COMPUTED_VALUE"""),1.004)</f>
        <v>1.004</v>
      </c>
      <c r="E3228" s="16">
        <f>IFERROR(__xludf.DUMMYFUNCTION("""COMPUTED_VALUE"""),62.0)</f>
        <v>62</v>
      </c>
      <c r="F3228" s="19" t="str">
        <f>IFERROR(__xludf.DUMMYFUNCTION("""COMPUTED_VALUE"""),"BLUE")</f>
        <v>BLUE</v>
      </c>
      <c r="G3228" s="20" t="str">
        <f>IFERROR(__xludf.DUMMYFUNCTION("""COMPUTED_VALUE"""),"Uncle Sams Cider (11/12/2021) (Blue)")</f>
        <v>Uncle Sams Cider (11/12/2021) (Blue)</v>
      </c>
      <c r="H3228" s="19"/>
    </row>
    <row r="3229">
      <c r="A3229" s="9"/>
      <c r="B3229" s="15"/>
      <c r="C3229" s="9">
        <f>IFERROR(__xludf.DUMMYFUNCTION("""COMPUTED_VALUE"""),44571.9055878009)</f>
        <v>44571.90559</v>
      </c>
      <c r="D3229" s="15">
        <f>IFERROR(__xludf.DUMMYFUNCTION("""COMPUTED_VALUE"""),1.004)</f>
        <v>1.004</v>
      </c>
      <c r="E3229" s="16">
        <f>IFERROR(__xludf.DUMMYFUNCTION("""COMPUTED_VALUE"""),62.0)</f>
        <v>62</v>
      </c>
      <c r="F3229" s="19" t="str">
        <f>IFERROR(__xludf.DUMMYFUNCTION("""COMPUTED_VALUE"""),"BLUE")</f>
        <v>BLUE</v>
      </c>
      <c r="G3229" s="20" t="str">
        <f>IFERROR(__xludf.DUMMYFUNCTION("""COMPUTED_VALUE"""),"Uncle Sams Cider (11/12/2021) (Blue)")</f>
        <v>Uncle Sams Cider (11/12/2021) (Blue)</v>
      </c>
      <c r="H3229" s="19"/>
    </row>
    <row r="3230">
      <c r="A3230" s="9"/>
      <c r="B3230" s="15"/>
      <c r="C3230" s="9">
        <f>IFERROR(__xludf.DUMMYFUNCTION("""COMPUTED_VALUE"""),44571.8951543634)</f>
        <v>44571.89515</v>
      </c>
      <c r="D3230" s="15">
        <f>IFERROR(__xludf.DUMMYFUNCTION("""COMPUTED_VALUE"""),1.005)</f>
        <v>1.005</v>
      </c>
      <c r="E3230" s="16">
        <f>IFERROR(__xludf.DUMMYFUNCTION("""COMPUTED_VALUE"""),62.0)</f>
        <v>62</v>
      </c>
      <c r="F3230" s="19" t="str">
        <f>IFERROR(__xludf.DUMMYFUNCTION("""COMPUTED_VALUE"""),"BLUE")</f>
        <v>BLUE</v>
      </c>
      <c r="G3230" s="20" t="str">
        <f>IFERROR(__xludf.DUMMYFUNCTION("""COMPUTED_VALUE"""),"Uncle Sams Cider (11/12/2021) (Blue)")</f>
        <v>Uncle Sams Cider (11/12/2021) (Blue)</v>
      </c>
      <c r="H3230" s="19"/>
    </row>
    <row r="3231">
      <c r="A3231" s="9"/>
      <c r="B3231" s="15"/>
      <c r="C3231" s="9">
        <f>IFERROR(__xludf.DUMMYFUNCTION("""COMPUTED_VALUE"""),44571.8847347106)</f>
        <v>44571.88473</v>
      </c>
      <c r="D3231" s="15">
        <f>IFERROR(__xludf.DUMMYFUNCTION("""COMPUTED_VALUE"""),1.005)</f>
        <v>1.005</v>
      </c>
      <c r="E3231" s="16">
        <f>IFERROR(__xludf.DUMMYFUNCTION("""COMPUTED_VALUE"""),62.0)</f>
        <v>62</v>
      </c>
      <c r="F3231" s="19" t="str">
        <f>IFERROR(__xludf.DUMMYFUNCTION("""COMPUTED_VALUE"""),"BLUE")</f>
        <v>BLUE</v>
      </c>
      <c r="G3231" s="20" t="str">
        <f>IFERROR(__xludf.DUMMYFUNCTION("""COMPUTED_VALUE"""),"Uncle Sams Cider (11/12/2021) (Blue)")</f>
        <v>Uncle Sams Cider (11/12/2021) (Blue)</v>
      </c>
      <c r="H3231" s="19"/>
    </row>
    <row r="3232">
      <c r="A3232" s="9"/>
      <c r="B3232" s="15"/>
      <c r="C3232" s="9">
        <f>IFERROR(__xludf.DUMMYFUNCTION("""COMPUTED_VALUE"""),44571.8743133217)</f>
        <v>44571.87431</v>
      </c>
      <c r="D3232" s="15">
        <f>IFERROR(__xludf.DUMMYFUNCTION("""COMPUTED_VALUE"""),1.004)</f>
        <v>1.004</v>
      </c>
      <c r="E3232" s="16">
        <f>IFERROR(__xludf.DUMMYFUNCTION("""COMPUTED_VALUE"""),62.0)</f>
        <v>62</v>
      </c>
      <c r="F3232" s="19" t="str">
        <f>IFERROR(__xludf.DUMMYFUNCTION("""COMPUTED_VALUE"""),"BLUE")</f>
        <v>BLUE</v>
      </c>
      <c r="G3232" s="20" t="str">
        <f>IFERROR(__xludf.DUMMYFUNCTION("""COMPUTED_VALUE"""),"Uncle Sams Cider (11/12/2021) (Blue)")</f>
        <v>Uncle Sams Cider (11/12/2021) (Blue)</v>
      </c>
      <c r="H3232" s="19"/>
    </row>
    <row r="3233">
      <c r="A3233" s="9"/>
      <c r="B3233" s="15"/>
      <c r="C3233" s="9">
        <f>IFERROR(__xludf.DUMMYFUNCTION("""COMPUTED_VALUE"""),44571.8638817013)</f>
        <v>44571.86388</v>
      </c>
      <c r="D3233" s="15">
        <f>IFERROR(__xludf.DUMMYFUNCTION("""COMPUTED_VALUE"""),1.005)</f>
        <v>1.005</v>
      </c>
      <c r="E3233" s="16">
        <f>IFERROR(__xludf.DUMMYFUNCTION("""COMPUTED_VALUE"""),62.0)</f>
        <v>62</v>
      </c>
      <c r="F3233" s="19" t="str">
        <f>IFERROR(__xludf.DUMMYFUNCTION("""COMPUTED_VALUE"""),"BLUE")</f>
        <v>BLUE</v>
      </c>
      <c r="G3233" s="20" t="str">
        <f>IFERROR(__xludf.DUMMYFUNCTION("""COMPUTED_VALUE"""),"Uncle Sams Cider (11/12/2021) (Blue)")</f>
        <v>Uncle Sams Cider (11/12/2021) (Blue)</v>
      </c>
      <c r="H3233" s="19"/>
    </row>
    <row r="3234">
      <c r="A3234" s="9"/>
      <c r="B3234" s="15"/>
      <c r="C3234" s="9">
        <f>IFERROR(__xludf.DUMMYFUNCTION("""COMPUTED_VALUE"""),44571.8534603703)</f>
        <v>44571.85346</v>
      </c>
      <c r="D3234" s="15">
        <f>IFERROR(__xludf.DUMMYFUNCTION("""COMPUTED_VALUE"""),1.004)</f>
        <v>1.004</v>
      </c>
      <c r="E3234" s="16">
        <f>IFERROR(__xludf.DUMMYFUNCTION("""COMPUTED_VALUE"""),62.0)</f>
        <v>62</v>
      </c>
      <c r="F3234" s="19" t="str">
        <f>IFERROR(__xludf.DUMMYFUNCTION("""COMPUTED_VALUE"""),"BLUE")</f>
        <v>BLUE</v>
      </c>
      <c r="G3234" s="20" t="str">
        <f>IFERROR(__xludf.DUMMYFUNCTION("""COMPUTED_VALUE"""),"Uncle Sams Cider (11/12/2021) (Blue)")</f>
        <v>Uncle Sams Cider (11/12/2021) (Blue)</v>
      </c>
      <c r="H3234" s="19"/>
    </row>
    <row r="3235">
      <c r="A3235" s="9"/>
      <c r="B3235" s="15"/>
      <c r="C3235" s="9">
        <f>IFERROR(__xludf.DUMMYFUNCTION("""COMPUTED_VALUE"""),44571.8430272685)</f>
        <v>44571.84303</v>
      </c>
      <c r="D3235" s="15">
        <f>IFERROR(__xludf.DUMMYFUNCTION("""COMPUTED_VALUE"""),1.004)</f>
        <v>1.004</v>
      </c>
      <c r="E3235" s="16">
        <f>IFERROR(__xludf.DUMMYFUNCTION("""COMPUTED_VALUE"""),62.0)</f>
        <v>62</v>
      </c>
      <c r="F3235" s="19" t="str">
        <f>IFERROR(__xludf.DUMMYFUNCTION("""COMPUTED_VALUE"""),"BLUE")</f>
        <v>BLUE</v>
      </c>
      <c r="G3235" s="20" t="str">
        <f>IFERROR(__xludf.DUMMYFUNCTION("""COMPUTED_VALUE"""),"Uncle Sams Cider (11/12/2021) (Blue)")</f>
        <v>Uncle Sams Cider (11/12/2021) (Blue)</v>
      </c>
      <c r="H3235" s="19"/>
    </row>
    <row r="3236">
      <c r="A3236" s="9"/>
      <c r="B3236" s="15"/>
      <c r="C3236" s="9">
        <f>IFERROR(__xludf.DUMMYFUNCTION("""COMPUTED_VALUE"""),44571.8326056944)</f>
        <v>44571.83261</v>
      </c>
      <c r="D3236" s="15">
        <f>IFERROR(__xludf.DUMMYFUNCTION("""COMPUTED_VALUE"""),1.005)</f>
        <v>1.005</v>
      </c>
      <c r="E3236" s="16">
        <f>IFERROR(__xludf.DUMMYFUNCTION("""COMPUTED_VALUE"""),62.0)</f>
        <v>62</v>
      </c>
      <c r="F3236" s="19" t="str">
        <f>IFERROR(__xludf.DUMMYFUNCTION("""COMPUTED_VALUE"""),"BLUE")</f>
        <v>BLUE</v>
      </c>
      <c r="G3236" s="20" t="str">
        <f>IFERROR(__xludf.DUMMYFUNCTION("""COMPUTED_VALUE"""),"Uncle Sams Cider (11/12/2021) (Blue)")</f>
        <v>Uncle Sams Cider (11/12/2021) (Blue)</v>
      </c>
      <c r="H3236" s="19"/>
    </row>
    <row r="3237">
      <c r="A3237" s="9"/>
      <c r="B3237" s="15"/>
      <c r="C3237" s="9">
        <f>IFERROR(__xludf.DUMMYFUNCTION("""COMPUTED_VALUE"""),44571.8221727083)</f>
        <v>44571.82217</v>
      </c>
      <c r="D3237" s="15">
        <f>IFERROR(__xludf.DUMMYFUNCTION("""COMPUTED_VALUE"""),1.004)</f>
        <v>1.004</v>
      </c>
      <c r="E3237" s="16">
        <f>IFERROR(__xludf.DUMMYFUNCTION("""COMPUTED_VALUE"""),62.0)</f>
        <v>62</v>
      </c>
      <c r="F3237" s="19" t="str">
        <f>IFERROR(__xludf.DUMMYFUNCTION("""COMPUTED_VALUE"""),"BLUE")</f>
        <v>BLUE</v>
      </c>
      <c r="G3237" s="20" t="str">
        <f>IFERROR(__xludf.DUMMYFUNCTION("""COMPUTED_VALUE"""),"Uncle Sams Cider (11/12/2021) (Blue)")</f>
        <v>Uncle Sams Cider (11/12/2021) (Blue)</v>
      </c>
      <c r="H3237" s="19"/>
    </row>
    <row r="3238">
      <c r="A3238" s="9"/>
      <c r="B3238" s="15"/>
      <c r="C3238" s="9">
        <f>IFERROR(__xludf.DUMMYFUNCTION("""COMPUTED_VALUE"""),44571.8117385763)</f>
        <v>44571.81174</v>
      </c>
      <c r="D3238" s="15">
        <f>IFERROR(__xludf.DUMMYFUNCTION("""COMPUTED_VALUE"""),1.005)</f>
        <v>1.005</v>
      </c>
      <c r="E3238" s="16">
        <f>IFERROR(__xludf.DUMMYFUNCTION("""COMPUTED_VALUE"""),62.0)</f>
        <v>62</v>
      </c>
      <c r="F3238" s="19" t="str">
        <f>IFERROR(__xludf.DUMMYFUNCTION("""COMPUTED_VALUE"""),"BLUE")</f>
        <v>BLUE</v>
      </c>
      <c r="G3238" s="20" t="str">
        <f>IFERROR(__xludf.DUMMYFUNCTION("""COMPUTED_VALUE"""),"Uncle Sams Cider (11/12/2021) (Blue)")</f>
        <v>Uncle Sams Cider (11/12/2021) (Blue)</v>
      </c>
      <c r="H3238" s="19"/>
    </row>
    <row r="3239">
      <c r="A3239" s="9"/>
      <c r="B3239" s="15"/>
      <c r="C3239" s="9">
        <f>IFERROR(__xludf.DUMMYFUNCTION("""COMPUTED_VALUE"""),44571.8013160879)</f>
        <v>44571.80132</v>
      </c>
      <c r="D3239" s="15">
        <f>IFERROR(__xludf.DUMMYFUNCTION("""COMPUTED_VALUE"""),1.005)</f>
        <v>1.005</v>
      </c>
      <c r="E3239" s="16">
        <f>IFERROR(__xludf.DUMMYFUNCTION("""COMPUTED_VALUE"""),62.0)</f>
        <v>62</v>
      </c>
      <c r="F3239" s="19" t="str">
        <f>IFERROR(__xludf.DUMMYFUNCTION("""COMPUTED_VALUE"""),"BLUE")</f>
        <v>BLUE</v>
      </c>
      <c r="G3239" s="20" t="str">
        <f>IFERROR(__xludf.DUMMYFUNCTION("""COMPUTED_VALUE"""),"Uncle Sams Cider (11/12/2021) (Blue)")</f>
        <v>Uncle Sams Cider (11/12/2021) (Blue)</v>
      </c>
      <c r="H3239" s="19"/>
    </row>
    <row r="3240">
      <c r="A3240" s="9"/>
      <c r="B3240" s="15"/>
      <c r="C3240" s="9">
        <f>IFERROR(__xludf.DUMMYFUNCTION("""COMPUTED_VALUE"""),44571.7908834722)</f>
        <v>44571.79088</v>
      </c>
      <c r="D3240" s="15">
        <f>IFERROR(__xludf.DUMMYFUNCTION("""COMPUTED_VALUE"""),1.004)</f>
        <v>1.004</v>
      </c>
      <c r="E3240" s="16">
        <f>IFERROR(__xludf.DUMMYFUNCTION("""COMPUTED_VALUE"""),62.0)</f>
        <v>62</v>
      </c>
      <c r="F3240" s="19" t="str">
        <f>IFERROR(__xludf.DUMMYFUNCTION("""COMPUTED_VALUE"""),"BLUE")</f>
        <v>BLUE</v>
      </c>
      <c r="G3240" s="20" t="str">
        <f>IFERROR(__xludf.DUMMYFUNCTION("""COMPUTED_VALUE"""),"Uncle Sams Cider (11/12/2021) (Blue)")</f>
        <v>Uncle Sams Cider (11/12/2021) (Blue)</v>
      </c>
      <c r="H3240" s="19"/>
    </row>
    <row r="3241">
      <c r="A3241" s="9"/>
      <c r="B3241" s="15"/>
      <c r="C3241" s="9">
        <f>IFERROR(__xludf.DUMMYFUNCTION("""COMPUTED_VALUE"""),44571.7804383449)</f>
        <v>44571.78044</v>
      </c>
      <c r="D3241" s="15">
        <f>IFERROR(__xludf.DUMMYFUNCTION("""COMPUTED_VALUE"""),1.005)</f>
        <v>1.005</v>
      </c>
      <c r="E3241" s="16">
        <f>IFERROR(__xludf.DUMMYFUNCTION("""COMPUTED_VALUE"""),62.0)</f>
        <v>62</v>
      </c>
      <c r="F3241" s="19" t="str">
        <f>IFERROR(__xludf.DUMMYFUNCTION("""COMPUTED_VALUE"""),"BLUE")</f>
        <v>BLUE</v>
      </c>
      <c r="G3241" s="20" t="str">
        <f>IFERROR(__xludf.DUMMYFUNCTION("""COMPUTED_VALUE"""),"Uncle Sams Cider (11/12/2021) (Blue)")</f>
        <v>Uncle Sams Cider (11/12/2021) (Blue)</v>
      </c>
      <c r="H3241" s="19"/>
    </row>
    <row r="3242">
      <c r="A3242" s="9"/>
      <c r="B3242" s="15"/>
      <c r="C3242" s="9">
        <f>IFERROR(__xludf.DUMMYFUNCTION("""COMPUTED_VALUE"""),44571.7700067476)</f>
        <v>44571.77001</v>
      </c>
      <c r="D3242" s="15">
        <f>IFERROR(__xludf.DUMMYFUNCTION("""COMPUTED_VALUE"""),1.004)</f>
        <v>1.004</v>
      </c>
      <c r="E3242" s="16">
        <f>IFERROR(__xludf.DUMMYFUNCTION("""COMPUTED_VALUE"""),62.0)</f>
        <v>62</v>
      </c>
      <c r="F3242" s="19" t="str">
        <f>IFERROR(__xludf.DUMMYFUNCTION("""COMPUTED_VALUE"""),"BLUE")</f>
        <v>BLUE</v>
      </c>
      <c r="G3242" s="20" t="str">
        <f>IFERROR(__xludf.DUMMYFUNCTION("""COMPUTED_VALUE"""),"Uncle Sams Cider (11/12/2021) (Blue)")</f>
        <v>Uncle Sams Cider (11/12/2021) (Blue)</v>
      </c>
      <c r="H3242" s="19"/>
    </row>
    <row r="3243">
      <c r="A3243" s="9"/>
      <c r="B3243" s="15"/>
      <c r="C3243" s="9">
        <f>IFERROR(__xludf.DUMMYFUNCTION("""COMPUTED_VALUE"""),44571.7595750694)</f>
        <v>44571.75958</v>
      </c>
      <c r="D3243" s="15">
        <f>IFERROR(__xludf.DUMMYFUNCTION("""COMPUTED_VALUE"""),1.005)</f>
        <v>1.005</v>
      </c>
      <c r="E3243" s="16">
        <f>IFERROR(__xludf.DUMMYFUNCTION("""COMPUTED_VALUE"""),62.0)</f>
        <v>62</v>
      </c>
      <c r="F3243" s="19" t="str">
        <f>IFERROR(__xludf.DUMMYFUNCTION("""COMPUTED_VALUE"""),"BLUE")</f>
        <v>BLUE</v>
      </c>
      <c r="G3243" s="20" t="str">
        <f>IFERROR(__xludf.DUMMYFUNCTION("""COMPUTED_VALUE"""),"Uncle Sams Cider (11/12/2021) (Blue)")</f>
        <v>Uncle Sams Cider (11/12/2021) (Blue)</v>
      </c>
      <c r="H3243" s="19"/>
    </row>
    <row r="3244">
      <c r="A3244" s="9"/>
      <c r="B3244" s="15"/>
      <c r="C3244" s="9">
        <f>IFERROR(__xludf.DUMMYFUNCTION("""COMPUTED_VALUE"""),44571.7491531481)</f>
        <v>44571.74915</v>
      </c>
      <c r="D3244" s="15">
        <f>IFERROR(__xludf.DUMMYFUNCTION("""COMPUTED_VALUE"""),1.004)</f>
        <v>1.004</v>
      </c>
      <c r="E3244" s="16">
        <f>IFERROR(__xludf.DUMMYFUNCTION("""COMPUTED_VALUE"""),62.0)</f>
        <v>62</v>
      </c>
      <c r="F3244" s="19" t="str">
        <f>IFERROR(__xludf.DUMMYFUNCTION("""COMPUTED_VALUE"""),"BLUE")</f>
        <v>BLUE</v>
      </c>
      <c r="G3244" s="20" t="str">
        <f>IFERROR(__xludf.DUMMYFUNCTION("""COMPUTED_VALUE"""),"Uncle Sams Cider (11/12/2021) (Blue)")</f>
        <v>Uncle Sams Cider (11/12/2021) (Blue)</v>
      </c>
      <c r="H3244" s="19"/>
    </row>
    <row r="3245">
      <c r="A3245" s="9"/>
      <c r="B3245" s="15"/>
      <c r="C3245" s="9">
        <f>IFERROR(__xludf.DUMMYFUNCTION("""COMPUTED_VALUE"""),44571.7387321296)</f>
        <v>44571.73873</v>
      </c>
      <c r="D3245" s="15">
        <f>IFERROR(__xludf.DUMMYFUNCTION("""COMPUTED_VALUE"""),1.004)</f>
        <v>1.004</v>
      </c>
      <c r="E3245" s="16">
        <f>IFERROR(__xludf.DUMMYFUNCTION("""COMPUTED_VALUE"""),62.0)</f>
        <v>62</v>
      </c>
      <c r="F3245" s="19" t="str">
        <f>IFERROR(__xludf.DUMMYFUNCTION("""COMPUTED_VALUE"""),"BLUE")</f>
        <v>BLUE</v>
      </c>
      <c r="G3245" s="20" t="str">
        <f>IFERROR(__xludf.DUMMYFUNCTION("""COMPUTED_VALUE"""),"Uncle Sams Cider (11/12/2021) (Blue)")</f>
        <v>Uncle Sams Cider (11/12/2021) (Blue)</v>
      </c>
      <c r="H3245" s="19"/>
    </row>
    <row r="3246">
      <c r="A3246" s="9"/>
      <c r="B3246" s="15"/>
      <c r="C3246" s="9">
        <f>IFERROR(__xludf.DUMMYFUNCTION("""COMPUTED_VALUE"""),44571.7283095833)</f>
        <v>44571.72831</v>
      </c>
      <c r="D3246" s="15">
        <f>IFERROR(__xludf.DUMMYFUNCTION("""COMPUTED_VALUE"""),1.005)</f>
        <v>1.005</v>
      </c>
      <c r="E3246" s="16">
        <f>IFERROR(__xludf.DUMMYFUNCTION("""COMPUTED_VALUE"""),62.0)</f>
        <v>62</v>
      </c>
      <c r="F3246" s="19" t="str">
        <f>IFERROR(__xludf.DUMMYFUNCTION("""COMPUTED_VALUE"""),"BLUE")</f>
        <v>BLUE</v>
      </c>
      <c r="G3246" s="20" t="str">
        <f>IFERROR(__xludf.DUMMYFUNCTION("""COMPUTED_VALUE"""),"Uncle Sams Cider (11/12/2021) (Blue)")</f>
        <v>Uncle Sams Cider (11/12/2021) (Blue)</v>
      </c>
      <c r="H3246" s="19"/>
    </row>
    <row r="3247">
      <c r="A3247" s="9"/>
      <c r="B3247" s="15"/>
      <c r="C3247" s="9">
        <f>IFERROR(__xludf.DUMMYFUNCTION("""COMPUTED_VALUE"""),44571.7178858449)</f>
        <v>44571.71789</v>
      </c>
      <c r="D3247" s="15">
        <f>IFERROR(__xludf.DUMMYFUNCTION("""COMPUTED_VALUE"""),1.004)</f>
        <v>1.004</v>
      </c>
      <c r="E3247" s="16">
        <f>IFERROR(__xludf.DUMMYFUNCTION("""COMPUTED_VALUE"""),62.0)</f>
        <v>62</v>
      </c>
      <c r="F3247" s="19" t="str">
        <f>IFERROR(__xludf.DUMMYFUNCTION("""COMPUTED_VALUE"""),"BLUE")</f>
        <v>BLUE</v>
      </c>
      <c r="G3247" s="20" t="str">
        <f>IFERROR(__xludf.DUMMYFUNCTION("""COMPUTED_VALUE"""),"Uncle Sams Cider (11/12/2021) (Blue)")</f>
        <v>Uncle Sams Cider (11/12/2021) (Blue)</v>
      </c>
      <c r="H3247" s="19"/>
    </row>
    <row r="3248">
      <c r="A3248" s="9"/>
      <c r="B3248" s="15"/>
      <c r="C3248" s="9">
        <f>IFERROR(__xludf.DUMMYFUNCTION("""COMPUTED_VALUE"""),44571.7074644328)</f>
        <v>44571.70746</v>
      </c>
      <c r="D3248" s="15">
        <f>IFERROR(__xludf.DUMMYFUNCTION("""COMPUTED_VALUE"""),1.004)</f>
        <v>1.004</v>
      </c>
      <c r="E3248" s="16">
        <f>IFERROR(__xludf.DUMMYFUNCTION("""COMPUTED_VALUE"""),62.0)</f>
        <v>62</v>
      </c>
      <c r="F3248" s="19" t="str">
        <f>IFERROR(__xludf.DUMMYFUNCTION("""COMPUTED_VALUE"""),"BLUE")</f>
        <v>BLUE</v>
      </c>
      <c r="G3248" s="20" t="str">
        <f>IFERROR(__xludf.DUMMYFUNCTION("""COMPUTED_VALUE"""),"Uncle Sams Cider (11/12/2021) (Blue)")</f>
        <v>Uncle Sams Cider (11/12/2021) (Blue)</v>
      </c>
      <c r="H3248" s="19"/>
    </row>
    <row r="3249">
      <c r="A3249" s="9"/>
      <c r="B3249" s="15"/>
      <c r="C3249" s="9">
        <f>IFERROR(__xludf.DUMMYFUNCTION("""COMPUTED_VALUE"""),44571.6970321296)</f>
        <v>44571.69703</v>
      </c>
      <c r="D3249" s="15">
        <f>IFERROR(__xludf.DUMMYFUNCTION("""COMPUTED_VALUE"""),1.004)</f>
        <v>1.004</v>
      </c>
      <c r="E3249" s="16">
        <f>IFERROR(__xludf.DUMMYFUNCTION("""COMPUTED_VALUE"""),62.0)</f>
        <v>62</v>
      </c>
      <c r="F3249" s="19" t="str">
        <f>IFERROR(__xludf.DUMMYFUNCTION("""COMPUTED_VALUE"""),"BLUE")</f>
        <v>BLUE</v>
      </c>
      <c r="G3249" s="20" t="str">
        <f>IFERROR(__xludf.DUMMYFUNCTION("""COMPUTED_VALUE"""),"Uncle Sams Cider (11/12/2021) (Blue)")</f>
        <v>Uncle Sams Cider (11/12/2021) (Blue)</v>
      </c>
      <c r="H3249" s="19"/>
    </row>
    <row r="3250">
      <c r="A3250" s="9"/>
      <c r="B3250" s="15"/>
      <c r="C3250" s="9">
        <f>IFERROR(__xludf.DUMMYFUNCTION("""COMPUTED_VALUE"""),44571.686598993)</f>
        <v>44571.6866</v>
      </c>
      <c r="D3250" s="15">
        <f>IFERROR(__xludf.DUMMYFUNCTION("""COMPUTED_VALUE"""),1.004)</f>
        <v>1.004</v>
      </c>
      <c r="E3250" s="16">
        <f>IFERROR(__xludf.DUMMYFUNCTION("""COMPUTED_VALUE"""),62.0)</f>
        <v>62</v>
      </c>
      <c r="F3250" s="19" t="str">
        <f>IFERROR(__xludf.DUMMYFUNCTION("""COMPUTED_VALUE"""),"BLUE")</f>
        <v>BLUE</v>
      </c>
      <c r="G3250" s="20" t="str">
        <f>IFERROR(__xludf.DUMMYFUNCTION("""COMPUTED_VALUE"""),"Uncle Sams Cider (11/12/2021) (Blue)")</f>
        <v>Uncle Sams Cider (11/12/2021) (Blue)</v>
      </c>
      <c r="H3250" s="19"/>
    </row>
    <row r="3251">
      <c r="A3251" s="9"/>
      <c r="B3251" s="15"/>
      <c r="C3251" s="9">
        <f>IFERROR(__xludf.DUMMYFUNCTION("""COMPUTED_VALUE"""),44571.6761777199)</f>
        <v>44571.67618</v>
      </c>
      <c r="D3251" s="15">
        <f>IFERROR(__xludf.DUMMYFUNCTION("""COMPUTED_VALUE"""),1.004)</f>
        <v>1.004</v>
      </c>
      <c r="E3251" s="16">
        <f>IFERROR(__xludf.DUMMYFUNCTION("""COMPUTED_VALUE"""),62.0)</f>
        <v>62</v>
      </c>
      <c r="F3251" s="19" t="str">
        <f>IFERROR(__xludf.DUMMYFUNCTION("""COMPUTED_VALUE"""),"BLUE")</f>
        <v>BLUE</v>
      </c>
      <c r="G3251" s="20" t="str">
        <f>IFERROR(__xludf.DUMMYFUNCTION("""COMPUTED_VALUE"""),"Uncle Sams Cider (11/12/2021) (Blue)")</f>
        <v>Uncle Sams Cider (11/12/2021) (Blue)</v>
      </c>
      <c r="H3251" s="19"/>
    </row>
    <row r="3252">
      <c r="A3252" s="9"/>
      <c r="B3252" s="15"/>
      <c r="C3252" s="9">
        <f>IFERROR(__xludf.DUMMYFUNCTION("""COMPUTED_VALUE"""),44571.6657558796)</f>
        <v>44571.66576</v>
      </c>
      <c r="D3252" s="15">
        <f>IFERROR(__xludf.DUMMYFUNCTION("""COMPUTED_VALUE"""),1.004)</f>
        <v>1.004</v>
      </c>
      <c r="E3252" s="16">
        <f>IFERROR(__xludf.DUMMYFUNCTION("""COMPUTED_VALUE"""),62.0)</f>
        <v>62</v>
      </c>
      <c r="F3252" s="19" t="str">
        <f>IFERROR(__xludf.DUMMYFUNCTION("""COMPUTED_VALUE"""),"BLUE")</f>
        <v>BLUE</v>
      </c>
      <c r="G3252" s="20" t="str">
        <f>IFERROR(__xludf.DUMMYFUNCTION("""COMPUTED_VALUE"""),"Uncle Sams Cider (11/12/2021) (Blue)")</f>
        <v>Uncle Sams Cider (11/12/2021) (Blue)</v>
      </c>
      <c r="H3252" s="19"/>
    </row>
    <row r="3253">
      <c r="A3253" s="9"/>
      <c r="B3253" s="15"/>
      <c r="C3253" s="9">
        <f>IFERROR(__xludf.DUMMYFUNCTION("""COMPUTED_VALUE"""),44571.6553340856)</f>
        <v>44571.65533</v>
      </c>
      <c r="D3253" s="15">
        <f>IFERROR(__xludf.DUMMYFUNCTION("""COMPUTED_VALUE"""),1.004)</f>
        <v>1.004</v>
      </c>
      <c r="E3253" s="16">
        <f>IFERROR(__xludf.DUMMYFUNCTION("""COMPUTED_VALUE"""),62.0)</f>
        <v>62</v>
      </c>
      <c r="F3253" s="19" t="str">
        <f>IFERROR(__xludf.DUMMYFUNCTION("""COMPUTED_VALUE"""),"BLUE")</f>
        <v>BLUE</v>
      </c>
      <c r="G3253" s="20" t="str">
        <f>IFERROR(__xludf.DUMMYFUNCTION("""COMPUTED_VALUE"""),"Uncle Sams Cider (11/12/2021) (Blue)")</f>
        <v>Uncle Sams Cider (11/12/2021) (Blue)</v>
      </c>
      <c r="H3253" s="19"/>
    </row>
    <row r="3254">
      <c r="A3254" s="9"/>
      <c r="B3254" s="15"/>
      <c r="C3254" s="9">
        <f>IFERROR(__xludf.DUMMYFUNCTION("""COMPUTED_VALUE"""),44571.644913287)</f>
        <v>44571.64491</v>
      </c>
      <c r="D3254" s="15">
        <f>IFERROR(__xludf.DUMMYFUNCTION("""COMPUTED_VALUE"""),1.004)</f>
        <v>1.004</v>
      </c>
      <c r="E3254" s="16">
        <f>IFERROR(__xludf.DUMMYFUNCTION("""COMPUTED_VALUE"""),62.0)</f>
        <v>62</v>
      </c>
      <c r="F3254" s="19" t="str">
        <f>IFERROR(__xludf.DUMMYFUNCTION("""COMPUTED_VALUE"""),"BLUE")</f>
        <v>BLUE</v>
      </c>
      <c r="G3254" s="20" t="str">
        <f>IFERROR(__xludf.DUMMYFUNCTION("""COMPUTED_VALUE"""),"Uncle Sams Cider (11/12/2021) (Blue)")</f>
        <v>Uncle Sams Cider (11/12/2021) (Blue)</v>
      </c>
      <c r="H3254" s="19"/>
    </row>
    <row r="3255">
      <c r="A3255" s="9"/>
      <c r="B3255" s="15"/>
      <c r="C3255" s="9">
        <f>IFERROR(__xludf.DUMMYFUNCTION("""COMPUTED_VALUE"""),44571.6344794444)</f>
        <v>44571.63448</v>
      </c>
      <c r="D3255" s="15">
        <f>IFERROR(__xludf.DUMMYFUNCTION("""COMPUTED_VALUE"""),1.004)</f>
        <v>1.004</v>
      </c>
      <c r="E3255" s="16">
        <f>IFERROR(__xludf.DUMMYFUNCTION("""COMPUTED_VALUE"""),62.0)</f>
        <v>62</v>
      </c>
      <c r="F3255" s="19" t="str">
        <f>IFERROR(__xludf.DUMMYFUNCTION("""COMPUTED_VALUE"""),"BLUE")</f>
        <v>BLUE</v>
      </c>
      <c r="G3255" s="20" t="str">
        <f>IFERROR(__xludf.DUMMYFUNCTION("""COMPUTED_VALUE"""),"Uncle Sams Cider (11/12/2021) (Blue)")</f>
        <v>Uncle Sams Cider (11/12/2021) (Blue)</v>
      </c>
      <c r="H3255" s="19"/>
    </row>
    <row r="3256">
      <c r="A3256" s="9"/>
      <c r="B3256" s="15"/>
      <c r="C3256" s="9">
        <f>IFERROR(__xludf.DUMMYFUNCTION("""COMPUTED_VALUE"""),44571.6240597222)</f>
        <v>44571.62406</v>
      </c>
      <c r="D3256" s="15">
        <f>IFERROR(__xludf.DUMMYFUNCTION("""COMPUTED_VALUE"""),1.004)</f>
        <v>1.004</v>
      </c>
      <c r="E3256" s="16">
        <f>IFERROR(__xludf.DUMMYFUNCTION("""COMPUTED_VALUE"""),63.0)</f>
        <v>63</v>
      </c>
      <c r="F3256" s="19" t="str">
        <f>IFERROR(__xludf.DUMMYFUNCTION("""COMPUTED_VALUE"""),"BLUE")</f>
        <v>BLUE</v>
      </c>
      <c r="G3256" s="20" t="str">
        <f>IFERROR(__xludf.DUMMYFUNCTION("""COMPUTED_VALUE"""),"Uncle Sams Cider (11/12/2021) (Blue)")</f>
        <v>Uncle Sams Cider (11/12/2021) (Blue)</v>
      </c>
      <c r="H3256" s="19"/>
    </row>
    <row r="3257">
      <c r="A3257" s="9"/>
      <c r="B3257" s="15"/>
      <c r="C3257" s="9">
        <f>IFERROR(__xludf.DUMMYFUNCTION("""COMPUTED_VALUE"""),44571.6136410995)</f>
        <v>44571.61364</v>
      </c>
      <c r="D3257" s="15">
        <f>IFERROR(__xludf.DUMMYFUNCTION("""COMPUTED_VALUE"""),1.004)</f>
        <v>1.004</v>
      </c>
      <c r="E3257" s="16">
        <f>IFERROR(__xludf.DUMMYFUNCTION("""COMPUTED_VALUE"""),63.0)</f>
        <v>63</v>
      </c>
      <c r="F3257" s="19" t="str">
        <f>IFERROR(__xludf.DUMMYFUNCTION("""COMPUTED_VALUE"""),"BLUE")</f>
        <v>BLUE</v>
      </c>
      <c r="G3257" s="20" t="str">
        <f>IFERROR(__xludf.DUMMYFUNCTION("""COMPUTED_VALUE"""),"Uncle Sams Cider (11/12/2021) (Blue)")</f>
        <v>Uncle Sams Cider (11/12/2021) (Blue)</v>
      </c>
      <c r="H3257" s="19"/>
    </row>
    <row r="3258">
      <c r="A3258" s="9"/>
      <c r="B3258" s="15"/>
      <c r="C3258" s="9">
        <f>IFERROR(__xludf.DUMMYFUNCTION("""COMPUTED_VALUE"""),44571.6032188541)</f>
        <v>44571.60322</v>
      </c>
      <c r="D3258" s="15">
        <f>IFERROR(__xludf.DUMMYFUNCTION("""COMPUTED_VALUE"""),1.004)</f>
        <v>1.004</v>
      </c>
      <c r="E3258" s="16">
        <f>IFERROR(__xludf.DUMMYFUNCTION("""COMPUTED_VALUE"""),63.0)</f>
        <v>63</v>
      </c>
      <c r="F3258" s="19" t="str">
        <f>IFERROR(__xludf.DUMMYFUNCTION("""COMPUTED_VALUE"""),"BLUE")</f>
        <v>BLUE</v>
      </c>
      <c r="G3258" s="20" t="str">
        <f>IFERROR(__xludf.DUMMYFUNCTION("""COMPUTED_VALUE"""),"Uncle Sams Cider (11/12/2021) (Blue)")</f>
        <v>Uncle Sams Cider (11/12/2021) (Blue)</v>
      </c>
      <c r="H3258" s="19"/>
    </row>
    <row r="3259">
      <c r="A3259" s="9"/>
      <c r="B3259" s="15"/>
      <c r="C3259" s="9">
        <f>IFERROR(__xludf.DUMMYFUNCTION("""COMPUTED_VALUE"""),44571.5927982175)</f>
        <v>44571.5928</v>
      </c>
      <c r="D3259" s="15">
        <f>IFERROR(__xludf.DUMMYFUNCTION("""COMPUTED_VALUE"""),1.005)</f>
        <v>1.005</v>
      </c>
      <c r="E3259" s="16">
        <f>IFERROR(__xludf.DUMMYFUNCTION("""COMPUTED_VALUE"""),63.0)</f>
        <v>63</v>
      </c>
      <c r="F3259" s="19" t="str">
        <f>IFERROR(__xludf.DUMMYFUNCTION("""COMPUTED_VALUE"""),"BLUE")</f>
        <v>BLUE</v>
      </c>
      <c r="G3259" s="20" t="str">
        <f>IFERROR(__xludf.DUMMYFUNCTION("""COMPUTED_VALUE"""),"Uncle Sams Cider (11/12/2021) (Blue)")</f>
        <v>Uncle Sams Cider (11/12/2021) (Blue)</v>
      </c>
      <c r="H3259" s="19"/>
    </row>
    <row r="3260">
      <c r="A3260" s="9"/>
      <c r="B3260" s="15"/>
      <c r="C3260" s="9">
        <f>IFERROR(__xludf.DUMMYFUNCTION("""COMPUTED_VALUE"""),44571.5823775694)</f>
        <v>44571.58238</v>
      </c>
      <c r="D3260" s="15">
        <f>IFERROR(__xludf.DUMMYFUNCTION("""COMPUTED_VALUE"""),1.004)</f>
        <v>1.004</v>
      </c>
      <c r="E3260" s="16">
        <f>IFERROR(__xludf.DUMMYFUNCTION("""COMPUTED_VALUE"""),63.0)</f>
        <v>63</v>
      </c>
      <c r="F3260" s="19" t="str">
        <f>IFERROR(__xludf.DUMMYFUNCTION("""COMPUTED_VALUE"""),"BLUE")</f>
        <v>BLUE</v>
      </c>
      <c r="G3260" s="20" t="str">
        <f>IFERROR(__xludf.DUMMYFUNCTION("""COMPUTED_VALUE"""),"Uncle Sams Cider (11/12/2021) (Blue)")</f>
        <v>Uncle Sams Cider (11/12/2021) (Blue)</v>
      </c>
      <c r="H3260" s="19"/>
    </row>
    <row r="3261">
      <c r="A3261" s="9"/>
      <c r="B3261" s="15"/>
      <c r="C3261" s="9">
        <f>IFERROR(__xludf.DUMMYFUNCTION("""COMPUTED_VALUE"""),44571.5719552662)</f>
        <v>44571.57196</v>
      </c>
      <c r="D3261" s="15">
        <f>IFERROR(__xludf.DUMMYFUNCTION("""COMPUTED_VALUE"""),1.004)</f>
        <v>1.004</v>
      </c>
      <c r="E3261" s="16">
        <f>IFERROR(__xludf.DUMMYFUNCTION("""COMPUTED_VALUE"""),63.0)</f>
        <v>63</v>
      </c>
      <c r="F3261" s="19" t="str">
        <f>IFERROR(__xludf.DUMMYFUNCTION("""COMPUTED_VALUE"""),"BLUE")</f>
        <v>BLUE</v>
      </c>
      <c r="G3261" s="20" t="str">
        <f>IFERROR(__xludf.DUMMYFUNCTION("""COMPUTED_VALUE"""),"Uncle Sams Cider (11/12/2021) (Blue)")</f>
        <v>Uncle Sams Cider (11/12/2021) (Blue)</v>
      </c>
      <c r="H3261" s="19"/>
    </row>
    <row r="3262">
      <c r="A3262" s="9"/>
      <c r="B3262" s="15"/>
      <c r="C3262" s="9">
        <f>IFERROR(__xludf.DUMMYFUNCTION("""COMPUTED_VALUE"""),44571.5615325115)</f>
        <v>44571.56153</v>
      </c>
      <c r="D3262" s="15">
        <f>IFERROR(__xludf.DUMMYFUNCTION("""COMPUTED_VALUE"""),1.004)</f>
        <v>1.004</v>
      </c>
      <c r="E3262" s="16">
        <f>IFERROR(__xludf.DUMMYFUNCTION("""COMPUTED_VALUE"""),63.0)</f>
        <v>63</v>
      </c>
      <c r="F3262" s="19" t="str">
        <f>IFERROR(__xludf.DUMMYFUNCTION("""COMPUTED_VALUE"""),"BLUE")</f>
        <v>BLUE</v>
      </c>
      <c r="G3262" s="20" t="str">
        <f>IFERROR(__xludf.DUMMYFUNCTION("""COMPUTED_VALUE"""),"Uncle Sams Cider (11/12/2021) (Blue)")</f>
        <v>Uncle Sams Cider (11/12/2021) (Blue)</v>
      </c>
      <c r="H3262" s="19"/>
    </row>
    <row r="3263">
      <c r="A3263" s="9"/>
      <c r="B3263" s="15"/>
      <c r="C3263" s="9">
        <f>IFERROR(__xludf.DUMMYFUNCTION("""COMPUTED_VALUE"""),44571.5511124652)</f>
        <v>44571.55111</v>
      </c>
      <c r="D3263" s="15">
        <f>IFERROR(__xludf.DUMMYFUNCTION("""COMPUTED_VALUE"""),1.004)</f>
        <v>1.004</v>
      </c>
      <c r="E3263" s="16">
        <f>IFERROR(__xludf.DUMMYFUNCTION("""COMPUTED_VALUE"""),63.0)</f>
        <v>63</v>
      </c>
      <c r="F3263" s="19" t="str">
        <f>IFERROR(__xludf.DUMMYFUNCTION("""COMPUTED_VALUE"""),"BLUE")</f>
        <v>BLUE</v>
      </c>
      <c r="G3263" s="20" t="str">
        <f>IFERROR(__xludf.DUMMYFUNCTION("""COMPUTED_VALUE"""),"Uncle Sams Cider (11/12/2021) (Blue)")</f>
        <v>Uncle Sams Cider (11/12/2021) (Blue)</v>
      </c>
      <c r="H3263" s="19"/>
    </row>
    <row r="3264">
      <c r="A3264" s="9"/>
      <c r="B3264" s="15"/>
      <c r="C3264" s="9">
        <f>IFERROR(__xludf.DUMMYFUNCTION("""COMPUTED_VALUE"""),44571.5406933911)</f>
        <v>44571.54069</v>
      </c>
      <c r="D3264" s="15">
        <f>IFERROR(__xludf.DUMMYFUNCTION("""COMPUTED_VALUE"""),1.004)</f>
        <v>1.004</v>
      </c>
      <c r="E3264" s="16">
        <f>IFERROR(__xludf.DUMMYFUNCTION("""COMPUTED_VALUE"""),63.0)</f>
        <v>63</v>
      </c>
      <c r="F3264" s="19" t="str">
        <f>IFERROR(__xludf.DUMMYFUNCTION("""COMPUTED_VALUE"""),"BLUE")</f>
        <v>BLUE</v>
      </c>
      <c r="G3264" s="20" t="str">
        <f>IFERROR(__xludf.DUMMYFUNCTION("""COMPUTED_VALUE"""),"Uncle Sams Cider (11/12/2021) (Blue)")</f>
        <v>Uncle Sams Cider (11/12/2021) (Blue)</v>
      </c>
      <c r="H3264" s="19"/>
    </row>
    <row r="3265">
      <c r="A3265" s="9"/>
      <c r="B3265" s="15"/>
      <c r="C3265" s="9">
        <f>IFERROR(__xludf.DUMMYFUNCTION("""COMPUTED_VALUE"""),44571.5302724768)</f>
        <v>44571.53027</v>
      </c>
      <c r="D3265" s="15">
        <f>IFERROR(__xludf.DUMMYFUNCTION("""COMPUTED_VALUE"""),1.004)</f>
        <v>1.004</v>
      </c>
      <c r="E3265" s="16">
        <f>IFERROR(__xludf.DUMMYFUNCTION("""COMPUTED_VALUE"""),63.0)</f>
        <v>63</v>
      </c>
      <c r="F3265" s="19" t="str">
        <f>IFERROR(__xludf.DUMMYFUNCTION("""COMPUTED_VALUE"""),"BLUE")</f>
        <v>BLUE</v>
      </c>
      <c r="G3265" s="20" t="str">
        <f>IFERROR(__xludf.DUMMYFUNCTION("""COMPUTED_VALUE"""),"Uncle Sams Cider (11/12/2021) (Blue)")</f>
        <v>Uncle Sams Cider (11/12/2021) (Blue)</v>
      </c>
      <c r="H3265" s="19"/>
    </row>
    <row r="3266">
      <c r="A3266" s="9"/>
      <c r="B3266" s="15"/>
      <c r="C3266" s="9">
        <f>IFERROR(__xludf.DUMMYFUNCTION("""COMPUTED_VALUE"""),44571.5198523263)</f>
        <v>44571.51985</v>
      </c>
      <c r="D3266" s="15">
        <f>IFERROR(__xludf.DUMMYFUNCTION("""COMPUTED_VALUE"""),1.004)</f>
        <v>1.004</v>
      </c>
      <c r="E3266" s="16">
        <f>IFERROR(__xludf.DUMMYFUNCTION("""COMPUTED_VALUE"""),63.0)</f>
        <v>63</v>
      </c>
      <c r="F3266" s="19" t="str">
        <f>IFERROR(__xludf.DUMMYFUNCTION("""COMPUTED_VALUE"""),"BLUE")</f>
        <v>BLUE</v>
      </c>
      <c r="G3266" s="20" t="str">
        <f>IFERROR(__xludf.DUMMYFUNCTION("""COMPUTED_VALUE"""),"Uncle Sams Cider (11/12/2021) (Blue)")</f>
        <v>Uncle Sams Cider (11/12/2021) (Blue)</v>
      </c>
      <c r="H3266" s="19"/>
    </row>
    <row r="3267">
      <c r="A3267" s="9"/>
      <c r="B3267" s="15"/>
      <c r="C3267" s="9">
        <f>IFERROR(__xludf.DUMMYFUNCTION("""COMPUTED_VALUE"""),44571.5094306365)</f>
        <v>44571.50943</v>
      </c>
      <c r="D3267" s="15">
        <f>IFERROR(__xludf.DUMMYFUNCTION("""COMPUTED_VALUE"""),1.004)</f>
        <v>1.004</v>
      </c>
      <c r="E3267" s="16">
        <f>IFERROR(__xludf.DUMMYFUNCTION("""COMPUTED_VALUE"""),63.0)</f>
        <v>63</v>
      </c>
      <c r="F3267" s="19" t="str">
        <f>IFERROR(__xludf.DUMMYFUNCTION("""COMPUTED_VALUE"""),"BLUE")</f>
        <v>BLUE</v>
      </c>
      <c r="G3267" s="20" t="str">
        <f>IFERROR(__xludf.DUMMYFUNCTION("""COMPUTED_VALUE"""),"Uncle Sams Cider (11/12/2021) (Blue)")</f>
        <v>Uncle Sams Cider (11/12/2021) (Blue)</v>
      </c>
      <c r="H3267" s="19"/>
    </row>
    <row r="3268">
      <c r="A3268" s="9"/>
      <c r="B3268" s="15"/>
      <c r="C3268" s="9">
        <f>IFERROR(__xludf.DUMMYFUNCTION("""COMPUTED_VALUE"""),44571.4990096643)</f>
        <v>44571.49901</v>
      </c>
      <c r="D3268" s="15">
        <f>IFERROR(__xludf.DUMMYFUNCTION("""COMPUTED_VALUE"""),1.004)</f>
        <v>1.004</v>
      </c>
      <c r="E3268" s="16">
        <f>IFERROR(__xludf.DUMMYFUNCTION("""COMPUTED_VALUE"""),63.0)</f>
        <v>63</v>
      </c>
      <c r="F3268" s="19" t="str">
        <f>IFERROR(__xludf.DUMMYFUNCTION("""COMPUTED_VALUE"""),"BLUE")</f>
        <v>BLUE</v>
      </c>
      <c r="G3268" s="20" t="str">
        <f>IFERROR(__xludf.DUMMYFUNCTION("""COMPUTED_VALUE"""),"Uncle Sams Cider (11/12/2021) (Blue)")</f>
        <v>Uncle Sams Cider (11/12/2021) (Blue)</v>
      </c>
      <c r="H3268" s="19"/>
    </row>
    <row r="3269">
      <c r="A3269" s="9"/>
      <c r="B3269" s="15"/>
      <c r="C3269" s="9">
        <f>IFERROR(__xludf.DUMMYFUNCTION("""COMPUTED_VALUE"""),44571.4885877083)</f>
        <v>44571.48859</v>
      </c>
      <c r="D3269" s="15">
        <f>IFERROR(__xludf.DUMMYFUNCTION("""COMPUTED_VALUE"""),1.005)</f>
        <v>1.005</v>
      </c>
      <c r="E3269" s="16">
        <f>IFERROR(__xludf.DUMMYFUNCTION("""COMPUTED_VALUE"""),63.0)</f>
        <v>63</v>
      </c>
      <c r="F3269" s="19" t="str">
        <f>IFERROR(__xludf.DUMMYFUNCTION("""COMPUTED_VALUE"""),"BLUE")</f>
        <v>BLUE</v>
      </c>
      <c r="G3269" s="20" t="str">
        <f>IFERROR(__xludf.DUMMYFUNCTION("""COMPUTED_VALUE"""),"Uncle Sams Cider (11/12/2021) (Blue)")</f>
        <v>Uncle Sams Cider (11/12/2021) (Blue)</v>
      </c>
      <c r="H3269" s="19"/>
    </row>
    <row r="3270">
      <c r="A3270" s="9"/>
      <c r="B3270" s="15"/>
      <c r="C3270" s="9">
        <f>IFERROR(__xludf.DUMMYFUNCTION("""COMPUTED_VALUE"""),44571.4781665856)</f>
        <v>44571.47817</v>
      </c>
      <c r="D3270" s="15">
        <f>IFERROR(__xludf.DUMMYFUNCTION("""COMPUTED_VALUE"""),1.005)</f>
        <v>1.005</v>
      </c>
      <c r="E3270" s="16">
        <f>IFERROR(__xludf.DUMMYFUNCTION("""COMPUTED_VALUE"""),63.0)</f>
        <v>63</v>
      </c>
      <c r="F3270" s="19" t="str">
        <f>IFERROR(__xludf.DUMMYFUNCTION("""COMPUTED_VALUE"""),"BLUE")</f>
        <v>BLUE</v>
      </c>
      <c r="G3270" s="20" t="str">
        <f>IFERROR(__xludf.DUMMYFUNCTION("""COMPUTED_VALUE"""),"Uncle Sams Cider (11/12/2021) (Blue)")</f>
        <v>Uncle Sams Cider (11/12/2021) (Blue)</v>
      </c>
      <c r="H3270" s="19"/>
    </row>
    <row r="3271">
      <c r="A3271" s="9"/>
      <c r="B3271" s="15"/>
      <c r="C3271" s="9">
        <f>IFERROR(__xludf.DUMMYFUNCTION("""COMPUTED_VALUE"""),44571.4677435995)</f>
        <v>44571.46774</v>
      </c>
      <c r="D3271" s="15">
        <f>IFERROR(__xludf.DUMMYFUNCTION("""COMPUTED_VALUE"""),1.005)</f>
        <v>1.005</v>
      </c>
      <c r="E3271" s="16">
        <f>IFERROR(__xludf.DUMMYFUNCTION("""COMPUTED_VALUE"""),63.0)</f>
        <v>63</v>
      </c>
      <c r="F3271" s="19" t="str">
        <f>IFERROR(__xludf.DUMMYFUNCTION("""COMPUTED_VALUE"""),"BLUE")</f>
        <v>BLUE</v>
      </c>
      <c r="G3271" s="20" t="str">
        <f>IFERROR(__xludf.DUMMYFUNCTION("""COMPUTED_VALUE"""),"Uncle Sams Cider (11/12/2021) (Blue)")</f>
        <v>Uncle Sams Cider (11/12/2021) (Blue)</v>
      </c>
      <c r="H3271" s="19"/>
    </row>
    <row r="3272">
      <c r="A3272" s="9"/>
      <c r="B3272" s="15"/>
      <c r="C3272" s="9">
        <f>IFERROR(__xludf.DUMMYFUNCTION("""COMPUTED_VALUE"""),44571.4573232291)</f>
        <v>44571.45732</v>
      </c>
      <c r="D3272" s="15">
        <f>IFERROR(__xludf.DUMMYFUNCTION("""COMPUTED_VALUE"""),1.004)</f>
        <v>1.004</v>
      </c>
      <c r="E3272" s="16">
        <f>IFERROR(__xludf.DUMMYFUNCTION("""COMPUTED_VALUE"""),63.0)</f>
        <v>63</v>
      </c>
      <c r="F3272" s="19" t="str">
        <f>IFERROR(__xludf.DUMMYFUNCTION("""COMPUTED_VALUE"""),"BLUE")</f>
        <v>BLUE</v>
      </c>
      <c r="G3272" s="20" t="str">
        <f>IFERROR(__xludf.DUMMYFUNCTION("""COMPUTED_VALUE"""),"Uncle Sams Cider (11/12/2021) (Blue)")</f>
        <v>Uncle Sams Cider (11/12/2021) (Blue)</v>
      </c>
      <c r="H3272" s="19"/>
    </row>
    <row r="3273">
      <c r="A3273" s="9"/>
      <c r="B3273" s="15"/>
      <c r="C3273" s="9">
        <f>IFERROR(__xludf.DUMMYFUNCTION("""COMPUTED_VALUE"""),44571.4469009259)</f>
        <v>44571.4469</v>
      </c>
      <c r="D3273" s="15">
        <f>IFERROR(__xludf.DUMMYFUNCTION("""COMPUTED_VALUE"""),1.005)</f>
        <v>1.005</v>
      </c>
      <c r="E3273" s="16">
        <f>IFERROR(__xludf.DUMMYFUNCTION("""COMPUTED_VALUE"""),63.0)</f>
        <v>63</v>
      </c>
      <c r="F3273" s="19" t="str">
        <f>IFERROR(__xludf.DUMMYFUNCTION("""COMPUTED_VALUE"""),"BLUE")</f>
        <v>BLUE</v>
      </c>
      <c r="G3273" s="20" t="str">
        <f>IFERROR(__xludf.DUMMYFUNCTION("""COMPUTED_VALUE"""),"Uncle Sams Cider (11/12/2021) (Blue)")</f>
        <v>Uncle Sams Cider (11/12/2021) (Blue)</v>
      </c>
      <c r="H3273" s="19"/>
    </row>
    <row r="3274">
      <c r="A3274" s="9"/>
      <c r="B3274" s="15"/>
      <c r="C3274" s="9">
        <f>IFERROR(__xludf.DUMMYFUNCTION("""COMPUTED_VALUE"""),44571.4364808564)</f>
        <v>44571.43648</v>
      </c>
      <c r="D3274" s="15">
        <f>IFERROR(__xludf.DUMMYFUNCTION("""COMPUTED_VALUE"""),1.005)</f>
        <v>1.005</v>
      </c>
      <c r="E3274" s="16">
        <f>IFERROR(__xludf.DUMMYFUNCTION("""COMPUTED_VALUE"""),63.0)</f>
        <v>63</v>
      </c>
      <c r="F3274" s="19" t="str">
        <f>IFERROR(__xludf.DUMMYFUNCTION("""COMPUTED_VALUE"""),"BLUE")</f>
        <v>BLUE</v>
      </c>
      <c r="G3274" s="20" t="str">
        <f>IFERROR(__xludf.DUMMYFUNCTION("""COMPUTED_VALUE"""),"Uncle Sams Cider (11/12/2021) (Blue)")</f>
        <v>Uncle Sams Cider (11/12/2021) (Blue)</v>
      </c>
      <c r="H3274" s="19"/>
    </row>
    <row r="3275">
      <c r="A3275" s="9"/>
      <c r="B3275" s="15"/>
      <c r="C3275" s="9">
        <f>IFERROR(__xludf.DUMMYFUNCTION("""COMPUTED_VALUE"""),44571.4260608333)</f>
        <v>44571.42606</v>
      </c>
      <c r="D3275" s="15">
        <f>IFERROR(__xludf.DUMMYFUNCTION("""COMPUTED_VALUE"""),1.004)</f>
        <v>1.004</v>
      </c>
      <c r="E3275" s="16">
        <f>IFERROR(__xludf.DUMMYFUNCTION("""COMPUTED_VALUE"""),63.0)</f>
        <v>63</v>
      </c>
      <c r="F3275" s="19" t="str">
        <f>IFERROR(__xludf.DUMMYFUNCTION("""COMPUTED_VALUE"""),"BLUE")</f>
        <v>BLUE</v>
      </c>
      <c r="G3275" s="20" t="str">
        <f>IFERROR(__xludf.DUMMYFUNCTION("""COMPUTED_VALUE"""),"Uncle Sams Cider (11/12/2021) (Blue)")</f>
        <v>Uncle Sams Cider (11/12/2021) (Blue)</v>
      </c>
      <c r="H3275" s="19"/>
    </row>
    <row r="3276">
      <c r="A3276" s="9"/>
      <c r="B3276" s="15"/>
      <c r="C3276" s="9">
        <f>IFERROR(__xludf.DUMMYFUNCTION("""COMPUTED_VALUE"""),44571.4156295486)</f>
        <v>44571.41563</v>
      </c>
      <c r="D3276" s="15">
        <f>IFERROR(__xludf.DUMMYFUNCTION("""COMPUTED_VALUE"""),1.005)</f>
        <v>1.005</v>
      </c>
      <c r="E3276" s="16">
        <f>IFERROR(__xludf.DUMMYFUNCTION("""COMPUTED_VALUE"""),63.0)</f>
        <v>63</v>
      </c>
      <c r="F3276" s="19" t="str">
        <f>IFERROR(__xludf.DUMMYFUNCTION("""COMPUTED_VALUE"""),"BLUE")</f>
        <v>BLUE</v>
      </c>
      <c r="G3276" s="20" t="str">
        <f>IFERROR(__xludf.DUMMYFUNCTION("""COMPUTED_VALUE"""),"Uncle Sams Cider (11/12/2021) (Blue)")</f>
        <v>Uncle Sams Cider (11/12/2021) (Blue)</v>
      </c>
      <c r="H3276" s="19"/>
    </row>
    <row r="3277">
      <c r="A3277" s="9"/>
      <c r="B3277" s="15"/>
      <c r="C3277" s="9">
        <f>IFERROR(__xludf.DUMMYFUNCTION("""COMPUTED_VALUE"""),44571.4052098842)</f>
        <v>44571.40521</v>
      </c>
      <c r="D3277" s="15">
        <f>IFERROR(__xludf.DUMMYFUNCTION("""COMPUTED_VALUE"""),1.004)</f>
        <v>1.004</v>
      </c>
      <c r="E3277" s="16">
        <f>IFERROR(__xludf.DUMMYFUNCTION("""COMPUTED_VALUE"""),63.0)</f>
        <v>63</v>
      </c>
      <c r="F3277" s="19" t="str">
        <f>IFERROR(__xludf.DUMMYFUNCTION("""COMPUTED_VALUE"""),"BLUE")</f>
        <v>BLUE</v>
      </c>
      <c r="G3277" s="20" t="str">
        <f>IFERROR(__xludf.DUMMYFUNCTION("""COMPUTED_VALUE"""),"Uncle Sams Cider (11/12/2021) (Blue)")</f>
        <v>Uncle Sams Cider (11/12/2021) (Blue)</v>
      </c>
      <c r="H3277" s="19"/>
    </row>
    <row r="3278">
      <c r="A3278" s="9"/>
      <c r="B3278" s="15"/>
      <c r="C3278" s="9">
        <f>IFERROR(__xludf.DUMMYFUNCTION("""COMPUTED_VALUE"""),44571.3947775115)</f>
        <v>44571.39478</v>
      </c>
      <c r="D3278" s="15">
        <f>IFERROR(__xludf.DUMMYFUNCTION("""COMPUTED_VALUE"""),1.004)</f>
        <v>1.004</v>
      </c>
      <c r="E3278" s="16">
        <f>IFERROR(__xludf.DUMMYFUNCTION("""COMPUTED_VALUE"""),63.0)</f>
        <v>63</v>
      </c>
      <c r="F3278" s="19" t="str">
        <f>IFERROR(__xludf.DUMMYFUNCTION("""COMPUTED_VALUE"""),"BLUE")</f>
        <v>BLUE</v>
      </c>
      <c r="G3278" s="20" t="str">
        <f>IFERROR(__xludf.DUMMYFUNCTION("""COMPUTED_VALUE"""),"Uncle Sams Cider (11/12/2021) (Blue)")</f>
        <v>Uncle Sams Cider (11/12/2021) (Blue)</v>
      </c>
      <c r="H3278" s="19"/>
    </row>
    <row r="3279">
      <c r="A3279" s="9"/>
      <c r="B3279" s="15"/>
      <c r="C3279" s="9">
        <f>IFERROR(__xludf.DUMMYFUNCTION("""COMPUTED_VALUE"""),44571.3843552314)</f>
        <v>44571.38436</v>
      </c>
      <c r="D3279" s="15">
        <f>IFERROR(__xludf.DUMMYFUNCTION("""COMPUTED_VALUE"""),1.004)</f>
        <v>1.004</v>
      </c>
      <c r="E3279" s="16">
        <f>IFERROR(__xludf.DUMMYFUNCTION("""COMPUTED_VALUE"""),63.0)</f>
        <v>63</v>
      </c>
      <c r="F3279" s="19" t="str">
        <f>IFERROR(__xludf.DUMMYFUNCTION("""COMPUTED_VALUE"""),"BLUE")</f>
        <v>BLUE</v>
      </c>
      <c r="G3279" s="20" t="str">
        <f>IFERROR(__xludf.DUMMYFUNCTION("""COMPUTED_VALUE"""),"Uncle Sams Cider (11/12/2021) (Blue)")</f>
        <v>Uncle Sams Cider (11/12/2021) (Blue)</v>
      </c>
      <c r="H3279" s="19"/>
    </row>
    <row r="3280">
      <c r="A3280" s="9"/>
      <c r="B3280" s="15"/>
      <c r="C3280" s="9">
        <f>IFERROR(__xludf.DUMMYFUNCTION("""COMPUTED_VALUE"""),44571.3739337731)</f>
        <v>44571.37393</v>
      </c>
      <c r="D3280" s="15">
        <f>IFERROR(__xludf.DUMMYFUNCTION("""COMPUTED_VALUE"""),1.004)</f>
        <v>1.004</v>
      </c>
      <c r="E3280" s="16">
        <f>IFERROR(__xludf.DUMMYFUNCTION("""COMPUTED_VALUE"""),63.0)</f>
        <v>63</v>
      </c>
      <c r="F3280" s="19" t="str">
        <f>IFERROR(__xludf.DUMMYFUNCTION("""COMPUTED_VALUE"""),"BLUE")</f>
        <v>BLUE</v>
      </c>
      <c r="G3280" s="20" t="str">
        <f>IFERROR(__xludf.DUMMYFUNCTION("""COMPUTED_VALUE"""),"Uncle Sams Cider (11/12/2021) (Blue)")</f>
        <v>Uncle Sams Cider (11/12/2021) (Blue)</v>
      </c>
      <c r="H3280" s="19"/>
    </row>
    <row r="3281">
      <c r="A3281" s="9"/>
      <c r="B3281" s="15"/>
      <c r="C3281" s="9">
        <f>IFERROR(__xludf.DUMMYFUNCTION("""COMPUTED_VALUE"""),44571.3635121296)</f>
        <v>44571.36351</v>
      </c>
      <c r="D3281" s="15">
        <f>IFERROR(__xludf.DUMMYFUNCTION("""COMPUTED_VALUE"""),1.004)</f>
        <v>1.004</v>
      </c>
      <c r="E3281" s="16">
        <f>IFERROR(__xludf.DUMMYFUNCTION("""COMPUTED_VALUE"""),63.0)</f>
        <v>63</v>
      </c>
      <c r="F3281" s="19" t="str">
        <f>IFERROR(__xludf.DUMMYFUNCTION("""COMPUTED_VALUE"""),"BLUE")</f>
        <v>BLUE</v>
      </c>
      <c r="G3281" s="20" t="str">
        <f>IFERROR(__xludf.DUMMYFUNCTION("""COMPUTED_VALUE"""),"Uncle Sams Cider (11/12/2021) (Blue)")</f>
        <v>Uncle Sams Cider (11/12/2021) (Blue)</v>
      </c>
      <c r="H3281" s="19"/>
    </row>
    <row r="3282">
      <c r="A3282" s="9"/>
      <c r="B3282" s="15"/>
      <c r="C3282" s="9">
        <f>IFERROR(__xludf.DUMMYFUNCTION("""COMPUTED_VALUE"""),44571.3530809837)</f>
        <v>44571.35308</v>
      </c>
      <c r="D3282" s="15">
        <f>IFERROR(__xludf.DUMMYFUNCTION("""COMPUTED_VALUE"""),1.004)</f>
        <v>1.004</v>
      </c>
      <c r="E3282" s="16">
        <f>IFERROR(__xludf.DUMMYFUNCTION("""COMPUTED_VALUE"""),63.0)</f>
        <v>63</v>
      </c>
      <c r="F3282" s="19" t="str">
        <f>IFERROR(__xludf.DUMMYFUNCTION("""COMPUTED_VALUE"""),"BLUE")</f>
        <v>BLUE</v>
      </c>
      <c r="G3282" s="20" t="str">
        <f>IFERROR(__xludf.DUMMYFUNCTION("""COMPUTED_VALUE"""),"Uncle Sams Cider (11/12/2021) (Blue)")</f>
        <v>Uncle Sams Cider (11/12/2021) (Blue)</v>
      </c>
      <c r="H3282" s="19"/>
    </row>
    <row r="3283">
      <c r="A3283" s="9"/>
      <c r="B3283" s="15"/>
      <c r="C3283" s="9">
        <f>IFERROR(__xludf.DUMMYFUNCTION("""COMPUTED_VALUE"""),44571.3426610648)</f>
        <v>44571.34266</v>
      </c>
      <c r="D3283" s="15">
        <f>IFERROR(__xludf.DUMMYFUNCTION("""COMPUTED_VALUE"""),1.004)</f>
        <v>1.004</v>
      </c>
      <c r="E3283" s="16">
        <f>IFERROR(__xludf.DUMMYFUNCTION("""COMPUTED_VALUE"""),63.0)</f>
        <v>63</v>
      </c>
      <c r="F3283" s="19" t="str">
        <f>IFERROR(__xludf.DUMMYFUNCTION("""COMPUTED_VALUE"""),"BLUE")</f>
        <v>BLUE</v>
      </c>
      <c r="G3283" s="20" t="str">
        <f>IFERROR(__xludf.DUMMYFUNCTION("""COMPUTED_VALUE"""),"Uncle Sams Cider (11/12/2021) (Blue)")</f>
        <v>Uncle Sams Cider (11/12/2021) (Blue)</v>
      </c>
      <c r="H3283" s="19"/>
    </row>
    <row r="3284">
      <c r="A3284" s="9"/>
      <c r="B3284" s="15"/>
      <c r="C3284" s="9">
        <f>IFERROR(__xludf.DUMMYFUNCTION("""COMPUTED_VALUE"""),44571.3322411458)</f>
        <v>44571.33224</v>
      </c>
      <c r="D3284" s="15">
        <f>IFERROR(__xludf.DUMMYFUNCTION("""COMPUTED_VALUE"""),1.005)</f>
        <v>1.005</v>
      </c>
      <c r="E3284" s="16">
        <f>IFERROR(__xludf.DUMMYFUNCTION("""COMPUTED_VALUE"""),63.0)</f>
        <v>63</v>
      </c>
      <c r="F3284" s="19" t="str">
        <f>IFERROR(__xludf.DUMMYFUNCTION("""COMPUTED_VALUE"""),"BLUE")</f>
        <v>BLUE</v>
      </c>
      <c r="G3284" s="20" t="str">
        <f>IFERROR(__xludf.DUMMYFUNCTION("""COMPUTED_VALUE"""),"Uncle Sams Cider (11/12/2021) (Blue)")</f>
        <v>Uncle Sams Cider (11/12/2021) (Blue)</v>
      </c>
      <c r="H3284" s="19"/>
    </row>
    <row r="3285">
      <c r="A3285" s="9"/>
      <c r="B3285" s="15"/>
      <c r="C3285" s="9">
        <f>IFERROR(__xludf.DUMMYFUNCTION("""COMPUTED_VALUE"""),44571.3218182638)</f>
        <v>44571.32182</v>
      </c>
      <c r="D3285" s="15">
        <f>IFERROR(__xludf.DUMMYFUNCTION("""COMPUTED_VALUE"""),1.004)</f>
        <v>1.004</v>
      </c>
      <c r="E3285" s="16">
        <f>IFERROR(__xludf.DUMMYFUNCTION("""COMPUTED_VALUE"""),63.0)</f>
        <v>63</v>
      </c>
      <c r="F3285" s="19" t="str">
        <f>IFERROR(__xludf.DUMMYFUNCTION("""COMPUTED_VALUE"""),"BLUE")</f>
        <v>BLUE</v>
      </c>
      <c r="G3285" s="20" t="str">
        <f>IFERROR(__xludf.DUMMYFUNCTION("""COMPUTED_VALUE"""),"Uncle Sams Cider (11/12/2021) (Blue)")</f>
        <v>Uncle Sams Cider (11/12/2021) (Blue)</v>
      </c>
      <c r="H3285" s="19"/>
    </row>
    <row r="3286">
      <c r="A3286" s="9"/>
      <c r="B3286" s="15"/>
      <c r="C3286" s="9">
        <f>IFERROR(__xludf.DUMMYFUNCTION("""COMPUTED_VALUE"""),44571.3113640162)</f>
        <v>44571.31136</v>
      </c>
      <c r="D3286" s="15">
        <f>IFERROR(__xludf.DUMMYFUNCTION("""COMPUTED_VALUE"""),1.005)</f>
        <v>1.005</v>
      </c>
      <c r="E3286" s="16">
        <f>IFERROR(__xludf.DUMMYFUNCTION("""COMPUTED_VALUE"""),63.0)</f>
        <v>63</v>
      </c>
      <c r="F3286" s="19" t="str">
        <f>IFERROR(__xludf.DUMMYFUNCTION("""COMPUTED_VALUE"""),"BLUE")</f>
        <v>BLUE</v>
      </c>
      <c r="G3286" s="20" t="str">
        <f>IFERROR(__xludf.DUMMYFUNCTION("""COMPUTED_VALUE"""),"Uncle Sams Cider (11/12/2021) (Blue)")</f>
        <v>Uncle Sams Cider (11/12/2021) (Blue)</v>
      </c>
      <c r="H3286" s="19"/>
    </row>
    <row r="3287">
      <c r="A3287" s="9"/>
      <c r="B3287" s="15"/>
      <c r="C3287" s="9">
        <f>IFERROR(__xludf.DUMMYFUNCTION("""COMPUTED_VALUE"""),44571.300942824)</f>
        <v>44571.30094</v>
      </c>
      <c r="D3287" s="15">
        <f>IFERROR(__xludf.DUMMYFUNCTION("""COMPUTED_VALUE"""),1.004)</f>
        <v>1.004</v>
      </c>
      <c r="E3287" s="16">
        <f>IFERROR(__xludf.DUMMYFUNCTION("""COMPUTED_VALUE"""),63.0)</f>
        <v>63</v>
      </c>
      <c r="F3287" s="19" t="str">
        <f>IFERROR(__xludf.DUMMYFUNCTION("""COMPUTED_VALUE"""),"BLUE")</f>
        <v>BLUE</v>
      </c>
      <c r="G3287" s="20" t="str">
        <f>IFERROR(__xludf.DUMMYFUNCTION("""COMPUTED_VALUE"""),"Uncle Sams Cider (11/12/2021) (Blue)")</f>
        <v>Uncle Sams Cider (11/12/2021) (Blue)</v>
      </c>
      <c r="H3287" s="19"/>
    </row>
    <row r="3288">
      <c r="A3288" s="9"/>
      <c r="B3288" s="15"/>
      <c r="C3288" s="9">
        <f>IFERROR(__xludf.DUMMYFUNCTION("""COMPUTED_VALUE"""),44571.2905105787)</f>
        <v>44571.29051</v>
      </c>
      <c r="D3288" s="15">
        <f>IFERROR(__xludf.DUMMYFUNCTION("""COMPUTED_VALUE"""),1.004)</f>
        <v>1.004</v>
      </c>
      <c r="E3288" s="16">
        <f>IFERROR(__xludf.DUMMYFUNCTION("""COMPUTED_VALUE"""),63.0)</f>
        <v>63</v>
      </c>
      <c r="F3288" s="19" t="str">
        <f>IFERROR(__xludf.DUMMYFUNCTION("""COMPUTED_VALUE"""),"BLUE")</f>
        <v>BLUE</v>
      </c>
      <c r="G3288" s="20" t="str">
        <f>IFERROR(__xludf.DUMMYFUNCTION("""COMPUTED_VALUE"""),"Uncle Sams Cider (11/12/2021) (Blue)")</f>
        <v>Uncle Sams Cider (11/12/2021) (Blue)</v>
      </c>
      <c r="H3288" s="19"/>
    </row>
    <row r="3289">
      <c r="A3289" s="9"/>
      <c r="B3289" s="15"/>
      <c r="C3289" s="9">
        <f>IFERROR(__xludf.DUMMYFUNCTION("""COMPUTED_VALUE"""),44571.2800792361)</f>
        <v>44571.28008</v>
      </c>
      <c r="D3289" s="15">
        <f>IFERROR(__xludf.DUMMYFUNCTION("""COMPUTED_VALUE"""),1.004)</f>
        <v>1.004</v>
      </c>
      <c r="E3289" s="16">
        <f>IFERROR(__xludf.DUMMYFUNCTION("""COMPUTED_VALUE"""),63.0)</f>
        <v>63</v>
      </c>
      <c r="F3289" s="19" t="str">
        <f>IFERROR(__xludf.DUMMYFUNCTION("""COMPUTED_VALUE"""),"BLUE")</f>
        <v>BLUE</v>
      </c>
      <c r="G3289" s="20" t="str">
        <f>IFERROR(__xludf.DUMMYFUNCTION("""COMPUTED_VALUE"""),"Uncle Sams Cider (11/12/2021) (Blue)")</f>
        <v>Uncle Sams Cider (11/12/2021) (Blue)</v>
      </c>
      <c r="H3289" s="19"/>
    </row>
    <row r="3290">
      <c r="A3290" s="9"/>
      <c r="B3290" s="15"/>
      <c r="C3290" s="9">
        <f>IFERROR(__xludf.DUMMYFUNCTION("""COMPUTED_VALUE"""),44571.269658368)</f>
        <v>44571.26966</v>
      </c>
      <c r="D3290" s="15">
        <f>IFERROR(__xludf.DUMMYFUNCTION("""COMPUTED_VALUE"""),1.004)</f>
        <v>1.004</v>
      </c>
      <c r="E3290" s="16">
        <f>IFERROR(__xludf.DUMMYFUNCTION("""COMPUTED_VALUE"""),63.0)</f>
        <v>63</v>
      </c>
      <c r="F3290" s="19" t="str">
        <f>IFERROR(__xludf.DUMMYFUNCTION("""COMPUTED_VALUE"""),"BLUE")</f>
        <v>BLUE</v>
      </c>
      <c r="G3290" s="20" t="str">
        <f>IFERROR(__xludf.DUMMYFUNCTION("""COMPUTED_VALUE"""),"Uncle Sams Cider (11/12/2021) (Blue)")</f>
        <v>Uncle Sams Cider (11/12/2021) (Blue)</v>
      </c>
      <c r="H3290" s="19"/>
    </row>
    <row r="3291">
      <c r="A3291" s="9"/>
      <c r="B3291" s="15"/>
      <c r="C3291" s="9">
        <f>IFERROR(__xludf.DUMMYFUNCTION("""COMPUTED_VALUE"""),44571.2592145138)</f>
        <v>44571.25921</v>
      </c>
      <c r="D3291" s="15">
        <f>IFERROR(__xludf.DUMMYFUNCTION("""COMPUTED_VALUE"""),1.004)</f>
        <v>1.004</v>
      </c>
      <c r="E3291" s="16">
        <f>IFERROR(__xludf.DUMMYFUNCTION("""COMPUTED_VALUE"""),63.0)</f>
        <v>63</v>
      </c>
      <c r="F3291" s="19" t="str">
        <f>IFERROR(__xludf.DUMMYFUNCTION("""COMPUTED_VALUE"""),"BLUE")</f>
        <v>BLUE</v>
      </c>
      <c r="G3291" s="20" t="str">
        <f>IFERROR(__xludf.DUMMYFUNCTION("""COMPUTED_VALUE"""),"Uncle Sams Cider (11/12/2021) (Blue)")</f>
        <v>Uncle Sams Cider (11/12/2021) (Blue)</v>
      </c>
      <c r="H3291" s="19"/>
    </row>
    <row r="3292">
      <c r="A3292" s="9"/>
      <c r="B3292" s="15"/>
      <c r="C3292" s="9">
        <f>IFERROR(__xludf.DUMMYFUNCTION("""COMPUTED_VALUE"""),44571.2487919212)</f>
        <v>44571.24879</v>
      </c>
      <c r="D3292" s="15">
        <f>IFERROR(__xludf.DUMMYFUNCTION("""COMPUTED_VALUE"""),1.004)</f>
        <v>1.004</v>
      </c>
      <c r="E3292" s="16">
        <f>IFERROR(__xludf.DUMMYFUNCTION("""COMPUTED_VALUE"""),63.0)</f>
        <v>63</v>
      </c>
      <c r="F3292" s="19" t="str">
        <f>IFERROR(__xludf.DUMMYFUNCTION("""COMPUTED_VALUE"""),"BLUE")</f>
        <v>BLUE</v>
      </c>
      <c r="G3292" s="20" t="str">
        <f>IFERROR(__xludf.DUMMYFUNCTION("""COMPUTED_VALUE"""),"Uncle Sams Cider (11/12/2021) (Blue)")</f>
        <v>Uncle Sams Cider (11/12/2021) (Blue)</v>
      </c>
      <c r="H3292" s="19"/>
    </row>
    <row r="3293">
      <c r="A3293" s="9"/>
      <c r="B3293" s="15"/>
      <c r="C3293" s="9">
        <f>IFERROR(__xludf.DUMMYFUNCTION("""COMPUTED_VALUE"""),44571.2383694907)</f>
        <v>44571.23837</v>
      </c>
      <c r="D3293" s="15">
        <f>IFERROR(__xludf.DUMMYFUNCTION("""COMPUTED_VALUE"""),1.004)</f>
        <v>1.004</v>
      </c>
      <c r="E3293" s="16">
        <f>IFERROR(__xludf.DUMMYFUNCTION("""COMPUTED_VALUE"""),63.0)</f>
        <v>63</v>
      </c>
      <c r="F3293" s="19" t="str">
        <f>IFERROR(__xludf.DUMMYFUNCTION("""COMPUTED_VALUE"""),"BLUE")</f>
        <v>BLUE</v>
      </c>
      <c r="G3293" s="20" t="str">
        <f>IFERROR(__xludf.DUMMYFUNCTION("""COMPUTED_VALUE"""),"Uncle Sams Cider (11/12/2021) (Blue)")</f>
        <v>Uncle Sams Cider (11/12/2021) (Blue)</v>
      </c>
      <c r="H3293" s="19"/>
    </row>
    <row r="3294">
      <c r="A3294" s="9"/>
      <c r="B3294" s="15"/>
      <c r="C3294" s="9">
        <f>IFERROR(__xludf.DUMMYFUNCTION("""COMPUTED_VALUE"""),44571.2279244444)</f>
        <v>44571.22792</v>
      </c>
      <c r="D3294" s="15">
        <f>IFERROR(__xludf.DUMMYFUNCTION("""COMPUTED_VALUE"""),1.004)</f>
        <v>1.004</v>
      </c>
      <c r="E3294" s="16">
        <f>IFERROR(__xludf.DUMMYFUNCTION("""COMPUTED_VALUE"""),63.0)</f>
        <v>63</v>
      </c>
      <c r="F3294" s="19" t="str">
        <f>IFERROR(__xludf.DUMMYFUNCTION("""COMPUTED_VALUE"""),"BLUE")</f>
        <v>BLUE</v>
      </c>
      <c r="G3294" s="20" t="str">
        <f>IFERROR(__xludf.DUMMYFUNCTION("""COMPUTED_VALUE"""),"Uncle Sams Cider (11/12/2021) (Blue)")</f>
        <v>Uncle Sams Cider (11/12/2021) (Blue)</v>
      </c>
      <c r="H3294" s="19"/>
    </row>
    <row r="3295">
      <c r="A3295" s="9"/>
      <c r="B3295" s="15"/>
      <c r="C3295" s="9">
        <f>IFERROR(__xludf.DUMMYFUNCTION("""COMPUTED_VALUE"""),44571.2175044212)</f>
        <v>44571.2175</v>
      </c>
      <c r="D3295" s="15">
        <f>IFERROR(__xludf.DUMMYFUNCTION("""COMPUTED_VALUE"""),1.004)</f>
        <v>1.004</v>
      </c>
      <c r="E3295" s="16">
        <f>IFERROR(__xludf.DUMMYFUNCTION("""COMPUTED_VALUE"""),63.0)</f>
        <v>63</v>
      </c>
      <c r="F3295" s="19" t="str">
        <f>IFERROR(__xludf.DUMMYFUNCTION("""COMPUTED_VALUE"""),"BLUE")</f>
        <v>BLUE</v>
      </c>
      <c r="G3295" s="20" t="str">
        <f>IFERROR(__xludf.DUMMYFUNCTION("""COMPUTED_VALUE"""),"Uncle Sams Cider (11/12/2021) (Blue)")</f>
        <v>Uncle Sams Cider (11/12/2021) (Blue)</v>
      </c>
      <c r="H3295" s="19"/>
    </row>
    <row r="3296">
      <c r="A3296" s="9"/>
      <c r="B3296" s="15"/>
      <c r="C3296" s="9">
        <f>IFERROR(__xludf.DUMMYFUNCTION("""COMPUTED_VALUE"""),44571.2070841435)</f>
        <v>44571.20708</v>
      </c>
      <c r="D3296" s="15">
        <f>IFERROR(__xludf.DUMMYFUNCTION("""COMPUTED_VALUE"""),1.004)</f>
        <v>1.004</v>
      </c>
      <c r="E3296" s="16">
        <f>IFERROR(__xludf.DUMMYFUNCTION("""COMPUTED_VALUE"""),63.0)</f>
        <v>63</v>
      </c>
      <c r="F3296" s="19" t="str">
        <f>IFERROR(__xludf.DUMMYFUNCTION("""COMPUTED_VALUE"""),"BLUE")</f>
        <v>BLUE</v>
      </c>
      <c r="G3296" s="20" t="str">
        <f>IFERROR(__xludf.DUMMYFUNCTION("""COMPUTED_VALUE"""),"Uncle Sams Cider (11/12/2021) (Blue)")</f>
        <v>Uncle Sams Cider (11/12/2021) (Blue)</v>
      </c>
      <c r="H3296" s="19"/>
    </row>
    <row r="3297">
      <c r="A3297" s="9"/>
      <c r="B3297" s="15"/>
      <c r="C3297" s="9">
        <f>IFERROR(__xludf.DUMMYFUNCTION("""COMPUTED_VALUE"""),44571.1966626388)</f>
        <v>44571.19666</v>
      </c>
      <c r="D3297" s="15">
        <f>IFERROR(__xludf.DUMMYFUNCTION("""COMPUTED_VALUE"""),1.004)</f>
        <v>1.004</v>
      </c>
      <c r="E3297" s="16">
        <f>IFERROR(__xludf.DUMMYFUNCTION("""COMPUTED_VALUE"""),63.0)</f>
        <v>63</v>
      </c>
      <c r="F3297" s="19" t="str">
        <f>IFERROR(__xludf.DUMMYFUNCTION("""COMPUTED_VALUE"""),"BLUE")</f>
        <v>BLUE</v>
      </c>
      <c r="G3297" s="20" t="str">
        <f>IFERROR(__xludf.DUMMYFUNCTION("""COMPUTED_VALUE"""),"Uncle Sams Cider (11/12/2021) (Blue)")</f>
        <v>Uncle Sams Cider (11/12/2021) (Blue)</v>
      </c>
      <c r="H3297" s="19"/>
    </row>
    <row r="3298">
      <c r="A3298" s="9"/>
      <c r="B3298" s="15"/>
      <c r="C3298" s="9">
        <f>IFERROR(__xludf.DUMMYFUNCTION("""COMPUTED_VALUE"""),44571.1862420601)</f>
        <v>44571.18624</v>
      </c>
      <c r="D3298" s="15">
        <f>IFERROR(__xludf.DUMMYFUNCTION("""COMPUTED_VALUE"""),1.004)</f>
        <v>1.004</v>
      </c>
      <c r="E3298" s="16">
        <f>IFERROR(__xludf.DUMMYFUNCTION("""COMPUTED_VALUE"""),63.0)</f>
        <v>63</v>
      </c>
      <c r="F3298" s="19" t="str">
        <f>IFERROR(__xludf.DUMMYFUNCTION("""COMPUTED_VALUE"""),"BLUE")</f>
        <v>BLUE</v>
      </c>
      <c r="G3298" s="20" t="str">
        <f>IFERROR(__xludf.DUMMYFUNCTION("""COMPUTED_VALUE"""),"Uncle Sams Cider (11/12/2021) (Blue)")</f>
        <v>Uncle Sams Cider (11/12/2021) (Blue)</v>
      </c>
      <c r="H3298" s="19"/>
    </row>
    <row r="3299">
      <c r="A3299" s="9"/>
      <c r="B3299" s="15"/>
      <c r="C3299" s="9">
        <f>IFERROR(__xludf.DUMMYFUNCTION("""COMPUTED_VALUE"""),44571.1758216666)</f>
        <v>44571.17582</v>
      </c>
      <c r="D3299" s="15">
        <f>IFERROR(__xludf.DUMMYFUNCTION("""COMPUTED_VALUE"""),1.004)</f>
        <v>1.004</v>
      </c>
      <c r="E3299" s="16">
        <f>IFERROR(__xludf.DUMMYFUNCTION("""COMPUTED_VALUE"""),63.0)</f>
        <v>63</v>
      </c>
      <c r="F3299" s="19" t="str">
        <f>IFERROR(__xludf.DUMMYFUNCTION("""COMPUTED_VALUE"""),"BLUE")</f>
        <v>BLUE</v>
      </c>
      <c r="G3299" s="20" t="str">
        <f>IFERROR(__xludf.DUMMYFUNCTION("""COMPUTED_VALUE"""),"Uncle Sams Cider (11/12/2021) (Blue)")</f>
        <v>Uncle Sams Cider (11/12/2021) (Blue)</v>
      </c>
      <c r="H3299" s="19"/>
    </row>
    <row r="3300">
      <c r="A3300" s="9"/>
      <c r="B3300" s="15"/>
      <c r="C3300" s="9">
        <f>IFERROR(__xludf.DUMMYFUNCTION("""COMPUTED_VALUE"""),44571.1654012152)</f>
        <v>44571.1654</v>
      </c>
      <c r="D3300" s="15">
        <f>IFERROR(__xludf.DUMMYFUNCTION("""COMPUTED_VALUE"""),1.004)</f>
        <v>1.004</v>
      </c>
      <c r="E3300" s="16">
        <f>IFERROR(__xludf.DUMMYFUNCTION("""COMPUTED_VALUE"""),63.0)</f>
        <v>63</v>
      </c>
      <c r="F3300" s="19" t="str">
        <f>IFERROR(__xludf.DUMMYFUNCTION("""COMPUTED_VALUE"""),"BLUE")</f>
        <v>BLUE</v>
      </c>
      <c r="G3300" s="20" t="str">
        <f>IFERROR(__xludf.DUMMYFUNCTION("""COMPUTED_VALUE"""),"Uncle Sams Cider (11/12/2021) (Blue)")</f>
        <v>Uncle Sams Cider (11/12/2021) (Blue)</v>
      </c>
      <c r="H3300" s="19"/>
    </row>
    <row r="3301">
      <c r="A3301" s="9"/>
      <c r="B3301" s="15"/>
      <c r="C3301" s="9">
        <f>IFERROR(__xludf.DUMMYFUNCTION("""COMPUTED_VALUE"""),44571.1549814814)</f>
        <v>44571.15498</v>
      </c>
      <c r="D3301" s="15">
        <f>IFERROR(__xludf.DUMMYFUNCTION("""COMPUTED_VALUE"""),1.004)</f>
        <v>1.004</v>
      </c>
      <c r="E3301" s="16">
        <f>IFERROR(__xludf.DUMMYFUNCTION("""COMPUTED_VALUE"""),63.0)</f>
        <v>63</v>
      </c>
      <c r="F3301" s="19" t="str">
        <f>IFERROR(__xludf.DUMMYFUNCTION("""COMPUTED_VALUE"""),"BLUE")</f>
        <v>BLUE</v>
      </c>
      <c r="G3301" s="20" t="str">
        <f>IFERROR(__xludf.DUMMYFUNCTION("""COMPUTED_VALUE"""),"Uncle Sams Cider (11/12/2021) (Blue)")</f>
        <v>Uncle Sams Cider (11/12/2021) (Blue)</v>
      </c>
      <c r="H3301" s="19"/>
    </row>
    <row r="3302">
      <c r="A3302" s="9"/>
      <c r="B3302" s="15"/>
      <c r="C3302" s="9">
        <f>IFERROR(__xludf.DUMMYFUNCTION("""COMPUTED_VALUE"""),44571.1445611458)</f>
        <v>44571.14456</v>
      </c>
      <c r="D3302" s="15">
        <f>IFERROR(__xludf.DUMMYFUNCTION("""COMPUTED_VALUE"""),1.005)</f>
        <v>1.005</v>
      </c>
      <c r="E3302" s="16">
        <f>IFERROR(__xludf.DUMMYFUNCTION("""COMPUTED_VALUE"""),64.0)</f>
        <v>64</v>
      </c>
      <c r="F3302" s="19" t="str">
        <f>IFERROR(__xludf.DUMMYFUNCTION("""COMPUTED_VALUE"""),"BLUE")</f>
        <v>BLUE</v>
      </c>
      <c r="G3302" s="20" t="str">
        <f>IFERROR(__xludf.DUMMYFUNCTION("""COMPUTED_VALUE"""),"Uncle Sams Cider (11/12/2021) (Blue)")</f>
        <v>Uncle Sams Cider (11/12/2021) (Blue)</v>
      </c>
      <c r="H3302" s="19"/>
    </row>
    <row r="3303">
      <c r="A3303" s="9"/>
      <c r="B3303" s="15"/>
      <c r="C3303" s="9">
        <f>IFERROR(__xludf.DUMMYFUNCTION("""COMPUTED_VALUE"""),44571.1341286111)</f>
        <v>44571.13413</v>
      </c>
      <c r="D3303" s="15">
        <f>IFERROR(__xludf.DUMMYFUNCTION("""COMPUTED_VALUE"""),1.005)</f>
        <v>1.005</v>
      </c>
      <c r="E3303" s="16">
        <f>IFERROR(__xludf.DUMMYFUNCTION("""COMPUTED_VALUE"""),64.0)</f>
        <v>64</v>
      </c>
      <c r="F3303" s="19" t="str">
        <f>IFERROR(__xludf.DUMMYFUNCTION("""COMPUTED_VALUE"""),"BLUE")</f>
        <v>BLUE</v>
      </c>
      <c r="G3303" s="20" t="str">
        <f>IFERROR(__xludf.DUMMYFUNCTION("""COMPUTED_VALUE"""),"Uncle Sams Cider (11/12/2021) (Blue)")</f>
        <v>Uncle Sams Cider (11/12/2021) (Blue)</v>
      </c>
      <c r="H3303" s="19"/>
    </row>
    <row r="3304">
      <c r="A3304" s="9"/>
      <c r="B3304" s="15"/>
      <c r="C3304" s="9">
        <f>IFERROR(__xludf.DUMMYFUNCTION("""COMPUTED_VALUE"""),44571.1236956828)</f>
        <v>44571.1237</v>
      </c>
      <c r="D3304" s="15">
        <f>IFERROR(__xludf.DUMMYFUNCTION("""COMPUTED_VALUE"""),1.004)</f>
        <v>1.004</v>
      </c>
      <c r="E3304" s="16">
        <f>IFERROR(__xludf.DUMMYFUNCTION("""COMPUTED_VALUE"""),64.0)</f>
        <v>64</v>
      </c>
      <c r="F3304" s="19" t="str">
        <f>IFERROR(__xludf.DUMMYFUNCTION("""COMPUTED_VALUE"""),"BLUE")</f>
        <v>BLUE</v>
      </c>
      <c r="G3304" s="20" t="str">
        <f>IFERROR(__xludf.DUMMYFUNCTION("""COMPUTED_VALUE"""),"Uncle Sams Cider (11/12/2021) (Blue)")</f>
        <v>Uncle Sams Cider (11/12/2021) (Blue)</v>
      </c>
      <c r="H3304" s="19"/>
    </row>
    <row r="3305">
      <c r="A3305" s="9"/>
      <c r="B3305" s="15"/>
      <c r="C3305" s="9">
        <f>IFERROR(__xludf.DUMMYFUNCTION("""COMPUTED_VALUE"""),44571.1132733101)</f>
        <v>44571.11327</v>
      </c>
      <c r="D3305" s="15">
        <f>IFERROR(__xludf.DUMMYFUNCTION("""COMPUTED_VALUE"""),1.004)</f>
        <v>1.004</v>
      </c>
      <c r="E3305" s="16">
        <f>IFERROR(__xludf.DUMMYFUNCTION("""COMPUTED_VALUE"""),64.0)</f>
        <v>64</v>
      </c>
      <c r="F3305" s="19" t="str">
        <f>IFERROR(__xludf.DUMMYFUNCTION("""COMPUTED_VALUE"""),"BLUE")</f>
        <v>BLUE</v>
      </c>
      <c r="G3305" s="20" t="str">
        <f>IFERROR(__xludf.DUMMYFUNCTION("""COMPUTED_VALUE"""),"Uncle Sams Cider (11/12/2021) (Blue)")</f>
        <v>Uncle Sams Cider (11/12/2021) (Blue)</v>
      </c>
      <c r="H3305" s="19"/>
    </row>
    <row r="3306">
      <c r="A3306" s="9"/>
      <c r="B3306" s="15"/>
      <c r="C3306" s="9">
        <f>IFERROR(__xludf.DUMMYFUNCTION("""COMPUTED_VALUE"""),44571.1028524999)</f>
        <v>44571.10285</v>
      </c>
      <c r="D3306" s="15">
        <f>IFERROR(__xludf.DUMMYFUNCTION("""COMPUTED_VALUE"""),1.005)</f>
        <v>1.005</v>
      </c>
      <c r="E3306" s="16">
        <f>IFERROR(__xludf.DUMMYFUNCTION("""COMPUTED_VALUE"""),64.0)</f>
        <v>64</v>
      </c>
      <c r="F3306" s="19" t="str">
        <f>IFERROR(__xludf.DUMMYFUNCTION("""COMPUTED_VALUE"""),"BLUE")</f>
        <v>BLUE</v>
      </c>
      <c r="G3306" s="20" t="str">
        <f>IFERROR(__xludf.DUMMYFUNCTION("""COMPUTED_VALUE"""),"Uncle Sams Cider (11/12/2021) (Blue)")</f>
        <v>Uncle Sams Cider (11/12/2021) (Blue)</v>
      </c>
      <c r="H3306" s="19"/>
    </row>
    <row r="3307">
      <c r="A3307" s="9"/>
      <c r="B3307" s="15"/>
      <c r="C3307" s="9">
        <f>IFERROR(__xludf.DUMMYFUNCTION("""COMPUTED_VALUE"""),44571.0924201967)</f>
        <v>44571.09242</v>
      </c>
      <c r="D3307" s="15">
        <f>IFERROR(__xludf.DUMMYFUNCTION("""COMPUTED_VALUE"""),1.005)</f>
        <v>1.005</v>
      </c>
      <c r="E3307" s="16">
        <f>IFERROR(__xludf.DUMMYFUNCTION("""COMPUTED_VALUE"""),64.0)</f>
        <v>64</v>
      </c>
      <c r="F3307" s="19" t="str">
        <f>IFERROR(__xludf.DUMMYFUNCTION("""COMPUTED_VALUE"""),"BLUE")</f>
        <v>BLUE</v>
      </c>
      <c r="G3307" s="20" t="str">
        <f>IFERROR(__xludf.DUMMYFUNCTION("""COMPUTED_VALUE"""),"Uncle Sams Cider (11/12/2021) (Blue)")</f>
        <v>Uncle Sams Cider (11/12/2021) (Blue)</v>
      </c>
      <c r="H3307" s="19"/>
    </row>
    <row r="3308">
      <c r="A3308" s="9"/>
      <c r="B3308" s="15"/>
      <c r="C3308" s="9">
        <f>IFERROR(__xludf.DUMMYFUNCTION("""COMPUTED_VALUE"""),44571.0819981828)</f>
        <v>44571.082</v>
      </c>
      <c r="D3308" s="15">
        <f>IFERROR(__xludf.DUMMYFUNCTION("""COMPUTED_VALUE"""),1.005)</f>
        <v>1.005</v>
      </c>
      <c r="E3308" s="16">
        <f>IFERROR(__xludf.DUMMYFUNCTION("""COMPUTED_VALUE"""),64.0)</f>
        <v>64</v>
      </c>
      <c r="F3308" s="19" t="str">
        <f>IFERROR(__xludf.DUMMYFUNCTION("""COMPUTED_VALUE"""),"BLUE")</f>
        <v>BLUE</v>
      </c>
      <c r="G3308" s="20" t="str">
        <f>IFERROR(__xludf.DUMMYFUNCTION("""COMPUTED_VALUE"""),"Uncle Sams Cider (11/12/2021) (Blue)")</f>
        <v>Uncle Sams Cider (11/12/2021) (Blue)</v>
      </c>
      <c r="H3308" s="19"/>
    </row>
    <row r="3309">
      <c r="A3309" s="9"/>
      <c r="B3309" s="15"/>
      <c r="C3309" s="9">
        <f>IFERROR(__xludf.DUMMYFUNCTION("""COMPUTED_VALUE"""),44571.0715746759)</f>
        <v>44571.07157</v>
      </c>
      <c r="D3309" s="15">
        <f>IFERROR(__xludf.DUMMYFUNCTION("""COMPUTED_VALUE"""),1.004)</f>
        <v>1.004</v>
      </c>
      <c r="E3309" s="16">
        <f>IFERROR(__xludf.DUMMYFUNCTION("""COMPUTED_VALUE"""),64.0)</f>
        <v>64</v>
      </c>
      <c r="F3309" s="19" t="str">
        <f>IFERROR(__xludf.DUMMYFUNCTION("""COMPUTED_VALUE"""),"BLUE")</f>
        <v>BLUE</v>
      </c>
      <c r="G3309" s="20" t="str">
        <f>IFERROR(__xludf.DUMMYFUNCTION("""COMPUTED_VALUE"""),"Uncle Sams Cider (11/12/2021) (Blue)")</f>
        <v>Uncle Sams Cider (11/12/2021) (Blue)</v>
      </c>
      <c r="H3309" s="19"/>
    </row>
    <row r="3310">
      <c r="A3310" s="9"/>
      <c r="B3310" s="15"/>
      <c r="C3310" s="9">
        <f>IFERROR(__xludf.DUMMYFUNCTION("""COMPUTED_VALUE"""),44571.0611530208)</f>
        <v>44571.06115</v>
      </c>
      <c r="D3310" s="15">
        <f>IFERROR(__xludf.DUMMYFUNCTION("""COMPUTED_VALUE"""),1.004)</f>
        <v>1.004</v>
      </c>
      <c r="E3310" s="16">
        <f>IFERROR(__xludf.DUMMYFUNCTION("""COMPUTED_VALUE"""),64.0)</f>
        <v>64</v>
      </c>
      <c r="F3310" s="19" t="str">
        <f>IFERROR(__xludf.DUMMYFUNCTION("""COMPUTED_VALUE"""),"BLUE")</f>
        <v>BLUE</v>
      </c>
      <c r="G3310" s="20" t="str">
        <f>IFERROR(__xludf.DUMMYFUNCTION("""COMPUTED_VALUE"""),"Uncle Sams Cider (11/12/2021) (Blue)")</f>
        <v>Uncle Sams Cider (11/12/2021) (Blue)</v>
      </c>
      <c r="H3310" s="19"/>
    </row>
    <row r="3311">
      <c r="A3311" s="9"/>
      <c r="B3311" s="15"/>
      <c r="C3311" s="9">
        <f>IFERROR(__xludf.DUMMYFUNCTION("""COMPUTED_VALUE"""),44571.0507184259)</f>
        <v>44571.05072</v>
      </c>
      <c r="D3311" s="15">
        <f>IFERROR(__xludf.DUMMYFUNCTION("""COMPUTED_VALUE"""),1.005)</f>
        <v>1.005</v>
      </c>
      <c r="E3311" s="16">
        <f>IFERROR(__xludf.DUMMYFUNCTION("""COMPUTED_VALUE"""),64.0)</f>
        <v>64</v>
      </c>
      <c r="F3311" s="19" t="str">
        <f>IFERROR(__xludf.DUMMYFUNCTION("""COMPUTED_VALUE"""),"BLUE")</f>
        <v>BLUE</v>
      </c>
      <c r="G3311" s="20" t="str">
        <f>IFERROR(__xludf.DUMMYFUNCTION("""COMPUTED_VALUE"""),"Uncle Sams Cider (11/12/2021) (Blue)")</f>
        <v>Uncle Sams Cider (11/12/2021) (Blue)</v>
      </c>
      <c r="H3311" s="19"/>
    </row>
    <row r="3312">
      <c r="A3312" s="9"/>
      <c r="B3312" s="15"/>
      <c r="C3312" s="9">
        <f>IFERROR(__xludf.DUMMYFUNCTION("""COMPUTED_VALUE"""),44571.0402989467)</f>
        <v>44571.0403</v>
      </c>
      <c r="D3312" s="15">
        <f>IFERROR(__xludf.DUMMYFUNCTION("""COMPUTED_VALUE"""),1.005)</f>
        <v>1.005</v>
      </c>
      <c r="E3312" s="16">
        <f>IFERROR(__xludf.DUMMYFUNCTION("""COMPUTED_VALUE"""),64.0)</f>
        <v>64</v>
      </c>
      <c r="F3312" s="19" t="str">
        <f>IFERROR(__xludf.DUMMYFUNCTION("""COMPUTED_VALUE"""),"BLUE")</f>
        <v>BLUE</v>
      </c>
      <c r="G3312" s="20" t="str">
        <f>IFERROR(__xludf.DUMMYFUNCTION("""COMPUTED_VALUE"""),"Uncle Sams Cider (11/12/2021) (Blue)")</f>
        <v>Uncle Sams Cider (11/12/2021) (Blue)</v>
      </c>
      <c r="H3312" s="19"/>
    </row>
    <row r="3313">
      <c r="A3313" s="9"/>
      <c r="B3313" s="15"/>
      <c r="C3313" s="9">
        <f>IFERROR(__xludf.DUMMYFUNCTION("""COMPUTED_VALUE"""),44571.02987875)</f>
        <v>44571.02988</v>
      </c>
      <c r="D3313" s="15">
        <f>IFERROR(__xludf.DUMMYFUNCTION("""COMPUTED_VALUE"""),1.004)</f>
        <v>1.004</v>
      </c>
      <c r="E3313" s="16">
        <f>IFERROR(__xludf.DUMMYFUNCTION("""COMPUTED_VALUE"""),64.0)</f>
        <v>64</v>
      </c>
      <c r="F3313" s="19" t="str">
        <f>IFERROR(__xludf.DUMMYFUNCTION("""COMPUTED_VALUE"""),"BLUE")</f>
        <v>BLUE</v>
      </c>
      <c r="G3313" s="20" t="str">
        <f>IFERROR(__xludf.DUMMYFUNCTION("""COMPUTED_VALUE"""),"Uncle Sams Cider (11/12/2021) (Blue)")</f>
        <v>Uncle Sams Cider (11/12/2021) (Blue)</v>
      </c>
      <c r="H3313" s="19"/>
    </row>
    <row r="3314">
      <c r="A3314" s="9"/>
      <c r="B3314" s="15"/>
      <c r="C3314" s="9">
        <f>IFERROR(__xludf.DUMMYFUNCTION("""COMPUTED_VALUE"""),44571.0194566319)</f>
        <v>44571.01946</v>
      </c>
      <c r="D3314" s="15">
        <f>IFERROR(__xludf.DUMMYFUNCTION("""COMPUTED_VALUE"""),1.004)</f>
        <v>1.004</v>
      </c>
      <c r="E3314" s="16">
        <f>IFERROR(__xludf.DUMMYFUNCTION("""COMPUTED_VALUE"""),64.0)</f>
        <v>64</v>
      </c>
      <c r="F3314" s="19" t="str">
        <f>IFERROR(__xludf.DUMMYFUNCTION("""COMPUTED_VALUE"""),"BLUE")</f>
        <v>BLUE</v>
      </c>
      <c r="G3314" s="20" t="str">
        <f>IFERROR(__xludf.DUMMYFUNCTION("""COMPUTED_VALUE"""),"Uncle Sams Cider (11/12/2021) (Blue)")</f>
        <v>Uncle Sams Cider (11/12/2021) (Blue)</v>
      </c>
      <c r="H3314" s="19"/>
    </row>
    <row r="3315">
      <c r="A3315" s="9"/>
      <c r="B3315" s="15"/>
      <c r="C3315" s="9">
        <f>IFERROR(__xludf.DUMMYFUNCTION("""COMPUTED_VALUE"""),44571.0090348611)</f>
        <v>44571.00903</v>
      </c>
      <c r="D3315" s="15">
        <f>IFERROR(__xludf.DUMMYFUNCTION("""COMPUTED_VALUE"""),1.004)</f>
        <v>1.004</v>
      </c>
      <c r="E3315" s="16">
        <f>IFERROR(__xludf.DUMMYFUNCTION("""COMPUTED_VALUE"""),64.0)</f>
        <v>64</v>
      </c>
      <c r="F3315" s="19" t="str">
        <f>IFERROR(__xludf.DUMMYFUNCTION("""COMPUTED_VALUE"""),"BLUE")</f>
        <v>BLUE</v>
      </c>
      <c r="G3315" s="20" t="str">
        <f>IFERROR(__xludf.DUMMYFUNCTION("""COMPUTED_VALUE"""),"Uncle Sams Cider (11/12/2021) (Blue)")</f>
        <v>Uncle Sams Cider (11/12/2021) (Blue)</v>
      </c>
      <c r="H3315" s="19"/>
    </row>
    <row r="3316">
      <c r="A3316" s="9"/>
      <c r="B3316" s="15"/>
      <c r="C3316" s="9">
        <f>IFERROR(__xludf.DUMMYFUNCTION("""COMPUTED_VALUE"""),44570.9986131134)</f>
        <v>44570.99861</v>
      </c>
      <c r="D3316" s="15">
        <f>IFERROR(__xludf.DUMMYFUNCTION("""COMPUTED_VALUE"""),1.004)</f>
        <v>1.004</v>
      </c>
      <c r="E3316" s="16">
        <f>IFERROR(__xludf.DUMMYFUNCTION("""COMPUTED_VALUE"""),64.0)</f>
        <v>64</v>
      </c>
      <c r="F3316" s="19" t="str">
        <f>IFERROR(__xludf.DUMMYFUNCTION("""COMPUTED_VALUE"""),"BLUE")</f>
        <v>BLUE</v>
      </c>
      <c r="G3316" s="20" t="str">
        <f>IFERROR(__xludf.DUMMYFUNCTION("""COMPUTED_VALUE"""),"Uncle Sams Cider (11/12/2021) (Blue)")</f>
        <v>Uncle Sams Cider (11/12/2021) (Blue)</v>
      </c>
      <c r="H3316" s="19"/>
    </row>
    <row r="3317">
      <c r="A3317" s="9"/>
      <c r="B3317" s="15"/>
      <c r="C3317" s="9">
        <f>IFERROR(__xludf.DUMMYFUNCTION("""COMPUTED_VALUE"""),44570.9881797569)</f>
        <v>44570.98818</v>
      </c>
      <c r="D3317" s="15">
        <f>IFERROR(__xludf.DUMMYFUNCTION("""COMPUTED_VALUE"""),1.004)</f>
        <v>1.004</v>
      </c>
      <c r="E3317" s="16">
        <f>IFERROR(__xludf.DUMMYFUNCTION("""COMPUTED_VALUE"""),64.0)</f>
        <v>64</v>
      </c>
      <c r="F3317" s="19" t="str">
        <f>IFERROR(__xludf.DUMMYFUNCTION("""COMPUTED_VALUE"""),"BLUE")</f>
        <v>BLUE</v>
      </c>
      <c r="G3317" s="20" t="str">
        <f>IFERROR(__xludf.DUMMYFUNCTION("""COMPUTED_VALUE"""),"Uncle Sams Cider (11/12/2021) (Blue)")</f>
        <v>Uncle Sams Cider (11/12/2021) (Blue)</v>
      </c>
      <c r="H3317" s="19"/>
    </row>
    <row r="3318">
      <c r="A3318" s="9"/>
      <c r="B3318" s="15"/>
      <c r="C3318" s="9">
        <f>IFERROR(__xludf.DUMMYFUNCTION("""COMPUTED_VALUE"""),44570.9777598611)</f>
        <v>44570.97776</v>
      </c>
      <c r="D3318" s="15">
        <f>IFERROR(__xludf.DUMMYFUNCTION("""COMPUTED_VALUE"""),1.004)</f>
        <v>1.004</v>
      </c>
      <c r="E3318" s="16">
        <f>IFERROR(__xludf.DUMMYFUNCTION("""COMPUTED_VALUE"""),64.0)</f>
        <v>64</v>
      </c>
      <c r="F3318" s="19" t="str">
        <f>IFERROR(__xludf.DUMMYFUNCTION("""COMPUTED_VALUE"""),"BLUE")</f>
        <v>BLUE</v>
      </c>
      <c r="G3318" s="20" t="str">
        <f>IFERROR(__xludf.DUMMYFUNCTION("""COMPUTED_VALUE"""),"Uncle Sams Cider (11/12/2021) (Blue)")</f>
        <v>Uncle Sams Cider (11/12/2021) (Blue)</v>
      </c>
      <c r="H3318" s="19"/>
    </row>
    <row r="3319">
      <c r="A3319" s="9"/>
      <c r="B3319" s="15"/>
      <c r="C3319" s="9">
        <f>IFERROR(__xludf.DUMMYFUNCTION("""COMPUTED_VALUE"""),44570.9673374884)</f>
        <v>44570.96734</v>
      </c>
      <c r="D3319" s="15">
        <f>IFERROR(__xludf.DUMMYFUNCTION("""COMPUTED_VALUE"""),1.004)</f>
        <v>1.004</v>
      </c>
      <c r="E3319" s="16">
        <f>IFERROR(__xludf.DUMMYFUNCTION("""COMPUTED_VALUE"""),64.0)</f>
        <v>64</v>
      </c>
      <c r="F3319" s="19" t="str">
        <f>IFERROR(__xludf.DUMMYFUNCTION("""COMPUTED_VALUE"""),"BLUE")</f>
        <v>BLUE</v>
      </c>
      <c r="G3319" s="20" t="str">
        <f>IFERROR(__xludf.DUMMYFUNCTION("""COMPUTED_VALUE"""),"Uncle Sams Cider (11/12/2021) (Blue)")</f>
        <v>Uncle Sams Cider (11/12/2021) (Blue)</v>
      </c>
      <c r="H3319" s="19"/>
    </row>
    <row r="3320">
      <c r="A3320" s="9"/>
      <c r="B3320" s="15"/>
      <c r="C3320" s="9">
        <f>IFERROR(__xludf.DUMMYFUNCTION("""COMPUTED_VALUE"""),44570.9569164004)</f>
        <v>44570.95692</v>
      </c>
      <c r="D3320" s="15">
        <f>IFERROR(__xludf.DUMMYFUNCTION("""COMPUTED_VALUE"""),1.004)</f>
        <v>1.004</v>
      </c>
      <c r="E3320" s="16">
        <f>IFERROR(__xludf.DUMMYFUNCTION("""COMPUTED_VALUE"""),64.0)</f>
        <v>64</v>
      </c>
      <c r="F3320" s="19" t="str">
        <f>IFERROR(__xludf.DUMMYFUNCTION("""COMPUTED_VALUE"""),"BLUE")</f>
        <v>BLUE</v>
      </c>
      <c r="G3320" s="20" t="str">
        <f>IFERROR(__xludf.DUMMYFUNCTION("""COMPUTED_VALUE"""),"Uncle Sams Cider (11/12/2021) (Blue)")</f>
        <v>Uncle Sams Cider (11/12/2021) (Blue)</v>
      </c>
      <c r="H3320" s="19"/>
    </row>
    <row r="3321">
      <c r="A3321" s="9"/>
      <c r="B3321" s="15"/>
      <c r="C3321" s="9">
        <f>IFERROR(__xludf.DUMMYFUNCTION("""COMPUTED_VALUE"""),44570.9464952893)</f>
        <v>44570.9465</v>
      </c>
      <c r="D3321" s="15">
        <f>IFERROR(__xludf.DUMMYFUNCTION("""COMPUTED_VALUE"""),1.005)</f>
        <v>1.005</v>
      </c>
      <c r="E3321" s="16">
        <f>IFERROR(__xludf.DUMMYFUNCTION("""COMPUTED_VALUE"""),64.0)</f>
        <v>64</v>
      </c>
      <c r="F3321" s="19" t="str">
        <f>IFERROR(__xludf.DUMMYFUNCTION("""COMPUTED_VALUE"""),"BLUE")</f>
        <v>BLUE</v>
      </c>
      <c r="G3321" s="20" t="str">
        <f>IFERROR(__xludf.DUMMYFUNCTION("""COMPUTED_VALUE"""),"Uncle Sams Cider (11/12/2021) (Blue)")</f>
        <v>Uncle Sams Cider (11/12/2021) (Blue)</v>
      </c>
      <c r="H3321" s="19"/>
    </row>
    <row r="3322">
      <c r="A3322" s="9"/>
      <c r="B3322" s="15"/>
      <c r="C3322" s="9">
        <f>IFERROR(__xludf.DUMMYFUNCTION("""COMPUTED_VALUE"""),44570.9360748148)</f>
        <v>44570.93607</v>
      </c>
      <c r="D3322" s="15">
        <f>IFERROR(__xludf.DUMMYFUNCTION("""COMPUTED_VALUE"""),1.004)</f>
        <v>1.004</v>
      </c>
      <c r="E3322" s="16">
        <f>IFERROR(__xludf.DUMMYFUNCTION("""COMPUTED_VALUE"""),64.0)</f>
        <v>64</v>
      </c>
      <c r="F3322" s="19" t="str">
        <f>IFERROR(__xludf.DUMMYFUNCTION("""COMPUTED_VALUE"""),"BLUE")</f>
        <v>BLUE</v>
      </c>
      <c r="G3322" s="20" t="str">
        <f>IFERROR(__xludf.DUMMYFUNCTION("""COMPUTED_VALUE"""),"Uncle Sams Cider (11/12/2021) (Blue)")</f>
        <v>Uncle Sams Cider (11/12/2021) (Blue)</v>
      </c>
      <c r="H3322" s="19"/>
    </row>
    <row r="3323">
      <c r="A3323" s="9"/>
      <c r="B3323" s="15"/>
      <c r="C3323" s="9">
        <f>IFERROR(__xludf.DUMMYFUNCTION("""COMPUTED_VALUE"""),44570.9256535763)</f>
        <v>44570.92565</v>
      </c>
      <c r="D3323" s="15">
        <f>IFERROR(__xludf.DUMMYFUNCTION("""COMPUTED_VALUE"""),1.005)</f>
        <v>1.005</v>
      </c>
      <c r="E3323" s="16">
        <f>IFERROR(__xludf.DUMMYFUNCTION("""COMPUTED_VALUE"""),64.0)</f>
        <v>64</v>
      </c>
      <c r="F3323" s="19" t="str">
        <f>IFERROR(__xludf.DUMMYFUNCTION("""COMPUTED_VALUE"""),"BLUE")</f>
        <v>BLUE</v>
      </c>
      <c r="G3323" s="20" t="str">
        <f>IFERROR(__xludf.DUMMYFUNCTION("""COMPUTED_VALUE"""),"Uncle Sams Cider (11/12/2021) (Blue)")</f>
        <v>Uncle Sams Cider (11/12/2021) (Blue)</v>
      </c>
      <c r="H3323" s="19"/>
    </row>
    <row r="3324">
      <c r="A3324" s="9"/>
      <c r="B3324" s="15"/>
      <c r="C3324" s="9">
        <f>IFERROR(__xludf.DUMMYFUNCTION("""COMPUTED_VALUE"""),44570.915220324)</f>
        <v>44570.91522</v>
      </c>
      <c r="D3324" s="15">
        <f>IFERROR(__xludf.DUMMYFUNCTION("""COMPUTED_VALUE"""),1.004)</f>
        <v>1.004</v>
      </c>
      <c r="E3324" s="16">
        <f>IFERROR(__xludf.DUMMYFUNCTION("""COMPUTED_VALUE"""),64.0)</f>
        <v>64</v>
      </c>
      <c r="F3324" s="19" t="str">
        <f>IFERROR(__xludf.DUMMYFUNCTION("""COMPUTED_VALUE"""),"BLUE")</f>
        <v>BLUE</v>
      </c>
      <c r="G3324" s="20" t="str">
        <f>IFERROR(__xludf.DUMMYFUNCTION("""COMPUTED_VALUE"""),"Uncle Sams Cider (11/12/2021) (Blue)")</f>
        <v>Uncle Sams Cider (11/12/2021) (Blue)</v>
      </c>
      <c r="H3324" s="19"/>
    </row>
    <row r="3325">
      <c r="A3325" s="9"/>
      <c r="B3325" s="15"/>
      <c r="C3325" s="9">
        <f>IFERROR(__xludf.DUMMYFUNCTION("""COMPUTED_VALUE"""),44570.9047970601)</f>
        <v>44570.9048</v>
      </c>
      <c r="D3325" s="15">
        <f>IFERROR(__xludf.DUMMYFUNCTION("""COMPUTED_VALUE"""),1.005)</f>
        <v>1.005</v>
      </c>
      <c r="E3325" s="16">
        <f>IFERROR(__xludf.DUMMYFUNCTION("""COMPUTED_VALUE"""),64.0)</f>
        <v>64</v>
      </c>
      <c r="F3325" s="19" t="str">
        <f>IFERROR(__xludf.DUMMYFUNCTION("""COMPUTED_VALUE"""),"BLUE")</f>
        <v>BLUE</v>
      </c>
      <c r="G3325" s="20" t="str">
        <f>IFERROR(__xludf.DUMMYFUNCTION("""COMPUTED_VALUE"""),"Uncle Sams Cider (11/12/2021) (Blue)")</f>
        <v>Uncle Sams Cider (11/12/2021) (Blue)</v>
      </c>
      <c r="H3325" s="19"/>
    </row>
    <row r="3326">
      <c r="A3326" s="9"/>
      <c r="B3326" s="15"/>
      <c r="C3326" s="9">
        <f>IFERROR(__xludf.DUMMYFUNCTION("""COMPUTED_VALUE"""),44570.8943765856)</f>
        <v>44570.89438</v>
      </c>
      <c r="D3326" s="15">
        <f>IFERROR(__xludf.DUMMYFUNCTION("""COMPUTED_VALUE"""),1.005)</f>
        <v>1.005</v>
      </c>
      <c r="E3326" s="16">
        <f>IFERROR(__xludf.DUMMYFUNCTION("""COMPUTED_VALUE"""),64.0)</f>
        <v>64</v>
      </c>
      <c r="F3326" s="19" t="str">
        <f>IFERROR(__xludf.DUMMYFUNCTION("""COMPUTED_VALUE"""),"BLUE")</f>
        <v>BLUE</v>
      </c>
      <c r="G3326" s="20" t="str">
        <f>IFERROR(__xludf.DUMMYFUNCTION("""COMPUTED_VALUE"""),"Uncle Sams Cider (11/12/2021) (Blue)")</f>
        <v>Uncle Sams Cider (11/12/2021) (Blue)</v>
      </c>
      <c r="H3326" s="19"/>
    </row>
    <row r="3327">
      <c r="A3327" s="9"/>
      <c r="B3327" s="15"/>
      <c r="C3327" s="9">
        <f>IFERROR(__xludf.DUMMYFUNCTION("""COMPUTED_VALUE"""),44570.8839536689)</f>
        <v>44570.88395</v>
      </c>
      <c r="D3327" s="15">
        <f>IFERROR(__xludf.DUMMYFUNCTION("""COMPUTED_VALUE"""),1.004)</f>
        <v>1.004</v>
      </c>
      <c r="E3327" s="16">
        <f>IFERROR(__xludf.DUMMYFUNCTION("""COMPUTED_VALUE"""),64.0)</f>
        <v>64</v>
      </c>
      <c r="F3327" s="19" t="str">
        <f>IFERROR(__xludf.DUMMYFUNCTION("""COMPUTED_VALUE"""),"BLUE")</f>
        <v>BLUE</v>
      </c>
      <c r="G3327" s="20" t="str">
        <f>IFERROR(__xludf.DUMMYFUNCTION("""COMPUTED_VALUE"""),"Uncle Sams Cider (11/12/2021) (Blue)")</f>
        <v>Uncle Sams Cider (11/12/2021) (Blue)</v>
      </c>
      <c r="H3327" s="19"/>
    </row>
    <row r="3328">
      <c r="A3328" s="9"/>
      <c r="B3328" s="15"/>
      <c r="C3328" s="9">
        <f>IFERROR(__xludf.DUMMYFUNCTION("""COMPUTED_VALUE"""),44570.8735313888)</f>
        <v>44570.87353</v>
      </c>
      <c r="D3328" s="15">
        <f>IFERROR(__xludf.DUMMYFUNCTION("""COMPUTED_VALUE"""),1.004)</f>
        <v>1.004</v>
      </c>
      <c r="E3328" s="16">
        <f>IFERROR(__xludf.DUMMYFUNCTION("""COMPUTED_VALUE"""),64.0)</f>
        <v>64</v>
      </c>
      <c r="F3328" s="19" t="str">
        <f>IFERROR(__xludf.DUMMYFUNCTION("""COMPUTED_VALUE"""),"BLUE")</f>
        <v>BLUE</v>
      </c>
      <c r="G3328" s="20" t="str">
        <f>IFERROR(__xludf.DUMMYFUNCTION("""COMPUTED_VALUE"""),"Uncle Sams Cider (11/12/2021) (Blue)")</f>
        <v>Uncle Sams Cider (11/12/2021) (Blue)</v>
      </c>
      <c r="H3328" s="19"/>
    </row>
    <row r="3329">
      <c r="A3329" s="9"/>
      <c r="B3329" s="15"/>
      <c r="C3329" s="9">
        <f>IFERROR(__xludf.DUMMYFUNCTION("""COMPUTED_VALUE"""),44570.863110949)</f>
        <v>44570.86311</v>
      </c>
      <c r="D3329" s="15">
        <f>IFERROR(__xludf.DUMMYFUNCTION("""COMPUTED_VALUE"""),1.004)</f>
        <v>1.004</v>
      </c>
      <c r="E3329" s="16">
        <f>IFERROR(__xludf.DUMMYFUNCTION("""COMPUTED_VALUE"""),64.0)</f>
        <v>64</v>
      </c>
      <c r="F3329" s="19" t="str">
        <f>IFERROR(__xludf.DUMMYFUNCTION("""COMPUTED_VALUE"""),"BLUE")</f>
        <v>BLUE</v>
      </c>
      <c r="G3329" s="20" t="str">
        <f>IFERROR(__xludf.DUMMYFUNCTION("""COMPUTED_VALUE"""),"Uncle Sams Cider (11/12/2021) (Blue)")</f>
        <v>Uncle Sams Cider (11/12/2021) (Blue)</v>
      </c>
      <c r="H3329" s="19"/>
    </row>
    <row r="3330">
      <c r="A3330" s="9"/>
      <c r="B3330" s="15"/>
      <c r="C3330" s="9">
        <f>IFERROR(__xludf.DUMMYFUNCTION("""COMPUTED_VALUE"""),44570.8526902777)</f>
        <v>44570.85269</v>
      </c>
      <c r="D3330" s="15">
        <f>IFERROR(__xludf.DUMMYFUNCTION("""COMPUTED_VALUE"""),1.004)</f>
        <v>1.004</v>
      </c>
      <c r="E3330" s="16">
        <f>IFERROR(__xludf.DUMMYFUNCTION("""COMPUTED_VALUE"""),64.0)</f>
        <v>64</v>
      </c>
      <c r="F3330" s="19" t="str">
        <f>IFERROR(__xludf.DUMMYFUNCTION("""COMPUTED_VALUE"""),"BLUE")</f>
        <v>BLUE</v>
      </c>
      <c r="G3330" s="20" t="str">
        <f>IFERROR(__xludf.DUMMYFUNCTION("""COMPUTED_VALUE"""),"Uncle Sams Cider (11/12/2021) (Blue)")</f>
        <v>Uncle Sams Cider (11/12/2021) (Blue)</v>
      </c>
      <c r="H3330" s="19"/>
    </row>
    <row r="3331">
      <c r="A3331" s="9"/>
      <c r="B3331" s="15"/>
      <c r="C3331" s="9">
        <f>IFERROR(__xludf.DUMMYFUNCTION("""COMPUTED_VALUE"""),44570.8422712499)</f>
        <v>44570.84227</v>
      </c>
      <c r="D3331" s="15">
        <f>IFERROR(__xludf.DUMMYFUNCTION("""COMPUTED_VALUE"""),1.005)</f>
        <v>1.005</v>
      </c>
      <c r="E3331" s="16">
        <f>IFERROR(__xludf.DUMMYFUNCTION("""COMPUTED_VALUE"""),64.0)</f>
        <v>64</v>
      </c>
      <c r="F3331" s="19" t="str">
        <f>IFERROR(__xludf.DUMMYFUNCTION("""COMPUTED_VALUE"""),"BLUE")</f>
        <v>BLUE</v>
      </c>
      <c r="G3331" s="20" t="str">
        <f>IFERROR(__xludf.DUMMYFUNCTION("""COMPUTED_VALUE"""),"Uncle Sams Cider (11/12/2021) (Blue)")</f>
        <v>Uncle Sams Cider (11/12/2021) (Blue)</v>
      </c>
      <c r="H3331" s="19"/>
    </row>
    <row r="3332">
      <c r="A3332" s="9"/>
      <c r="B3332" s="15"/>
      <c r="C3332" s="9">
        <f>IFERROR(__xludf.DUMMYFUNCTION("""COMPUTED_VALUE"""),44570.831836655)</f>
        <v>44570.83184</v>
      </c>
      <c r="D3332" s="15">
        <f>IFERROR(__xludf.DUMMYFUNCTION("""COMPUTED_VALUE"""),1.004)</f>
        <v>1.004</v>
      </c>
      <c r="E3332" s="16">
        <f>IFERROR(__xludf.DUMMYFUNCTION("""COMPUTED_VALUE"""),64.0)</f>
        <v>64</v>
      </c>
      <c r="F3332" s="19" t="str">
        <f>IFERROR(__xludf.DUMMYFUNCTION("""COMPUTED_VALUE"""),"BLUE")</f>
        <v>BLUE</v>
      </c>
      <c r="G3332" s="20" t="str">
        <f>IFERROR(__xludf.DUMMYFUNCTION("""COMPUTED_VALUE"""),"Uncle Sams Cider (11/12/2021) (Blue)")</f>
        <v>Uncle Sams Cider (11/12/2021) (Blue)</v>
      </c>
      <c r="H3332" s="19"/>
    </row>
    <row r="3333">
      <c r="A3333" s="9"/>
      <c r="B3333" s="15"/>
      <c r="C3333" s="9">
        <f>IFERROR(__xludf.DUMMYFUNCTION("""COMPUTED_VALUE"""),44570.8214159375)</f>
        <v>44570.82142</v>
      </c>
      <c r="D3333" s="15">
        <f>IFERROR(__xludf.DUMMYFUNCTION("""COMPUTED_VALUE"""),1.004)</f>
        <v>1.004</v>
      </c>
      <c r="E3333" s="16">
        <f>IFERROR(__xludf.DUMMYFUNCTION("""COMPUTED_VALUE"""),64.0)</f>
        <v>64</v>
      </c>
      <c r="F3333" s="19" t="str">
        <f>IFERROR(__xludf.DUMMYFUNCTION("""COMPUTED_VALUE"""),"BLUE")</f>
        <v>BLUE</v>
      </c>
      <c r="G3333" s="20" t="str">
        <f>IFERROR(__xludf.DUMMYFUNCTION("""COMPUTED_VALUE"""),"Uncle Sams Cider (11/12/2021) (Blue)")</f>
        <v>Uncle Sams Cider (11/12/2021) (Blue)</v>
      </c>
      <c r="H3333" s="19"/>
    </row>
    <row r="3334">
      <c r="A3334" s="9"/>
      <c r="B3334" s="15"/>
      <c r="C3334" s="9">
        <f>IFERROR(__xludf.DUMMYFUNCTION("""COMPUTED_VALUE"""),44570.810995868)</f>
        <v>44570.811</v>
      </c>
      <c r="D3334" s="15">
        <f>IFERROR(__xludf.DUMMYFUNCTION("""COMPUTED_VALUE"""),1.004)</f>
        <v>1.004</v>
      </c>
      <c r="E3334" s="16">
        <f>IFERROR(__xludf.DUMMYFUNCTION("""COMPUTED_VALUE"""),64.0)</f>
        <v>64</v>
      </c>
      <c r="F3334" s="19" t="str">
        <f>IFERROR(__xludf.DUMMYFUNCTION("""COMPUTED_VALUE"""),"BLUE")</f>
        <v>BLUE</v>
      </c>
      <c r="G3334" s="20" t="str">
        <f>IFERROR(__xludf.DUMMYFUNCTION("""COMPUTED_VALUE"""),"Uncle Sams Cider (11/12/2021) (Blue)")</f>
        <v>Uncle Sams Cider (11/12/2021) (Blue)</v>
      </c>
      <c r="H3334" s="19"/>
    </row>
    <row r="3335">
      <c r="A3335" s="9"/>
      <c r="B3335" s="15"/>
      <c r="C3335" s="9">
        <f>IFERROR(__xludf.DUMMYFUNCTION("""COMPUTED_VALUE"""),44570.8005633564)</f>
        <v>44570.80056</v>
      </c>
      <c r="D3335" s="15">
        <f>IFERROR(__xludf.DUMMYFUNCTION("""COMPUTED_VALUE"""),1.005)</f>
        <v>1.005</v>
      </c>
      <c r="E3335" s="16">
        <f>IFERROR(__xludf.DUMMYFUNCTION("""COMPUTED_VALUE"""),64.0)</f>
        <v>64</v>
      </c>
      <c r="F3335" s="19" t="str">
        <f>IFERROR(__xludf.DUMMYFUNCTION("""COMPUTED_VALUE"""),"BLUE")</f>
        <v>BLUE</v>
      </c>
      <c r="G3335" s="20" t="str">
        <f>IFERROR(__xludf.DUMMYFUNCTION("""COMPUTED_VALUE"""),"Uncle Sams Cider (11/12/2021) (Blue)")</f>
        <v>Uncle Sams Cider (11/12/2021) (Blue)</v>
      </c>
      <c r="H3335" s="19"/>
    </row>
    <row r="3336">
      <c r="A3336" s="9"/>
      <c r="B3336" s="15"/>
      <c r="C3336" s="9">
        <f>IFERROR(__xludf.DUMMYFUNCTION("""COMPUTED_VALUE"""),44570.7901434722)</f>
        <v>44570.79014</v>
      </c>
      <c r="D3336" s="15">
        <f>IFERROR(__xludf.DUMMYFUNCTION("""COMPUTED_VALUE"""),1.004)</f>
        <v>1.004</v>
      </c>
      <c r="E3336" s="16">
        <f>IFERROR(__xludf.DUMMYFUNCTION("""COMPUTED_VALUE"""),64.0)</f>
        <v>64</v>
      </c>
      <c r="F3336" s="19" t="str">
        <f>IFERROR(__xludf.DUMMYFUNCTION("""COMPUTED_VALUE"""),"BLUE")</f>
        <v>BLUE</v>
      </c>
      <c r="G3336" s="20" t="str">
        <f>IFERROR(__xludf.DUMMYFUNCTION("""COMPUTED_VALUE"""),"Uncle Sams Cider (11/12/2021) (Blue)")</f>
        <v>Uncle Sams Cider (11/12/2021) (Blue)</v>
      </c>
      <c r="H3336" s="19"/>
    </row>
    <row r="3337">
      <c r="A3337" s="9"/>
      <c r="B3337" s="15"/>
      <c r="C3337" s="9">
        <f>IFERROR(__xludf.DUMMYFUNCTION("""COMPUTED_VALUE"""),44570.7797240856)</f>
        <v>44570.77972</v>
      </c>
      <c r="D3337" s="15">
        <f>IFERROR(__xludf.DUMMYFUNCTION("""COMPUTED_VALUE"""),1.004)</f>
        <v>1.004</v>
      </c>
      <c r="E3337" s="16">
        <f>IFERROR(__xludf.DUMMYFUNCTION("""COMPUTED_VALUE"""),64.0)</f>
        <v>64</v>
      </c>
      <c r="F3337" s="19" t="str">
        <f>IFERROR(__xludf.DUMMYFUNCTION("""COMPUTED_VALUE"""),"BLUE")</f>
        <v>BLUE</v>
      </c>
      <c r="G3337" s="20" t="str">
        <f>IFERROR(__xludf.DUMMYFUNCTION("""COMPUTED_VALUE"""),"Uncle Sams Cider (11/12/2021) (Blue)")</f>
        <v>Uncle Sams Cider (11/12/2021) (Blue)</v>
      </c>
      <c r="H3337" s="19"/>
    </row>
    <row r="3338">
      <c r="A3338" s="9"/>
      <c r="B3338" s="15"/>
      <c r="C3338" s="9">
        <f>IFERROR(__xludf.DUMMYFUNCTION("""COMPUTED_VALUE"""),44570.7693027893)</f>
        <v>44570.7693</v>
      </c>
      <c r="D3338" s="15">
        <f>IFERROR(__xludf.DUMMYFUNCTION("""COMPUTED_VALUE"""),1.004)</f>
        <v>1.004</v>
      </c>
      <c r="E3338" s="16">
        <f>IFERROR(__xludf.DUMMYFUNCTION("""COMPUTED_VALUE"""),64.0)</f>
        <v>64</v>
      </c>
      <c r="F3338" s="19" t="str">
        <f>IFERROR(__xludf.DUMMYFUNCTION("""COMPUTED_VALUE"""),"BLUE")</f>
        <v>BLUE</v>
      </c>
      <c r="G3338" s="20" t="str">
        <f>IFERROR(__xludf.DUMMYFUNCTION("""COMPUTED_VALUE"""),"Uncle Sams Cider (11/12/2021) (Blue)")</f>
        <v>Uncle Sams Cider (11/12/2021) (Blue)</v>
      </c>
      <c r="H3338" s="19"/>
    </row>
    <row r="3339">
      <c r="A3339" s="9"/>
      <c r="B3339" s="15"/>
      <c r="C3339" s="9">
        <f>IFERROR(__xludf.DUMMYFUNCTION("""COMPUTED_VALUE"""),44570.7588809143)</f>
        <v>44570.75888</v>
      </c>
      <c r="D3339" s="15">
        <f>IFERROR(__xludf.DUMMYFUNCTION("""COMPUTED_VALUE"""),1.005)</f>
        <v>1.005</v>
      </c>
      <c r="E3339" s="16">
        <f>IFERROR(__xludf.DUMMYFUNCTION("""COMPUTED_VALUE"""),64.0)</f>
        <v>64</v>
      </c>
      <c r="F3339" s="19" t="str">
        <f>IFERROR(__xludf.DUMMYFUNCTION("""COMPUTED_VALUE"""),"BLUE")</f>
        <v>BLUE</v>
      </c>
      <c r="G3339" s="20" t="str">
        <f>IFERROR(__xludf.DUMMYFUNCTION("""COMPUTED_VALUE"""),"Uncle Sams Cider (11/12/2021) (Blue)")</f>
        <v>Uncle Sams Cider (11/12/2021) (Blue)</v>
      </c>
      <c r="H3339" s="19"/>
    </row>
    <row r="3340">
      <c r="A3340" s="9"/>
      <c r="B3340" s="15"/>
      <c r="C3340" s="9">
        <f>IFERROR(__xludf.DUMMYFUNCTION("""COMPUTED_VALUE"""),44570.7484468287)</f>
        <v>44570.74845</v>
      </c>
      <c r="D3340" s="15">
        <f>IFERROR(__xludf.DUMMYFUNCTION("""COMPUTED_VALUE"""),1.004)</f>
        <v>1.004</v>
      </c>
      <c r="E3340" s="16">
        <f>IFERROR(__xludf.DUMMYFUNCTION("""COMPUTED_VALUE"""),64.0)</f>
        <v>64</v>
      </c>
      <c r="F3340" s="19" t="str">
        <f>IFERROR(__xludf.DUMMYFUNCTION("""COMPUTED_VALUE"""),"BLUE")</f>
        <v>BLUE</v>
      </c>
      <c r="G3340" s="20" t="str">
        <f>IFERROR(__xludf.DUMMYFUNCTION("""COMPUTED_VALUE"""),"Uncle Sams Cider (11/12/2021) (Blue)")</f>
        <v>Uncle Sams Cider (11/12/2021) (Blue)</v>
      </c>
      <c r="H3340" s="19"/>
    </row>
    <row r="3341">
      <c r="A3341" s="9"/>
      <c r="B3341" s="15"/>
      <c r="C3341" s="9">
        <f>IFERROR(__xludf.DUMMYFUNCTION("""COMPUTED_VALUE"""),44570.738027199)</f>
        <v>44570.73803</v>
      </c>
      <c r="D3341" s="15">
        <f>IFERROR(__xludf.DUMMYFUNCTION("""COMPUTED_VALUE"""),1.004)</f>
        <v>1.004</v>
      </c>
      <c r="E3341" s="16">
        <f>IFERROR(__xludf.DUMMYFUNCTION("""COMPUTED_VALUE"""),64.0)</f>
        <v>64</v>
      </c>
      <c r="F3341" s="19" t="str">
        <f>IFERROR(__xludf.DUMMYFUNCTION("""COMPUTED_VALUE"""),"BLUE")</f>
        <v>BLUE</v>
      </c>
      <c r="G3341" s="20" t="str">
        <f>IFERROR(__xludf.DUMMYFUNCTION("""COMPUTED_VALUE"""),"Uncle Sams Cider (11/12/2021) (Blue)")</f>
        <v>Uncle Sams Cider (11/12/2021) (Blue)</v>
      </c>
      <c r="H3341" s="19"/>
    </row>
    <row r="3342">
      <c r="A3342" s="9"/>
      <c r="B3342" s="15"/>
      <c r="C3342" s="9">
        <f>IFERROR(__xludf.DUMMYFUNCTION("""COMPUTED_VALUE"""),44570.7275934259)</f>
        <v>44570.72759</v>
      </c>
      <c r="D3342" s="15">
        <f>IFERROR(__xludf.DUMMYFUNCTION("""COMPUTED_VALUE"""),1.004)</f>
        <v>1.004</v>
      </c>
      <c r="E3342" s="16">
        <f>IFERROR(__xludf.DUMMYFUNCTION("""COMPUTED_VALUE"""),64.0)</f>
        <v>64</v>
      </c>
      <c r="F3342" s="19" t="str">
        <f>IFERROR(__xludf.DUMMYFUNCTION("""COMPUTED_VALUE"""),"BLUE")</f>
        <v>BLUE</v>
      </c>
      <c r="G3342" s="20" t="str">
        <f>IFERROR(__xludf.DUMMYFUNCTION("""COMPUTED_VALUE"""),"Uncle Sams Cider (11/12/2021) (Blue)")</f>
        <v>Uncle Sams Cider (11/12/2021) (Blue)</v>
      </c>
      <c r="H3342" s="19"/>
    </row>
    <row r="3343">
      <c r="A3343" s="9"/>
      <c r="B3343" s="15"/>
      <c r="C3343" s="9">
        <f>IFERROR(__xludf.DUMMYFUNCTION("""COMPUTED_VALUE"""),44570.7171734143)</f>
        <v>44570.71717</v>
      </c>
      <c r="D3343" s="15">
        <f>IFERROR(__xludf.DUMMYFUNCTION("""COMPUTED_VALUE"""),1.004)</f>
        <v>1.004</v>
      </c>
      <c r="E3343" s="16">
        <f>IFERROR(__xludf.DUMMYFUNCTION("""COMPUTED_VALUE"""),64.0)</f>
        <v>64</v>
      </c>
      <c r="F3343" s="19" t="str">
        <f>IFERROR(__xludf.DUMMYFUNCTION("""COMPUTED_VALUE"""),"BLUE")</f>
        <v>BLUE</v>
      </c>
      <c r="G3343" s="20" t="str">
        <f>IFERROR(__xludf.DUMMYFUNCTION("""COMPUTED_VALUE"""),"Uncle Sams Cider (11/12/2021) (Blue)")</f>
        <v>Uncle Sams Cider (11/12/2021) (Blue)</v>
      </c>
      <c r="H3343" s="19"/>
    </row>
    <row r="3344">
      <c r="A3344" s="9"/>
      <c r="B3344" s="15"/>
      <c r="C3344" s="9">
        <f>IFERROR(__xludf.DUMMYFUNCTION("""COMPUTED_VALUE"""),44570.7067541087)</f>
        <v>44570.70675</v>
      </c>
      <c r="D3344" s="15">
        <f>IFERROR(__xludf.DUMMYFUNCTION("""COMPUTED_VALUE"""),1.005)</f>
        <v>1.005</v>
      </c>
      <c r="E3344" s="16">
        <f>IFERROR(__xludf.DUMMYFUNCTION("""COMPUTED_VALUE"""),64.0)</f>
        <v>64</v>
      </c>
      <c r="F3344" s="19" t="str">
        <f>IFERROR(__xludf.DUMMYFUNCTION("""COMPUTED_VALUE"""),"BLUE")</f>
        <v>BLUE</v>
      </c>
      <c r="G3344" s="20" t="str">
        <f>IFERROR(__xludf.DUMMYFUNCTION("""COMPUTED_VALUE"""),"Uncle Sams Cider (11/12/2021) (Blue)")</f>
        <v>Uncle Sams Cider (11/12/2021) (Blue)</v>
      </c>
      <c r="H3344" s="19"/>
    </row>
    <row r="3345">
      <c r="A3345" s="9"/>
      <c r="B3345" s="15"/>
      <c r="C3345" s="9">
        <f>IFERROR(__xludf.DUMMYFUNCTION("""COMPUTED_VALUE"""),44570.6963084606)</f>
        <v>44570.69631</v>
      </c>
      <c r="D3345" s="15">
        <f>IFERROR(__xludf.DUMMYFUNCTION("""COMPUTED_VALUE"""),1.004)</f>
        <v>1.004</v>
      </c>
      <c r="E3345" s="16">
        <f>IFERROR(__xludf.DUMMYFUNCTION("""COMPUTED_VALUE"""),64.0)</f>
        <v>64</v>
      </c>
      <c r="F3345" s="19" t="str">
        <f>IFERROR(__xludf.DUMMYFUNCTION("""COMPUTED_VALUE"""),"BLUE")</f>
        <v>BLUE</v>
      </c>
      <c r="G3345" s="20" t="str">
        <f>IFERROR(__xludf.DUMMYFUNCTION("""COMPUTED_VALUE"""),"Uncle Sams Cider (11/12/2021) (Blue)")</f>
        <v>Uncle Sams Cider (11/12/2021) (Blue)</v>
      </c>
      <c r="H3345" s="19"/>
    </row>
    <row r="3346">
      <c r="A3346" s="9"/>
      <c r="B3346" s="15"/>
      <c r="C3346" s="9">
        <f>IFERROR(__xludf.DUMMYFUNCTION("""COMPUTED_VALUE"""),44570.6858886805)</f>
        <v>44570.68589</v>
      </c>
      <c r="D3346" s="15">
        <f>IFERROR(__xludf.DUMMYFUNCTION("""COMPUTED_VALUE"""),1.004)</f>
        <v>1.004</v>
      </c>
      <c r="E3346" s="16">
        <f>IFERROR(__xludf.DUMMYFUNCTION("""COMPUTED_VALUE"""),65.0)</f>
        <v>65</v>
      </c>
      <c r="F3346" s="19" t="str">
        <f>IFERROR(__xludf.DUMMYFUNCTION("""COMPUTED_VALUE"""),"BLUE")</f>
        <v>BLUE</v>
      </c>
      <c r="G3346" s="20" t="str">
        <f>IFERROR(__xludf.DUMMYFUNCTION("""COMPUTED_VALUE"""),"Uncle Sams Cider (11/12/2021) (Blue)")</f>
        <v>Uncle Sams Cider (11/12/2021) (Blue)</v>
      </c>
      <c r="H3346" s="19"/>
    </row>
    <row r="3347">
      <c r="A3347" s="9"/>
      <c r="B3347" s="15"/>
      <c r="C3347" s="9">
        <f>IFERROR(__xludf.DUMMYFUNCTION("""COMPUTED_VALUE"""),44570.6754688425)</f>
        <v>44570.67547</v>
      </c>
      <c r="D3347" s="15">
        <f>IFERROR(__xludf.DUMMYFUNCTION("""COMPUTED_VALUE"""),1.005)</f>
        <v>1.005</v>
      </c>
      <c r="E3347" s="16">
        <f>IFERROR(__xludf.DUMMYFUNCTION("""COMPUTED_VALUE"""),64.0)</f>
        <v>64</v>
      </c>
      <c r="F3347" s="19" t="str">
        <f>IFERROR(__xludf.DUMMYFUNCTION("""COMPUTED_VALUE"""),"BLUE")</f>
        <v>BLUE</v>
      </c>
      <c r="G3347" s="20" t="str">
        <f>IFERROR(__xludf.DUMMYFUNCTION("""COMPUTED_VALUE"""),"Uncle Sams Cider (11/12/2021) (Blue)")</f>
        <v>Uncle Sams Cider (11/12/2021) (Blue)</v>
      </c>
      <c r="H3347" s="19"/>
    </row>
    <row r="3348">
      <c r="A3348" s="9"/>
      <c r="B3348" s="15"/>
      <c r="C3348" s="9">
        <f>IFERROR(__xludf.DUMMYFUNCTION("""COMPUTED_VALUE"""),44570.665035949)</f>
        <v>44570.66504</v>
      </c>
      <c r="D3348" s="15">
        <f>IFERROR(__xludf.DUMMYFUNCTION("""COMPUTED_VALUE"""),1.004)</f>
        <v>1.004</v>
      </c>
      <c r="E3348" s="16">
        <f>IFERROR(__xludf.DUMMYFUNCTION("""COMPUTED_VALUE"""),64.0)</f>
        <v>64</v>
      </c>
      <c r="F3348" s="19" t="str">
        <f>IFERROR(__xludf.DUMMYFUNCTION("""COMPUTED_VALUE"""),"BLUE")</f>
        <v>BLUE</v>
      </c>
      <c r="G3348" s="20" t="str">
        <f>IFERROR(__xludf.DUMMYFUNCTION("""COMPUTED_VALUE"""),"Uncle Sams Cider (11/12/2021) (Blue)")</f>
        <v>Uncle Sams Cider (11/12/2021) (Blue)</v>
      </c>
      <c r="H3348" s="19"/>
    </row>
    <row r="3349">
      <c r="A3349" s="9"/>
      <c r="B3349" s="15"/>
      <c r="C3349" s="9">
        <f>IFERROR(__xludf.DUMMYFUNCTION("""COMPUTED_VALUE"""),44570.6546163425)</f>
        <v>44570.65462</v>
      </c>
      <c r="D3349" s="15">
        <f>IFERROR(__xludf.DUMMYFUNCTION("""COMPUTED_VALUE"""),1.004)</f>
        <v>1.004</v>
      </c>
      <c r="E3349" s="16">
        <f>IFERROR(__xludf.DUMMYFUNCTION("""COMPUTED_VALUE"""),65.0)</f>
        <v>65</v>
      </c>
      <c r="F3349" s="19" t="str">
        <f>IFERROR(__xludf.DUMMYFUNCTION("""COMPUTED_VALUE"""),"BLUE")</f>
        <v>BLUE</v>
      </c>
      <c r="G3349" s="20" t="str">
        <f>IFERROR(__xludf.DUMMYFUNCTION("""COMPUTED_VALUE"""),"Uncle Sams Cider (11/12/2021) (Blue)")</f>
        <v>Uncle Sams Cider (11/12/2021) (Blue)</v>
      </c>
      <c r="H3349" s="19"/>
    </row>
    <row r="3350">
      <c r="A3350" s="9"/>
      <c r="B3350" s="15"/>
      <c r="C3350" s="9">
        <f>IFERROR(__xludf.DUMMYFUNCTION("""COMPUTED_VALUE"""),44570.6441950115)</f>
        <v>44570.6442</v>
      </c>
      <c r="D3350" s="15">
        <f>IFERROR(__xludf.DUMMYFUNCTION("""COMPUTED_VALUE"""),1.004)</f>
        <v>1.004</v>
      </c>
      <c r="E3350" s="16">
        <f>IFERROR(__xludf.DUMMYFUNCTION("""COMPUTED_VALUE"""),65.0)</f>
        <v>65</v>
      </c>
      <c r="F3350" s="19" t="str">
        <f>IFERROR(__xludf.DUMMYFUNCTION("""COMPUTED_VALUE"""),"BLUE")</f>
        <v>BLUE</v>
      </c>
      <c r="G3350" s="20" t="str">
        <f>IFERROR(__xludf.DUMMYFUNCTION("""COMPUTED_VALUE"""),"Uncle Sams Cider (11/12/2021) (Blue)")</f>
        <v>Uncle Sams Cider (11/12/2021) (Blue)</v>
      </c>
      <c r="H3350" s="19"/>
    </row>
    <row r="3351">
      <c r="A3351" s="9"/>
      <c r="B3351" s="15"/>
      <c r="C3351" s="9">
        <f>IFERROR(__xludf.DUMMYFUNCTION("""COMPUTED_VALUE"""),44570.6337625578)</f>
        <v>44570.63376</v>
      </c>
      <c r="D3351" s="15">
        <f>IFERROR(__xludf.DUMMYFUNCTION("""COMPUTED_VALUE"""),1.004)</f>
        <v>1.004</v>
      </c>
      <c r="E3351" s="16">
        <f>IFERROR(__xludf.DUMMYFUNCTION("""COMPUTED_VALUE"""),65.0)</f>
        <v>65</v>
      </c>
      <c r="F3351" s="19" t="str">
        <f>IFERROR(__xludf.DUMMYFUNCTION("""COMPUTED_VALUE"""),"BLUE")</f>
        <v>BLUE</v>
      </c>
      <c r="G3351" s="20" t="str">
        <f>IFERROR(__xludf.DUMMYFUNCTION("""COMPUTED_VALUE"""),"Uncle Sams Cider (11/12/2021) (Blue)")</f>
        <v>Uncle Sams Cider (11/12/2021) (Blue)</v>
      </c>
      <c r="H3351" s="19"/>
    </row>
    <row r="3352">
      <c r="A3352" s="9"/>
      <c r="B3352" s="15"/>
      <c r="C3352" s="9">
        <f>IFERROR(__xludf.DUMMYFUNCTION("""COMPUTED_VALUE"""),44570.6233429861)</f>
        <v>44570.62334</v>
      </c>
      <c r="D3352" s="15">
        <f>IFERROR(__xludf.DUMMYFUNCTION("""COMPUTED_VALUE"""),1.004)</f>
        <v>1.004</v>
      </c>
      <c r="E3352" s="16">
        <f>IFERROR(__xludf.DUMMYFUNCTION("""COMPUTED_VALUE"""),65.0)</f>
        <v>65</v>
      </c>
      <c r="F3352" s="19" t="str">
        <f>IFERROR(__xludf.DUMMYFUNCTION("""COMPUTED_VALUE"""),"BLUE")</f>
        <v>BLUE</v>
      </c>
      <c r="G3352" s="20" t="str">
        <f>IFERROR(__xludf.DUMMYFUNCTION("""COMPUTED_VALUE"""),"Uncle Sams Cider (11/12/2021) (Blue)")</f>
        <v>Uncle Sams Cider (11/12/2021) (Blue)</v>
      </c>
      <c r="H3352" s="19"/>
    </row>
    <row r="3353">
      <c r="A3353" s="9"/>
      <c r="B3353" s="15"/>
      <c r="C3353" s="9">
        <f>IFERROR(__xludf.DUMMYFUNCTION("""COMPUTED_VALUE"""),44570.6129222916)</f>
        <v>44570.61292</v>
      </c>
      <c r="D3353" s="15">
        <f>IFERROR(__xludf.DUMMYFUNCTION("""COMPUTED_VALUE"""),1.005)</f>
        <v>1.005</v>
      </c>
      <c r="E3353" s="16">
        <f>IFERROR(__xludf.DUMMYFUNCTION("""COMPUTED_VALUE"""),65.0)</f>
        <v>65</v>
      </c>
      <c r="F3353" s="19" t="str">
        <f>IFERROR(__xludf.DUMMYFUNCTION("""COMPUTED_VALUE"""),"BLUE")</f>
        <v>BLUE</v>
      </c>
      <c r="G3353" s="20" t="str">
        <f>IFERROR(__xludf.DUMMYFUNCTION("""COMPUTED_VALUE"""),"Uncle Sams Cider (11/12/2021) (Blue)")</f>
        <v>Uncle Sams Cider (11/12/2021) (Blue)</v>
      </c>
      <c r="H3353" s="19"/>
    </row>
    <row r="3354">
      <c r="A3354" s="9"/>
      <c r="B3354" s="15"/>
      <c r="C3354" s="9">
        <f>IFERROR(__xludf.DUMMYFUNCTION("""COMPUTED_VALUE"""),44570.6025022916)</f>
        <v>44570.6025</v>
      </c>
      <c r="D3354" s="15">
        <f>IFERROR(__xludf.DUMMYFUNCTION("""COMPUTED_VALUE"""),1.005)</f>
        <v>1.005</v>
      </c>
      <c r="E3354" s="16">
        <f>IFERROR(__xludf.DUMMYFUNCTION("""COMPUTED_VALUE"""),65.0)</f>
        <v>65</v>
      </c>
      <c r="F3354" s="19" t="str">
        <f>IFERROR(__xludf.DUMMYFUNCTION("""COMPUTED_VALUE"""),"BLUE")</f>
        <v>BLUE</v>
      </c>
      <c r="G3354" s="20" t="str">
        <f>IFERROR(__xludf.DUMMYFUNCTION("""COMPUTED_VALUE"""),"Uncle Sams Cider (11/12/2021) (Blue)")</f>
        <v>Uncle Sams Cider (11/12/2021) (Blue)</v>
      </c>
      <c r="H3354" s="19"/>
    </row>
    <row r="3355">
      <c r="A3355" s="9"/>
      <c r="B3355" s="15"/>
      <c r="C3355" s="9">
        <f>IFERROR(__xludf.DUMMYFUNCTION("""COMPUTED_VALUE"""),44570.5920814467)</f>
        <v>44570.59208</v>
      </c>
      <c r="D3355" s="15">
        <f>IFERROR(__xludf.DUMMYFUNCTION("""COMPUTED_VALUE"""),1.004)</f>
        <v>1.004</v>
      </c>
      <c r="E3355" s="16">
        <f>IFERROR(__xludf.DUMMYFUNCTION("""COMPUTED_VALUE"""),65.0)</f>
        <v>65</v>
      </c>
      <c r="F3355" s="19" t="str">
        <f>IFERROR(__xludf.DUMMYFUNCTION("""COMPUTED_VALUE"""),"BLUE")</f>
        <v>BLUE</v>
      </c>
      <c r="G3355" s="20" t="str">
        <f>IFERROR(__xludf.DUMMYFUNCTION("""COMPUTED_VALUE"""),"Uncle Sams Cider (11/12/2021) (Blue)")</f>
        <v>Uncle Sams Cider (11/12/2021) (Blue)</v>
      </c>
      <c r="H3355" s="19"/>
    </row>
    <row r="3356">
      <c r="A3356" s="9"/>
      <c r="B3356" s="15"/>
      <c r="C3356" s="9">
        <f>IFERROR(__xludf.DUMMYFUNCTION("""COMPUTED_VALUE"""),44570.581648912)</f>
        <v>44570.58165</v>
      </c>
      <c r="D3356" s="15">
        <f>IFERROR(__xludf.DUMMYFUNCTION("""COMPUTED_VALUE"""),1.005)</f>
        <v>1.005</v>
      </c>
      <c r="E3356" s="16">
        <f>IFERROR(__xludf.DUMMYFUNCTION("""COMPUTED_VALUE"""),65.0)</f>
        <v>65</v>
      </c>
      <c r="F3356" s="19" t="str">
        <f>IFERROR(__xludf.DUMMYFUNCTION("""COMPUTED_VALUE"""),"BLUE")</f>
        <v>BLUE</v>
      </c>
      <c r="G3356" s="20" t="str">
        <f>IFERROR(__xludf.DUMMYFUNCTION("""COMPUTED_VALUE"""),"Uncle Sams Cider (11/12/2021) (Blue)")</f>
        <v>Uncle Sams Cider (11/12/2021) (Blue)</v>
      </c>
      <c r="H3356" s="19"/>
    </row>
    <row r="3357">
      <c r="A3357" s="9"/>
      <c r="B3357" s="15"/>
      <c r="C3357" s="9">
        <f>IFERROR(__xludf.DUMMYFUNCTION("""COMPUTED_VALUE"""),44570.5712267592)</f>
        <v>44570.57123</v>
      </c>
      <c r="D3357" s="15">
        <f>IFERROR(__xludf.DUMMYFUNCTION("""COMPUTED_VALUE"""),1.004)</f>
        <v>1.004</v>
      </c>
      <c r="E3357" s="16">
        <f>IFERROR(__xludf.DUMMYFUNCTION("""COMPUTED_VALUE"""),65.0)</f>
        <v>65</v>
      </c>
      <c r="F3357" s="19" t="str">
        <f>IFERROR(__xludf.DUMMYFUNCTION("""COMPUTED_VALUE"""),"BLUE")</f>
        <v>BLUE</v>
      </c>
      <c r="G3357" s="20" t="str">
        <f>IFERROR(__xludf.DUMMYFUNCTION("""COMPUTED_VALUE"""),"Uncle Sams Cider (11/12/2021) (Blue)")</f>
        <v>Uncle Sams Cider (11/12/2021) (Blue)</v>
      </c>
      <c r="H3357" s="19"/>
    </row>
    <row r="3358">
      <c r="A3358" s="9"/>
      <c r="B3358" s="15"/>
      <c r="C3358" s="9">
        <f>IFERROR(__xludf.DUMMYFUNCTION("""COMPUTED_VALUE"""),44570.5608032175)</f>
        <v>44570.5608</v>
      </c>
      <c r="D3358" s="15">
        <f>IFERROR(__xludf.DUMMYFUNCTION("""COMPUTED_VALUE"""),1.004)</f>
        <v>1.004</v>
      </c>
      <c r="E3358" s="16">
        <f>IFERROR(__xludf.DUMMYFUNCTION("""COMPUTED_VALUE"""),65.0)</f>
        <v>65</v>
      </c>
      <c r="F3358" s="19" t="str">
        <f>IFERROR(__xludf.DUMMYFUNCTION("""COMPUTED_VALUE"""),"BLUE")</f>
        <v>BLUE</v>
      </c>
      <c r="G3358" s="20" t="str">
        <f>IFERROR(__xludf.DUMMYFUNCTION("""COMPUTED_VALUE"""),"Uncle Sams Cider (11/12/2021) (Blue)")</f>
        <v>Uncle Sams Cider (11/12/2021) (Blue)</v>
      </c>
      <c r="H3358" s="19"/>
    </row>
    <row r="3359">
      <c r="A3359" s="9"/>
      <c r="B3359" s="15"/>
      <c r="C3359" s="9">
        <f>IFERROR(__xludf.DUMMYFUNCTION("""COMPUTED_VALUE"""),44570.5503705439)</f>
        <v>44570.55037</v>
      </c>
      <c r="D3359" s="15">
        <f>IFERROR(__xludf.DUMMYFUNCTION("""COMPUTED_VALUE"""),1.005)</f>
        <v>1.005</v>
      </c>
      <c r="E3359" s="16">
        <f>IFERROR(__xludf.DUMMYFUNCTION("""COMPUTED_VALUE"""),65.0)</f>
        <v>65</v>
      </c>
      <c r="F3359" s="19" t="str">
        <f>IFERROR(__xludf.DUMMYFUNCTION("""COMPUTED_VALUE"""),"BLUE")</f>
        <v>BLUE</v>
      </c>
      <c r="G3359" s="20" t="str">
        <f>IFERROR(__xludf.DUMMYFUNCTION("""COMPUTED_VALUE"""),"Uncle Sams Cider (11/12/2021) (Blue)")</f>
        <v>Uncle Sams Cider (11/12/2021) (Blue)</v>
      </c>
      <c r="H3359" s="19"/>
    </row>
    <row r="3360">
      <c r="A3360" s="9"/>
      <c r="B3360" s="15"/>
      <c r="C3360" s="9">
        <f>IFERROR(__xludf.DUMMYFUNCTION("""COMPUTED_VALUE"""),44570.5399490162)</f>
        <v>44570.53995</v>
      </c>
      <c r="D3360" s="15">
        <f>IFERROR(__xludf.DUMMYFUNCTION("""COMPUTED_VALUE"""),1.004)</f>
        <v>1.004</v>
      </c>
      <c r="E3360" s="16">
        <f>IFERROR(__xludf.DUMMYFUNCTION("""COMPUTED_VALUE"""),65.0)</f>
        <v>65</v>
      </c>
      <c r="F3360" s="19" t="str">
        <f>IFERROR(__xludf.DUMMYFUNCTION("""COMPUTED_VALUE"""),"BLUE")</f>
        <v>BLUE</v>
      </c>
      <c r="G3360" s="20" t="str">
        <f>IFERROR(__xludf.DUMMYFUNCTION("""COMPUTED_VALUE"""),"Uncle Sams Cider (11/12/2021) (Blue)")</f>
        <v>Uncle Sams Cider (11/12/2021) (Blue)</v>
      </c>
      <c r="H3360" s="19"/>
    </row>
    <row r="3361">
      <c r="A3361" s="9"/>
      <c r="B3361" s="15"/>
      <c r="C3361" s="9">
        <f>IFERROR(__xludf.DUMMYFUNCTION("""COMPUTED_VALUE"""),44570.5295161458)</f>
        <v>44570.52952</v>
      </c>
      <c r="D3361" s="15">
        <f>IFERROR(__xludf.DUMMYFUNCTION("""COMPUTED_VALUE"""),1.004)</f>
        <v>1.004</v>
      </c>
      <c r="E3361" s="16">
        <f>IFERROR(__xludf.DUMMYFUNCTION("""COMPUTED_VALUE"""),65.0)</f>
        <v>65</v>
      </c>
      <c r="F3361" s="19" t="str">
        <f>IFERROR(__xludf.DUMMYFUNCTION("""COMPUTED_VALUE"""),"BLUE")</f>
        <v>BLUE</v>
      </c>
      <c r="G3361" s="20" t="str">
        <f>IFERROR(__xludf.DUMMYFUNCTION("""COMPUTED_VALUE"""),"Uncle Sams Cider (11/12/2021) (Blue)")</f>
        <v>Uncle Sams Cider (11/12/2021) (Blue)</v>
      </c>
      <c r="H3361" s="19"/>
    </row>
    <row r="3362">
      <c r="A3362" s="9"/>
      <c r="B3362" s="15"/>
      <c r="C3362" s="9">
        <f>IFERROR(__xludf.DUMMYFUNCTION("""COMPUTED_VALUE"""),44570.5190953819)</f>
        <v>44570.5191</v>
      </c>
      <c r="D3362" s="15">
        <f>IFERROR(__xludf.DUMMYFUNCTION("""COMPUTED_VALUE"""),1.004)</f>
        <v>1.004</v>
      </c>
      <c r="E3362" s="16">
        <f>IFERROR(__xludf.DUMMYFUNCTION("""COMPUTED_VALUE"""),65.0)</f>
        <v>65</v>
      </c>
      <c r="F3362" s="19" t="str">
        <f>IFERROR(__xludf.DUMMYFUNCTION("""COMPUTED_VALUE"""),"BLUE")</f>
        <v>BLUE</v>
      </c>
      <c r="G3362" s="20" t="str">
        <f>IFERROR(__xludf.DUMMYFUNCTION("""COMPUTED_VALUE"""),"Uncle Sams Cider (11/12/2021) (Blue)")</f>
        <v>Uncle Sams Cider (11/12/2021) (Blue)</v>
      </c>
      <c r="H3362" s="19"/>
    </row>
    <row r="3363">
      <c r="A3363" s="9"/>
      <c r="B3363" s="15"/>
      <c r="C3363" s="9">
        <f>IFERROR(__xludf.DUMMYFUNCTION("""COMPUTED_VALUE"""),44570.5086711921)</f>
        <v>44570.50867</v>
      </c>
      <c r="D3363" s="15">
        <f>IFERROR(__xludf.DUMMYFUNCTION("""COMPUTED_VALUE"""),1.004)</f>
        <v>1.004</v>
      </c>
      <c r="E3363" s="16">
        <f>IFERROR(__xludf.DUMMYFUNCTION("""COMPUTED_VALUE"""),65.0)</f>
        <v>65</v>
      </c>
      <c r="F3363" s="19" t="str">
        <f>IFERROR(__xludf.DUMMYFUNCTION("""COMPUTED_VALUE"""),"BLUE")</f>
        <v>BLUE</v>
      </c>
      <c r="G3363" s="20" t="str">
        <f>IFERROR(__xludf.DUMMYFUNCTION("""COMPUTED_VALUE"""),"Uncle Sams Cider (11/12/2021) (Blue)")</f>
        <v>Uncle Sams Cider (11/12/2021) (Blue)</v>
      </c>
      <c r="H3363" s="19"/>
    </row>
    <row r="3364">
      <c r="A3364" s="9"/>
      <c r="B3364" s="15"/>
      <c r="C3364" s="9">
        <f>IFERROR(__xludf.DUMMYFUNCTION("""COMPUTED_VALUE"""),44570.4982494212)</f>
        <v>44570.49825</v>
      </c>
      <c r="D3364" s="15">
        <f>IFERROR(__xludf.DUMMYFUNCTION("""COMPUTED_VALUE"""),1.004)</f>
        <v>1.004</v>
      </c>
      <c r="E3364" s="16">
        <f>IFERROR(__xludf.DUMMYFUNCTION("""COMPUTED_VALUE"""),65.0)</f>
        <v>65</v>
      </c>
      <c r="F3364" s="19" t="str">
        <f>IFERROR(__xludf.DUMMYFUNCTION("""COMPUTED_VALUE"""),"BLUE")</f>
        <v>BLUE</v>
      </c>
      <c r="G3364" s="20" t="str">
        <f>IFERROR(__xludf.DUMMYFUNCTION("""COMPUTED_VALUE"""),"Uncle Sams Cider (11/12/2021) (Blue)")</f>
        <v>Uncle Sams Cider (11/12/2021) (Blue)</v>
      </c>
      <c r="H3364" s="19"/>
    </row>
    <row r="3365">
      <c r="A3365" s="9"/>
      <c r="B3365" s="15"/>
      <c r="C3365" s="9">
        <f>IFERROR(__xludf.DUMMYFUNCTION("""COMPUTED_VALUE"""),44570.4878280324)</f>
        <v>44570.48783</v>
      </c>
      <c r="D3365" s="15">
        <f>IFERROR(__xludf.DUMMYFUNCTION("""COMPUTED_VALUE"""),1.004)</f>
        <v>1.004</v>
      </c>
      <c r="E3365" s="16">
        <f>IFERROR(__xludf.DUMMYFUNCTION("""COMPUTED_VALUE"""),65.0)</f>
        <v>65</v>
      </c>
      <c r="F3365" s="19" t="str">
        <f>IFERROR(__xludf.DUMMYFUNCTION("""COMPUTED_VALUE"""),"BLUE")</f>
        <v>BLUE</v>
      </c>
      <c r="G3365" s="20" t="str">
        <f>IFERROR(__xludf.DUMMYFUNCTION("""COMPUTED_VALUE"""),"Uncle Sams Cider (11/12/2021) (Blue)")</f>
        <v>Uncle Sams Cider (11/12/2021) (Blue)</v>
      </c>
      <c r="H3365" s="19"/>
    </row>
    <row r="3366">
      <c r="A3366" s="9"/>
      <c r="B3366" s="15"/>
      <c r="C3366" s="9">
        <f>IFERROR(__xludf.DUMMYFUNCTION("""COMPUTED_VALUE"""),44570.4774046527)</f>
        <v>44570.4774</v>
      </c>
      <c r="D3366" s="15">
        <f>IFERROR(__xludf.DUMMYFUNCTION("""COMPUTED_VALUE"""),1.005)</f>
        <v>1.005</v>
      </c>
      <c r="E3366" s="16">
        <f>IFERROR(__xludf.DUMMYFUNCTION("""COMPUTED_VALUE"""),65.0)</f>
        <v>65</v>
      </c>
      <c r="F3366" s="19" t="str">
        <f>IFERROR(__xludf.DUMMYFUNCTION("""COMPUTED_VALUE"""),"BLUE")</f>
        <v>BLUE</v>
      </c>
      <c r="G3366" s="20" t="str">
        <f>IFERROR(__xludf.DUMMYFUNCTION("""COMPUTED_VALUE"""),"Uncle Sams Cider (11/12/2021) (Blue)")</f>
        <v>Uncle Sams Cider (11/12/2021) (Blue)</v>
      </c>
      <c r="H3366" s="19"/>
    </row>
    <row r="3367">
      <c r="A3367" s="9"/>
      <c r="B3367" s="15"/>
      <c r="C3367" s="9">
        <f>IFERROR(__xludf.DUMMYFUNCTION("""COMPUTED_VALUE"""),44570.4669847222)</f>
        <v>44570.46698</v>
      </c>
      <c r="D3367" s="15">
        <f>IFERROR(__xludf.DUMMYFUNCTION("""COMPUTED_VALUE"""),1.004)</f>
        <v>1.004</v>
      </c>
      <c r="E3367" s="16">
        <f>IFERROR(__xludf.DUMMYFUNCTION("""COMPUTED_VALUE"""),65.0)</f>
        <v>65</v>
      </c>
      <c r="F3367" s="19" t="str">
        <f>IFERROR(__xludf.DUMMYFUNCTION("""COMPUTED_VALUE"""),"BLUE")</f>
        <v>BLUE</v>
      </c>
      <c r="G3367" s="20" t="str">
        <f>IFERROR(__xludf.DUMMYFUNCTION("""COMPUTED_VALUE"""),"Uncle Sams Cider (11/12/2021) (Blue)")</f>
        <v>Uncle Sams Cider (11/12/2021) (Blue)</v>
      </c>
      <c r="H3367" s="19"/>
    </row>
    <row r="3368">
      <c r="A3368" s="9"/>
      <c r="B3368" s="15"/>
      <c r="C3368" s="9">
        <f>IFERROR(__xludf.DUMMYFUNCTION("""COMPUTED_VALUE"""),44570.456564456)</f>
        <v>44570.45656</v>
      </c>
      <c r="D3368" s="15">
        <f>IFERROR(__xludf.DUMMYFUNCTION("""COMPUTED_VALUE"""),1.004)</f>
        <v>1.004</v>
      </c>
      <c r="E3368" s="16">
        <f>IFERROR(__xludf.DUMMYFUNCTION("""COMPUTED_VALUE"""),65.0)</f>
        <v>65</v>
      </c>
      <c r="F3368" s="19" t="str">
        <f>IFERROR(__xludf.DUMMYFUNCTION("""COMPUTED_VALUE"""),"BLUE")</f>
        <v>BLUE</v>
      </c>
      <c r="G3368" s="20" t="str">
        <f>IFERROR(__xludf.DUMMYFUNCTION("""COMPUTED_VALUE"""),"Uncle Sams Cider (11/12/2021) (Blue)")</f>
        <v>Uncle Sams Cider (11/12/2021) (Blue)</v>
      </c>
      <c r="H3368" s="19"/>
    </row>
    <row r="3369">
      <c r="A3369" s="9"/>
      <c r="B3369" s="15"/>
      <c r="C3369" s="9">
        <f>IFERROR(__xludf.DUMMYFUNCTION("""COMPUTED_VALUE"""),44570.4461432638)</f>
        <v>44570.44614</v>
      </c>
      <c r="D3369" s="15">
        <f>IFERROR(__xludf.DUMMYFUNCTION("""COMPUTED_VALUE"""),1.004)</f>
        <v>1.004</v>
      </c>
      <c r="E3369" s="16">
        <f>IFERROR(__xludf.DUMMYFUNCTION("""COMPUTED_VALUE"""),65.0)</f>
        <v>65</v>
      </c>
      <c r="F3369" s="19" t="str">
        <f>IFERROR(__xludf.DUMMYFUNCTION("""COMPUTED_VALUE"""),"BLUE")</f>
        <v>BLUE</v>
      </c>
      <c r="G3369" s="20" t="str">
        <f>IFERROR(__xludf.DUMMYFUNCTION("""COMPUTED_VALUE"""),"Uncle Sams Cider (11/12/2021) (Blue)")</f>
        <v>Uncle Sams Cider (11/12/2021) (Blue)</v>
      </c>
      <c r="H3369" s="19"/>
    </row>
    <row r="3370">
      <c r="A3370" s="9"/>
      <c r="B3370" s="15"/>
      <c r="C3370" s="9">
        <f>IFERROR(__xludf.DUMMYFUNCTION("""COMPUTED_VALUE"""),44570.4357217592)</f>
        <v>44570.43572</v>
      </c>
      <c r="D3370" s="15">
        <f>IFERROR(__xludf.DUMMYFUNCTION("""COMPUTED_VALUE"""),1.004)</f>
        <v>1.004</v>
      </c>
      <c r="E3370" s="16">
        <f>IFERROR(__xludf.DUMMYFUNCTION("""COMPUTED_VALUE"""),65.0)</f>
        <v>65</v>
      </c>
      <c r="F3370" s="19" t="str">
        <f>IFERROR(__xludf.DUMMYFUNCTION("""COMPUTED_VALUE"""),"BLUE")</f>
        <v>BLUE</v>
      </c>
      <c r="G3370" s="20" t="str">
        <f>IFERROR(__xludf.DUMMYFUNCTION("""COMPUTED_VALUE"""),"Uncle Sams Cider (11/12/2021) (Blue)")</f>
        <v>Uncle Sams Cider (11/12/2021) (Blue)</v>
      </c>
      <c r="H3370" s="19"/>
    </row>
    <row r="3371">
      <c r="A3371" s="9"/>
      <c r="B3371" s="15"/>
      <c r="C3371" s="9">
        <f>IFERROR(__xludf.DUMMYFUNCTION("""COMPUTED_VALUE"""),44570.4253003587)</f>
        <v>44570.4253</v>
      </c>
      <c r="D3371" s="15">
        <f>IFERROR(__xludf.DUMMYFUNCTION("""COMPUTED_VALUE"""),1.004)</f>
        <v>1.004</v>
      </c>
      <c r="E3371" s="16">
        <f>IFERROR(__xludf.DUMMYFUNCTION("""COMPUTED_VALUE"""),65.0)</f>
        <v>65</v>
      </c>
      <c r="F3371" s="19" t="str">
        <f>IFERROR(__xludf.DUMMYFUNCTION("""COMPUTED_VALUE"""),"BLUE")</f>
        <v>BLUE</v>
      </c>
      <c r="G3371" s="20" t="str">
        <f>IFERROR(__xludf.DUMMYFUNCTION("""COMPUTED_VALUE"""),"Uncle Sams Cider (11/12/2021) (Blue)")</f>
        <v>Uncle Sams Cider (11/12/2021) (Blue)</v>
      </c>
      <c r="H3371" s="19"/>
    </row>
    <row r="3372">
      <c r="A3372" s="9"/>
      <c r="B3372" s="15"/>
      <c r="C3372" s="9">
        <f>IFERROR(__xludf.DUMMYFUNCTION("""COMPUTED_VALUE"""),44570.4148790393)</f>
        <v>44570.41488</v>
      </c>
      <c r="D3372" s="15">
        <f>IFERROR(__xludf.DUMMYFUNCTION("""COMPUTED_VALUE"""),1.004)</f>
        <v>1.004</v>
      </c>
      <c r="E3372" s="16">
        <f>IFERROR(__xludf.DUMMYFUNCTION("""COMPUTED_VALUE"""),65.0)</f>
        <v>65</v>
      </c>
      <c r="F3372" s="19" t="str">
        <f>IFERROR(__xludf.DUMMYFUNCTION("""COMPUTED_VALUE"""),"BLUE")</f>
        <v>BLUE</v>
      </c>
      <c r="G3372" s="20" t="str">
        <f>IFERROR(__xludf.DUMMYFUNCTION("""COMPUTED_VALUE"""),"Uncle Sams Cider (11/12/2021) (Blue)")</f>
        <v>Uncle Sams Cider (11/12/2021) (Blue)</v>
      </c>
      <c r="H3372" s="19"/>
    </row>
    <row r="3373">
      <c r="A3373" s="9"/>
      <c r="B3373" s="15"/>
      <c r="C3373" s="9">
        <f>IFERROR(__xludf.DUMMYFUNCTION("""COMPUTED_VALUE"""),44570.4044578935)</f>
        <v>44570.40446</v>
      </c>
      <c r="D3373" s="15">
        <f>IFERROR(__xludf.DUMMYFUNCTION("""COMPUTED_VALUE"""),1.005)</f>
        <v>1.005</v>
      </c>
      <c r="E3373" s="16">
        <f>IFERROR(__xludf.DUMMYFUNCTION("""COMPUTED_VALUE"""),65.0)</f>
        <v>65</v>
      </c>
      <c r="F3373" s="19" t="str">
        <f>IFERROR(__xludf.DUMMYFUNCTION("""COMPUTED_VALUE"""),"BLUE")</f>
        <v>BLUE</v>
      </c>
      <c r="G3373" s="20" t="str">
        <f>IFERROR(__xludf.DUMMYFUNCTION("""COMPUTED_VALUE"""),"Uncle Sams Cider (11/12/2021) (Blue)")</f>
        <v>Uncle Sams Cider (11/12/2021) (Blue)</v>
      </c>
      <c r="H3373" s="19"/>
    </row>
    <row r="3374">
      <c r="A3374" s="9"/>
      <c r="B3374" s="15"/>
      <c r="C3374" s="9">
        <f>IFERROR(__xludf.DUMMYFUNCTION("""COMPUTED_VALUE"""),44570.3940252199)</f>
        <v>44570.39403</v>
      </c>
      <c r="D3374" s="15">
        <f>IFERROR(__xludf.DUMMYFUNCTION("""COMPUTED_VALUE"""),1.005)</f>
        <v>1.005</v>
      </c>
      <c r="E3374" s="16">
        <f>IFERROR(__xludf.DUMMYFUNCTION("""COMPUTED_VALUE"""),65.0)</f>
        <v>65</v>
      </c>
      <c r="F3374" s="19" t="str">
        <f>IFERROR(__xludf.DUMMYFUNCTION("""COMPUTED_VALUE"""),"BLUE")</f>
        <v>BLUE</v>
      </c>
      <c r="G3374" s="20" t="str">
        <f>IFERROR(__xludf.DUMMYFUNCTION("""COMPUTED_VALUE"""),"Uncle Sams Cider (11/12/2021) (Blue)")</f>
        <v>Uncle Sams Cider (11/12/2021) (Blue)</v>
      </c>
      <c r="H3374" s="19"/>
    </row>
    <row r="3375">
      <c r="A3375" s="9"/>
      <c r="B3375" s="15"/>
      <c r="C3375" s="9">
        <f>IFERROR(__xludf.DUMMYFUNCTION("""COMPUTED_VALUE"""),44570.3835813541)</f>
        <v>44570.38358</v>
      </c>
      <c r="D3375" s="15">
        <f>IFERROR(__xludf.DUMMYFUNCTION("""COMPUTED_VALUE"""),1.004)</f>
        <v>1.004</v>
      </c>
      <c r="E3375" s="16">
        <f>IFERROR(__xludf.DUMMYFUNCTION("""COMPUTED_VALUE"""),65.0)</f>
        <v>65</v>
      </c>
      <c r="F3375" s="19" t="str">
        <f>IFERROR(__xludf.DUMMYFUNCTION("""COMPUTED_VALUE"""),"BLUE")</f>
        <v>BLUE</v>
      </c>
      <c r="G3375" s="20" t="str">
        <f>IFERROR(__xludf.DUMMYFUNCTION("""COMPUTED_VALUE"""),"Uncle Sams Cider (11/12/2021) (Blue)")</f>
        <v>Uncle Sams Cider (11/12/2021) (Blue)</v>
      </c>
      <c r="H3375" s="19"/>
    </row>
    <row r="3376">
      <c r="A3376" s="9"/>
      <c r="B3376" s="15"/>
      <c r="C3376" s="9">
        <f>IFERROR(__xludf.DUMMYFUNCTION("""COMPUTED_VALUE"""),44570.3731593402)</f>
        <v>44570.37316</v>
      </c>
      <c r="D3376" s="15">
        <f>IFERROR(__xludf.DUMMYFUNCTION("""COMPUTED_VALUE"""),1.004)</f>
        <v>1.004</v>
      </c>
      <c r="E3376" s="16">
        <f>IFERROR(__xludf.DUMMYFUNCTION("""COMPUTED_VALUE"""),65.0)</f>
        <v>65</v>
      </c>
      <c r="F3376" s="19" t="str">
        <f>IFERROR(__xludf.DUMMYFUNCTION("""COMPUTED_VALUE"""),"BLUE")</f>
        <v>BLUE</v>
      </c>
      <c r="G3376" s="20" t="str">
        <f>IFERROR(__xludf.DUMMYFUNCTION("""COMPUTED_VALUE"""),"Uncle Sams Cider (11/12/2021) (Blue)")</f>
        <v>Uncle Sams Cider (11/12/2021) (Blue)</v>
      </c>
      <c r="H3376" s="19"/>
    </row>
    <row r="3377">
      <c r="A3377" s="9"/>
      <c r="B3377" s="15"/>
      <c r="C3377" s="9">
        <f>IFERROR(__xludf.DUMMYFUNCTION("""COMPUTED_VALUE"""),44570.3627374884)</f>
        <v>44570.36274</v>
      </c>
      <c r="D3377" s="15">
        <f>IFERROR(__xludf.DUMMYFUNCTION("""COMPUTED_VALUE"""),1.004)</f>
        <v>1.004</v>
      </c>
      <c r="E3377" s="16">
        <f>IFERROR(__xludf.DUMMYFUNCTION("""COMPUTED_VALUE"""),65.0)</f>
        <v>65</v>
      </c>
      <c r="F3377" s="19" t="str">
        <f>IFERROR(__xludf.DUMMYFUNCTION("""COMPUTED_VALUE"""),"BLUE")</f>
        <v>BLUE</v>
      </c>
      <c r="G3377" s="20" t="str">
        <f>IFERROR(__xludf.DUMMYFUNCTION("""COMPUTED_VALUE"""),"Uncle Sams Cider (11/12/2021) (Blue)")</f>
        <v>Uncle Sams Cider (11/12/2021) (Blue)</v>
      </c>
      <c r="H3377" s="19"/>
    </row>
    <row r="3378">
      <c r="A3378" s="9"/>
      <c r="B3378" s="15"/>
      <c r="C3378" s="9">
        <f>IFERROR(__xludf.DUMMYFUNCTION("""COMPUTED_VALUE"""),44570.3523171296)</f>
        <v>44570.35232</v>
      </c>
      <c r="D3378" s="15">
        <f>IFERROR(__xludf.DUMMYFUNCTION("""COMPUTED_VALUE"""),1.005)</f>
        <v>1.005</v>
      </c>
      <c r="E3378" s="16">
        <f>IFERROR(__xludf.DUMMYFUNCTION("""COMPUTED_VALUE"""),66.0)</f>
        <v>66</v>
      </c>
      <c r="F3378" s="19" t="str">
        <f>IFERROR(__xludf.DUMMYFUNCTION("""COMPUTED_VALUE"""),"BLUE")</f>
        <v>BLUE</v>
      </c>
      <c r="G3378" s="20" t="str">
        <f>IFERROR(__xludf.DUMMYFUNCTION("""COMPUTED_VALUE"""),"Uncle Sams Cider (11/12/2021) (Blue)")</f>
        <v>Uncle Sams Cider (11/12/2021) (Blue)</v>
      </c>
      <c r="H3378" s="19"/>
    </row>
    <row r="3379">
      <c r="A3379" s="9"/>
      <c r="B3379" s="15"/>
      <c r="C3379" s="9">
        <f>IFERROR(__xludf.DUMMYFUNCTION("""COMPUTED_VALUE"""),44570.3418952777)</f>
        <v>44570.3419</v>
      </c>
      <c r="D3379" s="15">
        <f>IFERROR(__xludf.DUMMYFUNCTION("""COMPUTED_VALUE"""),1.004)</f>
        <v>1.004</v>
      </c>
      <c r="E3379" s="16">
        <f>IFERROR(__xludf.DUMMYFUNCTION("""COMPUTED_VALUE"""),65.0)</f>
        <v>65</v>
      </c>
      <c r="F3379" s="19" t="str">
        <f>IFERROR(__xludf.DUMMYFUNCTION("""COMPUTED_VALUE"""),"BLUE")</f>
        <v>BLUE</v>
      </c>
      <c r="G3379" s="20" t="str">
        <f>IFERROR(__xludf.DUMMYFUNCTION("""COMPUTED_VALUE"""),"Uncle Sams Cider (11/12/2021) (Blue)")</f>
        <v>Uncle Sams Cider (11/12/2021) (Blue)</v>
      </c>
      <c r="H3379" s="19"/>
    </row>
    <row r="3380">
      <c r="A3380" s="9"/>
      <c r="B3380" s="15"/>
      <c r="C3380" s="9">
        <f>IFERROR(__xludf.DUMMYFUNCTION("""COMPUTED_VALUE"""),44570.3314754166)</f>
        <v>44570.33148</v>
      </c>
      <c r="D3380" s="15">
        <f>IFERROR(__xludf.DUMMYFUNCTION("""COMPUTED_VALUE"""),1.004)</f>
        <v>1.004</v>
      </c>
      <c r="E3380" s="16">
        <f>IFERROR(__xludf.DUMMYFUNCTION("""COMPUTED_VALUE"""),65.0)</f>
        <v>65</v>
      </c>
      <c r="F3380" s="19" t="str">
        <f>IFERROR(__xludf.DUMMYFUNCTION("""COMPUTED_VALUE"""),"BLUE")</f>
        <v>BLUE</v>
      </c>
      <c r="G3380" s="20" t="str">
        <f>IFERROR(__xludf.DUMMYFUNCTION("""COMPUTED_VALUE"""),"Uncle Sams Cider (11/12/2021) (Blue)")</f>
        <v>Uncle Sams Cider (11/12/2021) (Blue)</v>
      </c>
      <c r="H3380" s="19"/>
    </row>
    <row r="3381">
      <c r="A3381" s="9"/>
      <c r="B3381" s="15"/>
      <c r="C3381" s="9">
        <f>IFERROR(__xludf.DUMMYFUNCTION("""COMPUTED_VALUE"""),44570.3210538194)</f>
        <v>44570.32105</v>
      </c>
      <c r="D3381" s="15">
        <f>IFERROR(__xludf.DUMMYFUNCTION("""COMPUTED_VALUE"""),1.004)</f>
        <v>1.004</v>
      </c>
      <c r="E3381" s="16">
        <f>IFERROR(__xludf.DUMMYFUNCTION("""COMPUTED_VALUE"""),66.0)</f>
        <v>66</v>
      </c>
      <c r="F3381" s="19" t="str">
        <f>IFERROR(__xludf.DUMMYFUNCTION("""COMPUTED_VALUE"""),"BLUE")</f>
        <v>BLUE</v>
      </c>
      <c r="G3381" s="20" t="str">
        <f>IFERROR(__xludf.DUMMYFUNCTION("""COMPUTED_VALUE"""),"Uncle Sams Cider (11/12/2021) (Blue)")</f>
        <v>Uncle Sams Cider (11/12/2021) (Blue)</v>
      </c>
      <c r="H3381" s="19"/>
    </row>
    <row r="3382">
      <c r="A3382" s="9"/>
      <c r="B3382" s="15"/>
      <c r="C3382" s="9">
        <f>IFERROR(__xludf.DUMMYFUNCTION("""COMPUTED_VALUE"""),44570.310632199)</f>
        <v>44570.31063</v>
      </c>
      <c r="D3382" s="15">
        <f>IFERROR(__xludf.DUMMYFUNCTION("""COMPUTED_VALUE"""),1.004)</f>
        <v>1.004</v>
      </c>
      <c r="E3382" s="16">
        <f>IFERROR(__xludf.DUMMYFUNCTION("""COMPUTED_VALUE"""),66.0)</f>
        <v>66</v>
      </c>
      <c r="F3382" s="19" t="str">
        <f>IFERROR(__xludf.DUMMYFUNCTION("""COMPUTED_VALUE"""),"BLUE")</f>
        <v>BLUE</v>
      </c>
      <c r="G3382" s="20" t="str">
        <f>IFERROR(__xludf.DUMMYFUNCTION("""COMPUTED_VALUE"""),"Uncle Sams Cider (11/12/2021) (Blue)")</f>
        <v>Uncle Sams Cider (11/12/2021) (Blue)</v>
      </c>
      <c r="H3382" s="19"/>
    </row>
    <row r="3383">
      <c r="A3383" s="9"/>
      <c r="B3383" s="15"/>
      <c r="C3383" s="9">
        <f>IFERROR(__xludf.DUMMYFUNCTION("""COMPUTED_VALUE"""),44570.3002004513)</f>
        <v>44570.3002</v>
      </c>
      <c r="D3383" s="15">
        <f>IFERROR(__xludf.DUMMYFUNCTION("""COMPUTED_VALUE"""),1.004)</f>
        <v>1.004</v>
      </c>
      <c r="E3383" s="16">
        <f>IFERROR(__xludf.DUMMYFUNCTION("""COMPUTED_VALUE"""),66.0)</f>
        <v>66</v>
      </c>
      <c r="F3383" s="19" t="str">
        <f>IFERROR(__xludf.DUMMYFUNCTION("""COMPUTED_VALUE"""),"BLUE")</f>
        <v>BLUE</v>
      </c>
      <c r="G3383" s="20" t="str">
        <f>IFERROR(__xludf.DUMMYFUNCTION("""COMPUTED_VALUE"""),"Uncle Sams Cider (11/12/2021) (Blue)")</f>
        <v>Uncle Sams Cider (11/12/2021) (Blue)</v>
      </c>
      <c r="H3383" s="19"/>
    </row>
    <row r="3384">
      <c r="A3384" s="9"/>
      <c r="B3384" s="15"/>
      <c r="C3384" s="9">
        <f>IFERROR(__xludf.DUMMYFUNCTION("""COMPUTED_VALUE"""),44570.2897572106)</f>
        <v>44570.28976</v>
      </c>
      <c r="D3384" s="15">
        <f>IFERROR(__xludf.DUMMYFUNCTION("""COMPUTED_VALUE"""),1.004)</f>
        <v>1.004</v>
      </c>
      <c r="E3384" s="16">
        <f>IFERROR(__xludf.DUMMYFUNCTION("""COMPUTED_VALUE"""),66.0)</f>
        <v>66</v>
      </c>
      <c r="F3384" s="19" t="str">
        <f>IFERROR(__xludf.DUMMYFUNCTION("""COMPUTED_VALUE"""),"BLUE")</f>
        <v>BLUE</v>
      </c>
      <c r="G3384" s="20" t="str">
        <f>IFERROR(__xludf.DUMMYFUNCTION("""COMPUTED_VALUE"""),"Uncle Sams Cider (11/12/2021) (Blue)")</f>
        <v>Uncle Sams Cider (11/12/2021) (Blue)</v>
      </c>
      <c r="H3384" s="19"/>
    </row>
    <row r="3385">
      <c r="A3385" s="9"/>
      <c r="B3385" s="15"/>
      <c r="C3385" s="9">
        <f>IFERROR(__xludf.DUMMYFUNCTION("""COMPUTED_VALUE"""),44570.2793359027)</f>
        <v>44570.27934</v>
      </c>
      <c r="D3385" s="15">
        <f>IFERROR(__xludf.DUMMYFUNCTION("""COMPUTED_VALUE"""),1.004)</f>
        <v>1.004</v>
      </c>
      <c r="E3385" s="16">
        <f>IFERROR(__xludf.DUMMYFUNCTION("""COMPUTED_VALUE"""),66.0)</f>
        <v>66</v>
      </c>
      <c r="F3385" s="19" t="str">
        <f>IFERROR(__xludf.DUMMYFUNCTION("""COMPUTED_VALUE"""),"BLUE")</f>
        <v>BLUE</v>
      </c>
      <c r="G3385" s="20" t="str">
        <f>IFERROR(__xludf.DUMMYFUNCTION("""COMPUTED_VALUE"""),"Uncle Sams Cider (11/12/2021) (Blue)")</f>
        <v>Uncle Sams Cider (11/12/2021) (Blue)</v>
      </c>
      <c r="H3385" s="19"/>
    </row>
    <row r="3386">
      <c r="A3386" s="9"/>
      <c r="B3386" s="15"/>
      <c r="C3386" s="9">
        <f>IFERROR(__xludf.DUMMYFUNCTION("""COMPUTED_VALUE"""),44570.2689136342)</f>
        <v>44570.26891</v>
      </c>
      <c r="D3386" s="15">
        <f>IFERROR(__xludf.DUMMYFUNCTION("""COMPUTED_VALUE"""),1.004)</f>
        <v>1.004</v>
      </c>
      <c r="E3386" s="16">
        <f>IFERROR(__xludf.DUMMYFUNCTION("""COMPUTED_VALUE"""),66.0)</f>
        <v>66</v>
      </c>
      <c r="F3386" s="19" t="str">
        <f>IFERROR(__xludf.DUMMYFUNCTION("""COMPUTED_VALUE"""),"BLUE")</f>
        <v>BLUE</v>
      </c>
      <c r="G3386" s="20" t="str">
        <f>IFERROR(__xludf.DUMMYFUNCTION("""COMPUTED_VALUE"""),"Uncle Sams Cider (11/12/2021) (Blue)")</f>
        <v>Uncle Sams Cider (11/12/2021) (Blue)</v>
      </c>
      <c r="H3386" s="19"/>
    </row>
    <row r="3387">
      <c r="A3387" s="9"/>
      <c r="B3387" s="15"/>
      <c r="C3387" s="9">
        <f>IFERROR(__xludf.DUMMYFUNCTION("""COMPUTED_VALUE"""),44570.2584909143)</f>
        <v>44570.25849</v>
      </c>
      <c r="D3387" s="15">
        <f>IFERROR(__xludf.DUMMYFUNCTION("""COMPUTED_VALUE"""),1.004)</f>
        <v>1.004</v>
      </c>
      <c r="E3387" s="16">
        <f>IFERROR(__xludf.DUMMYFUNCTION("""COMPUTED_VALUE"""),66.0)</f>
        <v>66</v>
      </c>
      <c r="F3387" s="19" t="str">
        <f>IFERROR(__xludf.DUMMYFUNCTION("""COMPUTED_VALUE"""),"BLUE")</f>
        <v>BLUE</v>
      </c>
      <c r="G3387" s="20" t="str">
        <f>IFERROR(__xludf.DUMMYFUNCTION("""COMPUTED_VALUE"""),"Uncle Sams Cider (11/12/2021) (Blue)")</f>
        <v>Uncle Sams Cider (11/12/2021) (Blue)</v>
      </c>
      <c r="H3387" s="19"/>
    </row>
    <row r="3388">
      <c r="A3388" s="9"/>
      <c r="B3388" s="15"/>
      <c r="C3388" s="9">
        <f>IFERROR(__xludf.DUMMYFUNCTION("""COMPUTED_VALUE"""),44570.2480703819)</f>
        <v>44570.24807</v>
      </c>
      <c r="D3388" s="15">
        <f>IFERROR(__xludf.DUMMYFUNCTION("""COMPUTED_VALUE"""),1.004)</f>
        <v>1.004</v>
      </c>
      <c r="E3388" s="16">
        <f>IFERROR(__xludf.DUMMYFUNCTION("""COMPUTED_VALUE"""),66.0)</f>
        <v>66</v>
      </c>
      <c r="F3388" s="19" t="str">
        <f>IFERROR(__xludf.DUMMYFUNCTION("""COMPUTED_VALUE"""),"BLUE")</f>
        <v>BLUE</v>
      </c>
      <c r="G3388" s="20" t="str">
        <f>IFERROR(__xludf.DUMMYFUNCTION("""COMPUTED_VALUE"""),"Uncle Sams Cider (11/12/2021) (Blue)")</f>
        <v>Uncle Sams Cider (11/12/2021) (Blue)</v>
      </c>
      <c r="H3388" s="19"/>
    </row>
    <row r="3389">
      <c r="A3389" s="9"/>
      <c r="B3389" s="15"/>
      <c r="C3389" s="9">
        <f>IFERROR(__xludf.DUMMYFUNCTION("""COMPUTED_VALUE"""),44570.2376479282)</f>
        <v>44570.23765</v>
      </c>
      <c r="D3389" s="15">
        <f>IFERROR(__xludf.DUMMYFUNCTION("""COMPUTED_VALUE"""),1.004)</f>
        <v>1.004</v>
      </c>
      <c r="E3389" s="16">
        <f>IFERROR(__xludf.DUMMYFUNCTION("""COMPUTED_VALUE"""),66.0)</f>
        <v>66</v>
      </c>
      <c r="F3389" s="19" t="str">
        <f>IFERROR(__xludf.DUMMYFUNCTION("""COMPUTED_VALUE"""),"BLUE")</f>
        <v>BLUE</v>
      </c>
      <c r="G3389" s="20" t="str">
        <f>IFERROR(__xludf.DUMMYFUNCTION("""COMPUTED_VALUE"""),"Uncle Sams Cider (11/12/2021) (Blue)")</f>
        <v>Uncle Sams Cider (11/12/2021) (Blue)</v>
      </c>
      <c r="H3389" s="19"/>
    </row>
    <row r="3390">
      <c r="A3390" s="9"/>
      <c r="B3390" s="15"/>
      <c r="C3390" s="9">
        <f>IFERROR(__xludf.DUMMYFUNCTION("""COMPUTED_VALUE"""),44570.2272255092)</f>
        <v>44570.22723</v>
      </c>
      <c r="D3390" s="15">
        <f>IFERROR(__xludf.DUMMYFUNCTION("""COMPUTED_VALUE"""),1.004)</f>
        <v>1.004</v>
      </c>
      <c r="E3390" s="16">
        <f>IFERROR(__xludf.DUMMYFUNCTION("""COMPUTED_VALUE"""),66.0)</f>
        <v>66</v>
      </c>
      <c r="F3390" s="19" t="str">
        <f>IFERROR(__xludf.DUMMYFUNCTION("""COMPUTED_VALUE"""),"BLUE")</f>
        <v>BLUE</v>
      </c>
      <c r="G3390" s="20" t="str">
        <f>IFERROR(__xludf.DUMMYFUNCTION("""COMPUTED_VALUE"""),"Uncle Sams Cider (11/12/2021) (Blue)")</f>
        <v>Uncle Sams Cider (11/12/2021) (Blue)</v>
      </c>
      <c r="H3390" s="19"/>
    </row>
    <row r="3391">
      <c r="A3391" s="9"/>
      <c r="B3391" s="15"/>
      <c r="C3391" s="9">
        <f>IFERROR(__xludf.DUMMYFUNCTION("""COMPUTED_VALUE"""),44570.2168044907)</f>
        <v>44570.2168</v>
      </c>
      <c r="D3391" s="15">
        <f>IFERROR(__xludf.DUMMYFUNCTION("""COMPUTED_VALUE"""),1.004)</f>
        <v>1.004</v>
      </c>
      <c r="E3391" s="16">
        <f>IFERROR(__xludf.DUMMYFUNCTION("""COMPUTED_VALUE"""),66.0)</f>
        <v>66</v>
      </c>
      <c r="F3391" s="19" t="str">
        <f>IFERROR(__xludf.DUMMYFUNCTION("""COMPUTED_VALUE"""),"BLUE")</f>
        <v>BLUE</v>
      </c>
      <c r="G3391" s="20" t="str">
        <f>IFERROR(__xludf.DUMMYFUNCTION("""COMPUTED_VALUE"""),"Uncle Sams Cider (11/12/2021) (Blue)")</f>
        <v>Uncle Sams Cider (11/12/2021) (Blue)</v>
      </c>
      <c r="H3391" s="19"/>
    </row>
    <row r="3392">
      <c r="A3392" s="9"/>
      <c r="B3392" s="15"/>
      <c r="C3392" s="9">
        <f>IFERROR(__xludf.DUMMYFUNCTION("""COMPUTED_VALUE"""),44570.2063486226)</f>
        <v>44570.20635</v>
      </c>
      <c r="D3392" s="15">
        <f>IFERROR(__xludf.DUMMYFUNCTION("""COMPUTED_VALUE"""),1.005)</f>
        <v>1.005</v>
      </c>
      <c r="E3392" s="16">
        <f>IFERROR(__xludf.DUMMYFUNCTION("""COMPUTED_VALUE"""),66.0)</f>
        <v>66</v>
      </c>
      <c r="F3392" s="19" t="str">
        <f>IFERROR(__xludf.DUMMYFUNCTION("""COMPUTED_VALUE"""),"BLUE")</f>
        <v>BLUE</v>
      </c>
      <c r="G3392" s="20" t="str">
        <f>IFERROR(__xludf.DUMMYFUNCTION("""COMPUTED_VALUE"""),"Uncle Sams Cider (11/12/2021) (Blue)")</f>
        <v>Uncle Sams Cider (11/12/2021) (Blue)</v>
      </c>
      <c r="H3392" s="19"/>
    </row>
    <row r="3393">
      <c r="A3393" s="9"/>
      <c r="B3393" s="15"/>
      <c r="C3393" s="9">
        <f>IFERROR(__xludf.DUMMYFUNCTION("""COMPUTED_VALUE"""),44570.1959275462)</f>
        <v>44570.19593</v>
      </c>
      <c r="D3393" s="15">
        <f>IFERROR(__xludf.DUMMYFUNCTION("""COMPUTED_VALUE"""),1.004)</f>
        <v>1.004</v>
      </c>
      <c r="E3393" s="16">
        <f>IFERROR(__xludf.DUMMYFUNCTION("""COMPUTED_VALUE"""),66.0)</f>
        <v>66</v>
      </c>
      <c r="F3393" s="19" t="str">
        <f>IFERROR(__xludf.DUMMYFUNCTION("""COMPUTED_VALUE"""),"BLUE")</f>
        <v>BLUE</v>
      </c>
      <c r="G3393" s="20" t="str">
        <f>IFERROR(__xludf.DUMMYFUNCTION("""COMPUTED_VALUE"""),"Uncle Sams Cider (11/12/2021) (Blue)")</f>
        <v>Uncle Sams Cider (11/12/2021) (Blue)</v>
      </c>
      <c r="H3393" s="19"/>
    </row>
    <row r="3394">
      <c r="A3394" s="9"/>
      <c r="B3394" s="15"/>
      <c r="C3394" s="9">
        <f>IFERROR(__xludf.DUMMYFUNCTION("""COMPUTED_VALUE"""),44570.1855064583)</f>
        <v>44570.18551</v>
      </c>
      <c r="D3394" s="15">
        <f>IFERROR(__xludf.DUMMYFUNCTION("""COMPUTED_VALUE"""),1.004)</f>
        <v>1.004</v>
      </c>
      <c r="E3394" s="16">
        <f>IFERROR(__xludf.DUMMYFUNCTION("""COMPUTED_VALUE"""),66.0)</f>
        <v>66</v>
      </c>
      <c r="F3394" s="19" t="str">
        <f>IFERROR(__xludf.DUMMYFUNCTION("""COMPUTED_VALUE"""),"BLUE")</f>
        <v>BLUE</v>
      </c>
      <c r="G3394" s="20" t="str">
        <f>IFERROR(__xludf.DUMMYFUNCTION("""COMPUTED_VALUE"""),"Uncle Sams Cider (11/12/2021) (Blue)")</f>
        <v>Uncle Sams Cider (11/12/2021) (Blue)</v>
      </c>
      <c r="H3394" s="19"/>
    </row>
    <row r="3395">
      <c r="A3395" s="9"/>
      <c r="B3395" s="15"/>
      <c r="C3395" s="9">
        <f>IFERROR(__xludf.DUMMYFUNCTION("""COMPUTED_VALUE"""),44570.1750855324)</f>
        <v>44570.17509</v>
      </c>
      <c r="D3395" s="15">
        <f>IFERROR(__xludf.DUMMYFUNCTION("""COMPUTED_VALUE"""),1.004)</f>
        <v>1.004</v>
      </c>
      <c r="E3395" s="16">
        <f>IFERROR(__xludf.DUMMYFUNCTION("""COMPUTED_VALUE"""),66.0)</f>
        <v>66</v>
      </c>
      <c r="F3395" s="19" t="str">
        <f>IFERROR(__xludf.DUMMYFUNCTION("""COMPUTED_VALUE"""),"BLUE")</f>
        <v>BLUE</v>
      </c>
      <c r="G3395" s="20" t="str">
        <f>IFERROR(__xludf.DUMMYFUNCTION("""COMPUTED_VALUE"""),"Uncle Sams Cider (11/12/2021) (Blue)")</f>
        <v>Uncle Sams Cider (11/12/2021) (Blue)</v>
      </c>
      <c r="H3395" s="19"/>
    </row>
    <row r="3396">
      <c r="A3396" s="9"/>
      <c r="B3396" s="15"/>
      <c r="C3396" s="9">
        <f>IFERROR(__xludf.DUMMYFUNCTION("""COMPUTED_VALUE"""),44570.1646656597)</f>
        <v>44570.16467</v>
      </c>
      <c r="D3396" s="15">
        <f>IFERROR(__xludf.DUMMYFUNCTION("""COMPUTED_VALUE"""),1.004)</f>
        <v>1.004</v>
      </c>
      <c r="E3396" s="16">
        <f>IFERROR(__xludf.DUMMYFUNCTION("""COMPUTED_VALUE"""),66.0)</f>
        <v>66</v>
      </c>
      <c r="F3396" s="19" t="str">
        <f>IFERROR(__xludf.DUMMYFUNCTION("""COMPUTED_VALUE"""),"BLUE")</f>
        <v>BLUE</v>
      </c>
      <c r="G3396" s="20" t="str">
        <f>IFERROR(__xludf.DUMMYFUNCTION("""COMPUTED_VALUE"""),"Uncle Sams Cider (11/12/2021) (Blue)")</f>
        <v>Uncle Sams Cider (11/12/2021) (Blue)</v>
      </c>
      <c r="H3396" s="19"/>
    </row>
    <row r="3397">
      <c r="A3397" s="9"/>
      <c r="B3397" s="15"/>
      <c r="C3397" s="9">
        <f>IFERROR(__xludf.DUMMYFUNCTION("""COMPUTED_VALUE"""),44570.1542440856)</f>
        <v>44570.15424</v>
      </c>
      <c r="D3397" s="15">
        <f>IFERROR(__xludf.DUMMYFUNCTION("""COMPUTED_VALUE"""),1.004)</f>
        <v>1.004</v>
      </c>
      <c r="E3397" s="16">
        <f>IFERROR(__xludf.DUMMYFUNCTION("""COMPUTED_VALUE"""),66.0)</f>
        <v>66</v>
      </c>
      <c r="F3397" s="19" t="str">
        <f>IFERROR(__xludf.DUMMYFUNCTION("""COMPUTED_VALUE"""),"BLUE")</f>
        <v>BLUE</v>
      </c>
      <c r="G3397" s="20" t="str">
        <f>IFERROR(__xludf.DUMMYFUNCTION("""COMPUTED_VALUE"""),"Uncle Sams Cider (11/12/2021) (Blue)")</f>
        <v>Uncle Sams Cider (11/12/2021) (Blue)</v>
      </c>
      <c r="H3397" s="19"/>
    </row>
    <row r="3398">
      <c r="A3398" s="9"/>
      <c r="B3398" s="15"/>
      <c r="C3398" s="9">
        <f>IFERROR(__xludf.DUMMYFUNCTION("""COMPUTED_VALUE"""),44570.1438211574)</f>
        <v>44570.14382</v>
      </c>
      <c r="D3398" s="15">
        <f>IFERROR(__xludf.DUMMYFUNCTION("""COMPUTED_VALUE"""),1.004)</f>
        <v>1.004</v>
      </c>
      <c r="E3398" s="16">
        <f>IFERROR(__xludf.DUMMYFUNCTION("""COMPUTED_VALUE"""),66.0)</f>
        <v>66</v>
      </c>
      <c r="F3398" s="19" t="str">
        <f>IFERROR(__xludf.DUMMYFUNCTION("""COMPUTED_VALUE"""),"BLUE")</f>
        <v>BLUE</v>
      </c>
      <c r="G3398" s="20" t="str">
        <f>IFERROR(__xludf.DUMMYFUNCTION("""COMPUTED_VALUE"""),"Uncle Sams Cider (11/12/2021) (Blue)")</f>
        <v>Uncle Sams Cider (11/12/2021) (Blue)</v>
      </c>
      <c r="H3398" s="19"/>
    </row>
    <row r="3399">
      <c r="A3399" s="9"/>
      <c r="B3399" s="15"/>
      <c r="C3399" s="9">
        <f>IFERROR(__xludf.DUMMYFUNCTION("""COMPUTED_VALUE"""),44570.1333993171)</f>
        <v>44570.1334</v>
      </c>
      <c r="D3399" s="15">
        <f>IFERROR(__xludf.DUMMYFUNCTION("""COMPUTED_VALUE"""),1.004)</f>
        <v>1.004</v>
      </c>
      <c r="E3399" s="16">
        <f>IFERROR(__xludf.DUMMYFUNCTION("""COMPUTED_VALUE"""),66.0)</f>
        <v>66</v>
      </c>
      <c r="F3399" s="19" t="str">
        <f>IFERROR(__xludf.DUMMYFUNCTION("""COMPUTED_VALUE"""),"BLUE")</f>
        <v>BLUE</v>
      </c>
      <c r="G3399" s="20" t="str">
        <f>IFERROR(__xludf.DUMMYFUNCTION("""COMPUTED_VALUE"""),"Uncle Sams Cider (11/12/2021) (Blue)")</f>
        <v>Uncle Sams Cider (11/12/2021) (Blue)</v>
      </c>
      <c r="H3399" s="19"/>
    </row>
    <row r="3400">
      <c r="A3400" s="9"/>
      <c r="B3400" s="15"/>
      <c r="C3400" s="9">
        <f>IFERROR(__xludf.DUMMYFUNCTION("""COMPUTED_VALUE"""),44570.1229782407)</f>
        <v>44570.12298</v>
      </c>
      <c r="D3400" s="15">
        <f>IFERROR(__xludf.DUMMYFUNCTION("""COMPUTED_VALUE"""),1.004)</f>
        <v>1.004</v>
      </c>
      <c r="E3400" s="16">
        <f>IFERROR(__xludf.DUMMYFUNCTION("""COMPUTED_VALUE"""),66.0)</f>
        <v>66</v>
      </c>
      <c r="F3400" s="19" t="str">
        <f>IFERROR(__xludf.DUMMYFUNCTION("""COMPUTED_VALUE"""),"BLUE")</f>
        <v>BLUE</v>
      </c>
      <c r="G3400" s="20" t="str">
        <f>IFERROR(__xludf.DUMMYFUNCTION("""COMPUTED_VALUE"""),"Uncle Sams Cider (11/12/2021) (Blue)")</f>
        <v>Uncle Sams Cider (11/12/2021) (Blue)</v>
      </c>
      <c r="H3400" s="19"/>
    </row>
    <row r="3401">
      <c r="A3401" s="9"/>
      <c r="B3401" s="15"/>
      <c r="C3401" s="9">
        <f>IFERROR(__xludf.DUMMYFUNCTION("""COMPUTED_VALUE"""),44570.112557199)</f>
        <v>44570.11256</v>
      </c>
      <c r="D3401" s="15">
        <f>IFERROR(__xludf.DUMMYFUNCTION("""COMPUTED_VALUE"""),1.004)</f>
        <v>1.004</v>
      </c>
      <c r="E3401" s="16">
        <f>IFERROR(__xludf.DUMMYFUNCTION("""COMPUTED_VALUE"""),66.0)</f>
        <v>66</v>
      </c>
      <c r="F3401" s="19" t="str">
        <f>IFERROR(__xludf.DUMMYFUNCTION("""COMPUTED_VALUE"""),"BLUE")</f>
        <v>BLUE</v>
      </c>
      <c r="G3401" s="20" t="str">
        <f>IFERROR(__xludf.DUMMYFUNCTION("""COMPUTED_VALUE"""),"Uncle Sams Cider (11/12/2021) (Blue)")</f>
        <v>Uncle Sams Cider (11/12/2021) (Blue)</v>
      </c>
      <c r="H3401" s="19"/>
    </row>
    <row r="3402">
      <c r="A3402" s="9"/>
      <c r="B3402" s="15"/>
      <c r="C3402" s="9">
        <f>IFERROR(__xludf.DUMMYFUNCTION("""COMPUTED_VALUE"""),44570.1021359838)</f>
        <v>44570.10214</v>
      </c>
      <c r="D3402" s="15">
        <f>IFERROR(__xludf.DUMMYFUNCTION("""COMPUTED_VALUE"""),1.004)</f>
        <v>1.004</v>
      </c>
      <c r="E3402" s="16">
        <f>IFERROR(__xludf.DUMMYFUNCTION("""COMPUTED_VALUE"""),66.0)</f>
        <v>66</v>
      </c>
      <c r="F3402" s="19" t="str">
        <f>IFERROR(__xludf.DUMMYFUNCTION("""COMPUTED_VALUE"""),"BLUE")</f>
        <v>BLUE</v>
      </c>
      <c r="G3402" s="20" t="str">
        <f>IFERROR(__xludf.DUMMYFUNCTION("""COMPUTED_VALUE"""),"Uncle Sams Cider (11/12/2021) (Blue)")</f>
        <v>Uncle Sams Cider (11/12/2021) (Blue)</v>
      </c>
      <c r="H3402" s="19"/>
    </row>
    <row r="3403">
      <c r="A3403" s="9"/>
      <c r="B3403" s="15"/>
      <c r="C3403" s="9">
        <f>IFERROR(__xludf.DUMMYFUNCTION("""COMPUTED_VALUE"""),44570.0917155092)</f>
        <v>44570.09172</v>
      </c>
      <c r="D3403" s="15">
        <f>IFERROR(__xludf.DUMMYFUNCTION("""COMPUTED_VALUE"""),1.004)</f>
        <v>1.004</v>
      </c>
      <c r="E3403" s="16">
        <f>IFERROR(__xludf.DUMMYFUNCTION("""COMPUTED_VALUE"""),66.0)</f>
        <v>66</v>
      </c>
      <c r="F3403" s="19" t="str">
        <f>IFERROR(__xludf.DUMMYFUNCTION("""COMPUTED_VALUE"""),"BLUE")</f>
        <v>BLUE</v>
      </c>
      <c r="G3403" s="20" t="str">
        <f>IFERROR(__xludf.DUMMYFUNCTION("""COMPUTED_VALUE"""),"Uncle Sams Cider (11/12/2021) (Blue)")</f>
        <v>Uncle Sams Cider (11/12/2021) (Blue)</v>
      </c>
      <c r="H3403" s="19"/>
    </row>
    <row r="3404">
      <c r="A3404" s="9"/>
      <c r="B3404" s="15"/>
      <c r="C3404" s="9">
        <f>IFERROR(__xludf.DUMMYFUNCTION("""COMPUTED_VALUE"""),44570.0812956249)</f>
        <v>44570.0813</v>
      </c>
      <c r="D3404" s="15">
        <f>IFERROR(__xludf.DUMMYFUNCTION("""COMPUTED_VALUE"""),1.004)</f>
        <v>1.004</v>
      </c>
      <c r="E3404" s="16">
        <f>IFERROR(__xludf.DUMMYFUNCTION("""COMPUTED_VALUE"""),66.0)</f>
        <v>66</v>
      </c>
      <c r="F3404" s="19" t="str">
        <f>IFERROR(__xludf.DUMMYFUNCTION("""COMPUTED_VALUE"""),"BLUE")</f>
        <v>BLUE</v>
      </c>
      <c r="G3404" s="20" t="str">
        <f>IFERROR(__xludf.DUMMYFUNCTION("""COMPUTED_VALUE"""),"Uncle Sams Cider (11/12/2021) (Blue)")</f>
        <v>Uncle Sams Cider (11/12/2021) (Blue)</v>
      </c>
      <c r="H3404" s="19"/>
    </row>
    <row r="3405">
      <c r="A3405" s="9"/>
      <c r="B3405" s="15"/>
      <c r="C3405" s="9">
        <f>IFERROR(__xludf.DUMMYFUNCTION("""COMPUTED_VALUE"""),44570.0708622222)</f>
        <v>44570.07086</v>
      </c>
      <c r="D3405" s="15">
        <f>IFERROR(__xludf.DUMMYFUNCTION("""COMPUTED_VALUE"""),1.004)</f>
        <v>1.004</v>
      </c>
      <c r="E3405" s="16">
        <f>IFERROR(__xludf.DUMMYFUNCTION("""COMPUTED_VALUE"""),66.0)</f>
        <v>66</v>
      </c>
      <c r="F3405" s="19" t="str">
        <f>IFERROR(__xludf.DUMMYFUNCTION("""COMPUTED_VALUE"""),"BLUE")</f>
        <v>BLUE</v>
      </c>
      <c r="G3405" s="20" t="str">
        <f>IFERROR(__xludf.DUMMYFUNCTION("""COMPUTED_VALUE"""),"Uncle Sams Cider (11/12/2021) (Blue)")</f>
        <v>Uncle Sams Cider (11/12/2021) (Blue)</v>
      </c>
      <c r="H3405" s="19"/>
    </row>
    <row r="3406">
      <c r="A3406" s="9"/>
      <c r="B3406" s="15"/>
      <c r="C3406" s="9">
        <f>IFERROR(__xludf.DUMMYFUNCTION("""COMPUTED_VALUE"""),44570.0604411111)</f>
        <v>44570.06044</v>
      </c>
      <c r="D3406" s="15">
        <f>IFERROR(__xludf.DUMMYFUNCTION("""COMPUTED_VALUE"""),1.004)</f>
        <v>1.004</v>
      </c>
      <c r="E3406" s="16">
        <f>IFERROR(__xludf.DUMMYFUNCTION("""COMPUTED_VALUE"""),67.0)</f>
        <v>67</v>
      </c>
      <c r="F3406" s="19" t="str">
        <f>IFERROR(__xludf.DUMMYFUNCTION("""COMPUTED_VALUE"""),"BLUE")</f>
        <v>BLUE</v>
      </c>
      <c r="G3406" s="20" t="str">
        <f>IFERROR(__xludf.DUMMYFUNCTION("""COMPUTED_VALUE"""),"Uncle Sams Cider (11/12/2021) (Blue)")</f>
        <v>Uncle Sams Cider (11/12/2021) (Blue)</v>
      </c>
      <c r="H3406" s="19"/>
    </row>
    <row r="3407">
      <c r="A3407" s="9"/>
      <c r="B3407" s="15"/>
      <c r="C3407" s="9">
        <f>IFERROR(__xludf.DUMMYFUNCTION("""COMPUTED_VALUE"""),44570.0500075462)</f>
        <v>44570.05001</v>
      </c>
      <c r="D3407" s="15">
        <f>IFERROR(__xludf.DUMMYFUNCTION("""COMPUTED_VALUE"""),1.005)</f>
        <v>1.005</v>
      </c>
      <c r="E3407" s="16">
        <f>IFERROR(__xludf.DUMMYFUNCTION("""COMPUTED_VALUE"""),67.0)</f>
        <v>67</v>
      </c>
      <c r="F3407" s="19" t="str">
        <f>IFERROR(__xludf.DUMMYFUNCTION("""COMPUTED_VALUE"""),"BLUE")</f>
        <v>BLUE</v>
      </c>
      <c r="G3407" s="20" t="str">
        <f>IFERROR(__xludf.DUMMYFUNCTION("""COMPUTED_VALUE"""),"Uncle Sams Cider (11/12/2021) (Blue)")</f>
        <v>Uncle Sams Cider (11/12/2021) (Blue)</v>
      </c>
      <c r="H3407" s="19"/>
    </row>
    <row r="3408">
      <c r="A3408" s="9"/>
      <c r="B3408" s="15"/>
      <c r="C3408" s="9">
        <f>IFERROR(__xludf.DUMMYFUNCTION("""COMPUTED_VALUE"""),44570.0395861689)</f>
        <v>44570.03959</v>
      </c>
      <c r="D3408" s="15">
        <f>IFERROR(__xludf.DUMMYFUNCTION("""COMPUTED_VALUE"""),1.004)</f>
        <v>1.004</v>
      </c>
      <c r="E3408" s="16">
        <f>IFERROR(__xludf.DUMMYFUNCTION("""COMPUTED_VALUE"""),67.0)</f>
        <v>67</v>
      </c>
      <c r="F3408" s="19" t="str">
        <f>IFERROR(__xludf.DUMMYFUNCTION("""COMPUTED_VALUE"""),"BLUE")</f>
        <v>BLUE</v>
      </c>
      <c r="G3408" s="20" t="str">
        <f>IFERROR(__xludf.DUMMYFUNCTION("""COMPUTED_VALUE"""),"Uncle Sams Cider (11/12/2021) (Blue)")</f>
        <v>Uncle Sams Cider (11/12/2021) (Blue)</v>
      </c>
      <c r="H3408" s="19"/>
    </row>
    <row r="3409">
      <c r="A3409" s="9"/>
      <c r="B3409" s="15"/>
      <c r="C3409" s="9">
        <f>IFERROR(__xludf.DUMMYFUNCTION("""COMPUTED_VALUE"""),44570.0291643981)</f>
        <v>44570.02916</v>
      </c>
      <c r="D3409" s="15">
        <f>IFERROR(__xludf.DUMMYFUNCTION("""COMPUTED_VALUE"""),1.004)</f>
        <v>1.004</v>
      </c>
      <c r="E3409" s="16">
        <f>IFERROR(__xludf.DUMMYFUNCTION("""COMPUTED_VALUE"""),67.0)</f>
        <v>67</v>
      </c>
      <c r="F3409" s="19" t="str">
        <f>IFERROR(__xludf.DUMMYFUNCTION("""COMPUTED_VALUE"""),"BLUE")</f>
        <v>BLUE</v>
      </c>
      <c r="G3409" s="20" t="str">
        <f>IFERROR(__xludf.DUMMYFUNCTION("""COMPUTED_VALUE"""),"Uncle Sams Cider (11/12/2021) (Blue)")</f>
        <v>Uncle Sams Cider (11/12/2021) (Blue)</v>
      </c>
      <c r="H3409" s="19"/>
    </row>
    <row r="3410">
      <c r="A3410" s="9"/>
      <c r="B3410" s="15"/>
      <c r="C3410" s="9">
        <f>IFERROR(__xludf.DUMMYFUNCTION("""COMPUTED_VALUE"""),44570.0187427199)</f>
        <v>44570.01874</v>
      </c>
      <c r="D3410" s="15">
        <f>IFERROR(__xludf.DUMMYFUNCTION("""COMPUTED_VALUE"""),1.004)</f>
        <v>1.004</v>
      </c>
      <c r="E3410" s="16">
        <f>IFERROR(__xludf.DUMMYFUNCTION("""COMPUTED_VALUE"""),67.0)</f>
        <v>67</v>
      </c>
      <c r="F3410" s="19" t="str">
        <f>IFERROR(__xludf.DUMMYFUNCTION("""COMPUTED_VALUE"""),"BLUE")</f>
        <v>BLUE</v>
      </c>
      <c r="G3410" s="20" t="str">
        <f>IFERROR(__xludf.DUMMYFUNCTION("""COMPUTED_VALUE"""),"Uncle Sams Cider (11/12/2021) (Blue)")</f>
        <v>Uncle Sams Cider (11/12/2021) (Blue)</v>
      </c>
      <c r="H3410" s="19"/>
    </row>
    <row r="3411">
      <c r="A3411" s="9"/>
      <c r="B3411" s="15"/>
      <c r="C3411" s="9">
        <f>IFERROR(__xludf.DUMMYFUNCTION("""COMPUTED_VALUE"""),44570.0083230671)</f>
        <v>44570.00832</v>
      </c>
      <c r="D3411" s="15">
        <f>IFERROR(__xludf.DUMMYFUNCTION("""COMPUTED_VALUE"""),1.004)</f>
        <v>1.004</v>
      </c>
      <c r="E3411" s="16">
        <f>IFERROR(__xludf.DUMMYFUNCTION("""COMPUTED_VALUE"""),67.0)</f>
        <v>67</v>
      </c>
      <c r="F3411" s="19" t="str">
        <f>IFERROR(__xludf.DUMMYFUNCTION("""COMPUTED_VALUE"""),"BLUE")</f>
        <v>BLUE</v>
      </c>
      <c r="G3411" s="20" t="str">
        <f>IFERROR(__xludf.DUMMYFUNCTION("""COMPUTED_VALUE"""),"Uncle Sams Cider (11/12/2021) (Blue)")</f>
        <v>Uncle Sams Cider (11/12/2021) (Blue)</v>
      </c>
      <c r="H3411" s="19"/>
    </row>
    <row r="3412">
      <c r="A3412" s="9"/>
      <c r="B3412" s="15"/>
      <c r="C3412" s="9">
        <f>IFERROR(__xludf.DUMMYFUNCTION("""COMPUTED_VALUE"""),44569.9979024884)</f>
        <v>44569.9979</v>
      </c>
      <c r="D3412" s="15">
        <f>IFERROR(__xludf.DUMMYFUNCTION("""COMPUTED_VALUE"""),1.004)</f>
        <v>1.004</v>
      </c>
      <c r="E3412" s="16">
        <f>IFERROR(__xludf.DUMMYFUNCTION("""COMPUTED_VALUE"""),67.0)</f>
        <v>67</v>
      </c>
      <c r="F3412" s="19" t="str">
        <f>IFERROR(__xludf.DUMMYFUNCTION("""COMPUTED_VALUE"""),"BLUE")</f>
        <v>BLUE</v>
      </c>
      <c r="G3412" s="20" t="str">
        <f>IFERROR(__xludf.DUMMYFUNCTION("""COMPUTED_VALUE"""),"Uncle Sams Cider (11/12/2021) (Blue)")</f>
        <v>Uncle Sams Cider (11/12/2021) (Blue)</v>
      </c>
      <c r="H3412" s="19"/>
    </row>
    <row r="3413">
      <c r="A3413" s="9"/>
      <c r="B3413" s="15"/>
      <c r="C3413" s="9">
        <f>IFERROR(__xludf.DUMMYFUNCTION("""COMPUTED_VALUE"""),44569.9874823379)</f>
        <v>44569.98748</v>
      </c>
      <c r="D3413" s="15">
        <f>IFERROR(__xludf.DUMMYFUNCTION("""COMPUTED_VALUE"""),1.004)</f>
        <v>1.004</v>
      </c>
      <c r="E3413" s="16">
        <f>IFERROR(__xludf.DUMMYFUNCTION("""COMPUTED_VALUE"""),67.0)</f>
        <v>67</v>
      </c>
      <c r="F3413" s="19" t="str">
        <f>IFERROR(__xludf.DUMMYFUNCTION("""COMPUTED_VALUE"""),"BLUE")</f>
        <v>BLUE</v>
      </c>
      <c r="G3413" s="20" t="str">
        <f>IFERROR(__xludf.DUMMYFUNCTION("""COMPUTED_VALUE"""),"Uncle Sams Cider (11/12/2021) (Blue)")</f>
        <v>Uncle Sams Cider (11/12/2021) (Blue)</v>
      </c>
      <c r="H3413" s="19"/>
    </row>
    <row r="3414">
      <c r="A3414" s="9"/>
      <c r="B3414" s="15"/>
      <c r="C3414" s="9">
        <f>IFERROR(__xludf.DUMMYFUNCTION("""COMPUTED_VALUE"""),44569.9770616782)</f>
        <v>44569.97706</v>
      </c>
      <c r="D3414" s="15">
        <f>IFERROR(__xludf.DUMMYFUNCTION("""COMPUTED_VALUE"""),1.004)</f>
        <v>1.004</v>
      </c>
      <c r="E3414" s="16">
        <f>IFERROR(__xludf.DUMMYFUNCTION("""COMPUTED_VALUE"""),67.0)</f>
        <v>67</v>
      </c>
      <c r="F3414" s="19" t="str">
        <f>IFERROR(__xludf.DUMMYFUNCTION("""COMPUTED_VALUE"""),"BLUE")</f>
        <v>BLUE</v>
      </c>
      <c r="G3414" s="20" t="str">
        <f>IFERROR(__xludf.DUMMYFUNCTION("""COMPUTED_VALUE"""),"Uncle Sams Cider (11/12/2021) (Blue)")</f>
        <v>Uncle Sams Cider (11/12/2021) (Blue)</v>
      </c>
      <c r="H3414" s="19"/>
    </row>
    <row r="3415">
      <c r="A3415" s="9"/>
      <c r="B3415" s="15"/>
      <c r="C3415" s="9">
        <f>IFERROR(__xludf.DUMMYFUNCTION("""COMPUTED_VALUE"""),44569.9666288425)</f>
        <v>44569.96663</v>
      </c>
      <c r="D3415" s="15">
        <f>IFERROR(__xludf.DUMMYFUNCTION("""COMPUTED_VALUE"""),1.004)</f>
        <v>1.004</v>
      </c>
      <c r="E3415" s="16">
        <f>IFERROR(__xludf.DUMMYFUNCTION("""COMPUTED_VALUE"""),67.0)</f>
        <v>67</v>
      </c>
      <c r="F3415" s="19" t="str">
        <f>IFERROR(__xludf.DUMMYFUNCTION("""COMPUTED_VALUE"""),"BLUE")</f>
        <v>BLUE</v>
      </c>
      <c r="G3415" s="20" t="str">
        <f>IFERROR(__xludf.DUMMYFUNCTION("""COMPUTED_VALUE"""),"Uncle Sams Cider (11/12/2021) (Blue)")</f>
        <v>Uncle Sams Cider (11/12/2021) (Blue)</v>
      </c>
      <c r="H3415" s="19"/>
    </row>
    <row r="3416">
      <c r="A3416" s="9"/>
      <c r="B3416" s="15"/>
      <c r="C3416" s="9">
        <f>IFERROR(__xludf.DUMMYFUNCTION("""COMPUTED_VALUE"""),44569.9561962499)</f>
        <v>44569.9562</v>
      </c>
      <c r="D3416" s="15">
        <f>IFERROR(__xludf.DUMMYFUNCTION("""COMPUTED_VALUE"""),1.004)</f>
        <v>1.004</v>
      </c>
      <c r="E3416" s="16">
        <f>IFERROR(__xludf.DUMMYFUNCTION("""COMPUTED_VALUE"""),67.0)</f>
        <v>67</v>
      </c>
      <c r="F3416" s="19" t="str">
        <f>IFERROR(__xludf.DUMMYFUNCTION("""COMPUTED_VALUE"""),"BLUE")</f>
        <v>BLUE</v>
      </c>
      <c r="G3416" s="20" t="str">
        <f>IFERROR(__xludf.DUMMYFUNCTION("""COMPUTED_VALUE"""),"Uncle Sams Cider (11/12/2021) (Blue)")</f>
        <v>Uncle Sams Cider (11/12/2021) (Blue)</v>
      </c>
      <c r="H3416" s="19"/>
    </row>
    <row r="3417">
      <c r="A3417" s="9"/>
      <c r="B3417" s="15"/>
      <c r="C3417" s="9">
        <f>IFERROR(__xludf.DUMMYFUNCTION("""COMPUTED_VALUE"""),44569.9457754282)</f>
        <v>44569.94578</v>
      </c>
      <c r="D3417" s="15">
        <f>IFERROR(__xludf.DUMMYFUNCTION("""COMPUTED_VALUE"""),1.004)</f>
        <v>1.004</v>
      </c>
      <c r="E3417" s="16">
        <f>IFERROR(__xludf.DUMMYFUNCTION("""COMPUTED_VALUE"""),67.0)</f>
        <v>67</v>
      </c>
      <c r="F3417" s="19" t="str">
        <f>IFERROR(__xludf.DUMMYFUNCTION("""COMPUTED_VALUE"""),"BLUE")</f>
        <v>BLUE</v>
      </c>
      <c r="G3417" s="20" t="str">
        <f>IFERROR(__xludf.DUMMYFUNCTION("""COMPUTED_VALUE"""),"Uncle Sams Cider (11/12/2021) (Blue)")</f>
        <v>Uncle Sams Cider (11/12/2021) (Blue)</v>
      </c>
      <c r="H3417" s="19"/>
    </row>
    <row r="3418">
      <c r="A3418" s="9"/>
      <c r="B3418" s="15"/>
      <c r="C3418" s="9">
        <f>IFERROR(__xludf.DUMMYFUNCTION("""COMPUTED_VALUE"""),44569.9353530439)</f>
        <v>44569.93535</v>
      </c>
      <c r="D3418" s="15">
        <f>IFERROR(__xludf.DUMMYFUNCTION("""COMPUTED_VALUE"""),1.004)</f>
        <v>1.004</v>
      </c>
      <c r="E3418" s="16">
        <f>IFERROR(__xludf.DUMMYFUNCTION("""COMPUTED_VALUE"""),67.0)</f>
        <v>67</v>
      </c>
      <c r="F3418" s="19" t="str">
        <f>IFERROR(__xludf.DUMMYFUNCTION("""COMPUTED_VALUE"""),"BLUE")</f>
        <v>BLUE</v>
      </c>
      <c r="G3418" s="20" t="str">
        <f>IFERROR(__xludf.DUMMYFUNCTION("""COMPUTED_VALUE"""),"Uncle Sams Cider (11/12/2021) (Blue)")</f>
        <v>Uncle Sams Cider (11/12/2021) (Blue)</v>
      </c>
      <c r="H3418" s="19"/>
    </row>
    <row r="3419">
      <c r="A3419" s="9"/>
      <c r="B3419" s="15"/>
      <c r="C3419" s="9">
        <f>IFERROR(__xludf.DUMMYFUNCTION("""COMPUTED_VALUE"""),44569.9249328588)</f>
        <v>44569.92493</v>
      </c>
      <c r="D3419" s="15">
        <f>IFERROR(__xludf.DUMMYFUNCTION("""COMPUTED_VALUE"""),1.004)</f>
        <v>1.004</v>
      </c>
      <c r="E3419" s="16">
        <f>IFERROR(__xludf.DUMMYFUNCTION("""COMPUTED_VALUE"""),67.0)</f>
        <v>67</v>
      </c>
      <c r="F3419" s="19" t="str">
        <f>IFERROR(__xludf.DUMMYFUNCTION("""COMPUTED_VALUE"""),"BLUE")</f>
        <v>BLUE</v>
      </c>
      <c r="G3419" s="20" t="str">
        <f>IFERROR(__xludf.DUMMYFUNCTION("""COMPUTED_VALUE"""),"Uncle Sams Cider (11/12/2021) (Blue)")</f>
        <v>Uncle Sams Cider (11/12/2021) (Blue)</v>
      </c>
      <c r="H3419" s="19"/>
    </row>
    <row r="3420">
      <c r="A3420" s="9"/>
      <c r="B3420" s="15"/>
      <c r="C3420" s="9">
        <f>IFERROR(__xludf.DUMMYFUNCTION("""COMPUTED_VALUE"""),44569.9145094097)</f>
        <v>44569.91451</v>
      </c>
      <c r="D3420" s="15">
        <f>IFERROR(__xludf.DUMMYFUNCTION("""COMPUTED_VALUE"""),1.004)</f>
        <v>1.004</v>
      </c>
      <c r="E3420" s="16">
        <f>IFERROR(__xludf.DUMMYFUNCTION("""COMPUTED_VALUE"""),67.0)</f>
        <v>67</v>
      </c>
      <c r="F3420" s="19" t="str">
        <f>IFERROR(__xludf.DUMMYFUNCTION("""COMPUTED_VALUE"""),"BLUE")</f>
        <v>BLUE</v>
      </c>
      <c r="G3420" s="20" t="str">
        <f>IFERROR(__xludf.DUMMYFUNCTION("""COMPUTED_VALUE"""),"Uncle Sams Cider (11/12/2021) (Blue)")</f>
        <v>Uncle Sams Cider (11/12/2021) (Blue)</v>
      </c>
      <c r="H3420" s="19"/>
    </row>
    <row r="3421">
      <c r="A3421" s="9"/>
      <c r="B3421" s="15"/>
      <c r="C3421" s="9">
        <f>IFERROR(__xludf.DUMMYFUNCTION("""COMPUTED_VALUE"""),44569.9040878356)</f>
        <v>44569.90409</v>
      </c>
      <c r="D3421" s="15">
        <f>IFERROR(__xludf.DUMMYFUNCTION("""COMPUTED_VALUE"""),1.005)</f>
        <v>1.005</v>
      </c>
      <c r="E3421" s="16">
        <f>IFERROR(__xludf.DUMMYFUNCTION("""COMPUTED_VALUE"""),67.0)</f>
        <v>67</v>
      </c>
      <c r="F3421" s="19" t="str">
        <f>IFERROR(__xludf.DUMMYFUNCTION("""COMPUTED_VALUE"""),"BLUE")</f>
        <v>BLUE</v>
      </c>
      <c r="G3421" s="20" t="str">
        <f>IFERROR(__xludf.DUMMYFUNCTION("""COMPUTED_VALUE"""),"Uncle Sams Cider (11/12/2021) (Blue)")</f>
        <v>Uncle Sams Cider (11/12/2021) (Blue)</v>
      </c>
      <c r="H3421" s="19"/>
    </row>
    <row r="3422">
      <c r="A3422" s="9"/>
      <c r="B3422" s="15"/>
      <c r="C3422" s="9">
        <f>IFERROR(__xludf.DUMMYFUNCTION("""COMPUTED_VALUE"""),44569.893668912)</f>
        <v>44569.89367</v>
      </c>
      <c r="D3422" s="15">
        <f>IFERROR(__xludf.DUMMYFUNCTION("""COMPUTED_VALUE"""),1.004)</f>
        <v>1.004</v>
      </c>
      <c r="E3422" s="16">
        <f>IFERROR(__xludf.DUMMYFUNCTION("""COMPUTED_VALUE"""),67.0)</f>
        <v>67</v>
      </c>
      <c r="F3422" s="19" t="str">
        <f>IFERROR(__xludf.DUMMYFUNCTION("""COMPUTED_VALUE"""),"BLUE")</f>
        <v>BLUE</v>
      </c>
      <c r="G3422" s="20" t="str">
        <f>IFERROR(__xludf.DUMMYFUNCTION("""COMPUTED_VALUE"""),"Uncle Sams Cider (11/12/2021) (Blue)")</f>
        <v>Uncle Sams Cider (11/12/2021) (Blue)</v>
      </c>
      <c r="H3422" s="19"/>
    </row>
    <row r="3423">
      <c r="A3423" s="9"/>
      <c r="B3423" s="15"/>
      <c r="C3423" s="9">
        <f>IFERROR(__xludf.DUMMYFUNCTION("""COMPUTED_VALUE"""),44569.8832481828)</f>
        <v>44569.88325</v>
      </c>
      <c r="D3423" s="15">
        <f>IFERROR(__xludf.DUMMYFUNCTION("""COMPUTED_VALUE"""),1.004)</f>
        <v>1.004</v>
      </c>
      <c r="E3423" s="16">
        <f>IFERROR(__xludf.DUMMYFUNCTION("""COMPUTED_VALUE"""),67.0)</f>
        <v>67</v>
      </c>
      <c r="F3423" s="19" t="str">
        <f>IFERROR(__xludf.DUMMYFUNCTION("""COMPUTED_VALUE"""),"BLUE")</f>
        <v>BLUE</v>
      </c>
      <c r="G3423" s="20" t="str">
        <f>IFERROR(__xludf.DUMMYFUNCTION("""COMPUTED_VALUE"""),"Uncle Sams Cider (11/12/2021) (Blue)")</f>
        <v>Uncle Sams Cider (11/12/2021) (Blue)</v>
      </c>
      <c r="H3423" s="19"/>
    </row>
    <row r="3424">
      <c r="A3424" s="9"/>
      <c r="B3424" s="15"/>
      <c r="C3424" s="9">
        <f>IFERROR(__xludf.DUMMYFUNCTION("""COMPUTED_VALUE"""),44569.8728286921)</f>
        <v>44569.87283</v>
      </c>
      <c r="D3424" s="15">
        <f>IFERROR(__xludf.DUMMYFUNCTION("""COMPUTED_VALUE"""),1.004)</f>
        <v>1.004</v>
      </c>
      <c r="E3424" s="16">
        <f>IFERROR(__xludf.DUMMYFUNCTION("""COMPUTED_VALUE"""),67.0)</f>
        <v>67</v>
      </c>
      <c r="F3424" s="19" t="str">
        <f>IFERROR(__xludf.DUMMYFUNCTION("""COMPUTED_VALUE"""),"BLUE")</f>
        <v>BLUE</v>
      </c>
      <c r="G3424" s="20" t="str">
        <f>IFERROR(__xludf.DUMMYFUNCTION("""COMPUTED_VALUE"""),"Uncle Sams Cider (11/12/2021) (Blue)")</f>
        <v>Uncle Sams Cider (11/12/2021) (Blue)</v>
      </c>
      <c r="H3424" s="19"/>
    </row>
    <row r="3425">
      <c r="A3425" s="9"/>
      <c r="B3425" s="15"/>
      <c r="C3425" s="9">
        <f>IFERROR(__xludf.DUMMYFUNCTION("""COMPUTED_VALUE"""),44569.8624069328)</f>
        <v>44569.86241</v>
      </c>
      <c r="D3425" s="15">
        <f>IFERROR(__xludf.DUMMYFUNCTION("""COMPUTED_VALUE"""),1.004)</f>
        <v>1.004</v>
      </c>
      <c r="E3425" s="16">
        <f>IFERROR(__xludf.DUMMYFUNCTION("""COMPUTED_VALUE"""),67.0)</f>
        <v>67</v>
      </c>
      <c r="F3425" s="19" t="str">
        <f>IFERROR(__xludf.DUMMYFUNCTION("""COMPUTED_VALUE"""),"BLUE")</f>
        <v>BLUE</v>
      </c>
      <c r="G3425" s="20" t="str">
        <f>IFERROR(__xludf.DUMMYFUNCTION("""COMPUTED_VALUE"""),"Uncle Sams Cider (11/12/2021) (Blue)")</f>
        <v>Uncle Sams Cider (11/12/2021) (Blue)</v>
      </c>
      <c r="H3425" s="19"/>
    </row>
    <row r="3426">
      <c r="A3426" s="9"/>
      <c r="B3426" s="15"/>
      <c r="C3426" s="9">
        <f>IFERROR(__xludf.DUMMYFUNCTION("""COMPUTED_VALUE"""),44569.851985243)</f>
        <v>44569.85199</v>
      </c>
      <c r="D3426" s="15">
        <f>IFERROR(__xludf.DUMMYFUNCTION("""COMPUTED_VALUE"""),1.004)</f>
        <v>1.004</v>
      </c>
      <c r="E3426" s="16">
        <f>IFERROR(__xludf.DUMMYFUNCTION("""COMPUTED_VALUE"""),67.0)</f>
        <v>67</v>
      </c>
      <c r="F3426" s="19" t="str">
        <f>IFERROR(__xludf.DUMMYFUNCTION("""COMPUTED_VALUE"""),"BLUE")</f>
        <v>BLUE</v>
      </c>
      <c r="G3426" s="20" t="str">
        <f>IFERROR(__xludf.DUMMYFUNCTION("""COMPUTED_VALUE"""),"Uncle Sams Cider (11/12/2021) (Blue)")</f>
        <v>Uncle Sams Cider (11/12/2021) (Blue)</v>
      </c>
      <c r="H3426" s="19"/>
    </row>
    <row r="3427">
      <c r="A3427" s="9"/>
      <c r="B3427" s="15"/>
      <c r="C3427" s="9">
        <f>IFERROR(__xludf.DUMMYFUNCTION("""COMPUTED_VALUE"""),44569.8415661342)</f>
        <v>44569.84157</v>
      </c>
      <c r="D3427" s="15">
        <f>IFERROR(__xludf.DUMMYFUNCTION("""COMPUTED_VALUE"""),1.004)</f>
        <v>1.004</v>
      </c>
      <c r="E3427" s="16">
        <f>IFERROR(__xludf.DUMMYFUNCTION("""COMPUTED_VALUE"""),67.0)</f>
        <v>67</v>
      </c>
      <c r="F3427" s="19" t="str">
        <f>IFERROR(__xludf.DUMMYFUNCTION("""COMPUTED_VALUE"""),"BLUE")</f>
        <v>BLUE</v>
      </c>
      <c r="G3427" s="20" t="str">
        <f>IFERROR(__xludf.DUMMYFUNCTION("""COMPUTED_VALUE"""),"Uncle Sams Cider (11/12/2021) (Blue)")</f>
        <v>Uncle Sams Cider (11/12/2021) (Blue)</v>
      </c>
      <c r="H3427" s="19"/>
    </row>
    <row r="3428">
      <c r="A3428" s="9"/>
      <c r="B3428" s="15"/>
      <c r="C3428" s="9">
        <f>IFERROR(__xludf.DUMMYFUNCTION("""COMPUTED_VALUE"""),44569.831144537)</f>
        <v>44569.83114</v>
      </c>
      <c r="D3428" s="15">
        <f>IFERROR(__xludf.DUMMYFUNCTION("""COMPUTED_VALUE"""),1.004)</f>
        <v>1.004</v>
      </c>
      <c r="E3428" s="16">
        <f>IFERROR(__xludf.DUMMYFUNCTION("""COMPUTED_VALUE"""),67.0)</f>
        <v>67</v>
      </c>
      <c r="F3428" s="19" t="str">
        <f>IFERROR(__xludf.DUMMYFUNCTION("""COMPUTED_VALUE"""),"BLUE")</f>
        <v>BLUE</v>
      </c>
      <c r="G3428" s="20" t="str">
        <f>IFERROR(__xludf.DUMMYFUNCTION("""COMPUTED_VALUE"""),"Uncle Sams Cider (11/12/2021) (Blue)")</f>
        <v>Uncle Sams Cider (11/12/2021) (Blue)</v>
      </c>
      <c r="H3428" s="19"/>
    </row>
    <row r="3429">
      <c r="A3429" s="9"/>
      <c r="B3429" s="15"/>
      <c r="C3429" s="9">
        <f>IFERROR(__xludf.DUMMYFUNCTION("""COMPUTED_VALUE"""),44569.8207216782)</f>
        <v>44569.82072</v>
      </c>
      <c r="D3429" s="15">
        <f>IFERROR(__xludf.DUMMYFUNCTION("""COMPUTED_VALUE"""),1.004)</f>
        <v>1.004</v>
      </c>
      <c r="E3429" s="16">
        <f>IFERROR(__xludf.DUMMYFUNCTION("""COMPUTED_VALUE"""),67.0)</f>
        <v>67</v>
      </c>
      <c r="F3429" s="19" t="str">
        <f>IFERROR(__xludf.DUMMYFUNCTION("""COMPUTED_VALUE"""),"BLUE")</f>
        <v>BLUE</v>
      </c>
      <c r="G3429" s="20" t="str">
        <f>IFERROR(__xludf.DUMMYFUNCTION("""COMPUTED_VALUE"""),"Uncle Sams Cider (11/12/2021) (Blue)")</f>
        <v>Uncle Sams Cider (11/12/2021) (Blue)</v>
      </c>
      <c r="H3429" s="19"/>
    </row>
    <row r="3430">
      <c r="A3430" s="9"/>
      <c r="B3430" s="15"/>
      <c r="C3430" s="9">
        <f>IFERROR(__xludf.DUMMYFUNCTION("""COMPUTED_VALUE"""),44569.8103009027)</f>
        <v>44569.8103</v>
      </c>
      <c r="D3430" s="15">
        <f>IFERROR(__xludf.DUMMYFUNCTION("""COMPUTED_VALUE"""),1.004)</f>
        <v>1.004</v>
      </c>
      <c r="E3430" s="16">
        <f>IFERROR(__xludf.DUMMYFUNCTION("""COMPUTED_VALUE"""),67.0)</f>
        <v>67</v>
      </c>
      <c r="F3430" s="19" t="str">
        <f>IFERROR(__xludf.DUMMYFUNCTION("""COMPUTED_VALUE"""),"BLUE")</f>
        <v>BLUE</v>
      </c>
      <c r="G3430" s="20" t="str">
        <f>IFERROR(__xludf.DUMMYFUNCTION("""COMPUTED_VALUE"""),"Uncle Sams Cider (11/12/2021) (Blue)")</f>
        <v>Uncle Sams Cider (11/12/2021) (Blue)</v>
      </c>
      <c r="H3430" s="19"/>
    </row>
    <row r="3431">
      <c r="A3431" s="9"/>
      <c r="B3431" s="15"/>
      <c r="C3431" s="9">
        <f>IFERROR(__xludf.DUMMYFUNCTION("""COMPUTED_VALUE"""),44569.799880625)</f>
        <v>44569.79988</v>
      </c>
      <c r="D3431" s="15">
        <f>IFERROR(__xludf.DUMMYFUNCTION("""COMPUTED_VALUE"""),1.004)</f>
        <v>1.004</v>
      </c>
      <c r="E3431" s="16">
        <f>IFERROR(__xludf.DUMMYFUNCTION("""COMPUTED_VALUE"""),68.0)</f>
        <v>68</v>
      </c>
      <c r="F3431" s="19" t="str">
        <f>IFERROR(__xludf.DUMMYFUNCTION("""COMPUTED_VALUE"""),"BLUE")</f>
        <v>BLUE</v>
      </c>
      <c r="G3431" s="20" t="str">
        <f>IFERROR(__xludf.DUMMYFUNCTION("""COMPUTED_VALUE"""),"Uncle Sams Cider (11/12/2021) (Blue)")</f>
        <v>Uncle Sams Cider (11/12/2021) (Blue)</v>
      </c>
      <c r="H3431" s="19"/>
    </row>
    <row r="3432">
      <c r="A3432" s="9"/>
      <c r="B3432" s="15"/>
      <c r="C3432" s="9">
        <f>IFERROR(__xludf.DUMMYFUNCTION("""COMPUTED_VALUE"""),44569.7894583912)</f>
        <v>44569.78946</v>
      </c>
      <c r="D3432" s="15">
        <f>IFERROR(__xludf.DUMMYFUNCTION("""COMPUTED_VALUE"""),1.004)</f>
        <v>1.004</v>
      </c>
      <c r="E3432" s="16">
        <f>IFERROR(__xludf.DUMMYFUNCTION("""COMPUTED_VALUE"""),68.0)</f>
        <v>68</v>
      </c>
      <c r="F3432" s="19" t="str">
        <f>IFERROR(__xludf.DUMMYFUNCTION("""COMPUTED_VALUE"""),"BLUE")</f>
        <v>BLUE</v>
      </c>
      <c r="G3432" s="20" t="str">
        <f>IFERROR(__xludf.DUMMYFUNCTION("""COMPUTED_VALUE"""),"Uncle Sams Cider (11/12/2021) (Blue)")</f>
        <v>Uncle Sams Cider (11/12/2021) (Blue)</v>
      </c>
      <c r="H3432" s="19"/>
    </row>
    <row r="3433">
      <c r="A3433" s="9"/>
      <c r="B3433" s="15"/>
      <c r="C3433" s="9">
        <f>IFERROR(__xludf.DUMMYFUNCTION("""COMPUTED_VALUE"""),44569.7790377777)</f>
        <v>44569.77904</v>
      </c>
      <c r="D3433" s="15">
        <f>IFERROR(__xludf.DUMMYFUNCTION("""COMPUTED_VALUE"""),1.004)</f>
        <v>1.004</v>
      </c>
      <c r="E3433" s="16">
        <f>IFERROR(__xludf.DUMMYFUNCTION("""COMPUTED_VALUE"""),68.0)</f>
        <v>68</v>
      </c>
      <c r="F3433" s="19" t="str">
        <f>IFERROR(__xludf.DUMMYFUNCTION("""COMPUTED_VALUE"""),"BLUE")</f>
        <v>BLUE</v>
      </c>
      <c r="G3433" s="20" t="str">
        <f>IFERROR(__xludf.DUMMYFUNCTION("""COMPUTED_VALUE"""),"Uncle Sams Cider (11/12/2021) (Blue)")</f>
        <v>Uncle Sams Cider (11/12/2021) (Blue)</v>
      </c>
      <c r="H3433" s="19"/>
    </row>
    <row r="3434">
      <c r="A3434" s="9"/>
      <c r="B3434" s="15"/>
      <c r="C3434" s="9">
        <f>IFERROR(__xludf.DUMMYFUNCTION("""COMPUTED_VALUE"""),44569.7685691087)</f>
        <v>44569.76857</v>
      </c>
      <c r="D3434" s="15">
        <f>IFERROR(__xludf.DUMMYFUNCTION("""COMPUTED_VALUE"""),1.004)</f>
        <v>1.004</v>
      </c>
      <c r="E3434" s="16">
        <f>IFERROR(__xludf.DUMMYFUNCTION("""COMPUTED_VALUE"""),68.0)</f>
        <v>68</v>
      </c>
      <c r="F3434" s="19" t="str">
        <f>IFERROR(__xludf.DUMMYFUNCTION("""COMPUTED_VALUE"""),"BLUE")</f>
        <v>BLUE</v>
      </c>
      <c r="G3434" s="20" t="str">
        <f>IFERROR(__xludf.DUMMYFUNCTION("""COMPUTED_VALUE"""),"Uncle Sams Cider (11/12/2021) (Blue)")</f>
        <v>Uncle Sams Cider (11/12/2021) (Blue)</v>
      </c>
      <c r="H3434" s="19"/>
    </row>
    <row r="3435">
      <c r="A3435" s="9"/>
      <c r="B3435" s="15"/>
      <c r="C3435" s="9">
        <f>IFERROR(__xludf.DUMMYFUNCTION("""COMPUTED_VALUE"""),44569.7581481828)</f>
        <v>44569.75815</v>
      </c>
      <c r="D3435" s="15">
        <f>IFERROR(__xludf.DUMMYFUNCTION("""COMPUTED_VALUE"""),1.005)</f>
        <v>1.005</v>
      </c>
      <c r="E3435" s="16">
        <f>IFERROR(__xludf.DUMMYFUNCTION("""COMPUTED_VALUE"""),68.0)</f>
        <v>68</v>
      </c>
      <c r="F3435" s="19" t="str">
        <f>IFERROR(__xludf.DUMMYFUNCTION("""COMPUTED_VALUE"""),"BLUE")</f>
        <v>BLUE</v>
      </c>
      <c r="G3435" s="20" t="str">
        <f>IFERROR(__xludf.DUMMYFUNCTION("""COMPUTED_VALUE"""),"Uncle Sams Cider (11/12/2021) (Blue)")</f>
        <v>Uncle Sams Cider (11/12/2021) (Blue)</v>
      </c>
      <c r="H3435" s="19"/>
    </row>
    <row r="3436">
      <c r="A3436" s="9"/>
      <c r="B3436" s="15"/>
      <c r="C3436" s="9">
        <f>IFERROR(__xludf.DUMMYFUNCTION("""COMPUTED_VALUE"""),44569.747715162)</f>
        <v>44569.74772</v>
      </c>
      <c r="D3436" s="15">
        <f>IFERROR(__xludf.DUMMYFUNCTION("""COMPUTED_VALUE"""),1.004)</f>
        <v>1.004</v>
      </c>
      <c r="E3436" s="16">
        <f>IFERROR(__xludf.DUMMYFUNCTION("""COMPUTED_VALUE"""),68.0)</f>
        <v>68</v>
      </c>
      <c r="F3436" s="19" t="str">
        <f>IFERROR(__xludf.DUMMYFUNCTION("""COMPUTED_VALUE"""),"BLUE")</f>
        <v>BLUE</v>
      </c>
      <c r="G3436" s="20" t="str">
        <f>IFERROR(__xludf.DUMMYFUNCTION("""COMPUTED_VALUE"""),"Uncle Sams Cider (11/12/2021) (Blue)")</f>
        <v>Uncle Sams Cider (11/12/2021) (Blue)</v>
      </c>
      <c r="H3436" s="19"/>
    </row>
    <row r="3437">
      <c r="A3437" s="9"/>
      <c r="B3437" s="15"/>
      <c r="C3437" s="9">
        <f>IFERROR(__xludf.DUMMYFUNCTION("""COMPUTED_VALUE"""),44569.737295949)</f>
        <v>44569.7373</v>
      </c>
      <c r="D3437" s="15">
        <f>IFERROR(__xludf.DUMMYFUNCTION("""COMPUTED_VALUE"""),1.004)</f>
        <v>1.004</v>
      </c>
      <c r="E3437" s="16">
        <f>IFERROR(__xludf.DUMMYFUNCTION("""COMPUTED_VALUE"""),67.0)</f>
        <v>67</v>
      </c>
      <c r="F3437" s="19" t="str">
        <f>IFERROR(__xludf.DUMMYFUNCTION("""COMPUTED_VALUE"""),"BLUE")</f>
        <v>BLUE</v>
      </c>
      <c r="G3437" s="20" t="str">
        <f>IFERROR(__xludf.DUMMYFUNCTION("""COMPUTED_VALUE"""),"Uncle Sams Cider (11/12/2021) (Blue)")</f>
        <v>Uncle Sams Cider (11/12/2021) (Blue)</v>
      </c>
      <c r="H3437" s="19"/>
    </row>
    <row r="3438">
      <c r="A3438" s="9"/>
      <c r="B3438" s="15"/>
      <c r="C3438" s="9">
        <f>IFERROR(__xludf.DUMMYFUNCTION("""COMPUTED_VALUE"""),44569.7268740972)</f>
        <v>44569.72687</v>
      </c>
      <c r="D3438" s="15">
        <f>IFERROR(__xludf.DUMMYFUNCTION("""COMPUTED_VALUE"""),1.004)</f>
        <v>1.004</v>
      </c>
      <c r="E3438" s="16">
        <f>IFERROR(__xludf.DUMMYFUNCTION("""COMPUTED_VALUE"""),67.0)</f>
        <v>67</v>
      </c>
      <c r="F3438" s="19" t="str">
        <f>IFERROR(__xludf.DUMMYFUNCTION("""COMPUTED_VALUE"""),"BLUE")</f>
        <v>BLUE</v>
      </c>
      <c r="G3438" s="20" t="str">
        <f>IFERROR(__xludf.DUMMYFUNCTION("""COMPUTED_VALUE"""),"Uncle Sams Cider (11/12/2021) (Blue)")</f>
        <v>Uncle Sams Cider (11/12/2021) (Blue)</v>
      </c>
      <c r="H3438" s="19"/>
    </row>
    <row r="3439">
      <c r="A3439" s="9"/>
      <c r="B3439" s="15"/>
      <c r="C3439" s="9">
        <f>IFERROR(__xludf.DUMMYFUNCTION("""COMPUTED_VALUE"""),44569.716453912)</f>
        <v>44569.71645</v>
      </c>
      <c r="D3439" s="15">
        <f>IFERROR(__xludf.DUMMYFUNCTION("""COMPUTED_VALUE"""),1.004)</f>
        <v>1.004</v>
      </c>
      <c r="E3439" s="16">
        <f>IFERROR(__xludf.DUMMYFUNCTION("""COMPUTED_VALUE"""),66.0)</f>
        <v>66</v>
      </c>
      <c r="F3439" s="19" t="str">
        <f>IFERROR(__xludf.DUMMYFUNCTION("""COMPUTED_VALUE"""),"BLUE")</f>
        <v>BLUE</v>
      </c>
      <c r="G3439" s="20" t="str">
        <f>IFERROR(__xludf.DUMMYFUNCTION("""COMPUTED_VALUE"""),"Uncle Sams Cider (11/12/2021) (Blue)")</f>
        <v>Uncle Sams Cider (11/12/2021) (Blue)</v>
      </c>
      <c r="H3439" s="19"/>
    </row>
    <row r="3440">
      <c r="A3440" s="9"/>
      <c r="B3440" s="15"/>
      <c r="C3440" s="9">
        <f>IFERROR(__xludf.DUMMYFUNCTION("""COMPUTED_VALUE"""),44569.7060328935)</f>
        <v>44569.70603</v>
      </c>
      <c r="D3440" s="15">
        <f>IFERROR(__xludf.DUMMYFUNCTION("""COMPUTED_VALUE"""),1.004)</f>
        <v>1.004</v>
      </c>
      <c r="E3440" s="16">
        <f>IFERROR(__xludf.DUMMYFUNCTION("""COMPUTED_VALUE"""),66.0)</f>
        <v>66</v>
      </c>
      <c r="F3440" s="19" t="str">
        <f>IFERROR(__xludf.DUMMYFUNCTION("""COMPUTED_VALUE"""),"BLUE")</f>
        <v>BLUE</v>
      </c>
      <c r="G3440" s="20" t="str">
        <f>IFERROR(__xludf.DUMMYFUNCTION("""COMPUTED_VALUE"""),"Uncle Sams Cider (11/12/2021) (Blue)")</f>
        <v>Uncle Sams Cider (11/12/2021) (Blue)</v>
      </c>
      <c r="H3440" s="19"/>
    </row>
    <row r="3441">
      <c r="A3441" s="9"/>
      <c r="B3441" s="15"/>
      <c r="C3441" s="9">
        <f>IFERROR(__xludf.DUMMYFUNCTION("""COMPUTED_VALUE"""),44569.6955886226)</f>
        <v>44569.69559</v>
      </c>
      <c r="D3441" s="15">
        <f>IFERROR(__xludf.DUMMYFUNCTION("""COMPUTED_VALUE"""),1.005)</f>
        <v>1.005</v>
      </c>
      <c r="E3441" s="16">
        <f>IFERROR(__xludf.DUMMYFUNCTION("""COMPUTED_VALUE"""),66.0)</f>
        <v>66</v>
      </c>
      <c r="F3441" s="19" t="str">
        <f>IFERROR(__xludf.DUMMYFUNCTION("""COMPUTED_VALUE"""),"BLUE")</f>
        <v>BLUE</v>
      </c>
      <c r="G3441" s="20" t="str">
        <f>IFERROR(__xludf.DUMMYFUNCTION("""COMPUTED_VALUE"""),"Uncle Sams Cider (11/12/2021) (Blue)")</f>
        <v>Uncle Sams Cider (11/12/2021) (Blue)</v>
      </c>
      <c r="H3441" s="19"/>
    </row>
    <row r="3442">
      <c r="A3442" s="9"/>
      <c r="B3442" s="15"/>
      <c r="C3442" s="9">
        <f>IFERROR(__xludf.DUMMYFUNCTION("""COMPUTED_VALUE"""),44569.6851569097)</f>
        <v>44569.68516</v>
      </c>
      <c r="D3442" s="15">
        <f>IFERROR(__xludf.DUMMYFUNCTION("""COMPUTED_VALUE"""),1.005)</f>
        <v>1.005</v>
      </c>
      <c r="E3442" s="16">
        <f>IFERROR(__xludf.DUMMYFUNCTION("""COMPUTED_VALUE"""),65.0)</f>
        <v>65</v>
      </c>
      <c r="F3442" s="19" t="str">
        <f>IFERROR(__xludf.DUMMYFUNCTION("""COMPUTED_VALUE"""),"BLUE")</f>
        <v>BLUE</v>
      </c>
      <c r="G3442" s="20" t="str">
        <f>IFERROR(__xludf.DUMMYFUNCTION("""COMPUTED_VALUE"""),"Uncle Sams Cider (11/12/2021) (Blue)")</f>
        <v>Uncle Sams Cider (11/12/2021) (Blue)</v>
      </c>
      <c r="H3442" s="19"/>
    </row>
    <row r="3443">
      <c r="A3443" s="9"/>
      <c r="B3443" s="15"/>
      <c r="C3443" s="9">
        <f>IFERROR(__xludf.DUMMYFUNCTION("""COMPUTED_VALUE"""),44569.6747366087)</f>
        <v>44569.67474</v>
      </c>
      <c r="D3443" s="15">
        <f>IFERROR(__xludf.DUMMYFUNCTION("""COMPUTED_VALUE"""),1.005)</f>
        <v>1.005</v>
      </c>
      <c r="E3443" s="16">
        <f>IFERROR(__xludf.DUMMYFUNCTION("""COMPUTED_VALUE"""),65.0)</f>
        <v>65</v>
      </c>
      <c r="F3443" s="19" t="str">
        <f>IFERROR(__xludf.DUMMYFUNCTION("""COMPUTED_VALUE"""),"BLUE")</f>
        <v>BLUE</v>
      </c>
      <c r="G3443" s="20" t="str">
        <f>IFERROR(__xludf.DUMMYFUNCTION("""COMPUTED_VALUE"""),"Uncle Sams Cider (11/12/2021) (Blue)")</f>
        <v>Uncle Sams Cider (11/12/2021) (Blue)</v>
      </c>
      <c r="H3443" s="19"/>
    </row>
    <row r="3444">
      <c r="A3444" s="9"/>
      <c r="B3444" s="15"/>
      <c r="C3444" s="9">
        <f>IFERROR(__xludf.DUMMYFUNCTION("""COMPUTED_VALUE"""),44569.664316574)</f>
        <v>44569.66432</v>
      </c>
      <c r="D3444" s="15">
        <f>IFERROR(__xludf.DUMMYFUNCTION("""COMPUTED_VALUE"""),1.005)</f>
        <v>1.005</v>
      </c>
      <c r="E3444" s="16">
        <f>IFERROR(__xludf.DUMMYFUNCTION("""COMPUTED_VALUE"""),64.0)</f>
        <v>64</v>
      </c>
      <c r="F3444" s="19" t="str">
        <f>IFERROR(__xludf.DUMMYFUNCTION("""COMPUTED_VALUE"""),"BLUE")</f>
        <v>BLUE</v>
      </c>
      <c r="G3444" s="20" t="str">
        <f>IFERROR(__xludf.DUMMYFUNCTION("""COMPUTED_VALUE"""),"Uncle Sams Cider (11/12/2021) (Blue)")</f>
        <v>Uncle Sams Cider (11/12/2021) (Blue)</v>
      </c>
      <c r="H3444" s="19"/>
    </row>
    <row r="3445">
      <c r="A3445" s="9"/>
      <c r="B3445" s="15"/>
      <c r="C3445" s="9">
        <f>IFERROR(__xludf.DUMMYFUNCTION("""COMPUTED_VALUE"""),44569.6538956249)</f>
        <v>44569.6539</v>
      </c>
      <c r="D3445" s="15">
        <f>IFERROR(__xludf.DUMMYFUNCTION("""COMPUTED_VALUE"""),1.005)</f>
        <v>1.005</v>
      </c>
      <c r="E3445" s="16">
        <f>IFERROR(__xludf.DUMMYFUNCTION("""COMPUTED_VALUE"""),64.0)</f>
        <v>64</v>
      </c>
      <c r="F3445" s="19" t="str">
        <f>IFERROR(__xludf.DUMMYFUNCTION("""COMPUTED_VALUE"""),"BLUE")</f>
        <v>BLUE</v>
      </c>
      <c r="G3445" s="20" t="str">
        <f>IFERROR(__xludf.DUMMYFUNCTION("""COMPUTED_VALUE"""),"Uncle Sams Cider (11/12/2021) (Blue)")</f>
        <v>Uncle Sams Cider (11/12/2021) (Blue)</v>
      </c>
      <c r="H3445" s="19"/>
    </row>
    <row r="3446">
      <c r="A3446" s="9"/>
      <c r="B3446" s="15"/>
      <c r="C3446" s="9">
        <f>IFERROR(__xludf.DUMMYFUNCTION("""COMPUTED_VALUE"""),44569.6434735532)</f>
        <v>44569.64347</v>
      </c>
      <c r="D3446" s="15">
        <f>IFERROR(__xludf.DUMMYFUNCTION("""COMPUTED_VALUE"""),1.005)</f>
        <v>1.005</v>
      </c>
      <c r="E3446" s="16">
        <f>IFERROR(__xludf.DUMMYFUNCTION("""COMPUTED_VALUE"""),64.0)</f>
        <v>64</v>
      </c>
      <c r="F3446" s="19" t="str">
        <f>IFERROR(__xludf.DUMMYFUNCTION("""COMPUTED_VALUE"""),"BLUE")</f>
        <v>BLUE</v>
      </c>
      <c r="G3446" s="20" t="str">
        <f>IFERROR(__xludf.DUMMYFUNCTION("""COMPUTED_VALUE"""),"Uncle Sams Cider (11/12/2021) (Blue)")</f>
        <v>Uncle Sams Cider (11/12/2021) (Blue)</v>
      </c>
      <c r="H3446" s="19"/>
    </row>
    <row r="3447">
      <c r="A3447" s="9"/>
      <c r="B3447" s="15"/>
      <c r="C3447" s="9">
        <f>IFERROR(__xludf.DUMMYFUNCTION("""COMPUTED_VALUE"""),44569.6330525462)</f>
        <v>44569.63305</v>
      </c>
      <c r="D3447" s="15">
        <f>IFERROR(__xludf.DUMMYFUNCTION("""COMPUTED_VALUE"""),1.005)</f>
        <v>1.005</v>
      </c>
      <c r="E3447" s="16">
        <f>IFERROR(__xludf.DUMMYFUNCTION("""COMPUTED_VALUE"""),63.0)</f>
        <v>63</v>
      </c>
      <c r="F3447" s="19" t="str">
        <f>IFERROR(__xludf.DUMMYFUNCTION("""COMPUTED_VALUE"""),"BLUE")</f>
        <v>BLUE</v>
      </c>
      <c r="G3447" s="20" t="str">
        <f>IFERROR(__xludf.DUMMYFUNCTION("""COMPUTED_VALUE"""),"Uncle Sams Cider (11/12/2021) (Blue)")</f>
        <v>Uncle Sams Cider (11/12/2021) (Blue)</v>
      </c>
      <c r="H3447" s="19"/>
    </row>
    <row r="3448">
      <c r="A3448" s="9"/>
      <c r="B3448" s="15"/>
      <c r="C3448" s="9">
        <f>IFERROR(__xludf.DUMMYFUNCTION("""COMPUTED_VALUE"""),44569.6226319212)</f>
        <v>44569.62263</v>
      </c>
      <c r="D3448" s="15">
        <f>IFERROR(__xludf.DUMMYFUNCTION("""COMPUTED_VALUE"""),1.005)</f>
        <v>1.005</v>
      </c>
      <c r="E3448" s="16">
        <f>IFERROR(__xludf.DUMMYFUNCTION("""COMPUTED_VALUE"""),63.0)</f>
        <v>63</v>
      </c>
      <c r="F3448" s="19" t="str">
        <f>IFERROR(__xludf.DUMMYFUNCTION("""COMPUTED_VALUE"""),"BLUE")</f>
        <v>BLUE</v>
      </c>
      <c r="G3448" s="20" t="str">
        <f>IFERROR(__xludf.DUMMYFUNCTION("""COMPUTED_VALUE"""),"Uncle Sams Cider (11/12/2021) (Blue)")</f>
        <v>Uncle Sams Cider (11/12/2021) (Blue)</v>
      </c>
      <c r="H3448" s="19"/>
    </row>
    <row r="3449">
      <c r="A3449" s="9"/>
      <c r="B3449" s="15"/>
      <c r="C3449" s="9">
        <f>IFERROR(__xludf.DUMMYFUNCTION("""COMPUTED_VALUE"""),44569.6122106712)</f>
        <v>44569.61221</v>
      </c>
      <c r="D3449" s="15">
        <f>IFERROR(__xludf.DUMMYFUNCTION("""COMPUTED_VALUE"""),1.005)</f>
        <v>1.005</v>
      </c>
      <c r="E3449" s="16">
        <f>IFERROR(__xludf.DUMMYFUNCTION("""COMPUTED_VALUE"""),62.0)</f>
        <v>62</v>
      </c>
      <c r="F3449" s="19" t="str">
        <f>IFERROR(__xludf.DUMMYFUNCTION("""COMPUTED_VALUE"""),"BLUE")</f>
        <v>BLUE</v>
      </c>
      <c r="G3449" s="20" t="str">
        <f>IFERROR(__xludf.DUMMYFUNCTION("""COMPUTED_VALUE"""),"Uncle Sams Cider (11/12/2021) (Blue)")</f>
        <v>Uncle Sams Cider (11/12/2021) (Blue)</v>
      </c>
      <c r="H3449" s="19"/>
    </row>
    <row r="3450">
      <c r="A3450" s="9"/>
      <c r="B3450" s="15"/>
      <c r="C3450" s="9">
        <f>IFERROR(__xludf.DUMMYFUNCTION("""COMPUTED_VALUE"""),44569.6017896759)</f>
        <v>44569.60179</v>
      </c>
      <c r="D3450" s="15">
        <f>IFERROR(__xludf.DUMMYFUNCTION("""COMPUTED_VALUE"""),1.005)</f>
        <v>1.005</v>
      </c>
      <c r="E3450" s="16">
        <f>IFERROR(__xludf.DUMMYFUNCTION("""COMPUTED_VALUE"""),62.0)</f>
        <v>62</v>
      </c>
      <c r="F3450" s="19" t="str">
        <f>IFERROR(__xludf.DUMMYFUNCTION("""COMPUTED_VALUE"""),"BLUE")</f>
        <v>BLUE</v>
      </c>
      <c r="G3450" s="20" t="str">
        <f>IFERROR(__xludf.DUMMYFUNCTION("""COMPUTED_VALUE"""),"Uncle Sams Cider (11/12/2021) (Blue)")</f>
        <v>Uncle Sams Cider (11/12/2021) (Blue)</v>
      </c>
      <c r="H3450" s="19"/>
    </row>
    <row r="3451">
      <c r="A3451" s="9"/>
      <c r="B3451" s="15"/>
      <c r="C3451" s="9">
        <f>IFERROR(__xludf.DUMMYFUNCTION("""COMPUTED_VALUE"""),44569.5913698842)</f>
        <v>44569.59137</v>
      </c>
      <c r="D3451" s="15">
        <f>IFERROR(__xludf.DUMMYFUNCTION("""COMPUTED_VALUE"""),1.005)</f>
        <v>1.005</v>
      </c>
      <c r="E3451" s="16">
        <f>IFERROR(__xludf.DUMMYFUNCTION("""COMPUTED_VALUE"""),62.0)</f>
        <v>62</v>
      </c>
      <c r="F3451" s="19" t="str">
        <f>IFERROR(__xludf.DUMMYFUNCTION("""COMPUTED_VALUE"""),"BLUE")</f>
        <v>BLUE</v>
      </c>
      <c r="G3451" s="20" t="str">
        <f>IFERROR(__xludf.DUMMYFUNCTION("""COMPUTED_VALUE"""),"Uncle Sams Cider (11/12/2021) (Blue)")</f>
        <v>Uncle Sams Cider (11/12/2021) (Blue)</v>
      </c>
      <c r="H3451" s="19"/>
    </row>
    <row r="3452">
      <c r="A3452" s="9"/>
      <c r="B3452" s="15"/>
      <c r="C3452" s="9">
        <f>IFERROR(__xludf.DUMMYFUNCTION("""COMPUTED_VALUE"""),44569.5809475231)</f>
        <v>44569.58095</v>
      </c>
      <c r="D3452" s="15">
        <f>IFERROR(__xludf.DUMMYFUNCTION("""COMPUTED_VALUE"""),1.005)</f>
        <v>1.005</v>
      </c>
      <c r="E3452" s="16">
        <f>IFERROR(__xludf.DUMMYFUNCTION("""COMPUTED_VALUE"""),61.0)</f>
        <v>61</v>
      </c>
      <c r="F3452" s="19" t="str">
        <f>IFERROR(__xludf.DUMMYFUNCTION("""COMPUTED_VALUE"""),"BLUE")</f>
        <v>BLUE</v>
      </c>
      <c r="G3452" s="20" t="str">
        <f>IFERROR(__xludf.DUMMYFUNCTION("""COMPUTED_VALUE"""),"Uncle Sams Cider (11/12/2021) (Blue)")</f>
        <v>Uncle Sams Cider (11/12/2021) (Blue)</v>
      </c>
      <c r="H3452" s="19"/>
    </row>
    <row r="3453">
      <c r="A3453" s="9"/>
      <c r="B3453" s="15"/>
      <c r="C3453" s="9">
        <f>IFERROR(__xludf.DUMMYFUNCTION("""COMPUTED_VALUE"""),44569.5705262731)</f>
        <v>44569.57053</v>
      </c>
      <c r="D3453" s="15">
        <f>IFERROR(__xludf.DUMMYFUNCTION("""COMPUTED_VALUE"""),1.005)</f>
        <v>1.005</v>
      </c>
      <c r="E3453" s="16">
        <f>IFERROR(__xludf.DUMMYFUNCTION("""COMPUTED_VALUE"""),61.0)</f>
        <v>61</v>
      </c>
      <c r="F3453" s="19" t="str">
        <f>IFERROR(__xludf.DUMMYFUNCTION("""COMPUTED_VALUE"""),"BLUE")</f>
        <v>BLUE</v>
      </c>
      <c r="G3453" s="20" t="str">
        <f>IFERROR(__xludf.DUMMYFUNCTION("""COMPUTED_VALUE"""),"Uncle Sams Cider (11/12/2021) (Blue)")</f>
        <v>Uncle Sams Cider (11/12/2021) (Blue)</v>
      </c>
      <c r="H3453" s="19"/>
    </row>
    <row r="3454">
      <c r="A3454" s="9"/>
      <c r="B3454" s="15"/>
      <c r="C3454" s="9">
        <f>IFERROR(__xludf.DUMMYFUNCTION("""COMPUTED_VALUE"""),44569.5601036921)</f>
        <v>44569.5601</v>
      </c>
      <c r="D3454" s="15">
        <f>IFERROR(__xludf.DUMMYFUNCTION("""COMPUTED_VALUE"""),1.005)</f>
        <v>1.005</v>
      </c>
      <c r="E3454" s="16">
        <f>IFERROR(__xludf.DUMMYFUNCTION("""COMPUTED_VALUE"""),61.0)</f>
        <v>61</v>
      </c>
      <c r="F3454" s="19" t="str">
        <f>IFERROR(__xludf.DUMMYFUNCTION("""COMPUTED_VALUE"""),"BLUE")</f>
        <v>BLUE</v>
      </c>
      <c r="G3454" s="20" t="str">
        <f>IFERROR(__xludf.DUMMYFUNCTION("""COMPUTED_VALUE"""),"Uncle Sams Cider (11/12/2021) (Blue)")</f>
        <v>Uncle Sams Cider (11/12/2021) (Blue)</v>
      </c>
      <c r="H3454" s="19"/>
    </row>
    <row r="3455">
      <c r="A3455" s="9"/>
      <c r="B3455" s="15"/>
      <c r="C3455" s="9">
        <f>IFERROR(__xludf.DUMMYFUNCTION("""COMPUTED_VALUE"""),44569.5496827777)</f>
        <v>44569.54968</v>
      </c>
      <c r="D3455" s="15">
        <f>IFERROR(__xludf.DUMMYFUNCTION("""COMPUTED_VALUE"""),1.005)</f>
        <v>1.005</v>
      </c>
      <c r="E3455" s="16">
        <f>IFERROR(__xludf.DUMMYFUNCTION("""COMPUTED_VALUE"""),61.0)</f>
        <v>61</v>
      </c>
      <c r="F3455" s="19" t="str">
        <f>IFERROR(__xludf.DUMMYFUNCTION("""COMPUTED_VALUE"""),"BLUE")</f>
        <v>BLUE</v>
      </c>
      <c r="G3455" s="20" t="str">
        <f>IFERROR(__xludf.DUMMYFUNCTION("""COMPUTED_VALUE"""),"Uncle Sams Cider (11/12/2021) (Blue)")</f>
        <v>Uncle Sams Cider (11/12/2021) (Blue)</v>
      </c>
      <c r="H3455" s="19"/>
    </row>
    <row r="3456">
      <c r="A3456" s="9"/>
      <c r="B3456" s="15"/>
      <c r="C3456" s="9">
        <f>IFERROR(__xludf.DUMMYFUNCTION("""COMPUTED_VALUE"""),44569.5392632175)</f>
        <v>44569.53926</v>
      </c>
      <c r="D3456" s="15">
        <f>IFERROR(__xludf.DUMMYFUNCTION("""COMPUTED_VALUE"""),1.005)</f>
        <v>1.005</v>
      </c>
      <c r="E3456" s="16">
        <f>IFERROR(__xludf.DUMMYFUNCTION("""COMPUTED_VALUE"""),61.0)</f>
        <v>61</v>
      </c>
      <c r="F3456" s="19" t="str">
        <f>IFERROR(__xludf.DUMMYFUNCTION("""COMPUTED_VALUE"""),"BLUE")</f>
        <v>BLUE</v>
      </c>
      <c r="G3456" s="20" t="str">
        <f>IFERROR(__xludf.DUMMYFUNCTION("""COMPUTED_VALUE"""),"Uncle Sams Cider (11/12/2021) (Blue)")</f>
        <v>Uncle Sams Cider (11/12/2021) (Blue)</v>
      </c>
      <c r="H3456" s="19"/>
    </row>
    <row r="3457">
      <c r="A3457" s="9"/>
      <c r="B3457" s="15"/>
      <c r="C3457" s="9">
        <f>IFERROR(__xludf.DUMMYFUNCTION("""COMPUTED_VALUE"""),44569.528840787)</f>
        <v>44569.52884</v>
      </c>
      <c r="D3457" s="15">
        <f>IFERROR(__xludf.DUMMYFUNCTION("""COMPUTED_VALUE"""),1.005)</f>
        <v>1.005</v>
      </c>
      <c r="E3457" s="16">
        <f>IFERROR(__xludf.DUMMYFUNCTION("""COMPUTED_VALUE"""),61.0)</f>
        <v>61</v>
      </c>
      <c r="F3457" s="19" t="str">
        <f>IFERROR(__xludf.DUMMYFUNCTION("""COMPUTED_VALUE"""),"BLUE")</f>
        <v>BLUE</v>
      </c>
      <c r="G3457" s="20" t="str">
        <f>IFERROR(__xludf.DUMMYFUNCTION("""COMPUTED_VALUE"""),"Uncle Sams Cider (11/12/2021) (Blue)")</f>
        <v>Uncle Sams Cider (11/12/2021) (Blue)</v>
      </c>
      <c r="H3457" s="19"/>
    </row>
    <row r="3458">
      <c r="A3458" s="9"/>
      <c r="B3458" s="15"/>
      <c r="C3458" s="9">
        <f>IFERROR(__xludf.DUMMYFUNCTION("""COMPUTED_VALUE"""),44569.5184084027)</f>
        <v>44569.51841</v>
      </c>
      <c r="D3458" s="15">
        <f>IFERROR(__xludf.DUMMYFUNCTION("""COMPUTED_VALUE"""),1.005)</f>
        <v>1.005</v>
      </c>
      <c r="E3458" s="16">
        <f>IFERROR(__xludf.DUMMYFUNCTION("""COMPUTED_VALUE"""),61.0)</f>
        <v>61</v>
      </c>
      <c r="F3458" s="19" t="str">
        <f>IFERROR(__xludf.DUMMYFUNCTION("""COMPUTED_VALUE"""),"BLUE")</f>
        <v>BLUE</v>
      </c>
      <c r="G3458" s="20" t="str">
        <f>IFERROR(__xludf.DUMMYFUNCTION("""COMPUTED_VALUE"""),"Uncle Sams Cider (11/12/2021) (Blue)")</f>
        <v>Uncle Sams Cider (11/12/2021) (Blue)</v>
      </c>
      <c r="H3458" s="19"/>
    </row>
    <row r="3459">
      <c r="A3459" s="9"/>
      <c r="B3459" s="15"/>
      <c r="C3459" s="9">
        <f>IFERROR(__xludf.DUMMYFUNCTION("""COMPUTED_VALUE"""),44569.5079878009)</f>
        <v>44569.50799</v>
      </c>
      <c r="D3459" s="15">
        <f>IFERROR(__xludf.DUMMYFUNCTION("""COMPUTED_VALUE"""),1.005)</f>
        <v>1.005</v>
      </c>
      <c r="E3459" s="16">
        <f>IFERROR(__xludf.DUMMYFUNCTION("""COMPUTED_VALUE"""),61.0)</f>
        <v>61</v>
      </c>
      <c r="F3459" s="19" t="str">
        <f>IFERROR(__xludf.DUMMYFUNCTION("""COMPUTED_VALUE"""),"BLUE")</f>
        <v>BLUE</v>
      </c>
      <c r="G3459" s="20" t="str">
        <f>IFERROR(__xludf.DUMMYFUNCTION("""COMPUTED_VALUE"""),"Uncle Sams Cider (11/12/2021) (Blue)")</f>
        <v>Uncle Sams Cider (11/12/2021) (Blue)</v>
      </c>
      <c r="H3459" s="19"/>
    </row>
    <row r="3460">
      <c r="A3460" s="9"/>
      <c r="B3460" s="15"/>
      <c r="C3460" s="9">
        <f>IFERROR(__xludf.DUMMYFUNCTION("""COMPUTED_VALUE"""),44569.4975655439)</f>
        <v>44569.49757</v>
      </c>
      <c r="D3460" s="15">
        <f>IFERROR(__xludf.DUMMYFUNCTION("""COMPUTED_VALUE"""),1.005)</f>
        <v>1.005</v>
      </c>
      <c r="E3460" s="16">
        <f>IFERROR(__xludf.DUMMYFUNCTION("""COMPUTED_VALUE"""),62.0)</f>
        <v>62</v>
      </c>
      <c r="F3460" s="19" t="str">
        <f>IFERROR(__xludf.DUMMYFUNCTION("""COMPUTED_VALUE"""),"BLUE")</f>
        <v>BLUE</v>
      </c>
      <c r="G3460" s="20" t="str">
        <f>IFERROR(__xludf.DUMMYFUNCTION("""COMPUTED_VALUE"""),"Uncle Sams Cider (11/12/2021) (Blue)")</f>
        <v>Uncle Sams Cider (11/12/2021) (Blue)</v>
      </c>
      <c r="H3460" s="19"/>
    </row>
    <row r="3461">
      <c r="A3461" s="9"/>
      <c r="B3461" s="15"/>
      <c r="C3461" s="9">
        <f>IFERROR(__xludf.DUMMYFUNCTION("""COMPUTED_VALUE"""),44569.4871451041)</f>
        <v>44569.48715</v>
      </c>
      <c r="D3461" s="15">
        <f>IFERROR(__xludf.DUMMYFUNCTION("""COMPUTED_VALUE"""),1.005)</f>
        <v>1.005</v>
      </c>
      <c r="E3461" s="16">
        <f>IFERROR(__xludf.DUMMYFUNCTION("""COMPUTED_VALUE"""),61.0)</f>
        <v>61</v>
      </c>
      <c r="F3461" s="19" t="str">
        <f>IFERROR(__xludf.DUMMYFUNCTION("""COMPUTED_VALUE"""),"BLUE")</f>
        <v>BLUE</v>
      </c>
      <c r="G3461" s="20" t="str">
        <f>IFERROR(__xludf.DUMMYFUNCTION("""COMPUTED_VALUE"""),"Uncle Sams Cider (11/12/2021) (Blue)")</f>
        <v>Uncle Sams Cider (11/12/2021) (Blue)</v>
      </c>
      <c r="H3461" s="19"/>
    </row>
    <row r="3462">
      <c r="A3462" s="9"/>
      <c r="B3462" s="15"/>
      <c r="C3462" s="9">
        <f>IFERROR(__xludf.DUMMYFUNCTION("""COMPUTED_VALUE"""),44569.4766885879)</f>
        <v>44569.47669</v>
      </c>
      <c r="D3462" s="15">
        <f>IFERROR(__xludf.DUMMYFUNCTION("""COMPUTED_VALUE"""),1.005)</f>
        <v>1.005</v>
      </c>
      <c r="E3462" s="16">
        <f>IFERROR(__xludf.DUMMYFUNCTION("""COMPUTED_VALUE"""),62.0)</f>
        <v>62</v>
      </c>
      <c r="F3462" s="19" t="str">
        <f>IFERROR(__xludf.DUMMYFUNCTION("""COMPUTED_VALUE"""),"BLUE")</f>
        <v>BLUE</v>
      </c>
      <c r="G3462" s="20" t="str">
        <f>IFERROR(__xludf.DUMMYFUNCTION("""COMPUTED_VALUE"""),"Uncle Sams Cider (11/12/2021) (Blue)")</f>
        <v>Uncle Sams Cider (11/12/2021) (Blue)</v>
      </c>
      <c r="H3462" s="19"/>
    </row>
    <row r="3463">
      <c r="A3463" s="9"/>
      <c r="B3463" s="15"/>
      <c r="C3463" s="9">
        <f>IFERROR(__xludf.DUMMYFUNCTION("""COMPUTED_VALUE"""),44569.4662562615)</f>
        <v>44569.46626</v>
      </c>
      <c r="D3463" s="15">
        <f>IFERROR(__xludf.DUMMYFUNCTION("""COMPUTED_VALUE"""),1.005)</f>
        <v>1.005</v>
      </c>
      <c r="E3463" s="16">
        <f>IFERROR(__xludf.DUMMYFUNCTION("""COMPUTED_VALUE"""),62.0)</f>
        <v>62</v>
      </c>
      <c r="F3463" s="19" t="str">
        <f>IFERROR(__xludf.DUMMYFUNCTION("""COMPUTED_VALUE"""),"BLUE")</f>
        <v>BLUE</v>
      </c>
      <c r="G3463" s="20" t="str">
        <f>IFERROR(__xludf.DUMMYFUNCTION("""COMPUTED_VALUE"""),"Uncle Sams Cider (11/12/2021) (Blue)")</f>
        <v>Uncle Sams Cider (11/12/2021) (Blue)</v>
      </c>
      <c r="H3463" s="19"/>
    </row>
    <row r="3464">
      <c r="A3464" s="9"/>
      <c r="B3464" s="15"/>
      <c r="C3464" s="9">
        <f>IFERROR(__xludf.DUMMYFUNCTION("""COMPUTED_VALUE"""),44569.4558359259)</f>
        <v>44569.45584</v>
      </c>
      <c r="D3464" s="15">
        <f>IFERROR(__xludf.DUMMYFUNCTION("""COMPUTED_VALUE"""),1.005)</f>
        <v>1.005</v>
      </c>
      <c r="E3464" s="16">
        <f>IFERROR(__xludf.DUMMYFUNCTION("""COMPUTED_VALUE"""),62.0)</f>
        <v>62</v>
      </c>
      <c r="F3464" s="19" t="str">
        <f>IFERROR(__xludf.DUMMYFUNCTION("""COMPUTED_VALUE"""),"BLUE")</f>
        <v>BLUE</v>
      </c>
      <c r="G3464" s="20" t="str">
        <f>IFERROR(__xludf.DUMMYFUNCTION("""COMPUTED_VALUE"""),"Uncle Sams Cider (11/12/2021) (Blue)")</f>
        <v>Uncle Sams Cider (11/12/2021) (Blue)</v>
      </c>
      <c r="H3464" s="19"/>
    </row>
    <row r="3465">
      <c r="A3465" s="9"/>
      <c r="B3465" s="15"/>
      <c r="C3465" s="9">
        <f>IFERROR(__xludf.DUMMYFUNCTION("""COMPUTED_VALUE"""),44569.4454153125)</f>
        <v>44569.44542</v>
      </c>
      <c r="D3465" s="15">
        <f>IFERROR(__xludf.DUMMYFUNCTION("""COMPUTED_VALUE"""),1.005)</f>
        <v>1.005</v>
      </c>
      <c r="E3465" s="16">
        <f>IFERROR(__xludf.DUMMYFUNCTION("""COMPUTED_VALUE"""),62.0)</f>
        <v>62</v>
      </c>
      <c r="F3465" s="19" t="str">
        <f>IFERROR(__xludf.DUMMYFUNCTION("""COMPUTED_VALUE"""),"BLUE")</f>
        <v>BLUE</v>
      </c>
      <c r="G3465" s="20" t="str">
        <f>IFERROR(__xludf.DUMMYFUNCTION("""COMPUTED_VALUE"""),"Uncle Sams Cider (11/12/2021) (Blue)")</f>
        <v>Uncle Sams Cider (11/12/2021) (Blue)</v>
      </c>
      <c r="H3465" s="19"/>
    </row>
    <row r="3466">
      <c r="A3466" s="9"/>
      <c r="B3466" s="15"/>
      <c r="C3466" s="9">
        <f>IFERROR(__xludf.DUMMYFUNCTION("""COMPUTED_VALUE"""),44569.4349937268)</f>
        <v>44569.43499</v>
      </c>
      <c r="D3466" s="15">
        <f>IFERROR(__xludf.DUMMYFUNCTION("""COMPUTED_VALUE"""),1.005)</f>
        <v>1.005</v>
      </c>
      <c r="E3466" s="16">
        <f>IFERROR(__xludf.DUMMYFUNCTION("""COMPUTED_VALUE"""),62.0)</f>
        <v>62</v>
      </c>
      <c r="F3466" s="19" t="str">
        <f>IFERROR(__xludf.DUMMYFUNCTION("""COMPUTED_VALUE"""),"BLUE")</f>
        <v>BLUE</v>
      </c>
      <c r="G3466" s="20" t="str">
        <f>IFERROR(__xludf.DUMMYFUNCTION("""COMPUTED_VALUE"""),"Uncle Sams Cider (11/12/2021) (Blue)")</f>
        <v>Uncle Sams Cider (11/12/2021) (Blue)</v>
      </c>
      <c r="H3466" s="19"/>
    </row>
    <row r="3467">
      <c r="A3467" s="9"/>
      <c r="B3467" s="15"/>
      <c r="C3467" s="9">
        <f>IFERROR(__xludf.DUMMYFUNCTION("""COMPUTED_VALUE"""),44569.424573206)</f>
        <v>44569.42457</v>
      </c>
      <c r="D3467" s="15">
        <f>IFERROR(__xludf.DUMMYFUNCTION("""COMPUTED_VALUE"""),1.005)</f>
        <v>1.005</v>
      </c>
      <c r="E3467" s="16">
        <f>IFERROR(__xludf.DUMMYFUNCTION("""COMPUTED_VALUE"""),62.0)</f>
        <v>62</v>
      </c>
      <c r="F3467" s="19" t="str">
        <f>IFERROR(__xludf.DUMMYFUNCTION("""COMPUTED_VALUE"""),"BLUE")</f>
        <v>BLUE</v>
      </c>
      <c r="G3467" s="20" t="str">
        <f>IFERROR(__xludf.DUMMYFUNCTION("""COMPUTED_VALUE"""),"Uncle Sams Cider (11/12/2021) (Blue)")</f>
        <v>Uncle Sams Cider (11/12/2021) (Blue)</v>
      </c>
      <c r="H3467" s="19"/>
    </row>
    <row r="3468">
      <c r="A3468" s="9"/>
      <c r="B3468" s="15"/>
      <c r="C3468" s="9">
        <f>IFERROR(__xludf.DUMMYFUNCTION("""COMPUTED_VALUE"""),44569.4141404166)</f>
        <v>44569.41414</v>
      </c>
      <c r="D3468" s="15">
        <f>IFERROR(__xludf.DUMMYFUNCTION("""COMPUTED_VALUE"""),1.005)</f>
        <v>1.005</v>
      </c>
      <c r="E3468" s="16">
        <f>IFERROR(__xludf.DUMMYFUNCTION("""COMPUTED_VALUE"""),62.0)</f>
        <v>62</v>
      </c>
      <c r="F3468" s="19" t="str">
        <f>IFERROR(__xludf.DUMMYFUNCTION("""COMPUTED_VALUE"""),"BLUE")</f>
        <v>BLUE</v>
      </c>
      <c r="G3468" s="20" t="str">
        <f>IFERROR(__xludf.DUMMYFUNCTION("""COMPUTED_VALUE"""),"Uncle Sams Cider (11/12/2021) (Blue)")</f>
        <v>Uncle Sams Cider (11/12/2021) (Blue)</v>
      </c>
      <c r="H3468" s="19"/>
    </row>
    <row r="3469">
      <c r="A3469" s="9"/>
      <c r="B3469" s="15"/>
      <c r="C3469" s="9">
        <f>IFERROR(__xludf.DUMMYFUNCTION("""COMPUTED_VALUE"""),44569.4037071296)</f>
        <v>44569.40371</v>
      </c>
      <c r="D3469" s="15">
        <f>IFERROR(__xludf.DUMMYFUNCTION("""COMPUTED_VALUE"""),1.005)</f>
        <v>1.005</v>
      </c>
      <c r="E3469" s="16">
        <f>IFERROR(__xludf.DUMMYFUNCTION("""COMPUTED_VALUE"""),62.0)</f>
        <v>62</v>
      </c>
      <c r="F3469" s="19" t="str">
        <f>IFERROR(__xludf.DUMMYFUNCTION("""COMPUTED_VALUE"""),"BLUE")</f>
        <v>BLUE</v>
      </c>
      <c r="G3469" s="20" t="str">
        <f>IFERROR(__xludf.DUMMYFUNCTION("""COMPUTED_VALUE"""),"Uncle Sams Cider (11/12/2021) (Blue)")</f>
        <v>Uncle Sams Cider (11/12/2021) (Blue)</v>
      </c>
      <c r="H3469" s="19"/>
    </row>
    <row r="3470">
      <c r="A3470" s="9"/>
      <c r="B3470" s="15"/>
      <c r="C3470" s="9">
        <f>IFERROR(__xludf.DUMMYFUNCTION("""COMPUTED_VALUE"""),44569.393285405)</f>
        <v>44569.39329</v>
      </c>
      <c r="D3470" s="15">
        <f>IFERROR(__xludf.DUMMYFUNCTION("""COMPUTED_VALUE"""),1.005)</f>
        <v>1.005</v>
      </c>
      <c r="E3470" s="16">
        <f>IFERROR(__xludf.DUMMYFUNCTION("""COMPUTED_VALUE"""),62.0)</f>
        <v>62</v>
      </c>
      <c r="F3470" s="19" t="str">
        <f>IFERROR(__xludf.DUMMYFUNCTION("""COMPUTED_VALUE"""),"BLUE")</f>
        <v>BLUE</v>
      </c>
      <c r="G3470" s="20" t="str">
        <f>IFERROR(__xludf.DUMMYFUNCTION("""COMPUTED_VALUE"""),"Uncle Sams Cider (11/12/2021) (Blue)")</f>
        <v>Uncle Sams Cider (11/12/2021) (Blue)</v>
      </c>
      <c r="H3470" s="19"/>
    </row>
    <row r="3471">
      <c r="A3471" s="9"/>
      <c r="B3471" s="15"/>
      <c r="C3471" s="9">
        <f>IFERROR(__xludf.DUMMYFUNCTION("""COMPUTED_VALUE"""),44569.3828626388)</f>
        <v>44569.38286</v>
      </c>
      <c r="D3471" s="15">
        <f>IFERROR(__xludf.DUMMYFUNCTION("""COMPUTED_VALUE"""),1.005)</f>
        <v>1.005</v>
      </c>
      <c r="E3471" s="16">
        <f>IFERROR(__xludf.DUMMYFUNCTION("""COMPUTED_VALUE"""),62.0)</f>
        <v>62</v>
      </c>
      <c r="F3471" s="19" t="str">
        <f>IFERROR(__xludf.DUMMYFUNCTION("""COMPUTED_VALUE"""),"BLUE")</f>
        <v>BLUE</v>
      </c>
      <c r="G3471" s="20" t="str">
        <f>IFERROR(__xludf.DUMMYFUNCTION("""COMPUTED_VALUE"""),"Uncle Sams Cider (11/12/2021) (Blue)")</f>
        <v>Uncle Sams Cider (11/12/2021) (Blue)</v>
      </c>
      <c r="H3471" s="19"/>
    </row>
    <row r="3472">
      <c r="A3472" s="9"/>
      <c r="B3472" s="15"/>
      <c r="C3472" s="9">
        <f>IFERROR(__xludf.DUMMYFUNCTION("""COMPUTED_VALUE"""),44569.3724197916)</f>
        <v>44569.37242</v>
      </c>
      <c r="D3472" s="15">
        <f>IFERROR(__xludf.DUMMYFUNCTION("""COMPUTED_VALUE"""),1.005)</f>
        <v>1.005</v>
      </c>
      <c r="E3472" s="16">
        <f>IFERROR(__xludf.DUMMYFUNCTION("""COMPUTED_VALUE"""),62.0)</f>
        <v>62</v>
      </c>
      <c r="F3472" s="19" t="str">
        <f>IFERROR(__xludf.DUMMYFUNCTION("""COMPUTED_VALUE"""),"BLUE")</f>
        <v>BLUE</v>
      </c>
      <c r="G3472" s="20" t="str">
        <f>IFERROR(__xludf.DUMMYFUNCTION("""COMPUTED_VALUE"""),"Uncle Sams Cider (11/12/2021) (Blue)")</f>
        <v>Uncle Sams Cider (11/12/2021) (Blue)</v>
      </c>
      <c r="H3472" s="19"/>
    </row>
    <row r="3473">
      <c r="A3473" s="9"/>
      <c r="B3473" s="15"/>
      <c r="C3473" s="9">
        <f>IFERROR(__xludf.DUMMYFUNCTION("""COMPUTED_VALUE"""),44569.3619992592)</f>
        <v>44569.362</v>
      </c>
      <c r="D3473" s="15">
        <f>IFERROR(__xludf.DUMMYFUNCTION("""COMPUTED_VALUE"""),1.005)</f>
        <v>1.005</v>
      </c>
      <c r="E3473" s="16">
        <f>IFERROR(__xludf.DUMMYFUNCTION("""COMPUTED_VALUE"""),62.0)</f>
        <v>62</v>
      </c>
      <c r="F3473" s="19" t="str">
        <f>IFERROR(__xludf.DUMMYFUNCTION("""COMPUTED_VALUE"""),"BLUE")</f>
        <v>BLUE</v>
      </c>
      <c r="G3473" s="20" t="str">
        <f>IFERROR(__xludf.DUMMYFUNCTION("""COMPUTED_VALUE"""),"Uncle Sams Cider (11/12/2021) (Blue)")</f>
        <v>Uncle Sams Cider (11/12/2021) (Blue)</v>
      </c>
      <c r="H3473" s="19"/>
    </row>
    <row r="3474">
      <c r="A3474" s="9"/>
      <c r="B3474" s="15"/>
      <c r="C3474" s="9">
        <f>IFERROR(__xludf.DUMMYFUNCTION("""COMPUTED_VALUE"""),44569.3515784027)</f>
        <v>44569.35158</v>
      </c>
      <c r="D3474" s="15">
        <f>IFERROR(__xludf.DUMMYFUNCTION("""COMPUTED_VALUE"""),1.005)</f>
        <v>1.005</v>
      </c>
      <c r="E3474" s="16">
        <f>IFERROR(__xludf.DUMMYFUNCTION("""COMPUTED_VALUE"""),62.0)</f>
        <v>62</v>
      </c>
      <c r="F3474" s="19" t="str">
        <f>IFERROR(__xludf.DUMMYFUNCTION("""COMPUTED_VALUE"""),"BLUE")</f>
        <v>BLUE</v>
      </c>
      <c r="G3474" s="20" t="str">
        <f>IFERROR(__xludf.DUMMYFUNCTION("""COMPUTED_VALUE"""),"Uncle Sams Cider (11/12/2021) (Blue)")</f>
        <v>Uncle Sams Cider (11/12/2021) (Blue)</v>
      </c>
      <c r="H3474" s="19"/>
    </row>
    <row r="3475">
      <c r="A3475" s="9"/>
      <c r="B3475" s="15"/>
      <c r="C3475" s="9">
        <f>IFERROR(__xludf.DUMMYFUNCTION("""COMPUTED_VALUE"""),44569.3411203935)</f>
        <v>44569.34112</v>
      </c>
      <c r="D3475" s="15">
        <f>IFERROR(__xludf.DUMMYFUNCTION("""COMPUTED_VALUE"""),1.005)</f>
        <v>1.005</v>
      </c>
      <c r="E3475" s="16">
        <f>IFERROR(__xludf.DUMMYFUNCTION("""COMPUTED_VALUE"""),62.0)</f>
        <v>62</v>
      </c>
      <c r="F3475" s="19" t="str">
        <f>IFERROR(__xludf.DUMMYFUNCTION("""COMPUTED_VALUE"""),"BLUE")</f>
        <v>BLUE</v>
      </c>
      <c r="G3475" s="20" t="str">
        <f>IFERROR(__xludf.DUMMYFUNCTION("""COMPUTED_VALUE"""),"Uncle Sams Cider (11/12/2021) (Blue)")</f>
        <v>Uncle Sams Cider (11/12/2021) (Blue)</v>
      </c>
      <c r="H3475" s="19"/>
    </row>
    <row r="3476">
      <c r="A3476" s="9"/>
      <c r="B3476" s="15"/>
      <c r="C3476" s="9">
        <f>IFERROR(__xludf.DUMMYFUNCTION("""COMPUTED_VALUE"""),44569.3306980324)</f>
        <v>44569.3307</v>
      </c>
      <c r="D3476" s="15">
        <f>IFERROR(__xludf.DUMMYFUNCTION("""COMPUTED_VALUE"""),1.005)</f>
        <v>1.005</v>
      </c>
      <c r="E3476" s="16">
        <f>IFERROR(__xludf.DUMMYFUNCTION("""COMPUTED_VALUE"""),62.0)</f>
        <v>62</v>
      </c>
      <c r="F3476" s="19" t="str">
        <f>IFERROR(__xludf.DUMMYFUNCTION("""COMPUTED_VALUE"""),"BLUE")</f>
        <v>BLUE</v>
      </c>
      <c r="G3476" s="20" t="str">
        <f>IFERROR(__xludf.DUMMYFUNCTION("""COMPUTED_VALUE"""),"Uncle Sams Cider (11/12/2021) (Blue)")</f>
        <v>Uncle Sams Cider (11/12/2021) (Blue)</v>
      </c>
      <c r="H3476" s="19"/>
    </row>
    <row r="3477">
      <c r="A3477" s="9"/>
      <c r="B3477" s="15"/>
      <c r="C3477" s="9">
        <f>IFERROR(__xludf.DUMMYFUNCTION("""COMPUTED_VALUE"""),44569.3202776967)</f>
        <v>44569.32028</v>
      </c>
      <c r="D3477" s="15">
        <f>IFERROR(__xludf.DUMMYFUNCTION("""COMPUTED_VALUE"""),1.005)</f>
        <v>1.005</v>
      </c>
      <c r="E3477" s="16">
        <f>IFERROR(__xludf.DUMMYFUNCTION("""COMPUTED_VALUE"""),62.0)</f>
        <v>62</v>
      </c>
      <c r="F3477" s="19" t="str">
        <f>IFERROR(__xludf.DUMMYFUNCTION("""COMPUTED_VALUE"""),"BLUE")</f>
        <v>BLUE</v>
      </c>
      <c r="G3477" s="20" t="str">
        <f>IFERROR(__xludf.DUMMYFUNCTION("""COMPUTED_VALUE"""),"Uncle Sams Cider (11/12/2021) (Blue)")</f>
        <v>Uncle Sams Cider (11/12/2021) (Blue)</v>
      </c>
      <c r="H3477" s="19"/>
    </row>
    <row r="3478">
      <c r="A3478" s="9"/>
      <c r="B3478" s="15"/>
      <c r="C3478" s="9">
        <f>IFERROR(__xludf.DUMMYFUNCTION("""COMPUTED_VALUE"""),44569.3098579166)</f>
        <v>44569.30986</v>
      </c>
      <c r="D3478" s="15">
        <f>IFERROR(__xludf.DUMMYFUNCTION("""COMPUTED_VALUE"""),1.005)</f>
        <v>1.005</v>
      </c>
      <c r="E3478" s="16">
        <f>IFERROR(__xludf.DUMMYFUNCTION("""COMPUTED_VALUE"""),62.0)</f>
        <v>62</v>
      </c>
      <c r="F3478" s="19" t="str">
        <f>IFERROR(__xludf.DUMMYFUNCTION("""COMPUTED_VALUE"""),"BLUE")</f>
        <v>BLUE</v>
      </c>
      <c r="G3478" s="20" t="str">
        <f>IFERROR(__xludf.DUMMYFUNCTION("""COMPUTED_VALUE"""),"Uncle Sams Cider (11/12/2021) (Blue)")</f>
        <v>Uncle Sams Cider (11/12/2021) (Blue)</v>
      </c>
      <c r="H3478" s="19"/>
    </row>
    <row r="3479">
      <c r="A3479" s="9"/>
      <c r="B3479" s="15"/>
      <c r="C3479" s="9">
        <f>IFERROR(__xludf.DUMMYFUNCTION("""COMPUTED_VALUE"""),44569.2994256365)</f>
        <v>44569.29943</v>
      </c>
      <c r="D3479" s="15">
        <f>IFERROR(__xludf.DUMMYFUNCTION("""COMPUTED_VALUE"""),1.005)</f>
        <v>1.005</v>
      </c>
      <c r="E3479" s="16">
        <f>IFERROR(__xludf.DUMMYFUNCTION("""COMPUTED_VALUE"""),62.0)</f>
        <v>62</v>
      </c>
      <c r="F3479" s="19" t="str">
        <f>IFERROR(__xludf.DUMMYFUNCTION("""COMPUTED_VALUE"""),"BLUE")</f>
        <v>BLUE</v>
      </c>
      <c r="G3479" s="20" t="str">
        <f>IFERROR(__xludf.DUMMYFUNCTION("""COMPUTED_VALUE"""),"Uncle Sams Cider (11/12/2021) (Blue)")</f>
        <v>Uncle Sams Cider (11/12/2021) (Blue)</v>
      </c>
      <c r="H3479" s="19"/>
    </row>
    <row r="3480">
      <c r="A3480" s="9"/>
      <c r="B3480" s="15"/>
      <c r="C3480" s="9">
        <f>IFERROR(__xludf.DUMMYFUNCTION("""COMPUTED_VALUE"""),44569.28900353)</f>
        <v>44569.289</v>
      </c>
      <c r="D3480" s="15">
        <f>IFERROR(__xludf.DUMMYFUNCTION("""COMPUTED_VALUE"""),1.005)</f>
        <v>1.005</v>
      </c>
      <c r="E3480" s="16">
        <f>IFERROR(__xludf.DUMMYFUNCTION("""COMPUTED_VALUE"""),62.0)</f>
        <v>62</v>
      </c>
      <c r="F3480" s="19" t="str">
        <f>IFERROR(__xludf.DUMMYFUNCTION("""COMPUTED_VALUE"""),"BLUE")</f>
        <v>BLUE</v>
      </c>
      <c r="G3480" s="20" t="str">
        <f>IFERROR(__xludf.DUMMYFUNCTION("""COMPUTED_VALUE"""),"Uncle Sams Cider (11/12/2021) (Blue)")</f>
        <v>Uncle Sams Cider (11/12/2021) (Blue)</v>
      </c>
      <c r="H3480" s="19"/>
    </row>
    <row r="3481">
      <c r="A3481" s="9"/>
      <c r="B3481" s="15"/>
      <c r="C3481" s="9">
        <f>IFERROR(__xludf.DUMMYFUNCTION("""COMPUTED_VALUE"""),44569.278570243)</f>
        <v>44569.27857</v>
      </c>
      <c r="D3481" s="15">
        <f>IFERROR(__xludf.DUMMYFUNCTION("""COMPUTED_VALUE"""),1.005)</f>
        <v>1.005</v>
      </c>
      <c r="E3481" s="16">
        <f>IFERROR(__xludf.DUMMYFUNCTION("""COMPUTED_VALUE"""),62.0)</f>
        <v>62</v>
      </c>
      <c r="F3481" s="19" t="str">
        <f>IFERROR(__xludf.DUMMYFUNCTION("""COMPUTED_VALUE"""),"BLUE")</f>
        <v>BLUE</v>
      </c>
      <c r="G3481" s="20" t="str">
        <f>IFERROR(__xludf.DUMMYFUNCTION("""COMPUTED_VALUE"""),"Uncle Sams Cider (11/12/2021) (Blue)")</f>
        <v>Uncle Sams Cider (11/12/2021) (Blue)</v>
      </c>
      <c r="H3481" s="19"/>
    </row>
    <row r="3482">
      <c r="A3482" s="9"/>
      <c r="B3482" s="15"/>
      <c r="C3482" s="9">
        <f>IFERROR(__xludf.DUMMYFUNCTION("""COMPUTED_VALUE"""),44569.2681485069)</f>
        <v>44569.26815</v>
      </c>
      <c r="D3482" s="15">
        <f>IFERROR(__xludf.DUMMYFUNCTION("""COMPUTED_VALUE"""),1.005)</f>
        <v>1.005</v>
      </c>
      <c r="E3482" s="16">
        <f>IFERROR(__xludf.DUMMYFUNCTION("""COMPUTED_VALUE"""),62.0)</f>
        <v>62</v>
      </c>
      <c r="F3482" s="19" t="str">
        <f>IFERROR(__xludf.DUMMYFUNCTION("""COMPUTED_VALUE"""),"BLUE")</f>
        <v>BLUE</v>
      </c>
      <c r="G3482" s="20" t="str">
        <f>IFERROR(__xludf.DUMMYFUNCTION("""COMPUTED_VALUE"""),"Uncle Sams Cider (11/12/2021) (Blue)")</f>
        <v>Uncle Sams Cider (11/12/2021) (Blue)</v>
      </c>
      <c r="H3482" s="19"/>
    </row>
    <row r="3483">
      <c r="A3483" s="9"/>
      <c r="B3483" s="15"/>
      <c r="C3483" s="9">
        <f>IFERROR(__xludf.DUMMYFUNCTION("""COMPUTED_VALUE"""),44569.257727662)</f>
        <v>44569.25773</v>
      </c>
      <c r="D3483" s="15">
        <f>IFERROR(__xludf.DUMMYFUNCTION("""COMPUTED_VALUE"""),1.005)</f>
        <v>1.005</v>
      </c>
      <c r="E3483" s="16">
        <f>IFERROR(__xludf.DUMMYFUNCTION("""COMPUTED_VALUE"""),62.0)</f>
        <v>62</v>
      </c>
      <c r="F3483" s="19" t="str">
        <f>IFERROR(__xludf.DUMMYFUNCTION("""COMPUTED_VALUE"""),"BLUE")</f>
        <v>BLUE</v>
      </c>
      <c r="G3483" s="20" t="str">
        <f>IFERROR(__xludf.DUMMYFUNCTION("""COMPUTED_VALUE"""),"Uncle Sams Cider (11/12/2021) (Blue)")</f>
        <v>Uncle Sams Cider (11/12/2021) (Blue)</v>
      </c>
      <c r="H3483" s="19"/>
    </row>
    <row r="3484">
      <c r="A3484" s="9"/>
      <c r="B3484" s="15"/>
      <c r="C3484" s="9">
        <f>IFERROR(__xludf.DUMMYFUNCTION("""COMPUTED_VALUE"""),44569.2473056713)</f>
        <v>44569.24731</v>
      </c>
      <c r="D3484" s="15">
        <f>IFERROR(__xludf.DUMMYFUNCTION("""COMPUTED_VALUE"""),1.005)</f>
        <v>1.005</v>
      </c>
      <c r="E3484" s="16">
        <f>IFERROR(__xludf.DUMMYFUNCTION("""COMPUTED_VALUE"""),62.0)</f>
        <v>62</v>
      </c>
      <c r="F3484" s="19" t="str">
        <f>IFERROR(__xludf.DUMMYFUNCTION("""COMPUTED_VALUE"""),"BLUE")</f>
        <v>BLUE</v>
      </c>
      <c r="G3484" s="20" t="str">
        <f>IFERROR(__xludf.DUMMYFUNCTION("""COMPUTED_VALUE"""),"Uncle Sams Cider (11/12/2021) (Blue)")</f>
        <v>Uncle Sams Cider (11/12/2021) (Blue)</v>
      </c>
      <c r="H3484" s="19"/>
    </row>
    <row r="3485">
      <c r="A3485" s="9"/>
      <c r="B3485" s="15"/>
      <c r="C3485" s="9">
        <f>IFERROR(__xludf.DUMMYFUNCTION("""COMPUTED_VALUE"""),44569.2368825925)</f>
        <v>44569.23688</v>
      </c>
      <c r="D3485" s="15">
        <f>IFERROR(__xludf.DUMMYFUNCTION("""COMPUTED_VALUE"""),1.005)</f>
        <v>1.005</v>
      </c>
      <c r="E3485" s="16">
        <f>IFERROR(__xludf.DUMMYFUNCTION("""COMPUTED_VALUE"""),62.0)</f>
        <v>62</v>
      </c>
      <c r="F3485" s="19" t="str">
        <f>IFERROR(__xludf.DUMMYFUNCTION("""COMPUTED_VALUE"""),"BLUE")</f>
        <v>BLUE</v>
      </c>
      <c r="G3485" s="20" t="str">
        <f>IFERROR(__xludf.DUMMYFUNCTION("""COMPUTED_VALUE"""),"Uncle Sams Cider (11/12/2021) (Blue)")</f>
        <v>Uncle Sams Cider (11/12/2021) (Blue)</v>
      </c>
      <c r="H3485" s="19"/>
    </row>
    <row r="3486">
      <c r="A3486" s="9"/>
      <c r="B3486" s="15"/>
      <c r="C3486" s="9">
        <f>IFERROR(__xludf.DUMMYFUNCTION("""COMPUTED_VALUE"""),44569.2264613078)</f>
        <v>44569.22646</v>
      </c>
      <c r="D3486" s="15">
        <f>IFERROR(__xludf.DUMMYFUNCTION("""COMPUTED_VALUE"""),1.005)</f>
        <v>1.005</v>
      </c>
      <c r="E3486" s="16">
        <f>IFERROR(__xludf.DUMMYFUNCTION("""COMPUTED_VALUE"""),62.0)</f>
        <v>62</v>
      </c>
      <c r="F3486" s="19" t="str">
        <f>IFERROR(__xludf.DUMMYFUNCTION("""COMPUTED_VALUE"""),"BLUE")</f>
        <v>BLUE</v>
      </c>
      <c r="G3486" s="20" t="str">
        <f>IFERROR(__xludf.DUMMYFUNCTION("""COMPUTED_VALUE"""),"Uncle Sams Cider (11/12/2021) (Blue)")</f>
        <v>Uncle Sams Cider (11/12/2021) (Blue)</v>
      </c>
      <c r="H3486" s="19"/>
    </row>
    <row r="3487">
      <c r="A3487" s="9"/>
      <c r="B3487" s="15"/>
      <c r="C3487" s="9">
        <f>IFERROR(__xludf.DUMMYFUNCTION("""COMPUTED_VALUE"""),44569.216039155)</f>
        <v>44569.21604</v>
      </c>
      <c r="D3487" s="15">
        <f>IFERROR(__xludf.DUMMYFUNCTION("""COMPUTED_VALUE"""),1.005)</f>
        <v>1.005</v>
      </c>
      <c r="E3487" s="16">
        <f>IFERROR(__xludf.DUMMYFUNCTION("""COMPUTED_VALUE"""),62.0)</f>
        <v>62</v>
      </c>
      <c r="F3487" s="19" t="str">
        <f>IFERROR(__xludf.DUMMYFUNCTION("""COMPUTED_VALUE"""),"BLUE")</f>
        <v>BLUE</v>
      </c>
      <c r="G3487" s="20" t="str">
        <f>IFERROR(__xludf.DUMMYFUNCTION("""COMPUTED_VALUE"""),"Uncle Sams Cider (11/12/2021) (Blue)")</f>
        <v>Uncle Sams Cider (11/12/2021) (Blue)</v>
      </c>
      <c r="H3487" s="19"/>
    </row>
    <row r="3488">
      <c r="A3488" s="9"/>
      <c r="B3488" s="15"/>
      <c r="C3488" s="9">
        <f>IFERROR(__xludf.DUMMYFUNCTION("""COMPUTED_VALUE"""),44569.2056180902)</f>
        <v>44569.20562</v>
      </c>
      <c r="D3488" s="15">
        <f>IFERROR(__xludf.DUMMYFUNCTION("""COMPUTED_VALUE"""),1.005)</f>
        <v>1.005</v>
      </c>
      <c r="E3488" s="16">
        <f>IFERROR(__xludf.DUMMYFUNCTION("""COMPUTED_VALUE"""),62.0)</f>
        <v>62</v>
      </c>
      <c r="F3488" s="19" t="str">
        <f>IFERROR(__xludf.DUMMYFUNCTION("""COMPUTED_VALUE"""),"BLUE")</f>
        <v>BLUE</v>
      </c>
      <c r="G3488" s="20" t="str">
        <f>IFERROR(__xludf.DUMMYFUNCTION("""COMPUTED_VALUE"""),"Uncle Sams Cider (11/12/2021) (Blue)")</f>
        <v>Uncle Sams Cider (11/12/2021) (Blue)</v>
      </c>
      <c r="H3488" s="19"/>
    </row>
    <row r="3489">
      <c r="A3489" s="9"/>
      <c r="B3489" s="15"/>
      <c r="C3489" s="9">
        <f>IFERROR(__xludf.DUMMYFUNCTION("""COMPUTED_VALUE"""),44569.1951855902)</f>
        <v>44569.19519</v>
      </c>
      <c r="D3489" s="15">
        <f>IFERROR(__xludf.DUMMYFUNCTION("""COMPUTED_VALUE"""),1.005)</f>
        <v>1.005</v>
      </c>
      <c r="E3489" s="16">
        <f>IFERROR(__xludf.DUMMYFUNCTION("""COMPUTED_VALUE"""),62.0)</f>
        <v>62</v>
      </c>
      <c r="F3489" s="19" t="str">
        <f>IFERROR(__xludf.DUMMYFUNCTION("""COMPUTED_VALUE"""),"BLUE")</f>
        <v>BLUE</v>
      </c>
      <c r="G3489" s="20" t="str">
        <f>IFERROR(__xludf.DUMMYFUNCTION("""COMPUTED_VALUE"""),"Uncle Sams Cider (11/12/2021) (Blue)")</f>
        <v>Uncle Sams Cider (11/12/2021) (Blue)</v>
      </c>
      <c r="H3489" s="19"/>
    </row>
    <row r="3490">
      <c r="A3490" s="9"/>
      <c r="B3490" s="15"/>
      <c r="C3490" s="9">
        <f>IFERROR(__xludf.DUMMYFUNCTION("""COMPUTED_VALUE"""),44569.1847636574)</f>
        <v>44569.18476</v>
      </c>
      <c r="D3490" s="15">
        <f>IFERROR(__xludf.DUMMYFUNCTION("""COMPUTED_VALUE"""),1.005)</f>
        <v>1.005</v>
      </c>
      <c r="E3490" s="16">
        <f>IFERROR(__xludf.DUMMYFUNCTION("""COMPUTED_VALUE"""),62.0)</f>
        <v>62</v>
      </c>
      <c r="F3490" s="19" t="str">
        <f>IFERROR(__xludf.DUMMYFUNCTION("""COMPUTED_VALUE"""),"BLUE")</f>
        <v>BLUE</v>
      </c>
      <c r="G3490" s="20" t="str">
        <f>IFERROR(__xludf.DUMMYFUNCTION("""COMPUTED_VALUE"""),"Uncle Sams Cider (11/12/2021) (Blue)")</f>
        <v>Uncle Sams Cider (11/12/2021) (Blue)</v>
      </c>
      <c r="H3490" s="19"/>
    </row>
    <row r="3491">
      <c r="A3491" s="9"/>
      <c r="B3491" s="15"/>
      <c r="C3491" s="9">
        <f>IFERROR(__xludf.DUMMYFUNCTION("""COMPUTED_VALUE"""),44569.1743198611)</f>
        <v>44569.17432</v>
      </c>
      <c r="D3491" s="15">
        <f>IFERROR(__xludf.DUMMYFUNCTION("""COMPUTED_VALUE"""),1.005)</f>
        <v>1.005</v>
      </c>
      <c r="E3491" s="16">
        <f>IFERROR(__xludf.DUMMYFUNCTION("""COMPUTED_VALUE"""),62.0)</f>
        <v>62</v>
      </c>
      <c r="F3491" s="19" t="str">
        <f>IFERROR(__xludf.DUMMYFUNCTION("""COMPUTED_VALUE"""),"BLUE")</f>
        <v>BLUE</v>
      </c>
      <c r="G3491" s="20" t="str">
        <f>IFERROR(__xludf.DUMMYFUNCTION("""COMPUTED_VALUE"""),"Uncle Sams Cider (11/12/2021) (Blue)")</f>
        <v>Uncle Sams Cider (11/12/2021) (Blue)</v>
      </c>
      <c r="H3491" s="19"/>
    </row>
    <row r="3492">
      <c r="A3492" s="9"/>
      <c r="B3492" s="15"/>
      <c r="C3492" s="9">
        <f>IFERROR(__xludf.DUMMYFUNCTION("""COMPUTED_VALUE"""),44569.1638994444)</f>
        <v>44569.1639</v>
      </c>
      <c r="D3492" s="15">
        <f>IFERROR(__xludf.DUMMYFUNCTION("""COMPUTED_VALUE"""),1.005)</f>
        <v>1.005</v>
      </c>
      <c r="E3492" s="16">
        <f>IFERROR(__xludf.DUMMYFUNCTION("""COMPUTED_VALUE"""),62.0)</f>
        <v>62</v>
      </c>
      <c r="F3492" s="19" t="str">
        <f>IFERROR(__xludf.DUMMYFUNCTION("""COMPUTED_VALUE"""),"BLUE")</f>
        <v>BLUE</v>
      </c>
      <c r="G3492" s="20" t="str">
        <f>IFERROR(__xludf.DUMMYFUNCTION("""COMPUTED_VALUE"""),"Uncle Sams Cider (11/12/2021) (Blue)")</f>
        <v>Uncle Sams Cider (11/12/2021) (Blue)</v>
      </c>
      <c r="H3492" s="19"/>
    </row>
    <row r="3493">
      <c r="A3493" s="9"/>
      <c r="B3493" s="15"/>
      <c r="C3493" s="9">
        <f>IFERROR(__xludf.DUMMYFUNCTION("""COMPUTED_VALUE"""),44569.1534797106)</f>
        <v>44569.15348</v>
      </c>
      <c r="D3493" s="15">
        <f>IFERROR(__xludf.DUMMYFUNCTION("""COMPUTED_VALUE"""),1.005)</f>
        <v>1.005</v>
      </c>
      <c r="E3493" s="16">
        <f>IFERROR(__xludf.DUMMYFUNCTION("""COMPUTED_VALUE"""),62.0)</f>
        <v>62</v>
      </c>
      <c r="F3493" s="19" t="str">
        <f>IFERROR(__xludf.DUMMYFUNCTION("""COMPUTED_VALUE"""),"BLUE")</f>
        <v>BLUE</v>
      </c>
      <c r="G3493" s="20" t="str">
        <f>IFERROR(__xludf.DUMMYFUNCTION("""COMPUTED_VALUE"""),"Uncle Sams Cider (11/12/2021) (Blue)")</f>
        <v>Uncle Sams Cider (11/12/2021) (Blue)</v>
      </c>
      <c r="H3493" s="19"/>
    </row>
    <row r="3494">
      <c r="A3494" s="9"/>
      <c r="B3494" s="15"/>
      <c r="C3494" s="9">
        <f>IFERROR(__xludf.DUMMYFUNCTION("""COMPUTED_VALUE"""),44569.1430572453)</f>
        <v>44569.14306</v>
      </c>
      <c r="D3494" s="15">
        <f>IFERROR(__xludf.DUMMYFUNCTION("""COMPUTED_VALUE"""),1.005)</f>
        <v>1.005</v>
      </c>
      <c r="E3494" s="16">
        <f>IFERROR(__xludf.DUMMYFUNCTION("""COMPUTED_VALUE"""),62.0)</f>
        <v>62</v>
      </c>
      <c r="F3494" s="19" t="str">
        <f>IFERROR(__xludf.DUMMYFUNCTION("""COMPUTED_VALUE"""),"BLUE")</f>
        <v>BLUE</v>
      </c>
      <c r="G3494" s="20" t="str">
        <f>IFERROR(__xludf.DUMMYFUNCTION("""COMPUTED_VALUE"""),"Uncle Sams Cider (11/12/2021) (Blue)")</f>
        <v>Uncle Sams Cider (11/12/2021) (Blue)</v>
      </c>
      <c r="H3494" s="19"/>
    </row>
    <row r="3495">
      <c r="A3495" s="9"/>
      <c r="B3495" s="15"/>
      <c r="C3495" s="9">
        <f>IFERROR(__xludf.DUMMYFUNCTION("""COMPUTED_VALUE"""),44569.1326370254)</f>
        <v>44569.13264</v>
      </c>
      <c r="D3495" s="15">
        <f>IFERROR(__xludf.DUMMYFUNCTION("""COMPUTED_VALUE"""),1.005)</f>
        <v>1.005</v>
      </c>
      <c r="E3495" s="16">
        <f>IFERROR(__xludf.DUMMYFUNCTION("""COMPUTED_VALUE"""),62.0)</f>
        <v>62</v>
      </c>
      <c r="F3495" s="19" t="str">
        <f>IFERROR(__xludf.DUMMYFUNCTION("""COMPUTED_VALUE"""),"BLUE")</f>
        <v>BLUE</v>
      </c>
      <c r="G3495" s="20" t="str">
        <f>IFERROR(__xludf.DUMMYFUNCTION("""COMPUTED_VALUE"""),"Uncle Sams Cider (11/12/2021) (Blue)")</f>
        <v>Uncle Sams Cider (11/12/2021) (Blue)</v>
      </c>
      <c r="H3495" s="19"/>
    </row>
    <row r="3496">
      <c r="A3496" s="9"/>
      <c r="B3496" s="15"/>
      <c r="C3496" s="9">
        <f>IFERROR(__xludf.DUMMYFUNCTION("""COMPUTED_VALUE"""),44569.1222160879)</f>
        <v>44569.12222</v>
      </c>
      <c r="D3496" s="15">
        <f>IFERROR(__xludf.DUMMYFUNCTION("""COMPUTED_VALUE"""),1.005)</f>
        <v>1.005</v>
      </c>
      <c r="E3496" s="16">
        <f>IFERROR(__xludf.DUMMYFUNCTION("""COMPUTED_VALUE"""),62.0)</f>
        <v>62</v>
      </c>
      <c r="F3496" s="19" t="str">
        <f>IFERROR(__xludf.DUMMYFUNCTION("""COMPUTED_VALUE"""),"BLUE")</f>
        <v>BLUE</v>
      </c>
      <c r="G3496" s="20" t="str">
        <f>IFERROR(__xludf.DUMMYFUNCTION("""COMPUTED_VALUE"""),"Uncle Sams Cider (11/12/2021) (Blue)")</f>
        <v>Uncle Sams Cider (11/12/2021) (Blue)</v>
      </c>
      <c r="H3496" s="19"/>
    </row>
    <row r="3497">
      <c r="A3497" s="9"/>
      <c r="B3497" s="15"/>
      <c r="C3497" s="9">
        <f>IFERROR(__xludf.DUMMYFUNCTION("""COMPUTED_VALUE"""),44569.1117945601)</f>
        <v>44569.11179</v>
      </c>
      <c r="D3497" s="15">
        <f>IFERROR(__xludf.DUMMYFUNCTION("""COMPUTED_VALUE"""),1.005)</f>
        <v>1.005</v>
      </c>
      <c r="E3497" s="16">
        <f>IFERROR(__xludf.DUMMYFUNCTION("""COMPUTED_VALUE"""),62.0)</f>
        <v>62</v>
      </c>
      <c r="F3497" s="19" t="str">
        <f>IFERROR(__xludf.DUMMYFUNCTION("""COMPUTED_VALUE"""),"BLUE")</f>
        <v>BLUE</v>
      </c>
      <c r="G3497" s="20" t="str">
        <f>IFERROR(__xludf.DUMMYFUNCTION("""COMPUTED_VALUE"""),"Uncle Sams Cider (11/12/2021) (Blue)")</f>
        <v>Uncle Sams Cider (11/12/2021) (Blue)</v>
      </c>
      <c r="H3497" s="19"/>
    </row>
    <row r="3498">
      <c r="A3498" s="9"/>
      <c r="B3498" s="15"/>
      <c r="C3498" s="9">
        <f>IFERROR(__xludf.DUMMYFUNCTION("""COMPUTED_VALUE"""),44569.1013629976)</f>
        <v>44569.10136</v>
      </c>
      <c r="D3498" s="15">
        <f>IFERROR(__xludf.DUMMYFUNCTION("""COMPUTED_VALUE"""),1.005)</f>
        <v>1.005</v>
      </c>
      <c r="E3498" s="16">
        <f>IFERROR(__xludf.DUMMYFUNCTION("""COMPUTED_VALUE"""),62.0)</f>
        <v>62</v>
      </c>
      <c r="F3498" s="19" t="str">
        <f>IFERROR(__xludf.DUMMYFUNCTION("""COMPUTED_VALUE"""),"BLUE")</f>
        <v>BLUE</v>
      </c>
      <c r="G3498" s="20" t="str">
        <f>IFERROR(__xludf.DUMMYFUNCTION("""COMPUTED_VALUE"""),"Uncle Sams Cider (11/12/2021) (Blue)")</f>
        <v>Uncle Sams Cider (11/12/2021) (Blue)</v>
      </c>
      <c r="H3498" s="19"/>
    </row>
    <row r="3499">
      <c r="A3499" s="9"/>
      <c r="B3499" s="15"/>
      <c r="C3499" s="9">
        <f>IFERROR(__xludf.DUMMYFUNCTION("""COMPUTED_VALUE"""),44569.0909435185)</f>
        <v>44569.09094</v>
      </c>
      <c r="D3499" s="15">
        <f>IFERROR(__xludf.DUMMYFUNCTION("""COMPUTED_VALUE"""),1.005)</f>
        <v>1.005</v>
      </c>
      <c r="E3499" s="16">
        <f>IFERROR(__xludf.DUMMYFUNCTION("""COMPUTED_VALUE"""),62.0)</f>
        <v>62</v>
      </c>
      <c r="F3499" s="19" t="str">
        <f>IFERROR(__xludf.DUMMYFUNCTION("""COMPUTED_VALUE"""),"BLUE")</f>
        <v>BLUE</v>
      </c>
      <c r="G3499" s="20" t="str">
        <f>IFERROR(__xludf.DUMMYFUNCTION("""COMPUTED_VALUE"""),"Uncle Sams Cider (11/12/2021) (Blue)")</f>
        <v>Uncle Sams Cider (11/12/2021) (Blue)</v>
      </c>
      <c r="H3499" s="19"/>
    </row>
    <row r="3500">
      <c r="A3500" s="9"/>
      <c r="B3500" s="15"/>
      <c r="C3500" s="9">
        <f>IFERROR(__xludf.DUMMYFUNCTION("""COMPUTED_VALUE"""),44569.0805133101)</f>
        <v>44569.08051</v>
      </c>
      <c r="D3500" s="15">
        <f>IFERROR(__xludf.DUMMYFUNCTION("""COMPUTED_VALUE"""),1.005)</f>
        <v>1.005</v>
      </c>
      <c r="E3500" s="16">
        <f>IFERROR(__xludf.DUMMYFUNCTION("""COMPUTED_VALUE"""),62.0)</f>
        <v>62</v>
      </c>
      <c r="F3500" s="19" t="str">
        <f>IFERROR(__xludf.DUMMYFUNCTION("""COMPUTED_VALUE"""),"BLUE")</f>
        <v>BLUE</v>
      </c>
      <c r="G3500" s="20" t="str">
        <f>IFERROR(__xludf.DUMMYFUNCTION("""COMPUTED_VALUE"""),"Uncle Sams Cider (11/12/2021) (Blue)")</f>
        <v>Uncle Sams Cider (11/12/2021) (Blue)</v>
      </c>
      <c r="H3500" s="19"/>
    </row>
    <row r="3501">
      <c r="A3501" s="9"/>
      <c r="B3501" s="15"/>
      <c r="C3501" s="9">
        <f>IFERROR(__xludf.DUMMYFUNCTION("""COMPUTED_VALUE"""),44569.0700914583)</f>
        <v>44569.07009</v>
      </c>
      <c r="D3501" s="15">
        <f>IFERROR(__xludf.DUMMYFUNCTION("""COMPUTED_VALUE"""),1.005)</f>
        <v>1.005</v>
      </c>
      <c r="E3501" s="16">
        <f>IFERROR(__xludf.DUMMYFUNCTION("""COMPUTED_VALUE"""),62.0)</f>
        <v>62</v>
      </c>
      <c r="F3501" s="19" t="str">
        <f>IFERROR(__xludf.DUMMYFUNCTION("""COMPUTED_VALUE"""),"BLUE")</f>
        <v>BLUE</v>
      </c>
      <c r="G3501" s="20" t="str">
        <f>IFERROR(__xludf.DUMMYFUNCTION("""COMPUTED_VALUE"""),"Uncle Sams Cider (11/12/2021) (Blue)")</f>
        <v>Uncle Sams Cider (11/12/2021) (Blue)</v>
      </c>
      <c r="H3501" s="19"/>
    </row>
    <row r="3502">
      <c r="A3502" s="9"/>
      <c r="B3502" s="15"/>
      <c r="C3502" s="9">
        <f>IFERROR(__xludf.DUMMYFUNCTION("""COMPUTED_VALUE"""),44569.0596723842)</f>
        <v>44569.05967</v>
      </c>
      <c r="D3502" s="15">
        <f>IFERROR(__xludf.DUMMYFUNCTION("""COMPUTED_VALUE"""),1.005)</f>
        <v>1.005</v>
      </c>
      <c r="E3502" s="16">
        <f>IFERROR(__xludf.DUMMYFUNCTION("""COMPUTED_VALUE"""),62.0)</f>
        <v>62</v>
      </c>
      <c r="F3502" s="19" t="str">
        <f>IFERROR(__xludf.DUMMYFUNCTION("""COMPUTED_VALUE"""),"BLUE")</f>
        <v>BLUE</v>
      </c>
      <c r="G3502" s="20" t="str">
        <f>IFERROR(__xludf.DUMMYFUNCTION("""COMPUTED_VALUE"""),"Uncle Sams Cider (11/12/2021) (Blue)")</f>
        <v>Uncle Sams Cider (11/12/2021) (Blue)</v>
      </c>
      <c r="H3502" s="19"/>
    </row>
    <row r="3503">
      <c r="A3503" s="9"/>
      <c r="B3503" s="15"/>
      <c r="C3503" s="9">
        <f>IFERROR(__xludf.DUMMYFUNCTION("""COMPUTED_VALUE"""),44569.0492522106)</f>
        <v>44569.04925</v>
      </c>
      <c r="D3503" s="15">
        <f>IFERROR(__xludf.DUMMYFUNCTION("""COMPUTED_VALUE"""),1.005)</f>
        <v>1.005</v>
      </c>
      <c r="E3503" s="16">
        <f>IFERROR(__xludf.DUMMYFUNCTION("""COMPUTED_VALUE"""),62.0)</f>
        <v>62</v>
      </c>
      <c r="F3503" s="19" t="str">
        <f>IFERROR(__xludf.DUMMYFUNCTION("""COMPUTED_VALUE"""),"BLUE")</f>
        <v>BLUE</v>
      </c>
      <c r="G3503" s="20" t="str">
        <f>IFERROR(__xludf.DUMMYFUNCTION("""COMPUTED_VALUE"""),"Uncle Sams Cider (11/12/2021) (Blue)")</f>
        <v>Uncle Sams Cider (11/12/2021) (Blue)</v>
      </c>
      <c r="H3503" s="19"/>
    </row>
    <row r="3504">
      <c r="A3504" s="9"/>
      <c r="B3504" s="15"/>
      <c r="C3504" s="9">
        <f>IFERROR(__xludf.DUMMYFUNCTION("""COMPUTED_VALUE"""),44569.038831875)</f>
        <v>44569.03883</v>
      </c>
      <c r="D3504" s="15">
        <f>IFERROR(__xludf.DUMMYFUNCTION("""COMPUTED_VALUE"""),1.005)</f>
        <v>1.005</v>
      </c>
      <c r="E3504" s="16">
        <f>IFERROR(__xludf.DUMMYFUNCTION("""COMPUTED_VALUE"""),62.0)</f>
        <v>62</v>
      </c>
      <c r="F3504" s="19" t="str">
        <f>IFERROR(__xludf.DUMMYFUNCTION("""COMPUTED_VALUE"""),"BLUE")</f>
        <v>BLUE</v>
      </c>
      <c r="G3504" s="20" t="str">
        <f>IFERROR(__xludf.DUMMYFUNCTION("""COMPUTED_VALUE"""),"Uncle Sams Cider (11/12/2021) (Blue)")</f>
        <v>Uncle Sams Cider (11/12/2021) (Blue)</v>
      </c>
      <c r="H3504" s="19"/>
    </row>
    <row r="3505">
      <c r="A3505" s="9"/>
      <c r="B3505" s="15"/>
      <c r="C3505" s="9">
        <f>IFERROR(__xludf.DUMMYFUNCTION("""COMPUTED_VALUE"""),44569.0284121759)</f>
        <v>44569.02841</v>
      </c>
      <c r="D3505" s="15">
        <f>IFERROR(__xludf.DUMMYFUNCTION("""COMPUTED_VALUE"""),1.005)</f>
        <v>1.005</v>
      </c>
      <c r="E3505" s="16">
        <f>IFERROR(__xludf.DUMMYFUNCTION("""COMPUTED_VALUE"""),62.0)</f>
        <v>62</v>
      </c>
      <c r="F3505" s="19" t="str">
        <f>IFERROR(__xludf.DUMMYFUNCTION("""COMPUTED_VALUE"""),"BLUE")</f>
        <v>BLUE</v>
      </c>
      <c r="G3505" s="20" t="str">
        <f>IFERROR(__xludf.DUMMYFUNCTION("""COMPUTED_VALUE"""),"Uncle Sams Cider (11/12/2021) (Blue)")</f>
        <v>Uncle Sams Cider (11/12/2021) (Blue)</v>
      </c>
      <c r="H3505" s="19"/>
    </row>
    <row r="3506">
      <c r="A3506" s="9"/>
      <c r="B3506" s="15"/>
      <c r="C3506" s="9">
        <f>IFERROR(__xludf.DUMMYFUNCTION("""COMPUTED_VALUE"""),44569.0179919097)</f>
        <v>44569.01799</v>
      </c>
      <c r="D3506" s="15">
        <f>IFERROR(__xludf.DUMMYFUNCTION("""COMPUTED_VALUE"""),1.005)</f>
        <v>1.005</v>
      </c>
      <c r="E3506" s="16">
        <f>IFERROR(__xludf.DUMMYFUNCTION("""COMPUTED_VALUE"""),62.0)</f>
        <v>62</v>
      </c>
      <c r="F3506" s="19" t="str">
        <f>IFERROR(__xludf.DUMMYFUNCTION("""COMPUTED_VALUE"""),"BLUE")</f>
        <v>BLUE</v>
      </c>
      <c r="G3506" s="20" t="str">
        <f>IFERROR(__xludf.DUMMYFUNCTION("""COMPUTED_VALUE"""),"Uncle Sams Cider (11/12/2021) (Blue)")</f>
        <v>Uncle Sams Cider (11/12/2021) (Blue)</v>
      </c>
      <c r="H3506" s="19"/>
    </row>
    <row r="3507">
      <c r="A3507" s="9"/>
      <c r="B3507" s="15"/>
      <c r="C3507" s="9">
        <f>IFERROR(__xludf.DUMMYFUNCTION("""COMPUTED_VALUE"""),44569.0075724421)</f>
        <v>44569.00757</v>
      </c>
      <c r="D3507" s="15">
        <f>IFERROR(__xludf.DUMMYFUNCTION("""COMPUTED_VALUE"""),1.005)</f>
        <v>1.005</v>
      </c>
      <c r="E3507" s="16">
        <f>IFERROR(__xludf.DUMMYFUNCTION("""COMPUTED_VALUE"""),62.0)</f>
        <v>62</v>
      </c>
      <c r="F3507" s="19" t="str">
        <f>IFERROR(__xludf.DUMMYFUNCTION("""COMPUTED_VALUE"""),"BLUE")</f>
        <v>BLUE</v>
      </c>
      <c r="G3507" s="20" t="str">
        <f>IFERROR(__xludf.DUMMYFUNCTION("""COMPUTED_VALUE"""),"Uncle Sams Cider (11/12/2021) (Blue)")</f>
        <v>Uncle Sams Cider (11/12/2021) (Blue)</v>
      </c>
      <c r="H3507" s="19"/>
    </row>
    <row r="3508">
      <c r="A3508" s="9"/>
      <c r="B3508" s="15"/>
      <c r="C3508" s="9">
        <f>IFERROR(__xludf.DUMMYFUNCTION("""COMPUTED_VALUE"""),44568.9971511111)</f>
        <v>44568.99715</v>
      </c>
      <c r="D3508" s="15">
        <f>IFERROR(__xludf.DUMMYFUNCTION("""COMPUTED_VALUE"""),1.005)</f>
        <v>1.005</v>
      </c>
      <c r="E3508" s="16">
        <f>IFERROR(__xludf.DUMMYFUNCTION("""COMPUTED_VALUE"""),62.0)</f>
        <v>62</v>
      </c>
      <c r="F3508" s="19" t="str">
        <f>IFERROR(__xludf.DUMMYFUNCTION("""COMPUTED_VALUE"""),"BLUE")</f>
        <v>BLUE</v>
      </c>
      <c r="G3508" s="20" t="str">
        <f>IFERROR(__xludf.DUMMYFUNCTION("""COMPUTED_VALUE"""),"Uncle Sams Cider (11/12/2021) (Blue)")</f>
        <v>Uncle Sams Cider (11/12/2021) (Blue)</v>
      </c>
      <c r="H3508" s="19"/>
    </row>
    <row r="3509">
      <c r="A3509" s="9"/>
      <c r="B3509" s="15"/>
      <c r="C3509" s="9">
        <f>IFERROR(__xludf.DUMMYFUNCTION("""COMPUTED_VALUE"""),44568.9867307523)</f>
        <v>44568.98673</v>
      </c>
      <c r="D3509" s="15">
        <f>IFERROR(__xludf.DUMMYFUNCTION("""COMPUTED_VALUE"""),1.005)</f>
        <v>1.005</v>
      </c>
      <c r="E3509" s="16">
        <f>IFERROR(__xludf.DUMMYFUNCTION("""COMPUTED_VALUE"""),62.0)</f>
        <v>62</v>
      </c>
      <c r="F3509" s="19" t="str">
        <f>IFERROR(__xludf.DUMMYFUNCTION("""COMPUTED_VALUE"""),"BLUE")</f>
        <v>BLUE</v>
      </c>
      <c r="G3509" s="20" t="str">
        <f>IFERROR(__xludf.DUMMYFUNCTION("""COMPUTED_VALUE"""),"Uncle Sams Cider (11/12/2021) (Blue)")</f>
        <v>Uncle Sams Cider (11/12/2021) (Blue)</v>
      </c>
      <c r="H3509" s="19"/>
    </row>
    <row r="3510">
      <c r="A3510" s="9"/>
      <c r="B3510" s="15"/>
      <c r="C3510" s="9">
        <f>IFERROR(__xludf.DUMMYFUNCTION("""COMPUTED_VALUE"""),44568.9763106944)</f>
        <v>44568.97631</v>
      </c>
      <c r="D3510" s="15">
        <f>IFERROR(__xludf.DUMMYFUNCTION("""COMPUTED_VALUE"""),1.005)</f>
        <v>1.005</v>
      </c>
      <c r="E3510" s="16">
        <f>IFERROR(__xludf.DUMMYFUNCTION("""COMPUTED_VALUE"""),62.0)</f>
        <v>62</v>
      </c>
      <c r="F3510" s="19" t="str">
        <f>IFERROR(__xludf.DUMMYFUNCTION("""COMPUTED_VALUE"""),"BLUE")</f>
        <v>BLUE</v>
      </c>
      <c r="G3510" s="20" t="str">
        <f>IFERROR(__xludf.DUMMYFUNCTION("""COMPUTED_VALUE"""),"Uncle Sams Cider (11/12/2021) (Blue)")</f>
        <v>Uncle Sams Cider (11/12/2021) (Blue)</v>
      </c>
      <c r="H3510" s="19"/>
    </row>
    <row r="3511">
      <c r="A3511" s="9"/>
      <c r="B3511" s="15"/>
      <c r="C3511" s="9">
        <f>IFERROR(__xludf.DUMMYFUNCTION("""COMPUTED_VALUE"""),44568.9658669444)</f>
        <v>44568.96587</v>
      </c>
      <c r="D3511" s="15">
        <f>IFERROR(__xludf.DUMMYFUNCTION("""COMPUTED_VALUE"""),1.005)</f>
        <v>1.005</v>
      </c>
      <c r="E3511" s="16">
        <f>IFERROR(__xludf.DUMMYFUNCTION("""COMPUTED_VALUE"""),62.0)</f>
        <v>62</v>
      </c>
      <c r="F3511" s="19" t="str">
        <f>IFERROR(__xludf.DUMMYFUNCTION("""COMPUTED_VALUE"""),"BLUE")</f>
        <v>BLUE</v>
      </c>
      <c r="G3511" s="20" t="str">
        <f>IFERROR(__xludf.DUMMYFUNCTION("""COMPUTED_VALUE"""),"Uncle Sams Cider (11/12/2021) (Blue)")</f>
        <v>Uncle Sams Cider (11/12/2021) (Blue)</v>
      </c>
      <c r="H3511" s="19"/>
    </row>
    <row r="3512">
      <c r="A3512" s="9"/>
      <c r="B3512" s="15"/>
      <c r="C3512" s="9">
        <f>IFERROR(__xludf.DUMMYFUNCTION("""COMPUTED_VALUE"""),44568.9554458449)</f>
        <v>44568.95545</v>
      </c>
      <c r="D3512" s="15">
        <f>IFERROR(__xludf.DUMMYFUNCTION("""COMPUTED_VALUE"""),1.005)</f>
        <v>1.005</v>
      </c>
      <c r="E3512" s="16">
        <f>IFERROR(__xludf.DUMMYFUNCTION("""COMPUTED_VALUE"""),62.0)</f>
        <v>62</v>
      </c>
      <c r="F3512" s="19" t="str">
        <f>IFERROR(__xludf.DUMMYFUNCTION("""COMPUTED_VALUE"""),"BLUE")</f>
        <v>BLUE</v>
      </c>
      <c r="G3512" s="20" t="str">
        <f>IFERROR(__xludf.DUMMYFUNCTION("""COMPUTED_VALUE"""),"Uncle Sams Cider (11/12/2021) (Blue)")</f>
        <v>Uncle Sams Cider (11/12/2021) (Blue)</v>
      </c>
      <c r="H3512" s="19"/>
    </row>
    <row r="3513">
      <c r="A3513" s="9"/>
      <c r="B3513" s="15"/>
      <c r="C3513" s="9">
        <f>IFERROR(__xludf.DUMMYFUNCTION("""COMPUTED_VALUE"""),44568.9450256712)</f>
        <v>44568.94503</v>
      </c>
      <c r="D3513" s="15">
        <f>IFERROR(__xludf.DUMMYFUNCTION("""COMPUTED_VALUE"""),1.005)</f>
        <v>1.005</v>
      </c>
      <c r="E3513" s="16">
        <f>IFERROR(__xludf.DUMMYFUNCTION("""COMPUTED_VALUE"""),62.0)</f>
        <v>62</v>
      </c>
      <c r="F3513" s="19" t="str">
        <f>IFERROR(__xludf.DUMMYFUNCTION("""COMPUTED_VALUE"""),"BLUE")</f>
        <v>BLUE</v>
      </c>
      <c r="G3513" s="20" t="str">
        <f>IFERROR(__xludf.DUMMYFUNCTION("""COMPUTED_VALUE"""),"Uncle Sams Cider (11/12/2021) (Blue)")</f>
        <v>Uncle Sams Cider (11/12/2021) (Blue)</v>
      </c>
      <c r="H3513" s="19"/>
    </row>
    <row r="3514">
      <c r="A3514" s="9"/>
      <c r="B3514" s="15"/>
      <c r="C3514" s="9">
        <f>IFERROR(__xludf.DUMMYFUNCTION("""COMPUTED_VALUE"""),44568.9345933449)</f>
        <v>44568.93459</v>
      </c>
      <c r="D3514" s="15">
        <f>IFERROR(__xludf.DUMMYFUNCTION("""COMPUTED_VALUE"""),1.005)</f>
        <v>1.005</v>
      </c>
      <c r="E3514" s="16">
        <f>IFERROR(__xludf.DUMMYFUNCTION("""COMPUTED_VALUE"""),62.0)</f>
        <v>62</v>
      </c>
      <c r="F3514" s="19" t="str">
        <f>IFERROR(__xludf.DUMMYFUNCTION("""COMPUTED_VALUE"""),"BLUE")</f>
        <v>BLUE</v>
      </c>
      <c r="G3514" s="20" t="str">
        <f>IFERROR(__xludf.DUMMYFUNCTION("""COMPUTED_VALUE"""),"Uncle Sams Cider (11/12/2021) (Blue)")</f>
        <v>Uncle Sams Cider (11/12/2021) (Blue)</v>
      </c>
      <c r="H3514" s="19"/>
    </row>
    <row r="3515">
      <c r="A3515" s="9"/>
      <c r="B3515" s="15"/>
      <c r="C3515" s="9">
        <f>IFERROR(__xludf.DUMMYFUNCTION("""COMPUTED_VALUE"""),44568.9241732754)</f>
        <v>44568.92417</v>
      </c>
      <c r="D3515" s="15">
        <f>IFERROR(__xludf.DUMMYFUNCTION("""COMPUTED_VALUE"""),1.005)</f>
        <v>1.005</v>
      </c>
      <c r="E3515" s="16">
        <f>IFERROR(__xludf.DUMMYFUNCTION("""COMPUTED_VALUE"""),62.0)</f>
        <v>62</v>
      </c>
      <c r="F3515" s="19" t="str">
        <f>IFERROR(__xludf.DUMMYFUNCTION("""COMPUTED_VALUE"""),"BLUE")</f>
        <v>BLUE</v>
      </c>
      <c r="G3515" s="20" t="str">
        <f>IFERROR(__xludf.DUMMYFUNCTION("""COMPUTED_VALUE"""),"Uncle Sams Cider (11/12/2021) (Blue)")</f>
        <v>Uncle Sams Cider (11/12/2021) (Blue)</v>
      </c>
      <c r="H3515" s="19"/>
    </row>
    <row r="3516">
      <c r="A3516" s="9"/>
      <c r="B3516" s="15"/>
      <c r="C3516" s="9">
        <f>IFERROR(__xludf.DUMMYFUNCTION("""COMPUTED_VALUE"""),44568.913740405)</f>
        <v>44568.91374</v>
      </c>
      <c r="D3516" s="15">
        <f>IFERROR(__xludf.DUMMYFUNCTION("""COMPUTED_VALUE"""),1.005)</f>
        <v>1.005</v>
      </c>
      <c r="E3516" s="16">
        <f>IFERROR(__xludf.DUMMYFUNCTION("""COMPUTED_VALUE"""),62.0)</f>
        <v>62</v>
      </c>
      <c r="F3516" s="19" t="str">
        <f>IFERROR(__xludf.DUMMYFUNCTION("""COMPUTED_VALUE"""),"BLUE")</f>
        <v>BLUE</v>
      </c>
      <c r="G3516" s="20" t="str">
        <f>IFERROR(__xludf.DUMMYFUNCTION("""COMPUTED_VALUE"""),"Uncle Sams Cider (11/12/2021) (Blue)")</f>
        <v>Uncle Sams Cider (11/12/2021) (Blue)</v>
      </c>
      <c r="H3516" s="19"/>
    </row>
    <row r="3517">
      <c r="A3517" s="9"/>
      <c r="B3517" s="15"/>
      <c r="C3517" s="9">
        <f>IFERROR(__xludf.DUMMYFUNCTION("""COMPUTED_VALUE"""),44568.9033187499)</f>
        <v>44568.90332</v>
      </c>
      <c r="D3517" s="15">
        <f>IFERROR(__xludf.DUMMYFUNCTION("""COMPUTED_VALUE"""),1.005)</f>
        <v>1.005</v>
      </c>
      <c r="E3517" s="16">
        <f>IFERROR(__xludf.DUMMYFUNCTION("""COMPUTED_VALUE"""),62.0)</f>
        <v>62</v>
      </c>
      <c r="F3517" s="19" t="str">
        <f>IFERROR(__xludf.DUMMYFUNCTION("""COMPUTED_VALUE"""),"BLUE")</f>
        <v>BLUE</v>
      </c>
      <c r="G3517" s="20" t="str">
        <f>IFERROR(__xludf.DUMMYFUNCTION("""COMPUTED_VALUE"""),"Uncle Sams Cider (11/12/2021) (Blue)")</f>
        <v>Uncle Sams Cider (11/12/2021) (Blue)</v>
      </c>
      <c r="H3517" s="19"/>
    </row>
    <row r="3518">
      <c r="A3518" s="9"/>
      <c r="B3518" s="15"/>
      <c r="C3518" s="9">
        <f>IFERROR(__xludf.DUMMYFUNCTION("""COMPUTED_VALUE"""),44568.8928974884)</f>
        <v>44568.8929</v>
      </c>
      <c r="D3518" s="15">
        <f>IFERROR(__xludf.DUMMYFUNCTION("""COMPUTED_VALUE"""),1.005)</f>
        <v>1.005</v>
      </c>
      <c r="E3518" s="16">
        <f>IFERROR(__xludf.DUMMYFUNCTION("""COMPUTED_VALUE"""),62.0)</f>
        <v>62</v>
      </c>
      <c r="F3518" s="19" t="str">
        <f>IFERROR(__xludf.DUMMYFUNCTION("""COMPUTED_VALUE"""),"BLUE")</f>
        <v>BLUE</v>
      </c>
      <c r="G3518" s="20" t="str">
        <f>IFERROR(__xludf.DUMMYFUNCTION("""COMPUTED_VALUE"""),"Uncle Sams Cider (11/12/2021) (Blue)")</f>
        <v>Uncle Sams Cider (11/12/2021) (Blue)</v>
      </c>
      <c r="H3518" s="19"/>
    </row>
    <row r="3519">
      <c r="A3519" s="9"/>
      <c r="B3519" s="15"/>
      <c r="C3519" s="9">
        <f>IFERROR(__xludf.DUMMYFUNCTION("""COMPUTED_VALUE"""),44568.8720314814)</f>
        <v>44568.87203</v>
      </c>
      <c r="D3519" s="15">
        <f>IFERROR(__xludf.DUMMYFUNCTION("""COMPUTED_VALUE"""),1.005)</f>
        <v>1.005</v>
      </c>
      <c r="E3519" s="16">
        <f>IFERROR(__xludf.DUMMYFUNCTION("""COMPUTED_VALUE"""),62.0)</f>
        <v>62</v>
      </c>
      <c r="F3519" s="19" t="str">
        <f>IFERROR(__xludf.DUMMYFUNCTION("""COMPUTED_VALUE"""),"BLUE")</f>
        <v>BLUE</v>
      </c>
      <c r="G3519" s="20" t="str">
        <f>IFERROR(__xludf.DUMMYFUNCTION("""COMPUTED_VALUE"""),"Uncle Sams Cider (11/12/2021) (Blue)")</f>
        <v>Uncle Sams Cider (11/12/2021) (Blue)</v>
      </c>
      <c r="H3519" s="19"/>
    </row>
    <row r="3520">
      <c r="A3520" s="9"/>
      <c r="B3520" s="15"/>
      <c r="C3520" s="9">
        <f>IFERROR(__xludf.DUMMYFUNCTION("""COMPUTED_VALUE"""),44568.8616112152)</f>
        <v>44568.86161</v>
      </c>
      <c r="D3520" s="15">
        <f>IFERROR(__xludf.DUMMYFUNCTION("""COMPUTED_VALUE"""),1.005)</f>
        <v>1.005</v>
      </c>
      <c r="E3520" s="16">
        <f>IFERROR(__xludf.DUMMYFUNCTION("""COMPUTED_VALUE"""),62.0)</f>
        <v>62</v>
      </c>
      <c r="F3520" s="19" t="str">
        <f>IFERROR(__xludf.DUMMYFUNCTION("""COMPUTED_VALUE"""),"BLUE")</f>
        <v>BLUE</v>
      </c>
      <c r="G3520" s="20" t="str">
        <f>IFERROR(__xludf.DUMMYFUNCTION("""COMPUTED_VALUE"""),"Uncle Sams Cider (11/12/2021) (Blue)")</f>
        <v>Uncle Sams Cider (11/12/2021) (Blue)</v>
      </c>
      <c r="H3520" s="19"/>
    </row>
    <row r="3521">
      <c r="A3521" s="9"/>
      <c r="B3521" s="15"/>
      <c r="C3521" s="9">
        <f>IFERROR(__xludf.DUMMYFUNCTION("""COMPUTED_VALUE"""),44568.8511896412)</f>
        <v>44568.85119</v>
      </c>
      <c r="D3521" s="15">
        <f>IFERROR(__xludf.DUMMYFUNCTION("""COMPUTED_VALUE"""),1.005)</f>
        <v>1.005</v>
      </c>
      <c r="E3521" s="16">
        <f>IFERROR(__xludf.DUMMYFUNCTION("""COMPUTED_VALUE"""),62.0)</f>
        <v>62</v>
      </c>
      <c r="F3521" s="19" t="str">
        <f>IFERROR(__xludf.DUMMYFUNCTION("""COMPUTED_VALUE"""),"BLUE")</f>
        <v>BLUE</v>
      </c>
      <c r="G3521" s="20" t="str">
        <f>IFERROR(__xludf.DUMMYFUNCTION("""COMPUTED_VALUE"""),"Uncle Sams Cider (11/12/2021) (Blue)")</f>
        <v>Uncle Sams Cider (11/12/2021) (Blue)</v>
      </c>
      <c r="H3521" s="19"/>
    </row>
    <row r="3522">
      <c r="A3522" s="9"/>
      <c r="B3522" s="15"/>
      <c r="C3522" s="9">
        <f>IFERROR(__xludf.DUMMYFUNCTION("""COMPUTED_VALUE"""),44568.8407686574)</f>
        <v>44568.84077</v>
      </c>
      <c r="D3522" s="15">
        <f>IFERROR(__xludf.DUMMYFUNCTION("""COMPUTED_VALUE"""),1.005)</f>
        <v>1.005</v>
      </c>
      <c r="E3522" s="16">
        <f>IFERROR(__xludf.DUMMYFUNCTION("""COMPUTED_VALUE"""),62.0)</f>
        <v>62</v>
      </c>
      <c r="F3522" s="19" t="str">
        <f>IFERROR(__xludf.DUMMYFUNCTION("""COMPUTED_VALUE"""),"BLUE")</f>
        <v>BLUE</v>
      </c>
      <c r="G3522" s="20" t="str">
        <f>IFERROR(__xludf.DUMMYFUNCTION("""COMPUTED_VALUE"""),"Uncle Sams Cider (11/12/2021) (Blue)")</f>
        <v>Uncle Sams Cider (11/12/2021) (Blue)</v>
      </c>
      <c r="H3522" s="19"/>
    </row>
    <row r="3523">
      <c r="A3523" s="9"/>
      <c r="B3523" s="15"/>
      <c r="C3523" s="9">
        <f>IFERROR(__xludf.DUMMYFUNCTION("""COMPUTED_VALUE"""),44568.8303488541)</f>
        <v>44568.83035</v>
      </c>
      <c r="D3523" s="15">
        <f>IFERROR(__xludf.DUMMYFUNCTION("""COMPUTED_VALUE"""),1.005)</f>
        <v>1.005</v>
      </c>
      <c r="E3523" s="16">
        <f>IFERROR(__xludf.DUMMYFUNCTION("""COMPUTED_VALUE"""),62.0)</f>
        <v>62</v>
      </c>
      <c r="F3523" s="19" t="str">
        <f>IFERROR(__xludf.DUMMYFUNCTION("""COMPUTED_VALUE"""),"BLUE")</f>
        <v>BLUE</v>
      </c>
      <c r="G3523" s="20" t="str">
        <f>IFERROR(__xludf.DUMMYFUNCTION("""COMPUTED_VALUE"""),"Uncle Sams Cider (11/12/2021) (Blue)")</f>
        <v>Uncle Sams Cider (11/12/2021) (Blue)</v>
      </c>
      <c r="H3523" s="19"/>
    </row>
    <row r="3524">
      <c r="A3524" s="9"/>
      <c r="B3524" s="15"/>
      <c r="C3524" s="9">
        <f>IFERROR(__xludf.DUMMYFUNCTION("""COMPUTED_VALUE"""),44568.8199268865)</f>
        <v>44568.81993</v>
      </c>
      <c r="D3524" s="15">
        <f>IFERROR(__xludf.DUMMYFUNCTION("""COMPUTED_VALUE"""),1.005)</f>
        <v>1.005</v>
      </c>
      <c r="E3524" s="16">
        <f>IFERROR(__xludf.DUMMYFUNCTION("""COMPUTED_VALUE"""),62.0)</f>
        <v>62</v>
      </c>
      <c r="F3524" s="19" t="str">
        <f>IFERROR(__xludf.DUMMYFUNCTION("""COMPUTED_VALUE"""),"BLUE")</f>
        <v>BLUE</v>
      </c>
      <c r="G3524" s="20" t="str">
        <f>IFERROR(__xludf.DUMMYFUNCTION("""COMPUTED_VALUE"""),"Uncle Sams Cider (11/12/2021) (Blue)")</f>
        <v>Uncle Sams Cider (11/12/2021) (Blue)</v>
      </c>
      <c r="H3524" s="19"/>
    </row>
    <row r="3525">
      <c r="A3525" s="9"/>
      <c r="B3525" s="15"/>
      <c r="C3525" s="9">
        <f>IFERROR(__xludf.DUMMYFUNCTION("""COMPUTED_VALUE"""),44568.8095044444)</f>
        <v>44568.8095</v>
      </c>
      <c r="D3525" s="15">
        <f>IFERROR(__xludf.DUMMYFUNCTION("""COMPUTED_VALUE"""),1.005)</f>
        <v>1.005</v>
      </c>
      <c r="E3525" s="16">
        <f>IFERROR(__xludf.DUMMYFUNCTION("""COMPUTED_VALUE"""),62.0)</f>
        <v>62</v>
      </c>
      <c r="F3525" s="19" t="str">
        <f>IFERROR(__xludf.DUMMYFUNCTION("""COMPUTED_VALUE"""),"BLUE")</f>
        <v>BLUE</v>
      </c>
      <c r="G3525" s="20" t="str">
        <f>IFERROR(__xludf.DUMMYFUNCTION("""COMPUTED_VALUE"""),"Uncle Sams Cider (11/12/2021) (Blue)")</f>
        <v>Uncle Sams Cider (11/12/2021) (Blue)</v>
      </c>
      <c r="H3525" s="19"/>
    </row>
    <row r="3526">
      <c r="A3526" s="9"/>
      <c r="B3526" s="15"/>
      <c r="C3526" s="9">
        <f>IFERROR(__xludf.DUMMYFUNCTION("""COMPUTED_VALUE"""),44568.7990829629)</f>
        <v>44568.79908</v>
      </c>
      <c r="D3526" s="15">
        <f>IFERROR(__xludf.DUMMYFUNCTION("""COMPUTED_VALUE"""),1.005)</f>
        <v>1.005</v>
      </c>
      <c r="E3526" s="16">
        <f>IFERROR(__xludf.DUMMYFUNCTION("""COMPUTED_VALUE"""),62.0)</f>
        <v>62</v>
      </c>
      <c r="F3526" s="19" t="str">
        <f>IFERROR(__xludf.DUMMYFUNCTION("""COMPUTED_VALUE"""),"BLUE")</f>
        <v>BLUE</v>
      </c>
      <c r="G3526" s="20" t="str">
        <f>IFERROR(__xludf.DUMMYFUNCTION("""COMPUTED_VALUE"""),"Uncle Sams Cider (11/12/2021) (Blue)")</f>
        <v>Uncle Sams Cider (11/12/2021) (Blue)</v>
      </c>
      <c r="H3526" s="19"/>
    </row>
    <row r="3527">
      <c r="A3527" s="9"/>
      <c r="B3527" s="15"/>
      <c r="C3527" s="9">
        <f>IFERROR(__xludf.DUMMYFUNCTION("""COMPUTED_VALUE"""),44568.7886600925)</f>
        <v>44568.78866</v>
      </c>
      <c r="D3527" s="15">
        <f>IFERROR(__xludf.DUMMYFUNCTION("""COMPUTED_VALUE"""),1.005)</f>
        <v>1.005</v>
      </c>
      <c r="E3527" s="16">
        <f>IFERROR(__xludf.DUMMYFUNCTION("""COMPUTED_VALUE"""),62.0)</f>
        <v>62</v>
      </c>
      <c r="F3527" s="19" t="str">
        <f>IFERROR(__xludf.DUMMYFUNCTION("""COMPUTED_VALUE"""),"BLUE")</f>
        <v>BLUE</v>
      </c>
      <c r="G3527" s="20" t="str">
        <f>IFERROR(__xludf.DUMMYFUNCTION("""COMPUTED_VALUE"""),"Uncle Sams Cider (11/12/2021) (Blue)")</f>
        <v>Uncle Sams Cider (11/12/2021) (Blue)</v>
      </c>
      <c r="H3527" s="19"/>
    </row>
    <row r="3528">
      <c r="A3528" s="9"/>
      <c r="B3528" s="15"/>
      <c r="C3528" s="9">
        <f>IFERROR(__xludf.DUMMYFUNCTION("""COMPUTED_VALUE"""),44568.7782406134)</f>
        <v>44568.77824</v>
      </c>
      <c r="D3528" s="15">
        <f>IFERROR(__xludf.DUMMYFUNCTION("""COMPUTED_VALUE"""),1.005)</f>
        <v>1.005</v>
      </c>
      <c r="E3528" s="16">
        <f>IFERROR(__xludf.DUMMYFUNCTION("""COMPUTED_VALUE"""),62.0)</f>
        <v>62</v>
      </c>
      <c r="F3528" s="19" t="str">
        <f>IFERROR(__xludf.DUMMYFUNCTION("""COMPUTED_VALUE"""),"BLUE")</f>
        <v>BLUE</v>
      </c>
      <c r="G3528" s="20" t="str">
        <f>IFERROR(__xludf.DUMMYFUNCTION("""COMPUTED_VALUE"""),"Uncle Sams Cider (11/12/2021) (Blue)")</f>
        <v>Uncle Sams Cider (11/12/2021) (Blue)</v>
      </c>
      <c r="H3528" s="19"/>
    </row>
    <row r="3529">
      <c r="A3529" s="9"/>
      <c r="B3529" s="15"/>
      <c r="C3529" s="9">
        <f>IFERROR(__xludf.DUMMYFUNCTION("""COMPUTED_VALUE"""),44568.7678202546)</f>
        <v>44568.76782</v>
      </c>
      <c r="D3529" s="15">
        <f>IFERROR(__xludf.DUMMYFUNCTION("""COMPUTED_VALUE"""),1.005)</f>
        <v>1.005</v>
      </c>
      <c r="E3529" s="16">
        <f>IFERROR(__xludf.DUMMYFUNCTION("""COMPUTED_VALUE"""),62.0)</f>
        <v>62</v>
      </c>
      <c r="F3529" s="19" t="str">
        <f>IFERROR(__xludf.DUMMYFUNCTION("""COMPUTED_VALUE"""),"BLUE")</f>
        <v>BLUE</v>
      </c>
      <c r="G3529" s="20" t="str">
        <f>IFERROR(__xludf.DUMMYFUNCTION("""COMPUTED_VALUE"""),"Uncle Sams Cider (11/12/2021) (Blue)")</f>
        <v>Uncle Sams Cider (11/12/2021) (Blue)</v>
      </c>
      <c r="H3529" s="19"/>
    </row>
    <row r="3530">
      <c r="A3530" s="9"/>
      <c r="B3530" s="15"/>
      <c r="C3530" s="9">
        <f>IFERROR(__xludf.DUMMYFUNCTION("""COMPUTED_VALUE"""),44568.757398993)</f>
        <v>44568.7574</v>
      </c>
      <c r="D3530" s="15">
        <f>IFERROR(__xludf.DUMMYFUNCTION("""COMPUTED_VALUE"""),1.005)</f>
        <v>1.005</v>
      </c>
      <c r="E3530" s="16">
        <f>IFERROR(__xludf.DUMMYFUNCTION("""COMPUTED_VALUE"""),62.0)</f>
        <v>62</v>
      </c>
      <c r="F3530" s="19" t="str">
        <f>IFERROR(__xludf.DUMMYFUNCTION("""COMPUTED_VALUE"""),"BLUE")</f>
        <v>BLUE</v>
      </c>
      <c r="G3530" s="20" t="str">
        <f>IFERROR(__xludf.DUMMYFUNCTION("""COMPUTED_VALUE"""),"Uncle Sams Cider (11/12/2021) (Blue)")</f>
        <v>Uncle Sams Cider (11/12/2021) (Blue)</v>
      </c>
      <c r="H3530" s="19"/>
    </row>
    <row r="3531">
      <c r="A3531" s="9"/>
      <c r="B3531" s="15"/>
      <c r="C3531" s="9">
        <f>IFERROR(__xludf.DUMMYFUNCTION("""COMPUTED_VALUE"""),44568.746978206)</f>
        <v>44568.74698</v>
      </c>
      <c r="D3531" s="15">
        <f>IFERROR(__xludf.DUMMYFUNCTION("""COMPUTED_VALUE"""),1.005)</f>
        <v>1.005</v>
      </c>
      <c r="E3531" s="16">
        <f>IFERROR(__xludf.DUMMYFUNCTION("""COMPUTED_VALUE"""),62.0)</f>
        <v>62</v>
      </c>
      <c r="F3531" s="19" t="str">
        <f>IFERROR(__xludf.DUMMYFUNCTION("""COMPUTED_VALUE"""),"BLUE")</f>
        <v>BLUE</v>
      </c>
      <c r="G3531" s="20" t="str">
        <f>IFERROR(__xludf.DUMMYFUNCTION("""COMPUTED_VALUE"""),"Uncle Sams Cider (11/12/2021) (Blue)")</f>
        <v>Uncle Sams Cider (11/12/2021) (Blue)</v>
      </c>
      <c r="H3531" s="19"/>
    </row>
    <row r="3532">
      <c r="A3532" s="9"/>
      <c r="B3532" s="15"/>
      <c r="C3532" s="9">
        <f>IFERROR(__xludf.DUMMYFUNCTION("""COMPUTED_VALUE"""),44568.7365568634)</f>
        <v>44568.73656</v>
      </c>
      <c r="D3532" s="15">
        <f>IFERROR(__xludf.DUMMYFUNCTION("""COMPUTED_VALUE"""),1.005)</f>
        <v>1.005</v>
      </c>
      <c r="E3532" s="16">
        <f>IFERROR(__xludf.DUMMYFUNCTION("""COMPUTED_VALUE"""),62.0)</f>
        <v>62</v>
      </c>
      <c r="F3532" s="19" t="str">
        <f>IFERROR(__xludf.DUMMYFUNCTION("""COMPUTED_VALUE"""),"BLUE")</f>
        <v>BLUE</v>
      </c>
      <c r="G3532" s="20" t="str">
        <f>IFERROR(__xludf.DUMMYFUNCTION("""COMPUTED_VALUE"""),"Uncle Sams Cider (11/12/2021) (Blue)")</f>
        <v>Uncle Sams Cider (11/12/2021) (Blue)</v>
      </c>
      <c r="H3532" s="19"/>
    </row>
    <row r="3533">
      <c r="A3533" s="9"/>
      <c r="B3533" s="15"/>
      <c r="C3533" s="9">
        <f>IFERROR(__xludf.DUMMYFUNCTION("""COMPUTED_VALUE"""),44568.7261352777)</f>
        <v>44568.72614</v>
      </c>
      <c r="D3533" s="15">
        <f>IFERROR(__xludf.DUMMYFUNCTION("""COMPUTED_VALUE"""),1.005)</f>
        <v>1.005</v>
      </c>
      <c r="E3533" s="16">
        <f>IFERROR(__xludf.DUMMYFUNCTION("""COMPUTED_VALUE"""),62.0)</f>
        <v>62</v>
      </c>
      <c r="F3533" s="19" t="str">
        <f>IFERROR(__xludf.DUMMYFUNCTION("""COMPUTED_VALUE"""),"BLUE")</f>
        <v>BLUE</v>
      </c>
      <c r="G3533" s="20" t="str">
        <f>IFERROR(__xludf.DUMMYFUNCTION("""COMPUTED_VALUE"""),"Uncle Sams Cider (11/12/2021) (Blue)")</f>
        <v>Uncle Sams Cider (11/12/2021) (Blue)</v>
      </c>
      <c r="H3533" s="19"/>
    </row>
    <row r="3534">
      <c r="A3534" s="9"/>
      <c r="B3534" s="15"/>
      <c r="C3534" s="9">
        <f>IFERROR(__xludf.DUMMYFUNCTION("""COMPUTED_VALUE"""),44568.7157022916)</f>
        <v>44568.7157</v>
      </c>
      <c r="D3534" s="15">
        <f>IFERROR(__xludf.DUMMYFUNCTION("""COMPUTED_VALUE"""),1.005)</f>
        <v>1.005</v>
      </c>
      <c r="E3534" s="16">
        <f>IFERROR(__xludf.DUMMYFUNCTION("""COMPUTED_VALUE"""),62.0)</f>
        <v>62</v>
      </c>
      <c r="F3534" s="19" t="str">
        <f>IFERROR(__xludf.DUMMYFUNCTION("""COMPUTED_VALUE"""),"BLUE")</f>
        <v>BLUE</v>
      </c>
      <c r="G3534" s="20" t="str">
        <f>IFERROR(__xludf.DUMMYFUNCTION("""COMPUTED_VALUE"""),"Uncle Sams Cider (11/12/2021) (Blue)")</f>
        <v>Uncle Sams Cider (11/12/2021) (Blue)</v>
      </c>
      <c r="H3534" s="19"/>
    </row>
    <row r="3535">
      <c r="A3535" s="9"/>
      <c r="B3535" s="15"/>
      <c r="C3535" s="9">
        <f>IFERROR(__xludf.DUMMYFUNCTION("""COMPUTED_VALUE"""),44568.7052810879)</f>
        <v>44568.70528</v>
      </c>
      <c r="D3535" s="15">
        <f>IFERROR(__xludf.DUMMYFUNCTION("""COMPUTED_VALUE"""),1.005)</f>
        <v>1.005</v>
      </c>
      <c r="E3535" s="16">
        <f>IFERROR(__xludf.DUMMYFUNCTION("""COMPUTED_VALUE"""),63.0)</f>
        <v>63</v>
      </c>
      <c r="F3535" s="19" t="str">
        <f>IFERROR(__xludf.DUMMYFUNCTION("""COMPUTED_VALUE"""),"BLUE")</f>
        <v>BLUE</v>
      </c>
      <c r="G3535" s="20" t="str">
        <f>IFERROR(__xludf.DUMMYFUNCTION("""COMPUTED_VALUE"""),"Uncle Sams Cider (11/12/2021) (Blue)")</f>
        <v>Uncle Sams Cider (11/12/2021) (Blue)</v>
      </c>
      <c r="H3535" s="19"/>
    </row>
    <row r="3536">
      <c r="A3536" s="9"/>
      <c r="B3536" s="15"/>
      <c r="C3536" s="9">
        <f>IFERROR(__xludf.DUMMYFUNCTION("""COMPUTED_VALUE"""),44568.6948609143)</f>
        <v>44568.69486</v>
      </c>
      <c r="D3536" s="15">
        <f>IFERROR(__xludf.DUMMYFUNCTION("""COMPUTED_VALUE"""),1.005)</f>
        <v>1.005</v>
      </c>
      <c r="E3536" s="16">
        <f>IFERROR(__xludf.DUMMYFUNCTION("""COMPUTED_VALUE"""),62.0)</f>
        <v>62</v>
      </c>
      <c r="F3536" s="19" t="str">
        <f>IFERROR(__xludf.DUMMYFUNCTION("""COMPUTED_VALUE"""),"BLUE")</f>
        <v>BLUE</v>
      </c>
      <c r="G3536" s="20" t="str">
        <f>IFERROR(__xludf.DUMMYFUNCTION("""COMPUTED_VALUE"""),"Uncle Sams Cider (11/12/2021) (Blue)")</f>
        <v>Uncle Sams Cider (11/12/2021) (Blue)</v>
      </c>
      <c r="H3536" s="19"/>
    </row>
    <row r="3537">
      <c r="A3537" s="9"/>
      <c r="B3537" s="15"/>
      <c r="C3537" s="9">
        <f>IFERROR(__xludf.DUMMYFUNCTION("""COMPUTED_VALUE"""),44568.6844406597)</f>
        <v>44568.68444</v>
      </c>
      <c r="D3537" s="15">
        <f>IFERROR(__xludf.DUMMYFUNCTION("""COMPUTED_VALUE"""),1.005)</f>
        <v>1.005</v>
      </c>
      <c r="E3537" s="16">
        <f>IFERROR(__xludf.DUMMYFUNCTION("""COMPUTED_VALUE"""),63.0)</f>
        <v>63</v>
      </c>
      <c r="F3537" s="19" t="str">
        <f>IFERROR(__xludf.DUMMYFUNCTION("""COMPUTED_VALUE"""),"BLUE")</f>
        <v>BLUE</v>
      </c>
      <c r="G3537" s="20" t="str">
        <f>IFERROR(__xludf.DUMMYFUNCTION("""COMPUTED_VALUE"""),"Uncle Sams Cider (11/12/2021) (Blue)")</f>
        <v>Uncle Sams Cider (11/12/2021) (Blue)</v>
      </c>
      <c r="H3537" s="19"/>
    </row>
    <row r="3538">
      <c r="A3538" s="9"/>
      <c r="B3538" s="15"/>
      <c r="C3538" s="9">
        <f>IFERROR(__xludf.DUMMYFUNCTION("""COMPUTED_VALUE"""),44568.6740190972)</f>
        <v>44568.67402</v>
      </c>
      <c r="D3538" s="15">
        <f>IFERROR(__xludf.DUMMYFUNCTION("""COMPUTED_VALUE"""),1.005)</f>
        <v>1.005</v>
      </c>
      <c r="E3538" s="16">
        <f>IFERROR(__xludf.DUMMYFUNCTION("""COMPUTED_VALUE"""),63.0)</f>
        <v>63</v>
      </c>
      <c r="F3538" s="19" t="str">
        <f>IFERROR(__xludf.DUMMYFUNCTION("""COMPUTED_VALUE"""),"BLUE")</f>
        <v>BLUE</v>
      </c>
      <c r="G3538" s="20" t="str">
        <f>IFERROR(__xludf.DUMMYFUNCTION("""COMPUTED_VALUE"""),"Uncle Sams Cider (11/12/2021) (Blue)")</f>
        <v>Uncle Sams Cider (11/12/2021) (Blue)</v>
      </c>
      <c r="H3538" s="19"/>
    </row>
    <row r="3539">
      <c r="A3539" s="9"/>
      <c r="B3539" s="15"/>
      <c r="C3539" s="9">
        <f>IFERROR(__xludf.DUMMYFUNCTION("""COMPUTED_VALUE"""),44568.6635980092)</f>
        <v>44568.6636</v>
      </c>
      <c r="D3539" s="15">
        <f>IFERROR(__xludf.DUMMYFUNCTION("""COMPUTED_VALUE"""),1.005)</f>
        <v>1.005</v>
      </c>
      <c r="E3539" s="16">
        <f>IFERROR(__xludf.DUMMYFUNCTION("""COMPUTED_VALUE"""),63.0)</f>
        <v>63</v>
      </c>
      <c r="F3539" s="19" t="str">
        <f>IFERROR(__xludf.DUMMYFUNCTION("""COMPUTED_VALUE"""),"BLUE")</f>
        <v>BLUE</v>
      </c>
      <c r="G3539" s="20" t="str">
        <f>IFERROR(__xludf.DUMMYFUNCTION("""COMPUTED_VALUE"""),"Uncle Sams Cider (11/12/2021) (Blue)")</f>
        <v>Uncle Sams Cider (11/12/2021) (Blue)</v>
      </c>
      <c r="H3539" s="19"/>
    </row>
    <row r="3540">
      <c r="A3540" s="9"/>
      <c r="B3540" s="15"/>
      <c r="C3540" s="9">
        <f>IFERROR(__xludf.DUMMYFUNCTION("""COMPUTED_VALUE"""),44568.6531764814)</f>
        <v>44568.65318</v>
      </c>
      <c r="D3540" s="15">
        <f>IFERROR(__xludf.DUMMYFUNCTION("""COMPUTED_VALUE"""),1.005)</f>
        <v>1.005</v>
      </c>
      <c r="E3540" s="16">
        <f>IFERROR(__xludf.DUMMYFUNCTION("""COMPUTED_VALUE"""),63.0)</f>
        <v>63</v>
      </c>
      <c r="F3540" s="19" t="str">
        <f>IFERROR(__xludf.DUMMYFUNCTION("""COMPUTED_VALUE"""),"BLUE")</f>
        <v>BLUE</v>
      </c>
      <c r="G3540" s="20" t="str">
        <f>IFERROR(__xludf.DUMMYFUNCTION("""COMPUTED_VALUE"""),"Uncle Sams Cider (11/12/2021) (Blue)")</f>
        <v>Uncle Sams Cider (11/12/2021) (Blue)</v>
      </c>
      <c r="H3540" s="19"/>
    </row>
    <row r="3541">
      <c r="A3541" s="9"/>
      <c r="B3541" s="15"/>
      <c r="C3541" s="9">
        <f>IFERROR(__xludf.DUMMYFUNCTION("""COMPUTED_VALUE"""),44568.6427542245)</f>
        <v>44568.64275</v>
      </c>
      <c r="D3541" s="15">
        <f>IFERROR(__xludf.DUMMYFUNCTION("""COMPUTED_VALUE"""),1.005)</f>
        <v>1.005</v>
      </c>
      <c r="E3541" s="16">
        <f>IFERROR(__xludf.DUMMYFUNCTION("""COMPUTED_VALUE"""),63.0)</f>
        <v>63</v>
      </c>
      <c r="F3541" s="19" t="str">
        <f>IFERROR(__xludf.DUMMYFUNCTION("""COMPUTED_VALUE"""),"BLUE")</f>
        <v>BLUE</v>
      </c>
      <c r="G3541" s="20" t="str">
        <f>IFERROR(__xludf.DUMMYFUNCTION("""COMPUTED_VALUE"""),"Uncle Sams Cider (11/12/2021) (Blue)")</f>
        <v>Uncle Sams Cider (11/12/2021) (Blue)</v>
      </c>
      <c r="H3541" s="19"/>
    </row>
    <row r="3542">
      <c r="A3542" s="9"/>
      <c r="B3542" s="15"/>
      <c r="C3542" s="9">
        <f>IFERROR(__xludf.DUMMYFUNCTION("""COMPUTED_VALUE"""),44568.6323343634)</f>
        <v>44568.63233</v>
      </c>
      <c r="D3542" s="15">
        <f>IFERROR(__xludf.DUMMYFUNCTION("""COMPUTED_VALUE"""),1.005)</f>
        <v>1.005</v>
      </c>
      <c r="E3542" s="16">
        <f>IFERROR(__xludf.DUMMYFUNCTION("""COMPUTED_VALUE"""),63.0)</f>
        <v>63</v>
      </c>
      <c r="F3542" s="19" t="str">
        <f>IFERROR(__xludf.DUMMYFUNCTION("""COMPUTED_VALUE"""),"BLUE")</f>
        <v>BLUE</v>
      </c>
      <c r="G3542" s="20" t="str">
        <f>IFERROR(__xludf.DUMMYFUNCTION("""COMPUTED_VALUE"""),"Uncle Sams Cider (11/12/2021) (Blue)")</f>
        <v>Uncle Sams Cider (11/12/2021) (Blue)</v>
      </c>
      <c r="H3542" s="19"/>
    </row>
    <row r="3543">
      <c r="A3543" s="9"/>
      <c r="B3543" s="15"/>
      <c r="C3543" s="9">
        <f>IFERROR(__xludf.DUMMYFUNCTION("""COMPUTED_VALUE"""),44568.6219140046)</f>
        <v>44568.62191</v>
      </c>
      <c r="D3543" s="15">
        <f>IFERROR(__xludf.DUMMYFUNCTION("""COMPUTED_VALUE"""),1.005)</f>
        <v>1.005</v>
      </c>
      <c r="E3543" s="16">
        <f>IFERROR(__xludf.DUMMYFUNCTION("""COMPUTED_VALUE"""),63.0)</f>
        <v>63</v>
      </c>
      <c r="F3543" s="19" t="str">
        <f>IFERROR(__xludf.DUMMYFUNCTION("""COMPUTED_VALUE"""),"BLUE")</f>
        <v>BLUE</v>
      </c>
      <c r="G3543" s="20" t="str">
        <f>IFERROR(__xludf.DUMMYFUNCTION("""COMPUTED_VALUE"""),"Uncle Sams Cider (11/12/2021) (Blue)")</f>
        <v>Uncle Sams Cider (11/12/2021) (Blue)</v>
      </c>
      <c r="H3543" s="19"/>
    </row>
    <row r="3544">
      <c r="A3544" s="9"/>
      <c r="B3544" s="15"/>
      <c r="C3544" s="9">
        <f>IFERROR(__xludf.DUMMYFUNCTION("""COMPUTED_VALUE"""),44568.611492743)</f>
        <v>44568.61149</v>
      </c>
      <c r="D3544" s="15">
        <f>IFERROR(__xludf.DUMMYFUNCTION("""COMPUTED_VALUE"""),1.005)</f>
        <v>1.005</v>
      </c>
      <c r="E3544" s="16">
        <f>IFERROR(__xludf.DUMMYFUNCTION("""COMPUTED_VALUE"""),63.0)</f>
        <v>63</v>
      </c>
      <c r="F3544" s="19" t="str">
        <f>IFERROR(__xludf.DUMMYFUNCTION("""COMPUTED_VALUE"""),"BLUE")</f>
        <v>BLUE</v>
      </c>
      <c r="G3544" s="20" t="str">
        <f>IFERROR(__xludf.DUMMYFUNCTION("""COMPUTED_VALUE"""),"Uncle Sams Cider (11/12/2021) (Blue)")</f>
        <v>Uncle Sams Cider (11/12/2021) (Blue)</v>
      </c>
      <c r="H3544" s="19"/>
    </row>
    <row r="3545">
      <c r="A3545" s="9"/>
      <c r="B3545" s="15"/>
      <c r="C3545" s="9">
        <f>IFERROR(__xludf.DUMMYFUNCTION("""COMPUTED_VALUE"""),44568.6010698148)</f>
        <v>44568.60107</v>
      </c>
      <c r="D3545" s="15">
        <f>IFERROR(__xludf.DUMMYFUNCTION("""COMPUTED_VALUE"""),1.005)</f>
        <v>1.005</v>
      </c>
      <c r="E3545" s="16">
        <f>IFERROR(__xludf.DUMMYFUNCTION("""COMPUTED_VALUE"""),63.0)</f>
        <v>63</v>
      </c>
      <c r="F3545" s="19" t="str">
        <f>IFERROR(__xludf.DUMMYFUNCTION("""COMPUTED_VALUE"""),"BLUE")</f>
        <v>BLUE</v>
      </c>
      <c r="G3545" s="20" t="str">
        <f>IFERROR(__xludf.DUMMYFUNCTION("""COMPUTED_VALUE"""),"Uncle Sams Cider (11/12/2021) (Blue)")</f>
        <v>Uncle Sams Cider (11/12/2021) (Blue)</v>
      </c>
      <c r="H3545" s="19"/>
    </row>
    <row r="3546">
      <c r="A3546" s="9"/>
      <c r="B3546" s="15"/>
      <c r="C3546" s="9">
        <f>IFERROR(__xludf.DUMMYFUNCTION("""COMPUTED_VALUE"""),44568.5906477662)</f>
        <v>44568.59065</v>
      </c>
      <c r="D3546" s="15">
        <f>IFERROR(__xludf.DUMMYFUNCTION("""COMPUTED_VALUE"""),1.005)</f>
        <v>1.005</v>
      </c>
      <c r="E3546" s="16">
        <f>IFERROR(__xludf.DUMMYFUNCTION("""COMPUTED_VALUE"""),63.0)</f>
        <v>63</v>
      </c>
      <c r="F3546" s="19" t="str">
        <f>IFERROR(__xludf.DUMMYFUNCTION("""COMPUTED_VALUE"""),"BLUE")</f>
        <v>BLUE</v>
      </c>
      <c r="G3546" s="20" t="str">
        <f>IFERROR(__xludf.DUMMYFUNCTION("""COMPUTED_VALUE"""),"Uncle Sams Cider (11/12/2021) (Blue)")</f>
        <v>Uncle Sams Cider (11/12/2021) (Blue)</v>
      </c>
      <c r="H3546" s="19"/>
    </row>
    <row r="3547">
      <c r="A3547" s="9"/>
      <c r="B3547" s="15"/>
      <c r="C3547" s="9">
        <f>IFERROR(__xludf.DUMMYFUNCTION("""COMPUTED_VALUE"""),44568.5802147916)</f>
        <v>44568.58021</v>
      </c>
      <c r="D3547" s="15">
        <f>IFERROR(__xludf.DUMMYFUNCTION("""COMPUTED_VALUE"""),1.005)</f>
        <v>1.005</v>
      </c>
      <c r="E3547" s="16">
        <f>IFERROR(__xludf.DUMMYFUNCTION("""COMPUTED_VALUE"""),63.0)</f>
        <v>63</v>
      </c>
      <c r="F3547" s="19" t="str">
        <f>IFERROR(__xludf.DUMMYFUNCTION("""COMPUTED_VALUE"""),"BLUE")</f>
        <v>BLUE</v>
      </c>
      <c r="G3547" s="20" t="str">
        <f>IFERROR(__xludf.DUMMYFUNCTION("""COMPUTED_VALUE"""),"Uncle Sams Cider (11/12/2021) (Blue)")</f>
        <v>Uncle Sams Cider (11/12/2021) (Blue)</v>
      </c>
      <c r="H3547" s="19"/>
    </row>
    <row r="3548">
      <c r="A3548" s="9"/>
      <c r="B3548" s="15"/>
      <c r="C3548" s="9">
        <f>IFERROR(__xludf.DUMMYFUNCTION("""COMPUTED_VALUE"""),44568.5697708564)</f>
        <v>44568.56977</v>
      </c>
      <c r="D3548" s="15">
        <f>IFERROR(__xludf.DUMMYFUNCTION("""COMPUTED_VALUE"""),1.005)</f>
        <v>1.005</v>
      </c>
      <c r="E3548" s="16">
        <f>IFERROR(__xludf.DUMMYFUNCTION("""COMPUTED_VALUE"""),63.0)</f>
        <v>63</v>
      </c>
      <c r="F3548" s="19" t="str">
        <f>IFERROR(__xludf.DUMMYFUNCTION("""COMPUTED_VALUE"""),"BLUE")</f>
        <v>BLUE</v>
      </c>
      <c r="G3548" s="20" t="str">
        <f>IFERROR(__xludf.DUMMYFUNCTION("""COMPUTED_VALUE"""),"Uncle Sams Cider (11/12/2021) (Blue)")</f>
        <v>Uncle Sams Cider (11/12/2021) (Blue)</v>
      </c>
      <c r="H3548" s="19"/>
    </row>
    <row r="3549">
      <c r="A3549" s="9"/>
      <c r="B3549" s="15"/>
      <c r="C3549" s="9">
        <f>IFERROR(__xludf.DUMMYFUNCTION("""COMPUTED_VALUE"""),44568.559350081)</f>
        <v>44568.55935</v>
      </c>
      <c r="D3549" s="15">
        <f>IFERROR(__xludf.DUMMYFUNCTION("""COMPUTED_VALUE"""),1.005)</f>
        <v>1.005</v>
      </c>
      <c r="E3549" s="16">
        <f>IFERROR(__xludf.DUMMYFUNCTION("""COMPUTED_VALUE"""),63.0)</f>
        <v>63</v>
      </c>
      <c r="F3549" s="19" t="str">
        <f>IFERROR(__xludf.DUMMYFUNCTION("""COMPUTED_VALUE"""),"BLUE")</f>
        <v>BLUE</v>
      </c>
      <c r="G3549" s="20" t="str">
        <f>IFERROR(__xludf.DUMMYFUNCTION("""COMPUTED_VALUE"""),"Uncle Sams Cider (11/12/2021) (Blue)")</f>
        <v>Uncle Sams Cider (11/12/2021) (Blue)</v>
      </c>
      <c r="H3549" s="19"/>
    </row>
    <row r="3550">
      <c r="A3550" s="9"/>
      <c r="B3550" s="15"/>
      <c r="C3550" s="9">
        <f>IFERROR(__xludf.DUMMYFUNCTION("""COMPUTED_VALUE"""),44568.5489281597)</f>
        <v>44568.54893</v>
      </c>
      <c r="D3550" s="15">
        <f>IFERROR(__xludf.DUMMYFUNCTION("""COMPUTED_VALUE"""),1.005)</f>
        <v>1.005</v>
      </c>
      <c r="E3550" s="16">
        <f>IFERROR(__xludf.DUMMYFUNCTION("""COMPUTED_VALUE"""),63.0)</f>
        <v>63</v>
      </c>
      <c r="F3550" s="19" t="str">
        <f>IFERROR(__xludf.DUMMYFUNCTION("""COMPUTED_VALUE"""),"BLUE")</f>
        <v>BLUE</v>
      </c>
      <c r="G3550" s="20" t="str">
        <f>IFERROR(__xludf.DUMMYFUNCTION("""COMPUTED_VALUE"""),"Uncle Sams Cider (11/12/2021) (Blue)")</f>
        <v>Uncle Sams Cider (11/12/2021) (Blue)</v>
      </c>
      <c r="H3550" s="19"/>
    </row>
    <row r="3551">
      <c r="A3551" s="9"/>
      <c r="B3551" s="15"/>
      <c r="C3551" s="9">
        <f>IFERROR(__xludf.DUMMYFUNCTION("""COMPUTED_VALUE"""),44568.5385065972)</f>
        <v>44568.53851</v>
      </c>
      <c r="D3551" s="15">
        <f>IFERROR(__xludf.DUMMYFUNCTION("""COMPUTED_VALUE"""),1.005)</f>
        <v>1.005</v>
      </c>
      <c r="E3551" s="16">
        <f>IFERROR(__xludf.DUMMYFUNCTION("""COMPUTED_VALUE"""),63.0)</f>
        <v>63</v>
      </c>
      <c r="F3551" s="19" t="str">
        <f>IFERROR(__xludf.DUMMYFUNCTION("""COMPUTED_VALUE"""),"BLUE")</f>
        <v>BLUE</v>
      </c>
      <c r="G3551" s="20" t="str">
        <f>IFERROR(__xludf.DUMMYFUNCTION("""COMPUTED_VALUE"""),"Uncle Sams Cider (11/12/2021) (Blue)")</f>
        <v>Uncle Sams Cider (11/12/2021) (Blue)</v>
      </c>
      <c r="H3551" s="19"/>
    </row>
    <row r="3552">
      <c r="A3552" s="9"/>
      <c r="B3552" s="15"/>
      <c r="C3552" s="9">
        <f>IFERROR(__xludf.DUMMYFUNCTION("""COMPUTED_VALUE"""),44568.5280857175)</f>
        <v>44568.52809</v>
      </c>
      <c r="D3552" s="15">
        <f>IFERROR(__xludf.DUMMYFUNCTION("""COMPUTED_VALUE"""),1.005)</f>
        <v>1.005</v>
      </c>
      <c r="E3552" s="16">
        <f>IFERROR(__xludf.DUMMYFUNCTION("""COMPUTED_VALUE"""),63.0)</f>
        <v>63</v>
      </c>
      <c r="F3552" s="19" t="str">
        <f>IFERROR(__xludf.DUMMYFUNCTION("""COMPUTED_VALUE"""),"BLUE")</f>
        <v>BLUE</v>
      </c>
      <c r="G3552" s="20" t="str">
        <f>IFERROR(__xludf.DUMMYFUNCTION("""COMPUTED_VALUE"""),"Uncle Sams Cider (11/12/2021) (Blue)")</f>
        <v>Uncle Sams Cider (11/12/2021) (Blue)</v>
      </c>
      <c r="H3552" s="19"/>
    </row>
    <row r="3553">
      <c r="A3553" s="9"/>
      <c r="B3553" s="15"/>
      <c r="C3553" s="9">
        <f>IFERROR(__xludf.DUMMYFUNCTION("""COMPUTED_VALUE"""),44568.5176645023)</f>
        <v>44568.51766</v>
      </c>
      <c r="D3553" s="15">
        <f>IFERROR(__xludf.DUMMYFUNCTION("""COMPUTED_VALUE"""),1.005)</f>
        <v>1.005</v>
      </c>
      <c r="E3553" s="16">
        <f>IFERROR(__xludf.DUMMYFUNCTION("""COMPUTED_VALUE"""),63.0)</f>
        <v>63</v>
      </c>
      <c r="F3553" s="19" t="str">
        <f>IFERROR(__xludf.DUMMYFUNCTION("""COMPUTED_VALUE"""),"BLUE")</f>
        <v>BLUE</v>
      </c>
      <c r="G3553" s="20" t="str">
        <f>IFERROR(__xludf.DUMMYFUNCTION("""COMPUTED_VALUE"""),"Uncle Sams Cider (11/12/2021) (Blue)")</f>
        <v>Uncle Sams Cider (11/12/2021) (Blue)</v>
      </c>
      <c r="H3553" s="19"/>
    </row>
    <row r="3554">
      <c r="A3554" s="9"/>
      <c r="B3554" s="15"/>
      <c r="C3554" s="9">
        <f>IFERROR(__xludf.DUMMYFUNCTION("""COMPUTED_VALUE"""),44568.5072445138)</f>
        <v>44568.50724</v>
      </c>
      <c r="D3554" s="15">
        <f>IFERROR(__xludf.DUMMYFUNCTION("""COMPUTED_VALUE"""),1.005)</f>
        <v>1.005</v>
      </c>
      <c r="E3554" s="16">
        <f>IFERROR(__xludf.DUMMYFUNCTION("""COMPUTED_VALUE"""),63.0)</f>
        <v>63</v>
      </c>
      <c r="F3554" s="19" t="str">
        <f>IFERROR(__xludf.DUMMYFUNCTION("""COMPUTED_VALUE"""),"BLUE")</f>
        <v>BLUE</v>
      </c>
      <c r="G3554" s="20" t="str">
        <f>IFERROR(__xludf.DUMMYFUNCTION("""COMPUTED_VALUE"""),"Uncle Sams Cider (11/12/2021) (Blue)")</f>
        <v>Uncle Sams Cider (11/12/2021) (Blue)</v>
      </c>
      <c r="H3554" s="19"/>
    </row>
    <row r="3555">
      <c r="A3555" s="9"/>
      <c r="B3555" s="15"/>
      <c r="C3555" s="9">
        <f>IFERROR(__xludf.DUMMYFUNCTION("""COMPUTED_VALUE"""),44568.4968237268)</f>
        <v>44568.49682</v>
      </c>
      <c r="D3555" s="15">
        <f>IFERROR(__xludf.DUMMYFUNCTION("""COMPUTED_VALUE"""),1.005)</f>
        <v>1.005</v>
      </c>
      <c r="E3555" s="16">
        <f>IFERROR(__xludf.DUMMYFUNCTION("""COMPUTED_VALUE"""),63.0)</f>
        <v>63</v>
      </c>
      <c r="F3555" s="19" t="str">
        <f>IFERROR(__xludf.DUMMYFUNCTION("""COMPUTED_VALUE"""),"BLUE")</f>
        <v>BLUE</v>
      </c>
      <c r="G3555" s="20" t="str">
        <f>IFERROR(__xludf.DUMMYFUNCTION("""COMPUTED_VALUE"""),"Uncle Sams Cider (11/12/2021) (Blue)")</f>
        <v>Uncle Sams Cider (11/12/2021) (Blue)</v>
      </c>
      <c r="H3555" s="19"/>
    </row>
    <row r="3556">
      <c r="A3556" s="9"/>
      <c r="B3556" s="15"/>
      <c r="C3556" s="9">
        <f>IFERROR(__xludf.DUMMYFUNCTION("""COMPUTED_VALUE"""),44568.4864027777)</f>
        <v>44568.4864</v>
      </c>
      <c r="D3556" s="15">
        <f>IFERROR(__xludf.DUMMYFUNCTION("""COMPUTED_VALUE"""),1.005)</f>
        <v>1.005</v>
      </c>
      <c r="E3556" s="16">
        <f>IFERROR(__xludf.DUMMYFUNCTION("""COMPUTED_VALUE"""),63.0)</f>
        <v>63</v>
      </c>
      <c r="F3556" s="19" t="str">
        <f>IFERROR(__xludf.DUMMYFUNCTION("""COMPUTED_VALUE"""),"BLUE")</f>
        <v>BLUE</v>
      </c>
      <c r="G3556" s="20" t="str">
        <f>IFERROR(__xludf.DUMMYFUNCTION("""COMPUTED_VALUE"""),"Uncle Sams Cider (11/12/2021) (Blue)")</f>
        <v>Uncle Sams Cider (11/12/2021) (Blue)</v>
      </c>
      <c r="H3556" s="19"/>
    </row>
    <row r="3557">
      <c r="A3557" s="9"/>
      <c r="B3557" s="15"/>
      <c r="C3557" s="9">
        <f>IFERROR(__xludf.DUMMYFUNCTION("""COMPUTED_VALUE"""),44568.4759817129)</f>
        <v>44568.47598</v>
      </c>
      <c r="D3557" s="15">
        <f>IFERROR(__xludf.DUMMYFUNCTION("""COMPUTED_VALUE"""),1.005)</f>
        <v>1.005</v>
      </c>
      <c r="E3557" s="16">
        <f>IFERROR(__xludf.DUMMYFUNCTION("""COMPUTED_VALUE"""),63.0)</f>
        <v>63</v>
      </c>
      <c r="F3557" s="19" t="str">
        <f>IFERROR(__xludf.DUMMYFUNCTION("""COMPUTED_VALUE"""),"BLUE")</f>
        <v>BLUE</v>
      </c>
      <c r="G3557" s="20" t="str">
        <f>IFERROR(__xludf.DUMMYFUNCTION("""COMPUTED_VALUE"""),"Uncle Sams Cider (11/12/2021) (Blue)")</f>
        <v>Uncle Sams Cider (11/12/2021) (Blue)</v>
      </c>
      <c r="H3557" s="19"/>
    </row>
    <row r="3558">
      <c r="A3558" s="9"/>
      <c r="B3558" s="15"/>
      <c r="C3558" s="9">
        <f>IFERROR(__xludf.DUMMYFUNCTION("""COMPUTED_VALUE"""),44568.4655610879)</f>
        <v>44568.46556</v>
      </c>
      <c r="D3558" s="15">
        <f>IFERROR(__xludf.DUMMYFUNCTION("""COMPUTED_VALUE"""),1.005)</f>
        <v>1.005</v>
      </c>
      <c r="E3558" s="16">
        <f>IFERROR(__xludf.DUMMYFUNCTION("""COMPUTED_VALUE"""),63.0)</f>
        <v>63</v>
      </c>
      <c r="F3558" s="19" t="str">
        <f>IFERROR(__xludf.DUMMYFUNCTION("""COMPUTED_VALUE"""),"BLUE")</f>
        <v>BLUE</v>
      </c>
      <c r="G3558" s="20" t="str">
        <f>IFERROR(__xludf.DUMMYFUNCTION("""COMPUTED_VALUE"""),"Uncle Sams Cider (11/12/2021) (Blue)")</f>
        <v>Uncle Sams Cider (11/12/2021) (Blue)</v>
      </c>
      <c r="H3558" s="19"/>
    </row>
    <row r="3559">
      <c r="A3559" s="9"/>
      <c r="B3559" s="15"/>
      <c r="C3559" s="9">
        <f>IFERROR(__xludf.DUMMYFUNCTION("""COMPUTED_VALUE"""),44568.4551379166)</f>
        <v>44568.45514</v>
      </c>
      <c r="D3559" s="15">
        <f>IFERROR(__xludf.DUMMYFUNCTION("""COMPUTED_VALUE"""),1.006)</f>
        <v>1.006</v>
      </c>
      <c r="E3559" s="16">
        <f>IFERROR(__xludf.DUMMYFUNCTION("""COMPUTED_VALUE"""),63.0)</f>
        <v>63</v>
      </c>
      <c r="F3559" s="19" t="str">
        <f>IFERROR(__xludf.DUMMYFUNCTION("""COMPUTED_VALUE"""),"BLUE")</f>
        <v>BLUE</v>
      </c>
      <c r="G3559" s="20" t="str">
        <f>IFERROR(__xludf.DUMMYFUNCTION("""COMPUTED_VALUE"""),"Uncle Sams Cider (11/12/2021) (Blue)")</f>
        <v>Uncle Sams Cider (11/12/2021) (Blue)</v>
      </c>
      <c r="H3559" s="19"/>
    </row>
    <row r="3560">
      <c r="A3560" s="9"/>
      <c r="B3560" s="15"/>
      <c r="C3560" s="9">
        <f>IFERROR(__xludf.DUMMYFUNCTION("""COMPUTED_VALUE"""),44568.4447166782)</f>
        <v>44568.44472</v>
      </c>
      <c r="D3560" s="15">
        <f>IFERROR(__xludf.DUMMYFUNCTION("""COMPUTED_VALUE"""),1.005)</f>
        <v>1.005</v>
      </c>
      <c r="E3560" s="16">
        <f>IFERROR(__xludf.DUMMYFUNCTION("""COMPUTED_VALUE"""),63.0)</f>
        <v>63</v>
      </c>
      <c r="F3560" s="19" t="str">
        <f>IFERROR(__xludf.DUMMYFUNCTION("""COMPUTED_VALUE"""),"BLUE")</f>
        <v>BLUE</v>
      </c>
      <c r="G3560" s="20" t="str">
        <f>IFERROR(__xludf.DUMMYFUNCTION("""COMPUTED_VALUE"""),"Uncle Sams Cider (11/12/2021) (Blue)")</f>
        <v>Uncle Sams Cider (11/12/2021) (Blue)</v>
      </c>
      <c r="H3560" s="19"/>
    </row>
    <row r="3561">
      <c r="A3561" s="9"/>
      <c r="B3561" s="15"/>
      <c r="C3561" s="9">
        <f>IFERROR(__xludf.DUMMYFUNCTION("""COMPUTED_VALUE"""),44568.4342953588)</f>
        <v>44568.4343</v>
      </c>
      <c r="D3561" s="15">
        <f>IFERROR(__xludf.DUMMYFUNCTION("""COMPUTED_VALUE"""),1.005)</f>
        <v>1.005</v>
      </c>
      <c r="E3561" s="16">
        <f>IFERROR(__xludf.DUMMYFUNCTION("""COMPUTED_VALUE"""),63.0)</f>
        <v>63</v>
      </c>
      <c r="F3561" s="19" t="str">
        <f>IFERROR(__xludf.DUMMYFUNCTION("""COMPUTED_VALUE"""),"BLUE")</f>
        <v>BLUE</v>
      </c>
      <c r="G3561" s="20" t="str">
        <f>IFERROR(__xludf.DUMMYFUNCTION("""COMPUTED_VALUE"""),"Uncle Sams Cider (11/12/2021) (Blue)")</f>
        <v>Uncle Sams Cider (11/12/2021) (Blue)</v>
      </c>
      <c r="H3561" s="19"/>
    </row>
    <row r="3562">
      <c r="A3562" s="9"/>
      <c r="B3562" s="15"/>
      <c r="C3562" s="9">
        <f>IFERROR(__xludf.DUMMYFUNCTION("""COMPUTED_VALUE"""),44568.4238733333)</f>
        <v>44568.42387</v>
      </c>
      <c r="D3562" s="15">
        <f>IFERROR(__xludf.DUMMYFUNCTION("""COMPUTED_VALUE"""),1.005)</f>
        <v>1.005</v>
      </c>
      <c r="E3562" s="16">
        <f>IFERROR(__xludf.DUMMYFUNCTION("""COMPUTED_VALUE"""),63.0)</f>
        <v>63</v>
      </c>
      <c r="F3562" s="19" t="str">
        <f>IFERROR(__xludf.DUMMYFUNCTION("""COMPUTED_VALUE"""),"BLUE")</f>
        <v>BLUE</v>
      </c>
      <c r="G3562" s="20" t="str">
        <f>IFERROR(__xludf.DUMMYFUNCTION("""COMPUTED_VALUE"""),"Uncle Sams Cider (11/12/2021) (Blue)")</f>
        <v>Uncle Sams Cider (11/12/2021) (Blue)</v>
      </c>
      <c r="H3562" s="19"/>
    </row>
    <row r="3563">
      <c r="A3563" s="9"/>
      <c r="B3563" s="15"/>
      <c r="C3563" s="9">
        <f>IFERROR(__xludf.DUMMYFUNCTION("""COMPUTED_VALUE"""),44568.4134517476)</f>
        <v>44568.41345</v>
      </c>
      <c r="D3563" s="15">
        <f>IFERROR(__xludf.DUMMYFUNCTION("""COMPUTED_VALUE"""),1.005)</f>
        <v>1.005</v>
      </c>
      <c r="E3563" s="16">
        <f>IFERROR(__xludf.DUMMYFUNCTION("""COMPUTED_VALUE"""),63.0)</f>
        <v>63</v>
      </c>
      <c r="F3563" s="19" t="str">
        <f>IFERROR(__xludf.DUMMYFUNCTION("""COMPUTED_VALUE"""),"BLUE")</f>
        <v>BLUE</v>
      </c>
      <c r="G3563" s="20" t="str">
        <f>IFERROR(__xludf.DUMMYFUNCTION("""COMPUTED_VALUE"""),"Uncle Sams Cider (11/12/2021) (Blue)")</f>
        <v>Uncle Sams Cider (11/12/2021) (Blue)</v>
      </c>
      <c r="H3563" s="19"/>
    </row>
    <row r="3564">
      <c r="A3564" s="9"/>
      <c r="B3564" s="15"/>
      <c r="C3564" s="9">
        <f>IFERROR(__xludf.DUMMYFUNCTION("""COMPUTED_VALUE"""),44568.4030322685)</f>
        <v>44568.40303</v>
      </c>
      <c r="D3564" s="15">
        <f>IFERROR(__xludf.DUMMYFUNCTION("""COMPUTED_VALUE"""),1.005)</f>
        <v>1.005</v>
      </c>
      <c r="E3564" s="16">
        <f>IFERROR(__xludf.DUMMYFUNCTION("""COMPUTED_VALUE"""),63.0)</f>
        <v>63</v>
      </c>
      <c r="F3564" s="19" t="str">
        <f>IFERROR(__xludf.DUMMYFUNCTION("""COMPUTED_VALUE"""),"BLUE")</f>
        <v>BLUE</v>
      </c>
      <c r="G3564" s="20" t="str">
        <f>IFERROR(__xludf.DUMMYFUNCTION("""COMPUTED_VALUE"""),"Uncle Sams Cider (11/12/2021) (Blue)")</f>
        <v>Uncle Sams Cider (11/12/2021) (Blue)</v>
      </c>
      <c r="H3564" s="19"/>
    </row>
    <row r="3565">
      <c r="A3565" s="9"/>
      <c r="B3565" s="15"/>
      <c r="C3565" s="9">
        <f>IFERROR(__xludf.DUMMYFUNCTION("""COMPUTED_VALUE"""),44568.3926103935)</f>
        <v>44568.39261</v>
      </c>
      <c r="D3565" s="15">
        <f>IFERROR(__xludf.DUMMYFUNCTION("""COMPUTED_VALUE"""),1.005)</f>
        <v>1.005</v>
      </c>
      <c r="E3565" s="16">
        <f>IFERROR(__xludf.DUMMYFUNCTION("""COMPUTED_VALUE"""),63.0)</f>
        <v>63</v>
      </c>
      <c r="F3565" s="19" t="str">
        <f>IFERROR(__xludf.DUMMYFUNCTION("""COMPUTED_VALUE"""),"BLUE")</f>
        <v>BLUE</v>
      </c>
      <c r="G3565" s="20" t="str">
        <f>IFERROR(__xludf.DUMMYFUNCTION("""COMPUTED_VALUE"""),"Uncle Sams Cider (11/12/2021) (Blue)")</f>
        <v>Uncle Sams Cider (11/12/2021) (Blue)</v>
      </c>
      <c r="H3565" s="19"/>
    </row>
    <row r="3566">
      <c r="A3566" s="9"/>
      <c r="B3566" s="15"/>
      <c r="C3566" s="9">
        <f>IFERROR(__xludf.DUMMYFUNCTION("""COMPUTED_VALUE"""),44568.3821900578)</f>
        <v>44568.38219</v>
      </c>
      <c r="D3566" s="15">
        <f>IFERROR(__xludf.DUMMYFUNCTION("""COMPUTED_VALUE"""),1.005)</f>
        <v>1.005</v>
      </c>
      <c r="E3566" s="16">
        <f>IFERROR(__xludf.DUMMYFUNCTION("""COMPUTED_VALUE"""),63.0)</f>
        <v>63</v>
      </c>
      <c r="F3566" s="19" t="str">
        <f>IFERROR(__xludf.DUMMYFUNCTION("""COMPUTED_VALUE"""),"BLUE")</f>
        <v>BLUE</v>
      </c>
      <c r="G3566" s="20" t="str">
        <f>IFERROR(__xludf.DUMMYFUNCTION("""COMPUTED_VALUE"""),"Uncle Sams Cider (11/12/2021) (Blue)")</f>
        <v>Uncle Sams Cider (11/12/2021) (Blue)</v>
      </c>
      <c r="H3566" s="19"/>
    </row>
    <row r="3567">
      <c r="A3567" s="9"/>
      <c r="B3567" s="15"/>
      <c r="C3567" s="9">
        <f>IFERROR(__xludf.DUMMYFUNCTION("""COMPUTED_VALUE"""),44568.3717681481)</f>
        <v>44568.37177</v>
      </c>
      <c r="D3567" s="15">
        <f>IFERROR(__xludf.DUMMYFUNCTION("""COMPUTED_VALUE"""),1.005)</f>
        <v>1.005</v>
      </c>
      <c r="E3567" s="16">
        <f>IFERROR(__xludf.DUMMYFUNCTION("""COMPUTED_VALUE"""),63.0)</f>
        <v>63</v>
      </c>
      <c r="F3567" s="19" t="str">
        <f>IFERROR(__xludf.DUMMYFUNCTION("""COMPUTED_VALUE"""),"BLUE")</f>
        <v>BLUE</v>
      </c>
      <c r="G3567" s="20" t="str">
        <f>IFERROR(__xludf.DUMMYFUNCTION("""COMPUTED_VALUE"""),"Uncle Sams Cider (11/12/2021) (Blue)")</f>
        <v>Uncle Sams Cider (11/12/2021) (Blue)</v>
      </c>
      <c r="H3567" s="19"/>
    </row>
    <row r="3568">
      <c r="A3568" s="9"/>
      <c r="B3568" s="15"/>
      <c r="C3568" s="9">
        <f>IFERROR(__xludf.DUMMYFUNCTION("""COMPUTED_VALUE"""),44568.3613472338)</f>
        <v>44568.36135</v>
      </c>
      <c r="D3568" s="15">
        <f>IFERROR(__xludf.DUMMYFUNCTION("""COMPUTED_VALUE"""),1.005)</f>
        <v>1.005</v>
      </c>
      <c r="E3568" s="16">
        <f>IFERROR(__xludf.DUMMYFUNCTION("""COMPUTED_VALUE"""),63.0)</f>
        <v>63</v>
      </c>
      <c r="F3568" s="19" t="str">
        <f>IFERROR(__xludf.DUMMYFUNCTION("""COMPUTED_VALUE"""),"BLUE")</f>
        <v>BLUE</v>
      </c>
      <c r="G3568" s="20" t="str">
        <f>IFERROR(__xludf.DUMMYFUNCTION("""COMPUTED_VALUE"""),"Uncle Sams Cider (11/12/2021) (Blue)")</f>
        <v>Uncle Sams Cider (11/12/2021) (Blue)</v>
      </c>
      <c r="H3568" s="19"/>
    </row>
    <row r="3569">
      <c r="A3569" s="9"/>
      <c r="B3569" s="15"/>
      <c r="C3569" s="9">
        <f>IFERROR(__xludf.DUMMYFUNCTION("""COMPUTED_VALUE"""),44568.3509260648)</f>
        <v>44568.35093</v>
      </c>
      <c r="D3569" s="15">
        <f>IFERROR(__xludf.DUMMYFUNCTION("""COMPUTED_VALUE"""),1.005)</f>
        <v>1.005</v>
      </c>
      <c r="E3569" s="16">
        <f>IFERROR(__xludf.DUMMYFUNCTION("""COMPUTED_VALUE"""),63.0)</f>
        <v>63</v>
      </c>
      <c r="F3569" s="19" t="str">
        <f>IFERROR(__xludf.DUMMYFUNCTION("""COMPUTED_VALUE"""),"BLUE")</f>
        <v>BLUE</v>
      </c>
      <c r="G3569" s="20" t="str">
        <f>IFERROR(__xludf.DUMMYFUNCTION("""COMPUTED_VALUE"""),"Uncle Sams Cider (11/12/2021) (Blue)")</f>
        <v>Uncle Sams Cider (11/12/2021) (Blue)</v>
      </c>
      <c r="H3569" s="19"/>
    </row>
    <row r="3570">
      <c r="A3570" s="9"/>
      <c r="B3570" s="15"/>
      <c r="C3570" s="9">
        <f>IFERROR(__xludf.DUMMYFUNCTION("""COMPUTED_VALUE"""),44568.3405051273)</f>
        <v>44568.34051</v>
      </c>
      <c r="D3570" s="15">
        <f>IFERROR(__xludf.DUMMYFUNCTION("""COMPUTED_VALUE"""),1.005)</f>
        <v>1.005</v>
      </c>
      <c r="E3570" s="16">
        <f>IFERROR(__xludf.DUMMYFUNCTION("""COMPUTED_VALUE"""),63.0)</f>
        <v>63</v>
      </c>
      <c r="F3570" s="19" t="str">
        <f>IFERROR(__xludf.DUMMYFUNCTION("""COMPUTED_VALUE"""),"BLUE")</f>
        <v>BLUE</v>
      </c>
      <c r="G3570" s="20" t="str">
        <f>IFERROR(__xludf.DUMMYFUNCTION("""COMPUTED_VALUE"""),"Uncle Sams Cider (11/12/2021) (Blue)")</f>
        <v>Uncle Sams Cider (11/12/2021) (Blue)</v>
      </c>
      <c r="H3570" s="19"/>
    </row>
    <row r="3571">
      <c r="A3571" s="9"/>
      <c r="B3571" s="15"/>
      <c r="C3571" s="9">
        <f>IFERROR(__xludf.DUMMYFUNCTION("""COMPUTED_VALUE"""),44568.3300719444)</f>
        <v>44568.33007</v>
      </c>
      <c r="D3571" s="15">
        <f>IFERROR(__xludf.DUMMYFUNCTION("""COMPUTED_VALUE"""),1.005)</f>
        <v>1.005</v>
      </c>
      <c r="E3571" s="16">
        <f>IFERROR(__xludf.DUMMYFUNCTION("""COMPUTED_VALUE"""),63.0)</f>
        <v>63</v>
      </c>
      <c r="F3571" s="19" t="str">
        <f>IFERROR(__xludf.DUMMYFUNCTION("""COMPUTED_VALUE"""),"BLUE")</f>
        <v>BLUE</v>
      </c>
      <c r="G3571" s="20" t="str">
        <f>IFERROR(__xludf.DUMMYFUNCTION("""COMPUTED_VALUE"""),"Uncle Sams Cider (11/12/2021) (Blue)")</f>
        <v>Uncle Sams Cider (11/12/2021) (Blue)</v>
      </c>
      <c r="H3571" s="19"/>
    </row>
    <row r="3572">
      <c r="A3572" s="9"/>
      <c r="B3572" s="15"/>
      <c r="C3572" s="9">
        <f>IFERROR(__xludf.DUMMYFUNCTION("""COMPUTED_VALUE"""),44568.3196501504)</f>
        <v>44568.31965</v>
      </c>
      <c r="D3572" s="15">
        <f>IFERROR(__xludf.DUMMYFUNCTION("""COMPUTED_VALUE"""),1.005)</f>
        <v>1.005</v>
      </c>
      <c r="E3572" s="16">
        <f>IFERROR(__xludf.DUMMYFUNCTION("""COMPUTED_VALUE"""),63.0)</f>
        <v>63</v>
      </c>
      <c r="F3572" s="19" t="str">
        <f>IFERROR(__xludf.DUMMYFUNCTION("""COMPUTED_VALUE"""),"BLUE")</f>
        <v>BLUE</v>
      </c>
      <c r="G3572" s="20" t="str">
        <f>IFERROR(__xludf.DUMMYFUNCTION("""COMPUTED_VALUE"""),"Uncle Sams Cider (11/12/2021) (Blue)")</f>
        <v>Uncle Sams Cider (11/12/2021) (Blue)</v>
      </c>
      <c r="H3572" s="19"/>
    </row>
    <row r="3573">
      <c r="A3573" s="9"/>
      <c r="B3573" s="15"/>
      <c r="C3573" s="9">
        <f>IFERROR(__xludf.DUMMYFUNCTION("""COMPUTED_VALUE"""),44568.3092281365)</f>
        <v>44568.30923</v>
      </c>
      <c r="D3573" s="15">
        <f>IFERROR(__xludf.DUMMYFUNCTION("""COMPUTED_VALUE"""),1.005)</f>
        <v>1.005</v>
      </c>
      <c r="E3573" s="16">
        <f>IFERROR(__xludf.DUMMYFUNCTION("""COMPUTED_VALUE"""),63.0)</f>
        <v>63</v>
      </c>
      <c r="F3573" s="19" t="str">
        <f>IFERROR(__xludf.DUMMYFUNCTION("""COMPUTED_VALUE"""),"BLUE")</f>
        <v>BLUE</v>
      </c>
      <c r="G3573" s="20" t="str">
        <f>IFERROR(__xludf.DUMMYFUNCTION("""COMPUTED_VALUE"""),"Uncle Sams Cider (11/12/2021) (Blue)")</f>
        <v>Uncle Sams Cider (11/12/2021) (Blue)</v>
      </c>
      <c r="H3573" s="19"/>
    </row>
    <row r="3574">
      <c r="A3574" s="9"/>
      <c r="B3574" s="15"/>
      <c r="C3574" s="9">
        <f>IFERROR(__xludf.DUMMYFUNCTION("""COMPUTED_VALUE"""),44568.2988064699)</f>
        <v>44568.29881</v>
      </c>
      <c r="D3574" s="15">
        <f>IFERROR(__xludf.DUMMYFUNCTION("""COMPUTED_VALUE"""),1.005)</f>
        <v>1.005</v>
      </c>
      <c r="E3574" s="16">
        <f>IFERROR(__xludf.DUMMYFUNCTION("""COMPUTED_VALUE"""),63.0)</f>
        <v>63</v>
      </c>
      <c r="F3574" s="19" t="str">
        <f>IFERROR(__xludf.DUMMYFUNCTION("""COMPUTED_VALUE"""),"BLUE")</f>
        <v>BLUE</v>
      </c>
      <c r="G3574" s="20" t="str">
        <f>IFERROR(__xludf.DUMMYFUNCTION("""COMPUTED_VALUE"""),"Uncle Sams Cider (11/12/2021) (Blue)")</f>
        <v>Uncle Sams Cider (11/12/2021) (Blue)</v>
      </c>
      <c r="H3574" s="19"/>
    </row>
    <row r="3575">
      <c r="A3575" s="9"/>
      <c r="B3575" s="15"/>
      <c r="C3575" s="9">
        <f>IFERROR(__xludf.DUMMYFUNCTION("""COMPUTED_VALUE"""),44568.2883842708)</f>
        <v>44568.28838</v>
      </c>
      <c r="D3575" s="15">
        <f>IFERROR(__xludf.DUMMYFUNCTION("""COMPUTED_VALUE"""),1.005)</f>
        <v>1.005</v>
      </c>
      <c r="E3575" s="16">
        <f>IFERROR(__xludf.DUMMYFUNCTION("""COMPUTED_VALUE"""),63.0)</f>
        <v>63</v>
      </c>
      <c r="F3575" s="19" t="str">
        <f>IFERROR(__xludf.DUMMYFUNCTION("""COMPUTED_VALUE"""),"BLUE")</f>
        <v>BLUE</v>
      </c>
      <c r="G3575" s="20" t="str">
        <f>IFERROR(__xludf.DUMMYFUNCTION("""COMPUTED_VALUE"""),"Uncle Sams Cider (11/12/2021) (Blue)")</f>
        <v>Uncle Sams Cider (11/12/2021) (Blue)</v>
      </c>
      <c r="H3575" s="19"/>
    </row>
    <row r="3576">
      <c r="A3576" s="9"/>
      <c r="B3576" s="15"/>
      <c r="C3576" s="9">
        <f>IFERROR(__xludf.DUMMYFUNCTION("""COMPUTED_VALUE"""),44568.2779621875)</f>
        <v>44568.27796</v>
      </c>
      <c r="D3576" s="15">
        <f>IFERROR(__xludf.DUMMYFUNCTION("""COMPUTED_VALUE"""),1.005)</f>
        <v>1.005</v>
      </c>
      <c r="E3576" s="16">
        <f>IFERROR(__xludf.DUMMYFUNCTION("""COMPUTED_VALUE"""),63.0)</f>
        <v>63</v>
      </c>
      <c r="F3576" s="19" t="str">
        <f>IFERROR(__xludf.DUMMYFUNCTION("""COMPUTED_VALUE"""),"BLUE")</f>
        <v>BLUE</v>
      </c>
      <c r="G3576" s="20" t="str">
        <f>IFERROR(__xludf.DUMMYFUNCTION("""COMPUTED_VALUE"""),"Uncle Sams Cider (11/12/2021) (Blue)")</f>
        <v>Uncle Sams Cider (11/12/2021) (Blue)</v>
      </c>
      <c r="H3576" s="19"/>
    </row>
    <row r="3577">
      <c r="A3577" s="9"/>
      <c r="B3577" s="15"/>
      <c r="C3577" s="9">
        <f>IFERROR(__xludf.DUMMYFUNCTION("""COMPUTED_VALUE"""),44568.267541412)</f>
        <v>44568.26754</v>
      </c>
      <c r="D3577" s="15">
        <f>IFERROR(__xludf.DUMMYFUNCTION("""COMPUTED_VALUE"""),1.005)</f>
        <v>1.005</v>
      </c>
      <c r="E3577" s="16">
        <f>IFERROR(__xludf.DUMMYFUNCTION("""COMPUTED_VALUE"""),63.0)</f>
        <v>63</v>
      </c>
      <c r="F3577" s="19" t="str">
        <f>IFERROR(__xludf.DUMMYFUNCTION("""COMPUTED_VALUE"""),"BLUE")</f>
        <v>BLUE</v>
      </c>
      <c r="G3577" s="20" t="str">
        <f>IFERROR(__xludf.DUMMYFUNCTION("""COMPUTED_VALUE"""),"Uncle Sams Cider (11/12/2021) (Blue)")</f>
        <v>Uncle Sams Cider (11/12/2021) (Blue)</v>
      </c>
      <c r="H3577" s="19"/>
    </row>
    <row r="3578">
      <c r="A3578" s="9"/>
      <c r="B3578" s="15"/>
      <c r="C3578" s="9">
        <f>IFERROR(__xludf.DUMMYFUNCTION("""COMPUTED_VALUE"""),44568.2571206944)</f>
        <v>44568.25712</v>
      </c>
      <c r="D3578" s="15">
        <f>IFERROR(__xludf.DUMMYFUNCTION("""COMPUTED_VALUE"""),1.005)</f>
        <v>1.005</v>
      </c>
      <c r="E3578" s="16">
        <f>IFERROR(__xludf.DUMMYFUNCTION("""COMPUTED_VALUE"""),63.0)</f>
        <v>63</v>
      </c>
      <c r="F3578" s="19" t="str">
        <f>IFERROR(__xludf.DUMMYFUNCTION("""COMPUTED_VALUE"""),"BLUE")</f>
        <v>BLUE</v>
      </c>
      <c r="G3578" s="20" t="str">
        <f>IFERROR(__xludf.DUMMYFUNCTION("""COMPUTED_VALUE"""),"Uncle Sams Cider (11/12/2021) (Blue)")</f>
        <v>Uncle Sams Cider (11/12/2021) (Blue)</v>
      </c>
      <c r="H3578" s="19"/>
    </row>
    <row r="3579">
      <c r="A3579" s="9"/>
      <c r="B3579" s="15"/>
      <c r="C3579" s="9">
        <f>IFERROR(__xludf.DUMMYFUNCTION("""COMPUTED_VALUE"""),44568.2466993287)</f>
        <v>44568.2467</v>
      </c>
      <c r="D3579" s="15">
        <f>IFERROR(__xludf.DUMMYFUNCTION("""COMPUTED_VALUE"""),1.005)</f>
        <v>1.005</v>
      </c>
      <c r="E3579" s="16">
        <f>IFERROR(__xludf.DUMMYFUNCTION("""COMPUTED_VALUE"""),63.0)</f>
        <v>63</v>
      </c>
      <c r="F3579" s="19" t="str">
        <f>IFERROR(__xludf.DUMMYFUNCTION("""COMPUTED_VALUE"""),"BLUE")</f>
        <v>BLUE</v>
      </c>
      <c r="G3579" s="20" t="str">
        <f>IFERROR(__xludf.DUMMYFUNCTION("""COMPUTED_VALUE"""),"Uncle Sams Cider (11/12/2021) (Blue)")</f>
        <v>Uncle Sams Cider (11/12/2021) (Blue)</v>
      </c>
      <c r="H3579" s="19"/>
    </row>
    <row r="3580">
      <c r="A3580" s="9"/>
      <c r="B3580" s="15"/>
      <c r="C3580" s="9">
        <f>IFERROR(__xludf.DUMMYFUNCTION("""COMPUTED_VALUE"""),44568.2362769213)</f>
        <v>44568.23628</v>
      </c>
      <c r="D3580" s="15">
        <f>IFERROR(__xludf.DUMMYFUNCTION("""COMPUTED_VALUE"""),1.005)</f>
        <v>1.005</v>
      </c>
      <c r="E3580" s="16">
        <f>IFERROR(__xludf.DUMMYFUNCTION("""COMPUTED_VALUE"""),63.0)</f>
        <v>63</v>
      </c>
      <c r="F3580" s="19" t="str">
        <f>IFERROR(__xludf.DUMMYFUNCTION("""COMPUTED_VALUE"""),"BLUE")</f>
        <v>BLUE</v>
      </c>
      <c r="G3580" s="20" t="str">
        <f>IFERROR(__xludf.DUMMYFUNCTION("""COMPUTED_VALUE"""),"Uncle Sams Cider (11/12/2021) (Blue)")</f>
        <v>Uncle Sams Cider (11/12/2021) (Blue)</v>
      </c>
      <c r="H3580" s="19"/>
    </row>
    <row r="3581">
      <c r="A3581" s="9"/>
      <c r="B3581" s="15"/>
      <c r="C3581" s="9">
        <f>IFERROR(__xludf.DUMMYFUNCTION("""COMPUTED_VALUE"""),44568.2258547337)</f>
        <v>44568.22585</v>
      </c>
      <c r="D3581" s="15">
        <f>IFERROR(__xludf.DUMMYFUNCTION("""COMPUTED_VALUE"""),1.005)</f>
        <v>1.005</v>
      </c>
      <c r="E3581" s="16">
        <f>IFERROR(__xludf.DUMMYFUNCTION("""COMPUTED_VALUE"""),63.0)</f>
        <v>63</v>
      </c>
      <c r="F3581" s="19" t="str">
        <f>IFERROR(__xludf.DUMMYFUNCTION("""COMPUTED_VALUE"""),"BLUE")</f>
        <v>BLUE</v>
      </c>
      <c r="G3581" s="20" t="str">
        <f>IFERROR(__xludf.DUMMYFUNCTION("""COMPUTED_VALUE"""),"Uncle Sams Cider (11/12/2021) (Blue)")</f>
        <v>Uncle Sams Cider (11/12/2021) (Blue)</v>
      </c>
      <c r="H3581" s="19"/>
    </row>
    <row r="3582">
      <c r="A3582" s="9"/>
      <c r="B3582" s="15"/>
      <c r="C3582" s="9">
        <f>IFERROR(__xludf.DUMMYFUNCTION("""COMPUTED_VALUE"""),44568.2154194791)</f>
        <v>44568.21542</v>
      </c>
      <c r="D3582" s="15">
        <f>IFERROR(__xludf.DUMMYFUNCTION("""COMPUTED_VALUE"""),1.005)</f>
        <v>1.005</v>
      </c>
      <c r="E3582" s="16">
        <f>IFERROR(__xludf.DUMMYFUNCTION("""COMPUTED_VALUE"""),63.0)</f>
        <v>63</v>
      </c>
      <c r="F3582" s="19" t="str">
        <f>IFERROR(__xludf.DUMMYFUNCTION("""COMPUTED_VALUE"""),"BLUE")</f>
        <v>BLUE</v>
      </c>
      <c r="G3582" s="20" t="str">
        <f>IFERROR(__xludf.DUMMYFUNCTION("""COMPUTED_VALUE"""),"Uncle Sams Cider (11/12/2021) (Blue)")</f>
        <v>Uncle Sams Cider (11/12/2021) (Blue)</v>
      </c>
      <c r="H3582" s="19"/>
    </row>
    <row r="3583">
      <c r="A3583" s="9"/>
      <c r="B3583" s="15"/>
      <c r="C3583" s="9">
        <f>IFERROR(__xludf.DUMMYFUNCTION("""COMPUTED_VALUE"""),44568.2049525)</f>
        <v>44568.20495</v>
      </c>
      <c r="D3583" s="15">
        <f>IFERROR(__xludf.DUMMYFUNCTION("""COMPUTED_VALUE"""),1.005)</f>
        <v>1.005</v>
      </c>
      <c r="E3583" s="16">
        <f>IFERROR(__xludf.DUMMYFUNCTION("""COMPUTED_VALUE"""),63.0)</f>
        <v>63</v>
      </c>
      <c r="F3583" s="19" t="str">
        <f>IFERROR(__xludf.DUMMYFUNCTION("""COMPUTED_VALUE"""),"BLUE")</f>
        <v>BLUE</v>
      </c>
      <c r="G3583" s="20" t="str">
        <f>IFERROR(__xludf.DUMMYFUNCTION("""COMPUTED_VALUE"""),"Uncle Sams Cider (11/12/2021) (Blue)")</f>
        <v>Uncle Sams Cider (11/12/2021) (Blue)</v>
      </c>
      <c r="H3583" s="19"/>
    </row>
    <row r="3584">
      <c r="A3584" s="9"/>
      <c r="B3584" s="15"/>
      <c r="C3584" s="9">
        <f>IFERROR(__xludf.DUMMYFUNCTION("""COMPUTED_VALUE"""),44568.1945318518)</f>
        <v>44568.19453</v>
      </c>
      <c r="D3584" s="15">
        <f>IFERROR(__xludf.DUMMYFUNCTION("""COMPUTED_VALUE"""),1.005)</f>
        <v>1.005</v>
      </c>
      <c r="E3584" s="16">
        <f>IFERROR(__xludf.DUMMYFUNCTION("""COMPUTED_VALUE"""),63.0)</f>
        <v>63</v>
      </c>
      <c r="F3584" s="19" t="str">
        <f>IFERROR(__xludf.DUMMYFUNCTION("""COMPUTED_VALUE"""),"BLUE")</f>
        <v>BLUE</v>
      </c>
      <c r="G3584" s="20" t="str">
        <f>IFERROR(__xludf.DUMMYFUNCTION("""COMPUTED_VALUE"""),"Uncle Sams Cider (11/12/2021) (Blue)")</f>
        <v>Uncle Sams Cider (11/12/2021) (Blue)</v>
      </c>
      <c r="H3584" s="19"/>
    </row>
    <row r="3585">
      <c r="A3585" s="9"/>
      <c r="B3585" s="15"/>
      <c r="C3585" s="9">
        <f>IFERROR(__xludf.DUMMYFUNCTION("""COMPUTED_VALUE"""),44568.1840989351)</f>
        <v>44568.1841</v>
      </c>
      <c r="D3585" s="15">
        <f>IFERROR(__xludf.DUMMYFUNCTION("""COMPUTED_VALUE"""),1.005)</f>
        <v>1.005</v>
      </c>
      <c r="E3585" s="16">
        <f>IFERROR(__xludf.DUMMYFUNCTION("""COMPUTED_VALUE"""),63.0)</f>
        <v>63</v>
      </c>
      <c r="F3585" s="19" t="str">
        <f>IFERROR(__xludf.DUMMYFUNCTION("""COMPUTED_VALUE"""),"BLUE")</f>
        <v>BLUE</v>
      </c>
      <c r="G3585" s="20" t="str">
        <f>IFERROR(__xludf.DUMMYFUNCTION("""COMPUTED_VALUE"""),"Uncle Sams Cider (11/12/2021) (Blue)")</f>
        <v>Uncle Sams Cider (11/12/2021) (Blue)</v>
      </c>
      <c r="H3585" s="19"/>
    </row>
    <row r="3586">
      <c r="A3586" s="9"/>
      <c r="B3586" s="15"/>
      <c r="C3586" s="9">
        <f>IFERROR(__xludf.DUMMYFUNCTION("""COMPUTED_VALUE"""),44568.1736774999)</f>
        <v>44568.17368</v>
      </c>
      <c r="D3586" s="15">
        <f>IFERROR(__xludf.DUMMYFUNCTION("""COMPUTED_VALUE"""),1.005)</f>
        <v>1.005</v>
      </c>
      <c r="E3586" s="16">
        <f>IFERROR(__xludf.DUMMYFUNCTION("""COMPUTED_VALUE"""),63.0)</f>
        <v>63</v>
      </c>
      <c r="F3586" s="19" t="str">
        <f>IFERROR(__xludf.DUMMYFUNCTION("""COMPUTED_VALUE"""),"BLUE")</f>
        <v>BLUE</v>
      </c>
      <c r="G3586" s="20" t="str">
        <f>IFERROR(__xludf.DUMMYFUNCTION("""COMPUTED_VALUE"""),"Uncle Sams Cider (11/12/2021) (Blue)")</f>
        <v>Uncle Sams Cider (11/12/2021) (Blue)</v>
      </c>
      <c r="H3586" s="19"/>
    </row>
    <row r="3587">
      <c r="A3587" s="9"/>
      <c r="B3587" s="15"/>
      <c r="C3587" s="9">
        <f>IFERROR(__xludf.DUMMYFUNCTION("""COMPUTED_VALUE"""),44568.1632540162)</f>
        <v>44568.16325</v>
      </c>
      <c r="D3587" s="15">
        <f>IFERROR(__xludf.DUMMYFUNCTION("""COMPUTED_VALUE"""),1.005)</f>
        <v>1.005</v>
      </c>
      <c r="E3587" s="16">
        <f>IFERROR(__xludf.DUMMYFUNCTION("""COMPUTED_VALUE"""),63.0)</f>
        <v>63</v>
      </c>
      <c r="F3587" s="19" t="str">
        <f>IFERROR(__xludf.DUMMYFUNCTION("""COMPUTED_VALUE"""),"BLUE")</f>
        <v>BLUE</v>
      </c>
      <c r="G3587" s="20" t="str">
        <f>IFERROR(__xludf.DUMMYFUNCTION("""COMPUTED_VALUE"""),"Uncle Sams Cider (11/12/2021) (Blue)")</f>
        <v>Uncle Sams Cider (11/12/2021) (Blue)</v>
      </c>
      <c r="H3587" s="19"/>
    </row>
    <row r="3588">
      <c r="A3588" s="9"/>
      <c r="B3588" s="15"/>
      <c r="C3588" s="9">
        <f>IFERROR(__xludf.DUMMYFUNCTION("""COMPUTED_VALUE"""),44568.1528201388)</f>
        <v>44568.15282</v>
      </c>
      <c r="D3588" s="15">
        <f>IFERROR(__xludf.DUMMYFUNCTION("""COMPUTED_VALUE"""),1.005)</f>
        <v>1.005</v>
      </c>
      <c r="E3588" s="16">
        <f>IFERROR(__xludf.DUMMYFUNCTION("""COMPUTED_VALUE"""),63.0)</f>
        <v>63</v>
      </c>
      <c r="F3588" s="19" t="str">
        <f>IFERROR(__xludf.DUMMYFUNCTION("""COMPUTED_VALUE"""),"BLUE")</f>
        <v>BLUE</v>
      </c>
      <c r="G3588" s="20" t="str">
        <f>IFERROR(__xludf.DUMMYFUNCTION("""COMPUTED_VALUE"""),"Uncle Sams Cider (11/12/2021) (Blue)")</f>
        <v>Uncle Sams Cider (11/12/2021) (Blue)</v>
      </c>
      <c r="H3588" s="19"/>
    </row>
    <row r="3589">
      <c r="A3589" s="9"/>
      <c r="B3589" s="15"/>
      <c r="C3589" s="9">
        <f>IFERROR(__xludf.DUMMYFUNCTION("""COMPUTED_VALUE"""),44568.1423979976)</f>
        <v>44568.1424</v>
      </c>
      <c r="D3589" s="15">
        <f>IFERROR(__xludf.DUMMYFUNCTION("""COMPUTED_VALUE"""),1.005)</f>
        <v>1.005</v>
      </c>
      <c r="E3589" s="16">
        <f>IFERROR(__xludf.DUMMYFUNCTION("""COMPUTED_VALUE"""),63.0)</f>
        <v>63</v>
      </c>
      <c r="F3589" s="19" t="str">
        <f>IFERROR(__xludf.DUMMYFUNCTION("""COMPUTED_VALUE"""),"BLUE")</f>
        <v>BLUE</v>
      </c>
      <c r="G3589" s="20" t="str">
        <f>IFERROR(__xludf.DUMMYFUNCTION("""COMPUTED_VALUE"""),"Uncle Sams Cider (11/12/2021) (Blue)")</f>
        <v>Uncle Sams Cider (11/12/2021) (Blue)</v>
      </c>
      <c r="H3589" s="19"/>
    </row>
    <row r="3590">
      <c r="A3590" s="9"/>
      <c r="B3590" s="15"/>
      <c r="C3590" s="9">
        <f>IFERROR(__xludf.DUMMYFUNCTION("""COMPUTED_VALUE"""),44568.1319663541)</f>
        <v>44568.13197</v>
      </c>
      <c r="D3590" s="15">
        <f>IFERROR(__xludf.DUMMYFUNCTION("""COMPUTED_VALUE"""),1.005)</f>
        <v>1.005</v>
      </c>
      <c r="E3590" s="16">
        <f>IFERROR(__xludf.DUMMYFUNCTION("""COMPUTED_VALUE"""),63.0)</f>
        <v>63</v>
      </c>
      <c r="F3590" s="19" t="str">
        <f>IFERROR(__xludf.DUMMYFUNCTION("""COMPUTED_VALUE"""),"BLUE")</f>
        <v>BLUE</v>
      </c>
      <c r="G3590" s="20" t="str">
        <f>IFERROR(__xludf.DUMMYFUNCTION("""COMPUTED_VALUE"""),"Uncle Sams Cider (11/12/2021) (Blue)")</f>
        <v>Uncle Sams Cider (11/12/2021) (Blue)</v>
      </c>
      <c r="H3590" s="19"/>
    </row>
    <row r="3591">
      <c r="A3591" s="9"/>
      <c r="B3591" s="15"/>
      <c r="C3591" s="9">
        <f>IFERROR(__xludf.DUMMYFUNCTION("""COMPUTED_VALUE"""),44568.121544537)</f>
        <v>44568.12154</v>
      </c>
      <c r="D3591" s="15">
        <f>IFERROR(__xludf.DUMMYFUNCTION("""COMPUTED_VALUE"""),1.005)</f>
        <v>1.005</v>
      </c>
      <c r="E3591" s="16">
        <f>IFERROR(__xludf.DUMMYFUNCTION("""COMPUTED_VALUE"""),63.0)</f>
        <v>63</v>
      </c>
      <c r="F3591" s="19" t="str">
        <f>IFERROR(__xludf.DUMMYFUNCTION("""COMPUTED_VALUE"""),"BLUE")</f>
        <v>BLUE</v>
      </c>
      <c r="G3591" s="20" t="str">
        <f>IFERROR(__xludf.DUMMYFUNCTION("""COMPUTED_VALUE"""),"Uncle Sams Cider (11/12/2021) (Blue)")</f>
        <v>Uncle Sams Cider (11/12/2021) (Blue)</v>
      </c>
      <c r="H3591" s="19"/>
    </row>
    <row r="3592">
      <c r="A3592" s="9"/>
      <c r="B3592" s="15"/>
      <c r="C3592" s="9">
        <f>IFERROR(__xludf.DUMMYFUNCTION("""COMPUTED_VALUE"""),44568.1111239699)</f>
        <v>44568.11112</v>
      </c>
      <c r="D3592" s="15">
        <f>IFERROR(__xludf.DUMMYFUNCTION("""COMPUTED_VALUE"""),1.005)</f>
        <v>1.005</v>
      </c>
      <c r="E3592" s="16">
        <f>IFERROR(__xludf.DUMMYFUNCTION("""COMPUTED_VALUE"""),63.0)</f>
        <v>63</v>
      </c>
      <c r="F3592" s="19" t="str">
        <f>IFERROR(__xludf.DUMMYFUNCTION("""COMPUTED_VALUE"""),"BLUE")</f>
        <v>BLUE</v>
      </c>
      <c r="G3592" s="20" t="str">
        <f>IFERROR(__xludf.DUMMYFUNCTION("""COMPUTED_VALUE"""),"Uncle Sams Cider (11/12/2021) (Blue)")</f>
        <v>Uncle Sams Cider (11/12/2021) (Blue)</v>
      </c>
      <c r="H3592" s="19"/>
    </row>
    <row r="3593">
      <c r="A3593" s="9"/>
      <c r="B3593" s="15"/>
      <c r="C3593" s="9">
        <f>IFERROR(__xludf.DUMMYFUNCTION("""COMPUTED_VALUE"""),44568.1006918865)</f>
        <v>44568.10069</v>
      </c>
      <c r="D3593" s="15">
        <f>IFERROR(__xludf.DUMMYFUNCTION("""COMPUTED_VALUE"""),1.005)</f>
        <v>1.005</v>
      </c>
      <c r="E3593" s="16">
        <f>IFERROR(__xludf.DUMMYFUNCTION("""COMPUTED_VALUE"""),64.0)</f>
        <v>64</v>
      </c>
      <c r="F3593" s="19" t="str">
        <f>IFERROR(__xludf.DUMMYFUNCTION("""COMPUTED_VALUE"""),"BLUE")</f>
        <v>BLUE</v>
      </c>
      <c r="G3593" s="20" t="str">
        <f>IFERROR(__xludf.DUMMYFUNCTION("""COMPUTED_VALUE"""),"Uncle Sams Cider (11/12/2021) (Blue)")</f>
        <v>Uncle Sams Cider (11/12/2021) (Blue)</v>
      </c>
      <c r="H3593" s="19"/>
    </row>
    <row r="3594">
      <c r="A3594" s="9"/>
      <c r="B3594" s="15"/>
      <c r="C3594" s="9">
        <f>IFERROR(__xludf.DUMMYFUNCTION("""COMPUTED_VALUE"""),44568.0902713425)</f>
        <v>44568.09027</v>
      </c>
      <c r="D3594" s="15">
        <f>IFERROR(__xludf.DUMMYFUNCTION("""COMPUTED_VALUE"""),1.005)</f>
        <v>1.005</v>
      </c>
      <c r="E3594" s="16">
        <f>IFERROR(__xludf.DUMMYFUNCTION("""COMPUTED_VALUE"""),63.0)</f>
        <v>63</v>
      </c>
      <c r="F3594" s="19" t="str">
        <f>IFERROR(__xludf.DUMMYFUNCTION("""COMPUTED_VALUE"""),"BLUE")</f>
        <v>BLUE</v>
      </c>
      <c r="G3594" s="20" t="str">
        <f>IFERROR(__xludf.DUMMYFUNCTION("""COMPUTED_VALUE"""),"Uncle Sams Cider (11/12/2021) (Blue)")</f>
        <v>Uncle Sams Cider (11/12/2021) (Blue)</v>
      </c>
      <c r="H3594" s="19"/>
    </row>
    <row r="3595">
      <c r="A3595" s="9"/>
      <c r="B3595" s="15"/>
      <c r="C3595" s="9">
        <f>IFERROR(__xludf.DUMMYFUNCTION("""COMPUTED_VALUE"""),44568.0798515277)</f>
        <v>44568.07985</v>
      </c>
      <c r="D3595" s="15">
        <f>IFERROR(__xludf.DUMMYFUNCTION("""COMPUTED_VALUE"""),1.005)</f>
        <v>1.005</v>
      </c>
      <c r="E3595" s="16">
        <f>IFERROR(__xludf.DUMMYFUNCTION("""COMPUTED_VALUE"""),64.0)</f>
        <v>64</v>
      </c>
      <c r="F3595" s="19" t="str">
        <f>IFERROR(__xludf.DUMMYFUNCTION("""COMPUTED_VALUE"""),"BLUE")</f>
        <v>BLUE</v>
      </c>
      <c r="G3595" s="20" t="str">
        <f>IFERROR(__xludf.DUMMYFUNCTION("""COMPUTED_VALUE"""),"Uncle Sams Cider (11/12/2021) (Blue)")</f>
        <v>Uncle Sams Cider (11/12/2021) (Blue)</v>
      </c>
      <c r="H3595" s="19"/>
    </row>
    <row r="3596">
      <c r="A3596" s="9"/>
      <c r="B3596" s="15"/>
      <c r="C3596" s="9">
        <f>IFERROR(__xludf.DUMMYFUNCTION("""COMPUTED_VALUE"""),44568.0694304745)</f>
        <v>44568.06943</v>
      </c>
      <c r="D3596" s="15">
        <f>IFERROR(__xludf.DUMMYFUNCTION("""COMPUTED_VALUE"""),1.005)</f>
        <v>1.005</v>
      </c>
      <c r="E3596" s="16">
        <f>IFERROR(__xludf.DUMMYFUNCTION("""COMPUTED_VALUE"""),64.0)</f>
        <v>64</v>
      </c>
      <c r="F3596" s="19" t="str">
        <f>IFERROR(__xludf.DUMMYFUNCTION("""COMPUTED_VALUE"""),"BLUE")</f>
        <v>BLUE</v>
      </c>
      <c r="G3596" s="20" t="str">
        <f>IFERROR(__xludf.DUMMYFUNCTION("""COMPUTED_VALUE"""),"Uncle Sams Cider (11/12/2021) (Blue)")</f>
        <v>Uncle Sams Cider (11/12/2021) (Blue)</v>
      </c>
      <c r="H3596" s="19"/>
    </row>
    <row r="3597">
      <c r="A3597" s="9"/>
      <c r="B3597" s="15"/>
      <c r="C3597" s="9">
        <f>IFERROR(__xludf.DUMMYFUNCTION("""COMPUTED_VALUE"""),44568.0590084838)</f>
        <v>44568.05901</v>
      </c>
      <c r="D3597" s="15">
        <f>IFERROR(__xludf.DUMMYFUNCTION("""COMPUTED_VALUE"""),1.005)</f>
        <v>1.005</v>
      </c>
      <c r="E3597" s="16">
        <f>IFERROR(__xludf.DUMMYFUNCTION("""COMPUTED_VALUE"""),64.0)</f>
        <v>64</v>
      </c>
      <c r="F3597" s="19" t="str">
        <f>IFERROR(__xludf.DUMMYFUNCTION("""COMPUTED_VALUE"""),"BLUE")</f>
        <v>BLUE</v>
      </c>
      <c r="G3597" s="20" t="str">
        <f>IFERROR(__xludf.DUMMYFUNCTION("""COMPUTED_VALUE"""),"Uncle Sams Cider (11/12/2021) (Blue)")</f>
        <v>Uncle Sams Cider (11/12/2021) (Blue)</v>
      </c>
      <c r="H3597" s="19"/>
    </row>
    <row r="3598">
      <c r="A3598" s="9"/>
      <c r="B3598" s="15"/>
      <c r="C3598" s="9">
        <f>IFERROR(__xludf.DUMMYFUNCTION("""COMPUTED_VALUE"""),44568.0485749652)</f>
        <v>44568.04857</v>
      </c>
      <c r="D3598" s="15">
        <f>IFERROR(__xludf.DUMMYFUNCTION("""COMPUTED_VALUE"""),1.005)</f>
        <v>1.005</v>
      </c>
      <c r="E3598" s="16">
        <f>IFERROR(__xludf.DUMMYFUNCTION("""COMPUTED_VALUE"""),64.0)</f>
        <v>64</v>
      </c>
      <c r="F3598" s="19" t="str">
        <f>IFERROR(__xludf.DUMMYFUNCTION("""COMPUTED_VALUE"""),"BLUE")</f>
        <v>BLUE</v>
      </c>
      <c r="G3598" s="20" t="str">
        <f>IFERROR(__xludf.DUMMYFUNCTION("""COMPUTED_VALUE"""),"Uncle Sams Cider (11/12/2021) (Blue)")</f>
        <v>Uncle Sams Cider (11/12/2021) (Blue)</v>
      </c>
      <c r="H3598" s="19"/>
    </row>
    <row r="3599">
      <c r="A3599" s="9"/>
      <c r="B3599" s="15"/>
      <c r="C3599" s="9">
        <f>IFERROR(__xludf.DUMMYFUNCTION("""COMPUTED_VALUE"""),44568.0381555208)</f>
        <v>44568.03816</v>
      </c>
      <c r="D3599" s="15">
        <f>IFERROR(__xludf.DUMMYFUNCTION("""COMPUTED_VALUE"""),1.005)</f>
        <v>1.005</v>
      </c>
      <c r="E3599" s="16">
        <f>IFERROR(__xludf.DUMMYFUNCTION("""COMPUTED_VALUE"""),64.0)</f>
        <v>64</v>
      </c>
      <c r="F3599" s="19" t="str">
        <f>IFERROR(__xludf.DUMMYFUNCTION("""COMPUTED_VALUE"""),"BLUE")</f>
        <v>BLUE</v>
      </c>
      <c r="G3599" s="20" t="str">
        <f>IFERROR(__xludf.DUMMYFUNCTION("""COMPUTED_VALUE"""),"Uncle Sams Cider (11/12/2021) (Blue)")</f>
        <v>Uncle Sams Cider (11/12/2021) (Blue)</v>
      </c>
      <c r="H3599" s="19"/>
    </row>
    <row r="3600">
      <c r="A3600" s="9"/>
      <c r="B3600" s="15"/>
      <c r="C3600" s="9">
        <f>IFERROR(__xludf.DUMMYFUNCTION("""COMPUTED_VALUE"""),44568.0277243287)</f>
        <v>44568.02772</v>
      </c>
      <c r="D3600" s="15">
        <f>IFERROR(__xludf.DUMMYFUNCTION("""COMPUTED_VALUE"""),1.005)</f>
        <v>1.005</v>
      </c>
      <c r="E3600" s="16">
        <f>IFERROR(__xludf.DUMMYFUNCTION("""COMPUTED_VALUE"""),64.0)</f>
        <v>64</v>
      </c>
      <c r="F3600" s="19" t="str">
        <f>IFERROR(__xludf.DUMMYFUNCTION("""COMPUTED_VALUE"""),"BLUE")</f>
        <v>BLUE</v>
      </c>
      <c r="G3600" s="20" t="str">
        <f>IFERROR(__xludf.DUMMYFUNCTION("""COMPUTED_VALUE"""),"Uncle Sams Cider (11/12/2021) (Blue)")</f>
        <v>Uncle Sams Cider (11/12/2021) (Blue)</v>
      </c>
      <c r="H3600" s="19"/>
    </row>
    <row r="3601">
      <c r="A3601" s="9"/>
      <c r="B3601" s="15"/>
      <c r="C3601" s="9">
        <f>IFERROR(__xludf.DUMMYFUNCTION("""COMPUTED_VALUE"""),44568.0173024305)</f>
        <v>44568.0173</v>
      </c>
      <c r="D3601" s="15">
        <f>IFERROR(__xludf.DUMMYFUNCTION("""COMPUTED_VALUE"""),1.005)</f>
        <v>1.005</v>
      </c>
      <c r="E3601" s="16">
        <f>IFERROR(__xludf.DUMMYFUNCTION("""COMPUTED_VALUE"""),64.0)</f>
        <v>64</v>
      </c>
      <c r="F3601" s="19" t="str">
        <f>IFERROR(__xludf.DUMMYFUNCTION("""COMPUTED_VALUE"""),"BLUE")</f>
        <v>BLUE</v>
      </c>
      <c r="G3601" s="20" t="str">
        <f>IFERROR(__xludf.DUMMYFUNCTION("""COMPUTED_VALUE"""),"Uncle Sams Cider (11/12/2021) (Blue)")</f>
        <v>Uncle Sams Cider (11/12/2021) (Blue)</v>
      </c>
      <c r="H3601" s="19"/>
    </row>
    <row r="3602">
      <c r="A3602" s="9"/>
      <c r="B3602" s="15"/>
      <c r="C3602" s="9">
        <f>IFERROR(__xludf.DUMMYFUNCTION("""COMPUTED_VALUE"""),44568.0068691087)</f>
        <v>44568.00687</v>
      </c>
      <c r="D3602" s="15">
        <f>IFERROR(__xludf.DUMMYFUNCTION("""COMPUTED_VALUE"""),1.005)</f>
        <v>1.005</v>
      </c>
      <c r="E3602" s="16">
        <f>IFERROR(__xludf.DUMMYFUNCTION("""COMPUTED_VALUE"""),64.0)</f>
        <v>64</v>
      </c>
      <c r="F3602" s="19" t="str">
        <f>IFERROR(__xludf.DUMMYFUNCTION("""COMPUTED_VALUE"""),"BLUE")</f>
        <v>BLUE</v>
      </c>
      <c r="G3602" s="20" t="str">
        <f>IFERROR(__xludf.DUMMYFUNCTION("""COMPUTED_VALUE"""),"Uncle Sams Cider (11/12/2021) (Blue)")</f>
        <v>Uncle Sams Cider (11/12/2021) (Blue)</v>
      </c>
      <c r="H3602" s="19"/>
    </row>
    <row r="3603">
      <c r="A3603" s="9"/>
      <c r="B3603" s="15"/>
      <c r="C3603" s="9">
        <f>IFERROR(__xludf.DUMMYFUNCTION("""COMPUTED_VALUE"""),44567.9964475463)</f>
        <v>44567.99645</v>
      </c>
      <c r="D3603" s="15">
        <f>IFERROR(__xludf.DUMMYFUNCTION("""COMPUTED_VALUE"""),1.005)</f>
        <v>1.005</v>
      </c>
      <c r="E3603" s="16">
        <f>IFERROR(__xludf.DUMMYFUNCTION("""COMPUTED_VALUE"""),64.0)</f>
        <v>64</v>
      </c>
      <c r="F3603" s="19" t="str">
        <f>IFERROR(__xludf.DUMMYFUNCTION("""COMPUTED_VALUE"""),"BLUE")</f>
        <v>BLUE</v>
      </c>
      <c r="G3603" s="20" t="str">
        <f>IFERROR(__xludf.DUMMYFUNCTION("""COMPUTED_VALUE"""),"Uncle Sams Cider (11/12/2021) (Blue)")</f>
        <v>Uncle Sams Cider (11/12/2021) (Blue)</v>
      </c>
      <c r="H3603" s="19"/>
    </row>
    <row r="3604">
      <c r="A3604" s="9"/>
      <c r="B3604" s="15"/>
      <c r="C3604" s="9">
        <f>IFERROR(__xludf.DUMMYFUNCTION("""COMPUTED_VALUE"""),44567.9860266087)</f>
        <v>44567.98603</v>
      </c>
      <c r="D3604" s="15">
        <f>IFERROR(__xludf.DUMMYFUNCTION("""COMPUTED_VALUE"""),1.005)</f>
        <v>1.005</v>
      </c>
      <c r="E3604" s="16">
        <f>IFERROR(__xludf.DUMMYFUNCTION("""COMPUTED_VALUE"""),64.0)</f>
        <v>64</v>
      </c>
      <c r="F3604" s="19" t="str">
        <f>IFERROR(__xludf.DUMMYFUNCTION("""COMPUTED_VALUE"""),"BLUE")</f>
        <v>BLUE</v>
      </c>
      <c r="G3604" s="20" t="str">
        <f>IFERROR(__xludf.DUMMYFUNCTION("""COMPUTED_VALUE"""),"Uncle Sams Cider (11/12/2021) (Blue)")</f>
        <v>Uncle Sams Cider (11/12/2021) (Blue)</v>
      </c>
      <c r="H3604" s="19"/>
    </row>
    <row r="3605">
      <c r="A3605" s="9"/>
      <c r="B3605" s="15"/>
      <c r="C3605" s="9">
        <f>IFERROR(__xludf.DUMMYFUNCTION("""COMPUTED_VALUE"""),44567.9756045023)</f>
        <v>44567.9756</v>
      </c>
      <c r="D3605" s="15">
        <f>IFERROR(__xludf.DUMMYFUNCTION("""COMPUTED_VALUE"""),1.005)</f>
        <v>1.005</v>
      </c>
      <c r="E3605" s="16">
        <f>IFERROR(__xludf.DUMMYFUNCTION("""COMPUTED_VALUE"""),64.0)</f>
        <v>64</v>
      </c>
      <c r="F3605" s="19" t="str">
        <f>IFERROR(__xludf.DUMMYFUNCTION("""COMPUTED_VALUE"""),"BLUE")</f>
        <v>BLUE</v>
      </c>
      <c r="G3605" s="20" t="str">
        <f>IFERROR(__xludf.DUMMYFUNCTION("""COMPUTED_VALUE"""),"Uncle Sams Cider (11/12/2021) (Blue)")</f>
        <v>Uncle Sams Cider (11/12/2021) (Blue)</v>
      </c>
      <c r="H3605" s="19"/>
    </row>
    <row r="3606">
      <c r="A3606" s="9"/>
      <c r="B3606" s="15"/>
      <c r="C3606" s="9">
        <f>IFERROR(__xludf.DUMMYFUNCTION("""COMPUTED_VALUE"""),44567.9651831481)</f>
        <v>44567.96518</v>
      </c>
      <c r="D3606" s="15">
        <f>IFERROR(__xludf.DUMMYFUNCTION("""COMPUTED_VALUE"""),1.005)</f>
        <v>1.005</v>
      </c>
      <c r="E3606" s="16">
        <f>IFERROR(__xludf.DUMMYFUNCTION("""COMPUTED_VALUE"""),64.0)</f>
        <v>64</v>
      </c>
      <c r="F3606" s="19" t="str">
        <f>IFERROR(__xludf.DUMMYFUNCTION("""COMPUTED_VALUE"""),"BLUE")</f>
        <v>BLUE</v>
      </c>
      <c r="G3606" s="20" t="str">
        <f>IFERROR(__xludf.DUMMYFUNCTION("""COMPUTED_VALUE"""),"Uncle Sams Cider (11/12/2021) (Blue)")</f>
        <v>Uncle Sams Cider (11/12/2021) (Blue)</v>
      </c>
      <c r="H3606" s="19"/>
    </row>
    <row r="3607">
      <c r="A3607" s="9"/>
      <c r="B3607" s="15"/>
      <c r="C3607" s="9">
        <f>IFERROR(__xludf.DUMMYFUNCTION("""COMPUTED_VALUE"""),44567.9547627546)</f>
        <v>44567.95476</v>
      </c>
      <c r="D3607" s="15">
        <f>IFERROR(__xludf.DUMMYFUNCTION("""COMPUTED_VALUE"""),1.005)</f>
        <v>1.005</v>
      </c>
      <c r="E3607" s="16">
        <f>IFERROR(__xludf.DUMMYFUNCTION("""COMPUTED_VALUE"""),64.0)</f>
        <v>64</v>
      </c>
      <c r="F3607" s="19" t="str">
        <f>IFERROR(__xludf.DUMMYFUNCTION("""COMPUTED_VALUE"""),"BLUE")</f>
        <v>BLUE</v>
      </c>
      <c r="G3607" s="20" t="str">
        <f>IFERROR(__xludf.DUMMYFUNCTION("""COMPUTED_VALUE"""),"Uncle Sams Cider (11/12/2021) (Blue)")</f>
        <v>Uncle Sams Cider (11/12/2021) (Blue)</v>
      </c>
      <c r="H3607" s="19"/>
    </row>
    <row r="3608">
      <c r="A3608" s="9"/>
      <c r="B3608" s="15"/>
      <c r="C3608" s="9">
        <f>IFERROR(__xludf.DUMMYFUNCTION("""COMPUTED_VALUE"""),44567.944341412)</f>
        <v>44567.94434</v>
      </c>
      <c r="D3608" s="15">
        <f>IFERROR(__xludf.DUMMYFUNCTION("""COMPUTED_VALUE"""),1.005)</f>
        <v>1.005</v>
      </c>
      <c r="E3608" s="16">
        <f>IFERROR(__xludf.DUMMYFUNCTION("""COMPUTED_VALUE"""),64.0)</f>
        <v>64</v>
      </c>
      <c r="F3608" s="19" t="str">
        <f>IFERROR(__xludf.DUMMYFUNCTION("""COMPUTED_VALUE"""),"BLUE")</f>
        <v>BLUE</v>
      </c>
      <c r="G3608" s="20" t="str">
        <f>IFERROR(__xludf.DUMMYFUNCTION("""COMPUTED_VALUE"""),"Uncle Sams Cider (11/12/2021) (Blue)")</f>
        <v>Uncle Sams Cider (11/12/2021) (Blue)</v>
      </c>
      <c r="H3608" s="19"/>
    </row>
    <row r="3609">
      <c r="A3609" s="9"/>
      <c r="B3609" s="15"/>
      <c r="C3609" s="9">
        <f>IFERROR(__xludf.DUMMYFUNCTION("""COMPUTED_VALUE"""),44567.9339221875)</f>
        <v>44567.93392</v>
      </c>
      <c r="D3609" s="15">
        <f>IFERROR(__xludf.DUMMYFUNCTION("""COMPUTED_VALUE"""),1.005)</f>
        <v>1.005</v>
      </c>
      <c r="E3609" s="16">
        <f>IFERROR(__xludf.DUMMYFUNCTION("""COMPUTED_VALUE"""),64.0)</f>
        <v>64</v>
      </c>
      <c r="F3609" s="19" t="str">
        <f>IFERROR(__xludf.DUMMYFUNCTION("""COMPUTED_VALUE"""),"BLUE")</f>
        <v>BLUE</v>
      </c>
      <c r="G3609" s="20" t="str">
        <f>IFERROR(__xludf.DUMMYFUNCTION("""COMPUTED_VALUE"""),"Uncle Sams Cider (11/12/2021) (Blue)")</f>
        <v>Uncle Sams Cider (11/12/2021) (Blue)</v>
      </c>
      <c r="H3609" s="19"/>
    </row>
    <row r="3610">
      <c r="A3610" s="9"/>
      <c r="B3610" s="15"/>
      <c r="C3610" s="9">
        <f>IFERROR(__xludf.DUMMYFUNCTION("""COMPUTED_VALUE"""),44567.9234998611)</f>
        <v>44567.9235</v>
      </c>
      <c r="D3610" s="15">
        <f>IFERROR(__xludf.DUMMYFUNCTION("""COMPUTED_VALUE"""),1.005)</f>
        <v>1.005</v>
      </c>
      <c r="E3610" s="16">
        <f>IFERROR(__xludf.DUMMYFUNCTION("""COMPUTED_VALUE"""),64.0)</f>
        <v>64</v>
      </c>
      <c r="F3610" s="19" t="str">
        <f>IFERROR(__xludf.DUMMYFUNCTION("""COMPUTED_VALUE"""),"BLUE")</f>
        <v>BLUE</v>
      </c>
      <c r="G3610" s="20" t="str">
        <f>IFERROR(__xludf.DUMMYFUNCTION("""COMPUTED_VALUE"""),"Uncle Sams Cider (11/12/2021) (Blue)")</f>
        <v>Uncle Sams Cider (11/12/2021) (Blue)</v>
      </c>
      <c r="H3610" s="19"/>
    </row>
    <row r="3611">
      <c r="A3611" s="9"/>
      <c r="B3611" s="15"/>
      <c r="C3611" s="9">
        <f>IFERROR(__xludf.DUMMYFUNCTION("""COMPUTED_VALUE"""),44567.9130779629)</f>
        <v>44567.91308</v>
      </c>
      <c r="D3611" s="15">
        <f>IFERROR(__xludf.DUMMYFUNCTION("""COMPUTED_VALUE"""),1.005)</f>
        <v>1.005</v>
      </c>
      <c r="E3611" s="16">
        <f>IFERROR(__xludf.DUMMYFUNCTION("""COMPUTED_VALUE"""),64.0)</f>
        <v>64</v>
      </c>
      <c r="F3611" s="19" t="str">
        <f>IFERROR(__xludf.DUMMYFUNCTION("""COMPUTED_VALUE"""),"BLUE")</f>
        <v>BLUE</v>
      </c>
      <c r="G3611" s="20" t="str">
        <f>IFERROR(__xludf.DUMMYFUNCTION("""COMPUTED_VALUE"""),"Uncle Sams Cider (11/12/2021) (Blue)")</f>
        <v>Uncle Sams Cider (11/12/2021) (Blue)</v>
      </c>
      <c r="H3611" s="19"/>
    </row>
    <row r="3612">
      <c r="A3612" s="9"/>
      <c r="B3612" s="15"/>
      <c r="C3612" s="9">
        <f>IFERROR(__xludf.DUMMYFUNCTION("""COMPUTED_VALUE"""),44567.9026570486)</f>
        <v>44567.90266</v>
      </c>
      <c r="D3612" s="15">
        <f>IFERROR(__xludf.DUMMYFUNCTION("""COMPUTED_VALUE"""),1.005)</f>
        <v>1.005</v>
      </c>
      <c r="E3612" s="16">
        <f>IFERROR(__xludf.DUMMYFUNCTION("""COMPUTED_VALUE"""),64.0)</f>
        <v>64</v>
      </c>
      <c r="F3612" s="19" t="str">
        <f>IFERROR(__xludf.DUMMYFUNCTION("""COMPUTED_VALUE"""),"BLUE")</f>
        <v>BLUE</v>
      </c>
      <c r="G3612" s="20" t="str">
        <f>IFERROR(__xludf.DUMMYFUNCTION("""COMPUTED_VALUE"""),"Uncle Sams Cider (11/12/2021) (Blue)")</f>
        <v>Uncle Sams Cider (11/12/2021) (Blue)</v>
      </c>
      <c r="H3612" s="19"/>
    </row>
    <row r="3613">
      <c r="A3613" s="9"/>
      <c r="B3613" s="15"/>
      <c r="C3613" s="9">
        <f>IFERROR(__xludf.DUMMYFUNCTION("""COMPUTED_VALUE"""),44567.8922367245)</f>
        <v>44567.89224</v>
      </c>
      <c r="D3613" s="15">
        <f>IFERROR(__xludf.DUMMYFUNCTION("""COMPUTED_VALUE"""),1.005)</f>
        <v>1.005</v>
      </c>
      <c r="E3613" s="16">
        <f>IFERROR(__xludf.DUMMYFUNCTION("""COMPUTED_VALUE"""),64.0)</f>
        <v>64</v>
      </c>
      <c r="F3613" s="19" t="str">
        <f>IFERROR(__xludf.DUMMYFUNCTION("""COMPUTED_VALUE"""),"BLUE")</f>
        <v>BLUE</v>
      </c>
      <c r="G3613" s="20" t="str">
        <f>IFERROR(__xludf.DUMMYFUNCTION("""COMPUTED_VALUE"""),"Uncle Sams Cider (11/12/2021) (Blue)")</f>
        <v>Uncle Sams Cider (11/12/2021) (Blue)</v>
      </c>
      <c r="H3613" s="19"/>
    </row>
    <row r="3614">
      <c r="A3614" s="9"/>
      <c r="B3614" s="15"/>
      <c r="C3614" s="9">
        <f>IFERROR(__xludf.DUMMYFUNCTION("""COMPUTED_VALUE"""),44567.8817908912)</f>
        <v>44567.88179</v>
      </c>
      <c r="D3614" s="15">
        <f>IFERROR(__xludf.DUMMYFUNCTION("""COMPUTED_VALUE"""),1.005)</f>
        <v>1.005</v>
      </c>
      <c r="E3614" s="16">
        <f>IFERROR(__xludf.DUMMYFUNCTION("""COMPUTED_VALUE"""),64.0)</f>
        <v>64</v>
      </c>
      <c r="F3614" s="19" t="str">
        <f>IFERROR(__xludf.DUMMYFUNCTION("""COMPUTED_VALUE"""),"BLUE")</f>
        <v>BLUE</v>
      </c>
      <c r="G3614" s="20" t="str">
        <f>IFERROR(__xludf.DUMMYFUNCTION("""COMPUTED_VALUE"""),"Uncle Sams Cider (11/12/2021) (Blue)")</f>
        <v>Uncle Sams Cider (11/12/2021) (Blue)</v>
      </c>
      <c r="H3614" s="19"/>
    </row>
    <row r="3615">
      <c r="A3615" s="9"/>
      <c r="B3615" s="15"/>
      <c r="C3615" s="9">
        <f>IFERROR(__xludf.DUMMYFUNCTION("""COMPUTED_VALUE"""),44567.8713678125)</f>
        <v>44567.87137</v>
      </c>
      <c r="D3615" s="15">
        <f>IFERROR(__xludf.DUMMYFUNCTION("""COMPUTED_VALUE"""),1.005)</f>
        <v>1.005</v>
      </c>
      <c r="E3615" s="16">
        <f>IFERROR(__xludf.DUMMYFUNCTION("""COMPUTED_VALUE"""),64.0)</f>
        <v>64</v>
      </c>
      <c r="F3615" s="19" t="str">
        <f>IFERROR(__xludf.DUMMYFUNCTION("""COMPUTED_VALUE"""),"BLUE")</f>
        <v>BLUE</v>
      </c>
      <c r="G3615" s="20" t="str">
        <f>IFERROR(__xludf.DUMMYFUNCTION("""COMPUTED_VALUE"""),"Uncle Sams Cider (11/12/2021) (Blue)")</f>
        <v>Uncle Sams Cider (11/12/2021) (Blue)</v>
      </c>
      <c r="H3615" s="19"/>
    </row>
    <row r="3616">
      <c r="A3616" s="9"/>
      <c r="B3616" s="15"/>
      <c r="C3616" s="9">
        <f>IFERROR(__xludf.DUMMYFUNCTION("""COMPUTED_VALUE"""),44567.8609451504)</f>
        <v>44567.86095</v>
      </c>
      <c r="D3616" s="15">
        <f>IFERROR(__xludf.DUMMYFUNCTION("""COMPUTED_VALUE"""),1.005)</f>
        <v>1.005</v>
      </c>
      <c r="E3616" s="16">
        <f>IFERROR(__xludf.DUMMYFUNCTION("""COMPUTED_VALUE"""),64.0)</f>
        <v>64</v>
      </c>
      <c r="F3616" s="19" t="str">
        <f>IFERROR(__xludf.DUMMYFUNCTION("""COMPUTED_VALUE"""),"BLUE")</f>
        <v>BLUE</v>
      </c>
      <c r="G3616" s="20" t="str">
        <f>IFERROR(__xludf.DUMMYFUNCTION("""COMPUTED_VALUE"""),"Uncle Sams Cider (11/12/2021) (Blue)")</f>
        <v>Uncle Sams Cider (11/12/2021) (Blue)</v>
      </c>
      <c r="H3616" s="19"/>
    </row>
    <row r="3617">
      <c r="A3617" s="9"/>
      <c r="B3617" s="15"/>
      <c r="C3617" s="9">
        <f>IFERROR(__xludf.DUMMYFUNCTION("""COMPUTED_VALUE"""),44567.8505225462)</f>
        <v>44567.85052</v>
      </c>
      <c r="D3617" s="15">
        <f>IFERROR(__xludf.DUMMYFUNCTION("""COMPUTED_VALUE"""),1.005)</f>
        <v>1.005</v>
      </c>
      <c r="E3617" s="16">
        <f>IFERROR(__xludf.DUMMYFUNCTION("""COMPUTED_VALUE"""),64.0)</f>
        <v>64</v>
      </c>
      <c r="F3617" s="19" t="str">
        <f>IFERROR(__xludf.DUMMYFUNCTION("""COMPUTED_VALUE"""),"BLUE")</f>
        <v>BLUE</v>
      </c>
      <c r="G3617" s="20" t="str">
        <f>IFERROR(__xludf.DUMMYFUNCTION("""COMPUTED_VALUE"""),"Uncle Sams Cider (11/12/2021) (Blue)")</f>
        <v>Uncle Sams Cider (11/12/2021) (Blue)</v>
      </c>
      <c r="H3617" s="19"/>
    </row>
    <row r="3618">
      <c r="A3618" s="9"/>
      <c r="B3618" s="15"/>
      <c r="C3618" s="9">
        <f>IFERROR(__xludf.DUMMYFUNCTION("""COMPUTED_VALUE"""),44567.8400992592)</f>
        <v>44567.8401</v>
      </c>
      <c r="D3618" s="15">
        <f>IFERROR(__xludf.DUMMYFUNCTION("""COMPUTED_VALUE"""),1.005)</f>
        <v>1.005</v>
      </c>
      <c r="E3618" s="16">
        <f>IFERROR(__xludf.DUMMYFUNCTION("""COMPUTED_VALUE"""),64.0)</f>
        <v>64</v>
      </c>
      <c r="F3618" s="19" t="str">
        <f>IFERROR(__xludf.DUMMYFUNCTION("""COMPUTED_VALUE"""),"BLUE")</f>
        <v>BLUE</v>
      </c>
      <c r="G3618" s="20" t="str">
        <f>IFERROR(__xludf.DUMMYFUNCTION("""COMPUTED_VALUE"""),"Uncle Sams Cider (11/12/2021) (Blue)")</f>
        <v>Uncle Sams Cider (11/12/2021) (Blue)</v>
      </c>
      <c r="H3618" s="19"/>
    </row>
    <row r="3619">
      <c r="A3619" s="9"/>
      <c r="B3619" s="15"/>
      <c r="C3619" s="9">
        <f>IFERROR(__xludf.DUMMYFUNCTION("""COMPUTED_VALUE"""),44567.8296786805)</f>
        <v>44567.82968</v>
      </c>
      <c r="D3619" s="15">
        <f>IFERROR(__xludf.DUMMYFUNCTION("""COMPUTED_VALUE"""),1.005)</f>
        <v>1.005</v>
      </c>
      <c r="E3619" s="16">
        <f>IFERROR(__xludf.DUMMYFUNCTION("""COMPUTED_VALUE"""),64.0)</f>
        <v>64</v>
      </c>
      <c r="F3619" s="19" t="str">
        <f>IFERROR(__xludf.DUMMYFUNCTION("""COMPUTED_VALUE"""),"BLUE")</f>
        <v>BLUE</v>
      </c>
      <c r="G3619" s="20" t="str">
        <f>IFERROR(__xludf.DUMMYFUNCTION("""COMPUTED_VALUE"""),"Uncle Sams Cider (11/12/2021) (Blue)")</f>
        <v>Uncle Sams Cider (11/12/2021) (Blue)</v>
      </c>
      <c r="H3619" s="19"/>
    </row>
    <row r="3620">
      <c r="A3620" s="9"/>
      <c r="B3620" s="15"/>
      <c r="C3620" s="9">
        <f>IFERROR(__xludf.DUMMYFUNCTION("""COMPUTED_VALUE"""),44567.8192567592)</f>
        <v>44567.81926</v>
      </c>
      <c r="D3620" s="15">
        <f>IFERROR(__xludf.DUMMYFUNCTION("""COMPUTED_VALUE"""),1.005)</f>
        <v>1.005</v>
      </c>
      <c r="E3620" s="16">
        <f>IFERROR(__xludf.DUMMYFUNCTION("""COMPUTED_VALUE"""),64.0)</f>
        <v>64</v>
      </c>
      <c r="F3620" s="19" t="str">
        <f>IFERROR(__xludf.DUMMYFUNCTION("""COMPUTED_VALUE"""),"BLUE")</f>
        <v>BLUE</v>
      </c>
      <c r="G3620" s="20" t="str">
        <f>IFERROR(__xludf.DUMMYFUNCTION("""COMPUTED_VALUE"""),"Uncle Sams Cider (11/12/2021) (Blue)")</f>
        <v>Uncle Sams Cider (11/12/2021) (Blue)</v>
      </c>
      <c r="H3620" s="19"/>
    </row>
    <row r="3621">
      <c r="A3621" s="9"/>
      <c r="B3621" s="15"/>
      <c r="C3621" s="9">
        <f>IFERROR(__xludf.DUMMYFUNCTION("""COMPUTED_VALUE"""),44567.8088352546)</f>
        <v>44567.80884</v>
      </c>
      <c r="D3621" s="15">
        <f>IFERROR(__xludf.DUMMYFUNCTION("""COMPUTED_VALUE"""),1.005)</f>
        <v>1.005</v>
      </c>
      <c r="E3621" s="16">
        <f>IFERROR(__xludf.DUMMYFUNCTION("""COMPUTED_VALUE"""),64.0)</f>
        <v>64</v>
      </c>
      <c r="F3621" s="19" t="str">
        <f>IFERROR(__xludf.DUMMYFUNCTION("""COMPUTED_VALUE"""),"BLUE")</f>
        <v>BLUE</v>
      </c>
      <c r="G3621" s="20" t="str">
        <f>IFERROR(__xludf.DUMMYFUNCTION("""COMPUTED_VALUE"""),"Uncle Sams Cider (11/12/2021) (Blue)")</f>
        <v>Uncle Sams Cider (11/12/2021) (Blue)</v>
      </c>
      <c r="H3621" s="19"/>
    </row>
    <row r="3622">
      <c r="A3622" s="9"/>
      <c r="B3622" s="15"/>
      <c r="C3622" s="9">
        <f>IFERROR(__xludf.DUMMYFUNCTION("""COMPUTED_VALUE"""),44567.7984132638)</f>
        <v>44567.79841</v>
      </c>
      <c r="D3622" s="15">
        <f>IFERROR(__xludf.DUMMYFUNCTION("""COMPUTED_VALUE"""),1.005)</f>
        <v>1.005</v>
      </c>
      <c r="E3622" s="16">
        <f>IFERROR(__xludf.DUMMYFUNCTION("""COMPUTED_VALUE"""),64.0)</f>
        <v>64</v>
      </c>
      <c r="F3622" s="19" t="str">
        <f>IFERROR(__xludf.DUMMYFUNCTION("""COMPUTED_VALUE"""),"BLUE")</f>
        <v>BLUE</v>
      </c>
      <c r="G3622" s="20" t="str">
        <f>IFERROR(__xludf.DUMMYFUNCTION("""COMPUTED_VALUE"""),"Uncle Sams Cider (11/12/2021) (Blue)")</f>
        <v>Uncle Sams Cider (11/12/2021) (Blue)</v>
      </c>
      <c r="H3622" s="19"/>
    </row>
    <row r="3623">
      <c r="A3623" s="9"/>
      <c r="B3623" s="15"/>
      <c r="C3623" s="9">
        <f>IFERROR(__xludf.DUMMYFUNCTION("""COMPUTED_VALUE"""),44567.7879917245)</f>
        <v>44567.78799</v>
      </c>
      <c r="D3623" s="15">
        <f>IFERROR(__xludf.DUMMYFUNCTION("""COMPUTED_VALUE"""),1.005)</f>
        <v>1.005</v>
      </c>
      <c r="E3623" s="16">
        <f>IFERROR(__xludf.DUMMYFUNCTION("""COMPUTED_VALUE"""),64.0)</f>
        <v>64</v>
      </c>
      <c r="F3623" s="19" t="str">
        <f>IFERROR(__xludf.DUMMYFUNCTION("""COMPUTED_VALUE"""),"BLUE")</f>
        <v>BLUE</v>
      </c>
      <c r="G3623" s="20" t="str">
        <f>IFERROR(__xludf.DUMMYFUNCTION("""COMPUTED_VALUE"""),"Uncle Sams Cider (11/12/2021) (Blue)")</f>
        <v>Uncle Sams Cider (11/12/2021) (Blue)</v>
      </c>
      <c r="H3623" s="19"/>
    </row>
    <row r="3624">
      <c r="A3624" s="9"/>
      <c r="B3624" s="15"/>
      <c r="C3624" s="9">
        <f>IFERROR(__xludf.DUMMYFUNCTION("""COMPUTED_VALUE"""),44567.7775712384)</f>
        <v>44567.77757</v>
      </c>
      <c r="D3624" s="15">
        <f>IFERROR(__xludf.DUMMYFUNCTION("""COMPUTED_VALUE"""),1.005)</f>
        <v>1.005</v>
      </c>
      <c r="E3624" s="16">
        <f>IFERROR(__xludf.DUMMYFUNCTION("""COMPUTED_VALUE"""),64.0)</f>
        <v>64</v>
      </c>
      <c r="F3624" s="19" t="str">
        <f>IFERROR(__xludf.DUMMYFUNCTION("""COMPUTED_VALUE"""),"BLUE")</f>
        <v>BLUE</v>
      </c>
      <c r="G3624" s="20" t="str">
        <f>IFERROR(__xludf.DUMMYFUNCTION("""COMPUTED_VALUE"""),"Uncle Sams Cider (11/12/2021) (Blue)")</f>
        <v>Uncle Sams Cider (11/12/2021) (Blue)</v>
      </c>
      <c r="H3624" s="19"/>
    </row>
    <row r="3625">
      <c r="A3625" s="9"/>
      <c r="B3625" s="15"/>
      <c r="C3625" s="9">
        <f>IFERROR(__xludf.DUMMYFUNCTION("""COMPUTED_VALUE"""),44567.7671507638)</f>
        <v>44567.76715</v>
      </c>
      <c r="D3625" s="15">
        <f>IFERROR(__xludf.DUMMYFUNCTION("""COMPUTED_VALUE"""),1.005)</f>
        <v>1.005</v>
      </c>
      <c r="E3625" s="16">
        <f>IFERROR(__xludf.DUMMYFUNCTION("""COMPUTED_VALUE"""),64.0)</f>
        <v>64</v>
      </c>
      <c r="F3625" s="19" t="str">
        <f>IFERROR(__xludf.DUMMYFUNCTION("""COMPUTED_VALUE"""),"BLUE")</f>
        <v>BLUE</v>
      </c>
      <c r="G3625" s="20" t="str">
        <f>IFERROR(__xludf.DUMMYFUNCTION("""COMPUTED_VALUE"""),"Uncle Sams Cider (11/12/2021) (Blue)")</f>
        <v>Uncle Sams Cider (11/12/2021) (Blue)</v>
      </c>
      <c r="H3625" s="19"/>
    </row>
    <row r="3626">
      <c r="A3626" s="9"/>
      <c r="B3626" s="15"/>
      <c r="C3626" s="9">
        <f>IFERROR(__xludf.DUMMYFUNCTION("""COMPUTED_VALUE"""),44567.7567287384)</f>
        <v>44567.75673</v>
      </c>
      <c r="D3626" s="15">
        <f>IFERROR(__xludf.DUMMYFUNCTION("""COMPUTED_VALUE"""),1.005)</f>
        <v>1.005</v>
      </c>
      <c r="E3626" s="16">
        <f>IFERROR(__xludf.DUMMYFUNCTION("""COMPUTED_VALUE"""),64.0)</f>
        <v>64</v>
      </c>
      <c r="F3626" s="19" t="str">
        <f>IFERROR(__xludf.DUMMYFUNCTION("""COMPUTED_VALUE"""),"BLUE")</f>
        <v>BLUE</v>
      </c>
      <c r="G3626" s="20" t="str">
        <f>IFERROR(__xludf.DUMMYFUNCTION("""COMPUTED_VALUE"""),"Uncle Sams Cider (11/12/2021) (Blue)")</f>
        <v>Uncle Sams Cider (11/12/2021) (Blue)</v>
      </c>
      <c r="H3626" s="19"/>
    </row>
    <row r="3627">
      <c r="A3627" s="9"/>
      <c r="B3627" s="15"/>
      <c r="C3627" s="9">
        <f>IFERROR(__xludf.DUMMYFUNCTION("""COMPUTED_VALUE"""),44567.7463063425)</f>
        <v>44567.74631</v>
      </c>
      <c r="D3627" s="15">
        <f>IFERROR(__xludf.DUMMYFUNCTION("""COMPUTED_VALUE"""),1.005)</f>
        <v>1.005</v>
      </c>
      <c r="E3627" s="16">
        <f>IFERROR(__xludf.DUMMYFUNCTION("""COMPUTED_VALUE"""),64.0)</f>
        <v>64</v>
      </c>
      <c r="F3627" s="19" t="str">
        <f>IFERROR(__xludf.DUMMYFUNCTION("""COMPUTED_VALUE"""),"BLUE")</f>
        <v>BLUE</v>
      </c>
      <c r="G3627" s="20" t="str">
        <f>IFERROR(__xludf.DUMMYFUNCTION("""COMPUTED_VALUE"""),"Uncle Sams Cider (11/12/2021) (Blue)")</f>
        <v>Uncle Sams Cider (11/12/2021) (Blue)</v>
      </c>
      <c r="H3627" s="19"/>
    </row>
    <row r="3628">
      <c r="A3628" s="9"/>
      <c r="B3628" s="15"/>
      <c r="C3628" s="9">
        <f>IFERROR(__xludf.DUMMYFUNCTION("""COMPUTED_VALUE"""),44567.7358858912)</f>
        <v>44567.73589</v>
      </c>
      <c r="D3628" s="15">
        <f>IFERROR(__xludf.DUMMYFUNCTION("""COMPUTED_VALUE"""),1.005)</f>
        <v>1.005</v>
      </c>
      <c r="E3628" s="16">
        <f>IFERROR(__xludf.DUMMYFUNCTION("""COMPUTED_VALUE"""),64.0)</f>
        <v>64</v>
      </c>
      <c r="F3628" s="19" t="str">
        <f>IFERROR(__xludf.DUMMYFUNCTION("""COMPUTED_VALUE"""),"BLUE")</f>
        <v>BLUE</v>
      </c>
      <c r="G3628" s="20" t="str">
        <f>IFERROR(__xludf.DUMMYFUNCTION("""COMPUTED_VALUE"""),"Uncle Sams Cider (11/12/2021) (Blue)")</f>
        <v>Uncle Sams Cider (11/12/2021) (Blue)</v>
      </c>
      <c r="H3628" s="19"/>
    </row>
    <row r="3629">
      <c r="A3629" s="9"/>
      <c r="B3629" s="15"/>
      <c r="C3629" s="9">
        <f>IFERROR(__xludf.DUMMYFUNCTION("""COMPUTED_VALUE"""),44567.7254654282)</f>
        <v>44567.72547</v>
      </c>
      <c r="D3629" s="15">
        <f>IFERROR(__xludf.DUMMYFUNCTION("""COMPUTED_VALUE"""),1.005)</f>
        <v>1.005</v>
      </c>
      <c r="E3629" s="16">
        <f>IFERROR(__xludf.DUMMYFUNCTION("""COMPUTED_VALUE"""),64.0)</f>
        <v>64</v>
      </c>
      <c r="F3629" s="19" t="str">
        <f>IFERROR(__xludf.DUMMYFUNCTION("""COMPUTED_VALUE"""),"BLUE")</f>
        <v>BLUE</v>
      </c>
      <c r="G3629" s="20" t="str">
        <f>IFERROR(__xludf.DUMMYFUNCTION("""COMPUTED_VALUE"""),"Uncle Sams Cider (11/12/2021) (Blue)")</f>
        <v>Uncle Sams Cider (11/12/2021) (Blue)</v>
      </c>
      <c r="H3629" s="19"/>
    </row>
    <row r="3630">
      <c r="A3630" s="9"/>
      <c r="B3630" s="15"/>
      <c r="C3630" s="9">
        <f>IFERROR(__xludf.DUMMYFUNCTION("""COMPUTED_VALUE"""),44567.7150455671)</f>
        <v>44567.71505</v>
      </c>
      <c r="D3630" s="15">
        <f>IFERROR(__xludf.DUMMYFUNCTION("""COMPUTED_VALUE"""),1.005)</f>
        <v>1.005</v>
      </c>
      <c r="E3630" s="16">
        <f>IFERROR(__xludf.DUMMYFUNCTION("""COMPUTED_VALUE"""),64.0)</f>
        <v>64</v>
      </c>
      <c r="F3630" s="19" t="str">
        <f>IFERROR(__xludf.DUMMYFUNCTION("""COMPUTED_VALUE"""),"BLUE")</f>
        <v>BLUE</v>
      </c>
      <c r="G3630" s="20" t="str">
        <f>IFERROR(__xludf.DUMMYFUNCTION("""COMPUTED_VALUE"""),"Uncle Sams Cider (11/12/2021) (Blue)")</f>
        <v>Uncle Sams Cider (11/12/2021) (Blue)</v>
      </c>
      <c r="H3630" s="19"/>
    </row>
    <row r="3631">
      <c r="A3631" s="9"/>
      <c r="B3631" s="15"/>
      <c r="C3631" s="9">
        <f>IFERROR(__xludf.DUMMYFUNCTION("""COMPUTED_VALUE"""),44567.7046248148)</f>
        <v>44567.70462</v>
      </c>
      <c r="D3631" s="15">
        <f>IFERROR(__xludf.DUMMYFUNCTION("""COMPUTED_VALUE"""),1.005)</f>
        <v>1.005</v>
      </c>
      <c r="E3631" s="16">
        <f>IFERROR(__xludf.DUMMYFUNCTION("""COMPUTED_VALUE"""),64.0)</f>
        <v>64</v>
      </c>
      <c r="F3631" s="19" t="str">
        <f>IFERROR(__xludf.DUMMYFUNCTION("""COMPUTED_VALUE"""),"BLUE")</f>
        <v>BLUE</v>
      </c>
      <c r="G3631" s="20" t="str">
        <f>IFERROR(__xludf.DUMMYFUNCTION("""COMPUTED_VALUE"""),"Uncle Sams Cider (11/12/2021) (Blue)")</f>
        <v>Uncle Sams Cider (11/12/2021) (Blue)</v>
      </c>
      <c r="H3631" s="19"/>
    </row>
    <row r="3632">
      <c r="A3632" s="9"/>
      <c r="B3632" s="15"/>
      <c r="C3632" s="9">
        <f>IFERROR(__xludf.DUMMYFUNCTION("""COMPUTED_VALUE"""),44567.6942040509)</f>
        <v>44567.6942</v>
      </c>
      <c r="D3632" s="15">
        <f>IFERROR(__xludf.DUMMYFUNCTION("""COMPUTED_VALUE"""),1.005)</f>
        <v>1.005</v>
      </c>
      <c r="E3632" s="16">
        <f>IFERROR(__xludf.DUMMYFUNCTION("""COMPUTED_VALUE"""),64.0)</f>
        <v>64</v>
      </c>
      <c r="F3632" s="19" t="str">
        <f>IFERROR(__xludf.DUMMYFUNCTION("""COMPUTED_VALUE"""),"BLUE")</f>
        <v>BLUE</v>
      </c>
      <c r="G3632" s="20" t="str">
        <f>IFERROR(__xludf.DUMMYFUNCTION("""COMPUTED_VALUE"""),"Uncle Sams Cider (11/12/2021) (Blue)")</f>
        <v>Uncle Sams Cider (11/12/2021) (Blue)</v>
      </c>
      <c r="H3632" s="19"/>
    </row>
    <row r="3633">
      <c r="A3633" s="9"/>
      <c r="B3633" s="15"/>
      <c r="C3633" s="9">
        <f>IFERROR(__xludf.DUMMYFUNCTION("""COMPUTED_VALUE"""),44567.6837829282)</f>
        <v>44567.68378</v>
      </c>
      <c r="D3633" s="15">
        <f>IFERROR(__xludf.DUMMYFUNCTION("""COMPUTED_VALUE"""),1.005)</f>
        <v>1.005</v>
      </c>
      <c r="E3633" s="16">
        <f>IFERROR(__xludf.DUMMYFUNCTION("""COMPUTED_VALUE"""),64.0)</f>
        <v>64</v>
      </c>
      <c r="F3633" s="19" t="str">
        <f>IFERROR(__xludf.DUMMYFUNCTION("""COMPUTED_VALUE"""),"BLUE")</f>
        <v>BLUE</v>
      </c>
      <c r="G3633" s="20" t="str">
        <f>IFERROR(__xludf.DUMMYFUNCTION("""COMPUTED_VALUE"""),"Uncle Sams Cider (11/12/2021) (Blue)")</f>
        <v>Uncle Sams Cider (11/12/2021) (Blue)</v>
      </c>
      <c r="H3633" s="19"/>
    </row>
    <row r="3634">
      <c r="A3634" s="9"/>
      <c r="B3634" s="15"/>
      <c r="C3634" s="9">
        <f>IFERROR(__xludf.DUMMYFUNCTION("""COMPUTED_VALUE"""),44567.6733617245)</f>
        <v>44567.67336</v>
      </c>
      <c r="D3634" s="15">
        <f>IFERROR(__xludf.DUMMYFUNCTION("""COMPUTED_VALUE"""),1.005)</f>
        <v>1.005</v>
      </c>
      <c r="E3634" s="16">
        <f>IFERROR(__xludf.DUMMYFUNCTION("""COMPUTED_VALUE"""),64.0)</f>
        <v>64</v>
      </c>
      <c r="F3634" s="19" t="str">
        <f>IFERROR(__xludf.DUMMYFUNCTION("""COMPUTED_VALUE"""),"BLUE")</f>
        <v>BLUE</v>
      </c>
      <c r="G3634" s="20" t="str">
        <f>IFERROR(__xludf.DUMMYFUNCTION("""COMPUTED_VALUE"""),"Uncle Sams Cider (11/12/2021) (Blue)")</f>
        <v>Uncle Sams Cider (11/12/2021) (Blue)</v>
      </c>
      <c r="H3634" s="19"/>
    </row>
    <row r="3635">
      <c r="A3635" s="9"/>
      <c r="B3635" s="15"/>
      <c r="C3635" s="9">
        <f>IFERROR(__xludf.DUMMYFUNCTION("""COMPUTED_VALUE"""),44567.662940405)</f>
        <v>44567.66294</v>
      </c>
      <c r="D3635" s="15">
        <f>IFERROR(__xludf.DUMMYFUNCTION("""COMPUTED_VALUE"""),1.005)</f>
        <v>1.005</v>
      </c>
      <c r="E3635" s="16">
        <f>IFERROR(__xludf.DUMMYFUNCTION("""COMPUTED_VALUE"""),64.0)</f>
        <v>64</v>
      </c>
      <c r="F3635" s="19" t="str">
        <f>IFERROR(__xludf.DUMMYFUNCTION("""COMPUTED_VALUE"""),"BLUE")</f>
        <v>BLUE</v>
      </c>
      <c r="G3635" s="20" t="str">
        <f>IFERROR(__xludf.DUMMYFUNCTION("""COMPUTED_VALUE"""),"Uncle Sams Cider (11/12/2021) (Blue)")</f>
        <v>Uncle Sams Cider (11/12/2021) (Blue)</v>
      </c>
      <c r="H3635" s="19"/>
    </row>
    <row r="3636">
      <c r="A3636" s="9"/>
      <c r="B3636" s="15"/>
      <c r="C3636" s="9">
        <f>IFERROR(__xludf.DUMMYFUNCTION("""COMPUTED_VALUE"""),44567.6525190393)</f>
        <v>44567.65252</v>
      </c>
      <c r="D3636" s="15">
        <f>IFERROR(__xludf.DUMMYFUNCTION("""COMPUTED_VALUE"""),1.005)</f>
        <v>1.005</v>
      </c>
      <c r="E3636" s="16">
        <f>IFERROR(__xludf.DUMMYFUNCTION("""COMPUTED_VALUE"""),64.0)</f>
        <v>64</v>
      </c>
      <c r="F3636" s="19" t="str">
        <f>IFERROR(__xludf.DUMMYFUNCTION("""COMPUTED_VALUE"""),"BLUE")</f>
        <v>BLUE</v>
      </c>
      <c r="G3636" s="20" t="str">
        <f>IFERROR(__xludf.DUMMYFUNCTION("""COMPUTED_VALUE"""),"Uncle Sams Cider (11/12/2021) (Blue)")</f>
        <v>Uncle Sams Cider (11/12/2021) (Blue)</v>
      </c>
      <c r="H3636" s="19"/>
    </row>
    <row r="3637">
      <c r="A3637" s="9"/>
      <c r="B3637" s="15"/>
      <c r="C3637" s="9">
        <f>IFERROR(__xludf.DUMMYFUNCTION("""COMPUTED_VALUE"""),44567.6420628009)</f>
        <v>44567.64206</v>
      </c>
      <c r="D3637" s="15">
        <f>IFERROR(__xludf.DUMMYFUNCTION("""COMPUTED_VALUE"""),1.005)</f>
        <v>1.005</v>
      </c>
      <c r="E3637" s="16">
        <f>IFERROR(__xludf.DUMMYFUNCTION("""COMPUTED_VALUE"""),64.0)</f>
        <v>64</v>
      </c>
      <c r="F3637" s="19" t="str">
        <f>IFERROR(__xludf.DUMMYFUNCTION("""COMPUTED_VALUE"""),"BLUE")</f>
        <v>BLUE</v>
      </c>
      <c r="G3637" s="20" t="str">
        <f>IFERROR(__xludf.DUMMYFUNCTION("""COMPUTED_VALUE"""),"Uncle Sams Cider (11/12/2021) (Blue)")</f>
        <v>Uncle Sams Cider (11/12/2021) (Blue)</v>
      </c>
      <c r="H3637" s="19"/>
    </row>
    <row r="3638">
      <c r="A3638" s="9"/>
      <c r="B3638" s="15"/>
      <c r="C3638" s="9">
        <f>IFERROR(__xludf.DUMMYFUNCTION("""COMPUTED_VALUE"""),44567.6316402662)</f>
        <v>44567.63164</v>
      </c>
      <c r="D3638" s="15">
        <f>IFERROR(__xludf.DUMMYFUNCTION("""COMPUTED_VALUE"""),1.005)</f>
        <v>1.005</v>
      </c>
      <c r="E3638" s="16">
        <f>IFERROR(__xludf.DUMMYFUNCTION("""COMPUTED_VALUE"""),64.0)</f>
        <v>64</v>
      </c>
      <c r="F3638" s="19" t="str">
        <f>IFERROR(__xludf.DUMMYFUNCTION("""COMPUTED_VALUE"""),"BLUE")</f>
        <v>BLUE</v>
      </c>
      <c r="G3638" s="20" t="str">
        <f>IFERROR(__xludf.DUMMYFUNCTION("""COMPUTED_VALUE"""),"Uncle Sams Cider (11/12/2021) (Blue)")</f>
        <v>Uncle Sams Cider (11/12/2021) (Blue)</v>
      </c>
      <c r="H3638" s="19"/>
    </row>
    <row r="3639">
      <c r="A3639" s="9"/>
      <c r="B3639" s="15"/>
      <c r="C3639" s="9">
        <f>IFERROR(__xludf.DUMMYFUNCTION("""COMPUTED_VALUE"""),44567.6212209953)</f>
        <v>44567.62122</v>
      </c>
      <c r="D3639" s="15">
        <f>IFERROR(__xludf.DUMMYFUNCTION("""COMPUTED_VALUE"""),1.005)</f>
        <v>1.005</v>
      </c>
      <c r="E3639" s="16">
        <f>IFERROR(__xludf.DUMMYFUNCTION("""COMPUTED_VALUE"""),64.0)</f>
        <v>64</v>
      </c>
      <c r="F3639" s="19" t="str">
        <f>IFERROR(__xludf.DUMMYFUNCTION("""COMPUTED_VALUE"""),"BLUE")</f>
        <v>BLUE</v>
      </c>
      <c r="G3639" s="20" t="str">
        <f>IFERROR(__xludf.DUMMYFUNCTION("""COMPUTED_VALUE"""),"Uncle Sams Cider (11/12/2021) (Blue)")</f>
        <v>Uncle Sams Cider (11/12/2021) (Blue)</v>
      </c>
      <c r="H3639" s="19"/>
    </row>
    <row r="3640">
      <c r="A3640" s="9"/>
      <c r="B3640" s="15"/>
      <c r="C3640" s="9">
        <f>IFERROR(__xludf.DUMMYFUNCTION("""COMPUTED_VALUE"""),44567.6107996064)</f>
        <v>44567.6108</v>
      </c>
      <c r="D3640" s="15">
        <f>IFERROR(__xludf.DUMMYFUNCTION("""COMPUTED_VALUE"""),1.006)</f>
        <v>1.006</v>
      </c>
      <c r="E3640" s="16">
        <f>IFERROR(__xludf.DUMMYFUNCTION("""COMPUTED_VALUE"""),64.0)</f>
        <v>64</v>
      </c>
      <c r="F3640" s="19" t="str">
        <f>IFERROR(__xludf.DUMMYFUNCTION("""COMPUTED_VALUE"""),"BLUE")</f>
        <v>BLUE</v>
      </c>
      <c r="G3640" s="20" t="str">
        <f>IFERROR(__xludf.DUMMYFUNCTION("""COMPUTED_VALUE"""),"Uncle Sams Cider (11/12/2021) (Blue)")</f>
        <v>Uncle Sams Cider (11/12/2021) (Blue)</v>
      </c>
      <c r="H3640" s="19"/>
    </row>
    <row r="3641">
      <c r="A3641" s="9"/>
      <c r="B3641" s="15"/>
      <c r="C3641" s="9">
        <f>IFERROR(__xludf.DUMMYFUNCTION("""COMPUTED_VALUE"""),44567.6003800462)</f>
        <v>44567.60038</v>
      </c>
      <c r="D3641" s="15">
        <f>IFERROR(__xludf.DUMMYFUNCTION("""COMPUTED_VALUE"""),1.005)</f>
        <v>1.005</v>
      </c>
      <c r="E3641" s="16">
        <f>IFERROR(__xludf.DUMMYFUNCTION("""COMPUTED_VALUE"""),64.0)</f>
        <v>64</v>
      </c>
      <c r="F3641" s="19" t="str">
        <f>IFERROR(__xludf.DUMMYFUNCTION("""COMPUTED_VALUE"""),"BLUE")</f>
        <v>BLUE</v>
      </c>
      <c r="G3641" s="20" t="str">
        <f>IFERROR(__xludf.DUMMYFUNCTION("""COMPUTED_VALUE"""),"Uncle Sams Cider (11/12/2021) (Blue)")</f>
        <v>Uncle Sams Cider (11/12/2021) (Blue)</v>
      </c>
      <c r="H3641" s="19"/>
    </row>
    <row r="3642">
      <c r="A3642" s="9"/>
      <c r="B3642" s="15"/>
      <c r="C3642" s="9">
        <f>IFERROR(__xludf.DUMMYFUNCTION("""COMPUTED_VALUE"""),44567.5899585532)</f>
        <v>44567.58996</v>
      </c>
      <c r="D3642" s="15">
        <f>IFERROR(__xludf.DUMMYFUNCTION("""COMPUTED_VALUE"""),1.005)</f>
        <v>1.005</v>
      </c>
      <c r="E3642" s="16">
        <f>IFERROR(__xludf.DUMMYFUNCTION("""COMPUTED_VALUE"""),64.0)</f>
        <v>64</v>
      </c>
      <c r="F3642" s="19" t="str">
        <f>IFERROR(__xludf.DUMMYFUNCTION("""COMPUTED_VALUE"""),"BLUE")</f>
        <v>BLUE</v>
      </c>
      <c r="G3642" s="20" t="str">
        <f>IFERROR(__xludf.DUMMYFUNCTION("""COMPUTED_VALUE"""),"Uncle Sams Cider (11/12/2021) (Blue)")</f>
        <v>Uncle Sams Cider (11/12/2021) (Blue)</v>
      </c>
      <c r="H3642" s="19"/>
    </row>
    <row r="3643">
      <c r="A3643" s="9"/>
      <c r="B3643" s="15"/>
      <c r="C3643" s="9">
        <f>IFERROR(__xludf.DUMMYFUNCTION("""COMPUTED_VALUE"""),44567.5795380555)</f>
        <v>44567.57954</v>
      </c>
      <c r="D3643" s="15">
        <f>IFERROR(__xludf.DUMMYFUNCTION("""COMPUTED_VALUE"""),1.005)</f>
        <v>1.005</v>
      </c>
      <c r="E3643" s="16">
        <f>IFERROR(__xludf.DUMMYFUNCTION("""COMPUTED_VALUE"""),64.0)</f>
        <v>64</v>
      </c>
      <c r="F3643" s="19" t="str">
        <f>IFERROR(__xludf.DUMMYFUNCTION("""COMPUTED_VALUE"""),"BLUE")</f>
        <v>BLUE</v>
      </c>
      <c r="G3643" s="20" t="str">
        <f>IFERROR(__xludf.DUMMYFUNCTION("""COMPUTED_VALUE"""),"Uncle Sams Cider (11/12/2021) (Blue)")</f>
        <v>Uncle Sams Cider (11/12/2021) (Blue)</v>
      </c>
      <c r="H3643" s="19"/>
    </row>
    <row r="3644">
      <c r="A3644" s="9"/>
      <c r="B3644" s="15"/>
      <c r="C3644" s="9">
        <f>IFERROR(__xludf.DUMMYFUNCTION("""COMPUTED_VALUE"""),44567.569116875)</f>
        <v>44567.56912</v>
      </c>
      <c r="D3644" s="15">
        <f>IFERROR(__xludf.DUMMYFUNCTION("""COMPUTED_VALUE"""),1.005)</f>
        <v>1.005</v>
      </c>
      <c r="E3644" s="16">
        <f>IFERROR(__xludf.DUMMYFUNCTION("""COMPUTED_VALUE"""),64.0)</f>
        <v>64</v>
      </c>
      <c r="F3644" s="19" t="str">
        <f>IFERROR(__xludf.DUMMYFUNCTION("""COMPUTED_VALUE"""),"BLUE")</f>
        <v>BLUE</v>
      </c>
      <c r="G3644" s="20" t="str">
        <f>IFERROR(__xludf.DUMMYFUNCTION("""COMPUTED_VALUE"""),"Uncle Sams Cider (11/12/2021) (Blue)")</f>
        <v>Uncle Sams Cider (11/12/2021) (Blue)</v>
      </c>
      <c r="H3644" s="19"/>
    </row>
    <row r="3645">
      <c r="A3645" s="9"/>
      <c r="B3645" s="15"/>
      <c r="C3645" s="9">
        <f>IFERROR(__xludf.DUMMYFUNCTION("""COMPUTED_VALUE"""),44567.5586972916)</f>
        <v>44567.5587</v>
      </c>
      <c r="D3645" s="15">
        <f>IFERROR(__xludf.DUMMYFUNCTION("""COMPUTED_VALUE"""),1.006)</f>
        <v>1.006</v>
      </c>
      <c r="E3645" s="16">
        <f>IFERROR(__xludf.DUMMYFUNCTION("""COMPUTED_VALUE"""),64.0)</f>
        <v>64</v>
      </c>
      <c r="F3645" s="19" t="str">
        <f>IFERROR(__xludf.DUMMYFUNCTION("""COMPUTED_VALUE"""),"BLUE")</f>
        <v>BLUE</v>
      </c>
      <c r="G3645" s="20" t="str">
        <f>IFERROR(__xludf.DUMMYFUNCTION("""COMPUTED_VALUE"""),"Uncle Sams Cider (11/12/2021) (Blue)")</f>
        <v>Uncle Sams Cider (11/12/2021) (Blue)</v>
      </c>
      <c r="H3645" s="19"/>
    </row>
    <row r="3646">
      <c r="A3646" s="9"/>
      <c r="B3646" s="15"/>
      <c r="C3646" s="9">
        <f>IFERROR(__xludf.DUMMYFUNCTION("""COMPUTED_VALUE"""),44567.5482741898)</f>
        <v>44567.54827</v>
      </c>
      <c r="D3646" s="15">
        <f>IFERROR(__xludf.DUMMYFUNCTION("""COMPUTED_VALUE"""),1.005)</f>
        <v>1.005</v>
      </c>
      <c r="E3646" s="16">
        <f>IFERROR(__xludf.DUMMYFUNCTION("""COMPUTED_VALUE"""),65.0)</f>
        <v>65</v>
      </c>
      <c r="F3646" s="19" t="str">
        <f>IFERROR(__xludf.DUMMYFUNCTION("""COMPUTED_VALUE"""),"BLUE")</f>
        <v>BLUE</v>
      </c>
      <c r="G3646" s="20" t="str">
        <f>IFERROR(__xludf.DUMMYFUNCTION("""COMPUTED_VALUE"""),"Uncle Sams Cider (11/12/2021) (Blue)")</f>
        <v>Uncle Sams Cider (11/12/2021) (Blue)</v>
      </c>
      <c r="H3646" s="19"/>
    </row>
    <row r="3647">
      <c r="A3647" s="9"/>
      <c r="B3647" s="15"/>
      <c r="C3647" s="9">
        <f>IFERROR(__xludf.DUMMYFUNCTION("""COMPUTED_VALUE"""),44567.5378405208)</f>
        <v>44567.53784</v>
      </c>
      <c r="D3647" s="15">
        <f>IFERROR(__xludf.DUMMYFUNCTION("""COMPUTED_VALUE"""),1.005)</f>
        <v>1.005</v>
      </c>
      <c r="E3647" s="16">
        <f>IFERROR(__xludf.DUMMYFUNCTION("""COMPUTED_VALUE"""),64.0)</f>
        <v>64</v>
      </c>
      <c r="F3647" s="19" t="str">
        <f>IFERROR(__xludf.DUMMYFUNCTION("""COMPUTED_VALUE"""),"BLUE")</f>
        <v>BLUE</v>
      </c>
      <c r="G3647" s="20" t="str">
        <f>IFERROR(__xludf.DUMMYFUNCTION("""COMPUTED_VALUE"""),"Uncle Sams Cider (11/12/2021) (Blue)")</f>
        <v>Uncle Sams Cider (11/12/2021) (Blue)</v>
      </c>
      <c r="H3647" s="19"/>
    </row>
    <row r="3648">
      <c r="A3648" s="9"/>
      <c r="B3648" s="15"/>
      <c r="C3648" s="9">
        <f>IFERROR(__xludf.DUMMYFUNCTION("""COMPUTED_VALUE"""),44567.5274067939)</f>
        <v>44567.52741</v>
      </c>
      <c r="D3648" s="15">
        <f>IFERROR(__xludf.DUMMYFUNCTION("""COMPUTED_VALUE"""),1.005)</f>
        <v>1.005</v>
      </c>
      <c r="E3648" s="16">
        <f>IFERROR(__xludf.DUMMYFUNCTION("""COMPUTED_VALUE"""),65.0)</f>
        <v>65</v>
      </c>
      <c r="F3648" s="19" t="str">
        <f>IFERROR(__xludf.DUMMYFUNCTION("""COMPUTED_VALUE"""),"BLUE")</f>
        <v>BLUE</v>
      </c>
      <c r="G3648" s="20" t="str">
        <f>IFERROR(__xludf.DUMMYFUNCTION("""COMPUTED_VALUE"""),"Uncle Sams Cider (11/12/2021) (Blue)")</f>
        <v>Uncle Sams Cider (11/12/2021) (Blue)</v>
      </c>
      <c r="H3648" s="19"/>
    </row>
    <row r="3649">
      <c r="A3649" s="9"/>
      <c r="B3649" s="15"/>
      <c r="C3649" s="9">
        <f>IFERROR(__xludf.DUMMYFUNCTION("""COMPUTED_VALUE"""),44567.5169852662)</f>
        <v>44567.51699</v>
      </c>
      <c r="D3649" s="15">
        <f>IFERROR(__xludf.DUMMYFUNCTION("""COMPUTED_VALUE"""),1.005)</f>
        <v>1.005</v>
      </c>
      <c r="E3649" s="16">
        <f>IFERROR(__xludf.DUMMYFUNCTION("""COMPUTED_VALUE"""),65.0)</f>
        <v>65</v>
      </c>
      <c r="F3649" s="19" t="str">
        <f>IFERROR(__xludf.DUMMYFUNCTION("""COMPUTED_VALUE"""),"BLUE")</f>
        <v>BLUE</v>
      </c>
      <c r="G3649" s="20" t="str">
        <f>IFERROR(__xludf.DUMMYFUNCTION("""COMPUTED_VALUE"""),"Uncle Sams Cider (11/12/2021) (Blue)")</f>
        <v>Uncle Sams Cider (11/12/2021) (Blue)</v>
      </c>
      <c r="H3649" s="19"/>
    </row>
    <row r="3650">
      <c r="A3650" s="9"/>
      <c r="B3650" s="15"/>
      <c r="C3650" s="9">
        <f>IFERROR(__xludf.DUMMYFUNCTION("""COMPUTED_VALUE"""),44567.5065638194)</f>
        <v>44567.50656</v>
      </c>
      <c r="D3650" s="15">
        <f>IFERROR(__xludf.DUMMYFUNCTION("""COMPUTED_VALUE"""),1.005)</f>
        <v>1.005</v>
      </c>
      <c r="E3650" s="16">
        <f>IFERROR(__xludf.DUMMYFUNCTION("""COMPUTED_VALUE"""),65.0)</f>
        <v>65</v>
      </c>
      <c r="F3650" s="19" t="str">
        <f>IFERROR(__xludf.DUMMYFUNCTION("""COMPUTED_VALUE"""),"BLUE")</f>
        <v>BLUE</v>
      </c>
      <c r="G3650" s="20" t="str">
        <f>IFERROR(__xludf.DUMMYFUNCTION("""COMPUTED_VALUE"""),"Uncle Sams Cider (11/12/2021) (Blue)")</f>
        <v>Uncle Sams Cider (11/12/2021) (Blue)</v>
      </c>
      <c r="H3650" s="19"/>
    </row>
    <row r="3651">
      <c r="A3651" s="9"/>
      <c r="B3651" s="15"/>
      <c r="C3651" s="9">
        <f>IFERROR(__xludf.DUMMYFUNCTION("""COMPUTED_VALUE"""),44567.4961446064)</f>
        <v>44567.49614</v>
      </c>
      <c r="D3651" s="15">
        <f>IFERROR(__xludf.DUMMYFUNCTION("""COMPUTED_VALUE"""),1.005)</f>
        <v>1.005</v>
      </c>
      <c r="E3651" s="16">
        <f>IFERROR(__xludf.DUMMYFUNCTION("""COMPUTED_VALUE"""),65.0)</f>
        <v>65</v>
      </c>
      <c r="F3651" s="19" t="str">
        <f>IFERROR(__xludf.DUMMYFUNCTION("""COMPUTED_VALUE"""),"BLUE")</f>
        <v>BLUE</v>
      </c>
      <c r="G3651" s="20" t="str">
        <f>IFERROR(__xludf.DUMMYFUNCTION("""COMPUTED_VALUE"""),"Uncle Sams Cider (11/12/2021) (Blue)")</f>
        <v>Uncle Sams Cider (11/12/2021) (Blue)</v>
      </c>
      <c r="H3651" s="19"/>
    </row>
    <row r="3652">
      <c r="A3652" s="9"/>
      <c r="B3652" s="15"/>
      <c r="C3652" s="9">
        <f>IFERROR(__xludf.DUMMYFUNCTION("""COMPUTED_VALUE"""),44567.4857231828)</f>
        <v>44567.48572</v>
      </c>
      <c r="D3652" s="15">
        <f>IFERROR(__xludf.DUMMYFUNCTION("""COMPUTED_VALUE"""),1.005)</f>
        <v>1.005</v>
      </c>
      <c r="E3652" s="16">
        <f>IFERROR(__xludf.DUMMYFUNCTION("""COMPUTED_VALUE"""),65.0)</f>
        <v>65</v>
      </c>
      <c r="F3652" s="19" t="str">
        <f>IFERROR(__xludf.DUMMYFUNCTION("""COMPUTED_VALUE"""),"BLUE")</f>
        <v>BLUE</v>
      </c>
      <c r="G3652" s="20" t="str">
        <f>IFERROR(__xludf.DUMMYFUNCTION("""COMPUTED_VALUE"""),"Uncle Sams Cider (11/12/2021) (Blue)")</f>
        <v>Uncle Sams Cider (11/12/2021) (Blue)</v>
      </c>
      <c r="H3652" s="19"/>
    </row>
    <row r="3653">
      <c r="A3653" s="9"/>
      <c r="B3653" s="15"/>
      <c r="C3653" s="9">
        <f>IFERROR(__xludf.DUMMYFUNCTION("""COMPUTED_VALUE"""),44567.4753031944)</f>
        <v>44567.4753</v>
      </c>
      <c r="D3653" s="15">
        <f>IFERROR(__xludf.DUMMYFUNCTION("""COMPUTED_VALUE"""),1.005)</f>
        <v>1.005</v>
      </c>
      <c r="E3653" s="16">
        <f>IFERROR(__xludf.DUMMYFUNCTION("""COMPUTED_VALUE"""),65.0)</f>
        <v>65</v>
      </c>
      <c r="F3653" s="19" t="str">
        <f>IFERROR(__xludf.DUMMYFUNCTION("""COMPUTED_VALUE"""),"BLUE")</f>
        <v>BLUE</v>
      </c>
      <c r="G3653" s="20" t="str">
        <f>IFERROR(__xludf.DUMMYFUNCTION("""COMPUTED_VALUE"""),"Uncle Sams Cider (11/12/2021) (Blue)")</f>
        <v>Uncle Sams Cider (11/12/2021) (Blue)</v>
      </c>
      <c r="H3653" s="19"/>
    </row>
    <row r="3654">
      <c r="A3654" s="9"/>
      <c r="B3654" s="15"/>
      <c r="C3654" s="9">
        <f>IFERROR(__xludf.DUMMYFUNCTION("""COMPUTED_VALUE"""),44567.4648819097)</f>
        <v>44567.46488</v>
      </c>
      <c r="D3654" s="15">
        <f>IFERROR(__xludf.DUMMYFUNCTION("""COMPUTED_VALUE"""),1.005)</f>
        <v>1.005</v>
      </c>
      <c r="E3654" s="16">
        <f>IFERROR(__xludf.DUMMYFUNCTION("""COMPUTED_VALUE"""),65.0)</f>
        <v>65</v>
      </c>
      <c r="F3654" s="19" t="str">
        <f>IFERROR(__xludf.DUMMYFUNCTION("""COMPUTED_VALUE"""),"BLUE")</f>
        <v>BLUE</v>
      </c>
      <c r="G3654" s="20" t="str">
        <f>IFERROR(__xludf.DUMMYFUNCTION("""COMPUTED_VALUE"""),"Uncle Sams Cider (11/12/2021) (Blue)")</f>
        <v>Uncle Sams Cider (11/12/2021) (Blue)</v>
      </c>
      <c r="H3654" s="19"/>
    </row>
    <row r="3655">
      <c r="A3655" s="9"/>
      <c r="B3655" s="15"/>
      <c r="C3655" s="9">
        <f>IFERROR(__xludf.DUMMYFUNCTION("""COMPUTED_VALUE"""),44567.4544494907)</f>
        <v>44567.45445</v>
      </c>
      <c r="D3655" s="15">
        <f>IFERROR(__xludf.DUMMYFUNCTION("""COMPUTED_VALUE"""),1.006)</f>
        <v>1.006</v>
      </c>
      <c r="E3655" s="16">
        <f>IFERROR(__xludf.DUMMYFUNCTION("""COMPUTED_VALUE"""),65.0)</f>
        <v>65</v>
      </c>
      <c r="F3655" s="19" t="str">
        <f>IFERROR(__xludf.DUMMYFUNCTION("""COMPUTED_VALUE"""),"BLUE")</f>
        <v>BLUE</v>
      </c>
      <c r="G3655" s="20" t="str">
        <f>IFERROR(__xludf.DUMMYFUNCTION("""COMPUTED_VALUE"""),"Uncle Sams Cider (11/12/2021) (Blue)")</f>
        <v>Uncle Sams Cider (11/12/2021) (Blue)</v>
      </c>
      <c r="H3655" s="19"/>
    </row>
    <row r="3656">
      <c r="A3656" s="9"/>
      <c r="B3656" s="15"/>
      <c r="C3656" s="9">
        <f>IFERROR(__xludf.DUMMYFUNCTION("""COMPUTED_VALUE"""),44567.4440162847)</f>
        <v>44567.44402</v>
      </c>
      <c r="D3656" s="15">
        <f>IFERROR(__xludf.DUMMYFUNCTION("""COMPUTED_VALUE"""),1.005)</f>
        <v>1.005</v>
      </c>
      <c r="E3656" s="16">
        <f>IFERROR(__xludf.DUMMYFUNCTION("""COMPUTED_VALUE"""),65.0)</f>
        <v>65</v>
      </c>
      <c r="F3656" s="19" t="str">
        <f>IFERROR(__xludf.DUMMYFUNCTION("""COMPUTED_VALUE"""),"BLUE")</f>
        <v>BLUE</v>
      </c>
      <c r="G3656" s="20" t="str">
        <f>IFERROR(__xludf.DUMMYFUNCTION("""COMPUTED_VALUE"""),"Uncle Sams Cider (11/12/2021) (Blue)")</f>
        <v>Uncle Sams Cider (11/12/2021) (Blue)</v>
      </c>
      <c r="H3656" s="19"/>
    </row>
    <row r="3657">
      <c r="A3657" s="9"/>
      <c r="B3657" s="15"/>
      <c r="C3657" s="9">
        <f>IFERROR(__xludf.DUMMYFUNCTION("""COMPUTED_VALUE"""),44567.4335827662)</f>
        <v>44567.43358</v>
      </c>
      <c r="D3657" s="15">
        <f>IFERROR(__xludf.DUMMYFUNCTION("""COMPUTED_VALUE"""),1.006)</f>
        <v>1.006</v>
      </c>
      <c r="E3657" s="16">
        <f>IFERROR(__xludf.DUMMYFUNCTION("""COMPUTED_VALUE"""),65.0)</f>
        <v>65</v>
      </c>
      <c r="F3657" s="19" t="str">
        <f>IFERROR(__xludf.DUMMYFUNCTION("""COMPUTED_VALUE"""),"BLUE")</f>
        <v>BLUE</v>
      </c>
      <c r="G3657" s="20" t="str">
        <f>IFERROR(__xludf.DUMMYFUNCTION("""COMPUTED_VALUE"""),"Uncle Sams Cider (11/12/2021) (Blue)")</f>
        <v>Uncle Sams Cider (11/12/2021) (Blue)</v>
      </c>
      <c r="H3657" s="19"/>
    </row>
    <row r="3658">
      <c r="A3658" s="9"/>
      <c r="B3658" s="15"/>
      <c r="C3658" s="9">
        <f>IFERROR(__xludf.DUMMYFUNCTION("""COMPUTED_VALUE"""),44567.423161574)</f>
        <v>44567.42316</v>
      </c>
      <c r="D3658" s="15">
        <f>IFERROR(__xludf.DUMMYFUNCTION("""COMPUTED_VALUE"""),1.005)</f>
        <v>1.005</v>
      </c>
      <c r="E3658" s="16">
        <f>IFERROR(__xludf.DUMMYFUNCTION("""COMPUTED_VALUE"""),65.0)</f>
        <v>65</v>
      </c>
      <c r="F3658" s="19" t="str">
        <f>IFERROR(__xludf.DUMMYFUNCTION("""COMPUTED_VALUE"""),"BLUE")</f>
        <v>BLUE</v>
      </c>
      <c r="G3658" s="20" t="str">
        <f>IFERROR(__xludf.DUMMYFUNCTION("""COMPUTED_VALUE"""),"Uncle Sams Cider (11/12/2021) (Blue)")</f>
        <v>Uncle Sams Cider (11/12/2021) (Blue)</v>
      </c>
      <c r="H3658" s="19"/>
    </row>
    <row r="3659">
      <c r="A3659" s="9"/>
      <c r="B3659" s="15"/>
      <c r="C3659" s="9">
        <f>IFERROR(__xludf.DUMMYFUNCTION("""COMPUTED_VALUE"""),44567.4127394097)</f>
        <v>44567.41274</v>
      </c>
      <c r="D3659" s="15">
        <f>IFERROR(__xludf.DUMMYFUNCTION("""COMPUTED_VALUE"""),1.006)</f>
        <v>1.006</v>
      </c>
      <c r="E3659" s="16">
        <f>IFERROR(__xludf.DUMMYFUNCTION("""COMPUTED_VALUE"""),65.0)</f>
        <v>65</v>
      </c>
      <c r="F3659" s="19" t="str">
        <f>IFERROR(__xludf.DUMMYFUNCTION("""COMPUTED_VALUE"""),"BLUE")</f>
        <v>BLUE</v>
      </c>
      <c r="G3659" s="20" t="str">
        <f>IFERROR(__xludf.DUMMYFUNCTION("""COMPUTED_VALUE"""),"Uncle Sams Cider (11/12/2021) (Blue)")</f>
        <v>Uncle Sams Cider (11/12/2021) (Blue)</v>
      </c>
      <c r="H3659" s="19"/>
    </row>
    <row r="3660">
      <c r="A3660" s="9"/>
      <c r="B3660" s="15"/>
      <c r="C3660" s="9">
        <f>IFERROR(__xludf.DUMMYFUNCTION("""COMPUTED_VALUE"""),44567.402307824)</f>
        <v>44567.40231</v>
      </c>
      <c r="D3660" s="15">
        <f>IFERROR(__xludf.DUMMYFUNCTION("""COMPUTED_VALUE"""),1.005)</f>
        <v>1.005</v>
      </c>
      <c r="E3660" s="16">
        <f>IFERROR(__xludf.DUMMYFUNCTION("""COMPUTED_VALUE"""),65.0)</f>
        <v>65</v>
      </c>
      <c r="F3660" s="19" t="str">
        <f>IFERROR(__xludf.DUMMYFUNCTION("""COMPUTED_VALUE"""),"BLUE")</f>
        <v>BLUE</v>
      </c>
      <c r="G3660" s="20" t="str">
        <f>IFERROR(__xludf.DUMMYFUNCTION("""COMPUTED_VALUE"""),"Uncle Sams Cider (11/12/2021) (Blue)")</f>
        <v>Uncle Sams Cider (11/12/2021) (Blue)</v>
      </c>
      <c r="H3660" s="19"/>
    </row>
    <row r="3661">
      <c r="A3661" s="9"/>
      <c r="B3661" s="15"/>
      <c r="C3661" s="9">
        <f>IFERROR(__xludf.DUMMYFUNCTION("""COMPUTED_VALUE"""),44567.3918864351)</f>
        <v>44567.39189</v>
      </c>
      <c r="D3661" s="15">
        <f>IFERROR(__xludf.DUMMYFUNCTION("""COMPUTED_VALUE"""),1.005)</f>
        <v>1.005</v>
      </c>
      <c r="E3661" s="16">
        <f>IFERROR(__xludf.DUMMYFUNCTION("""COMPUTED_VALUE"""),65.0)</f>
        <v>65</v>
      </c>
      <c r="F3661" s="19" t="str">
        <f>IFERROR(__xludf.DUMMYFUNCTION("""COMPUTED_VALUE"""),"BLUE")</f>
        <v>BLUE</v>
      </c>
      <c r="G3661" s="20" t="str">
        <f>IFERROR(__xludf.DUMMYFUNCTION("""COMPUTED_VALUE"""),"Uncle Sams Cider (11/12/2021) (Blue)")</f>
        <v>Uncle Sams Cider (11/12/2021) (Blue)</v>
      </c>
      <c r="H3661" s="19"/>
    </row>
    <row r="3662">
      <c r="A3662" s="9"/>
      <c r="B3662" s="15"/>
      <c r="C3662" s="9">
        <f>IFERROR(__xludf.DUMMYFUNCTION("""COMPUTED_VALUE"""),44567.3814641782)</f>
        <v>44567.38146</v>
      </c>
      <c r="D3662" s="15">
        <f>IFERROR(__xludf.DUMMYFUNCTION("""COMPUTED_VALUE"""),1.005)</f>
        <v>1.005</v>
      </c>
      <c r="E3662" s="16">
        <f>IFERROR(__xludf.DUMMYFUNCTION("""COMPUTED_VALUE"""),65.0)</f>
        <v>65</v>
      </c>
      <c r="F3662" s="19" t="str">
        <f>IFERROR(__xludf.DUMMYFUNCTION("""COMPUTED_VALUE"""),"BLUE")</f>
        <v>BLUE</v>
      </c>
      <c r="G3662" s="20" t="str">
        <f>IFERROR(__xludf.DUMMYFUNCTION("""COMPUTED_VALUE"""),"Uncle Sams Cider (11/12/2021) (Blue)")</f>
        <v>Uncle Sams Cider (11/12/2021) (Blue)</v>
      </c>
      <c r="H3662" s="19"/>
    </row>
    <row r="3663">
      <c r="A3663" s="9"/>
      <c r="B3663" s="15"/>
      <c r="C3663" s="9">
        <f>IFERROR(__xludf.DUMMYFUNCTION("""COMPUTED_VALUE"""),44567.3710440277)</f>
        <v>44567.37104</v>
      </c>
      <c r="D3663" s="15">
        <f>IFERROR(__xludf.DUMMYFUNCTION("""COMPUTED_VALUE"""),1.005)</f>
        <v>1.005</v>
      </c>
      <c r="E3663" s="16">
        <f>IFERROR(__xludf.DUMMYFUNCTION("""COMPUTED_VALUE"""),65.0)</f>
        <v>65</v>
      </c>
      <c r="F3663" s="19" t="str">
        <f>IFERROR(__xludf.DUMMYFUNCTION("""COMPUTED_VALUE"""),"BLUE")</f>
        <v>BLUE</v>
      </c>
      <c r="G3663" s="20" t="str">
        <f>IFERROR(__xludf.DUMMYFUNCTION("""COMPUTED_VALUE"""),"Uncle Sams Cider (11/12/2021) (Blue)")</f>
        <v>Uncle Sams Cider (11/12/2021) (Blue)</v>
      </c>
      <c r="H3663" s="19"/>
    </row>
    <row r="3664">
      <c r="A3664" s="9"/>
      <c r="B3664" s="15"/>
      <c r="C3664" s="9">
        <f>IFERROR(__xludf.DUMMYFUNCTION("""COMPUTED_VALUE"""),44567.3606228125)</f>
        <v>44567.36062</v>
      </c>
      <c r="D3664" s="15">
        <f>IFERROR(__xludf.DUMMYFUNCTION("""COMPUTED_VALUE"""),1.006)</f>
        <v>1.006</v>
      </c>
      <c r="E3664" s="16">
        <f>IFERROR(__xludf.DUMMYFUNCTION("""COMPUTED_VALUE"""),65.0)</f>
        <v>65</v>
      </c>
      <c r="F3664" s="19" t="str">
        <f>IFERROR(__xludf.DUMMYFUNCTION("""COMPUTED_VALUE"""),"BLUE")</f>
        <v>BLUE</v>
      </c>
      <c r="G3664" s="20" t="str">
        <f>IFERROR(__xludf.DUMMYFUNCTION("""COMPUTED_VALUE"""),"Uncle Sams Cider (11/12/2021) (Blue)")</f>
        <v>Uncle Sams Cider (11/12/2021) (Blue)</v>
      </c>
      <c r="H3664" s="19"/>
    </row>
    <row r="3665">
      <c r="A3665" s="9"/>
      <c r="B3665" s="15"/>
      <c r="C3665" s="9">
        <f>IFERROR(__xludf.DUMMYFUNCTION("""COMPUTED_VALUE"""),44567.3501900462)</f>
        <v>44567.35019</v>
      </c>
      <c r="D3665" s="15">
        <f>IFERROR(__xludf.DUMMYFUNCTION("""COMPUTED_VALUE"""),1.005)</f>
        <v>1.005</v>
      </c>
      <c r="E3665" s="16">
        <f>IFERROR(__xludf.DUMMYFUNCTION("""COMPUTED_VALUE"""),65.0)</f>
        <v>65</v>
      </c>
      <c r="F3665" s="19" t="str">
        <f>IFERROR(__xludf.DUMMYFUNCTION("""COMPUTED_VALUE"""),"BLUE")</f>
        <v>BLUE</v>
      </c>
      <c r="G3665" s="20" t="str">
        <f>IFERROR(__xludf.DUMMYFUNCTION("""COMPUTED_VALUE"""),"Uncle Sams Cider (11/12/2021) (Blue)")</f>
        <v>Uncle Sams Cider (11/12/2021) (Blue)</v>
      </c>
      <c r="H3665" s="19"/>
    </row>
    <row r="3666">
      <c r="A3666" s="9"/>
      <c r="B3666" s="15"/>
      <c r="C3666" s="9">
        <f>IFERROR(__xludf.DUMMYFUNCTION("""COMPUTED_VALUE"""),44567.3397671527)</f>
        <v>44567.33977</v>
      </c>
      <c r="D3666" s="15">
        <f>IFERROR(__xludf.DUMMYFUNCTION("""COMPUTED_VALUE"""),1.005)</f>
        <v>1.005</v>
      </c>
      <c r="E3666" s="16">
        <f>IFERROR(__xludf.DUMMYFUNCTION("""COMPUTED_VALUE"""),65.0)</f>
        <v>65</v>
      </c>
      <c r="F3666" s="19" t="str">
        <f>IFERROR(__xludf.DUMMYFUNCTION("""COMPUTED_VALUE"""),"BLUE")</f>
        <v>BLUE</v>
      </c>
      <c r="G3666" s="20" t="str">
        <f>IFERROR(__xludf.DUMMYFUNCTION("""COMPUTED_VALUE"""),"Uncle Sams Cider (11/12/2021) (Blue)")</f>
        <v>Uncle Sams Cider (11/12/2021) (Blue)</v>
      </c>
      <c r="H3666" s="19"/>
    </row>
    <row r="3667">
      <c r="A3667" s="9"/>
      <c r="B3667" s="15"/>
      <c r="C3667" s="9">
        <f>IFERROR(__xludf.DUMMYFUNCTION("""COMPUTED_VALUE"""),44567.3293467476)</f>
        <v>44567.32935</v>
      </c>
      <c r="D3667" s="15">
        <f>IFERROR(__xludf.DUMMYFUNCTION("""COMPUTED_VALUE"""),1.005)</f>
        <v>1.005</v>
      </c>
      <c r="E3667" s="16">
        <f>IFERROR(__xludf.DUMMYFUNCTION("""COMPUTED_VALUE"""),65.0)</f>
        <v>65</v>
      </c>
      <c r="F3667" s="19" t="str">
        <f>IFERROR(__xludf.DUMMYFUNCTION("""COMPUTED_VALUE"""),"BLUE")</f>
        <v>BLUE</v>
      </c>
      <c r="G3667" s="20" t="str">
        <f>IFERROR(__xludf.DUMMYFUNCTION("""COMPUTED_VALUE"""),"Uncle Sams Cider (11/12/2021) (Blue)")</f>
        <v>Uncle Sams Cider (11/12/2021) (Blue)</v>
      </c>
      <c r="H3667" s="19"/>
    </row>
    <row r="3668">
      <c r="A3668" s="9"/>
      <c r="B3668" s="15"/>
      <c r="C3668" s="9">
        <f>IFERROR(__xludf.DUMMYFUNCTION("""COMPUTED_VALUE"""),44567.3189258911)</f>
        <v>44567.31893</v>
      </c>
      <c r="D3668" s="15">
        <f>IFERROR(__xludf.DUMMYFUNCTION("""COMPUTED_VALUE"""),1.006)</f>
        <v>1.006</v>
      </c>
      <c r="E3668" s="16">
        <f>IFERROR(__xludf.DUMMYFUNCTION("""COMPUTED_VALUE"""),65.0)</f>
        <v>65</v>
      </c>
      <c r="F3668" s="19" t="str">
        <f>IFERROR(__xludf.DUMMYFUNCTION("""COMPUTED_VALUE"""),"BLUE")</f>
        <v>BLUE</v>
      </c>
      <c r="G3668" s="20" t="str">
        <f>IFERROR(__xludf.DUMMYFUNCTION("""COMPUTED_VALUE"""),"Uncle Sams Cider (11/12/2021) (Blue)")</f>
        <v>Uncle Sams Cider (11/12/2021) (Blue)</v>
      </c>
      <c r="H3668" s="19"/>
    </row>
    <row r="3669">
      <c r="A3669" s="9"/>
      <c r="B3669" s="15"/>
      <c r="C3669" s="9">
        <f>IFERROR(__xludf.DUMMYFUNCTION("""COMPUTED_VALUE"""),44567.3085047916)</f>
        <v>44567.3085</v>
      </c>
      <c r="D3669" s="15">
        <f>IFERROR(__xludf.DUMMYFUNCTION("""COMPUTED_VALUE"""),1.006)</f>
        <v>1.006</v>
      </c>
      <c r="E3669" s="16">
        <f>IFERROR(__xludf.DUMMYFUNCTION("""COMPUTED_VALUE"""),65.0)</f>
        <v>65</v>
      </c>
      <c r="F3669" s="19" t="str">
        <f>IFERROR(__xludf.DUMMYFUNCTION("""COMPUTED_VALUE"""),"BLUE")</f>
        <v>BLUE</v>
      </c>
      <c r="G3669" s="20" t="str">
        <f>IFERROR(__xludf.DUMMYFUNCTION("""COMPUTED_VALUE"""),"Uncle Sams Cider (11/12/2021) (Blue)")</f>
        <v>Uncle Sams Cider (11/12/2021) (Blue)</v>
      </c>
      <c r="H3669" s="19"/>
    </row>
    <row r="3670">
      <c r="A3670" s="9"/>
      <c r="B3670" s="15"/>
      <c r="C3670" s="9">
        <f>IFERROR(__xludf.DUMMYFUNCTION("""COMPUTED_VALUE"""),44567.2980611574)</f>
        <v>44567.29806</v>
      </c>
      <c r="D3670" s="15">
        <f>IFERROR(__xludf.DUMMYFUNCTION("""COMPUTED_VALUE"""),1.005)</f>
        <v>1.005</v>
      </c>
      <c r="E3670" s="16">
        <f>IFERROR(__xludf.DUMMYFUNCTION("""COMPUTED_VALUE"""),65.0)</f>
        <v>65</v>
      </c>
      <c r="F3670" s="19" t="str">
        <f>IFERROR(__xludf.DUMMYFUNCTION("""COMPUTED_VALUE"""),"BLUE")</f>
        <v>BLUE</v>
      </c>
      <c r="G3670" s="20" t="str">
        <f>IFERROR(__xludf.DUMMYFUNCTION("""COMPUTED_VALUE"""),"Uncle Sams Cider (11/12/2021) (Blue)")</f>
        <v>Uncle Sams Cider (11/12/2021) (Blue)</v>
      </c>
      <c r="H3670" s="19"/>
    </row>
    <row r="3671">
      <c r="A3671" s="9"/>
      <c r="B3671" s="15"/>
      <c r="C3671" s="9">
        <f>IFERROR(__xludf.DUMMYFUNCTION("""COMPUTED_VALUE"""),44567.2876400231)</f>
        <v>44567.28764</v>
      </c>
      <c r="D3671" s="15">
        <f>IFERROR(__xludf.DUMMYFUNCTION("""COMPUTED_VALUE"""),1.005)</f>
        <v>1.005</v>
      </c>
      <c r="E3671" s="16">
        <f>IFERROR(__xludf.DUMMYFUNCTION("""COMPUTED_VALUE"""),65.0)</f>
        <v>65</v>
      </c>
      <c r="F3671" s="19" t="str">
        <f>IFERROR(__xludf.DUMMYFUNCTION("""COMPUTED_VALUE"""),"BLUE")</f>
        <v>BLUE</v>
      </c>
      <c r="G3671" s="20" t="str">
        <f>IFERROR(__xludf.DUMMYFUNCTION("""COMPUTED_VALUE"""),"Uncle Sams Cider (11/12/2021) (Blue)")</f>
        <v>Uncle Sams Cider (11/12/2021) (Blue)</v>
      </c>
      <c r="H3671" s="19"/>
    </row>
    <row r="3672">
      <c r="A3672" s="9"/>
      <c r="B3672" s="15"/>
      <c r="C3672" s="9">
        <f>IFERROR(__xludf.DUMMYFUNCTION("""COMPUTED_VALUE"""),44567.2772192476)</f>
        <v>44567.27722</v>
      </c>
      <c r="D3672" s="15">
        <f>IFERROR(__xludf.DUMMYFUNCTION("""COMPUTED_VALUE"""),1.005)</f>
        <v>1.005</v>
      </c>
      <c r="E3672" s="16">
        <f>IFERROR(__xludf.DUMMYFUNCTION("""COMPUTED_VALUE"""),65.0)</f>
        <v>65</v>
      </c>
      <c r="F3672" s="19" t="str">
        <f>IFERROR(__xludf.DUMMYFUNCTION("""COMPUTED_VALUE"""),"BLUE")</f>
        <v>BLUE</v>
      </c>
      <c r="G3672" s="20" t="str">
        <f>IFERROR(__xludf.DUMMYFUNCTION("""COMPUTED_VALUE"""),"Uncle Sams Cider (11/12/2021) (Blue)")</f>
        <v>Uncle Sams Cider (11/12/2021) (Blue)</v>
      </c>
      <c r="H3672" s="19"/>
    </row>
    <row r="3673">
      <c r="A3673" s="9"/>
      <c r="B3673" s="15"/>
      <c r="C3673" s="9">
        <f>IFERROR(__xludf.DUMMYFUNCTION("""COMPUTED_VALUE"""),44567.2667623032)</f>
        <v>44567.26676</v>
      </c>
      <c r="D3673" s="15">
        <f>IFERROR(__xludf.DUMMYFUNCTION("""COMPUTED_VALUE"""),1.005)</f>
        <v>1.005</v>
      </c>
      <c r="E3673" s="16">
        <f>IFERROR(__xludf.DUMMYFUNCTION("""COMPUTED_VALUE"""),65.0)</f>
        <v>65</v>
      </c>
      <c r="F3673" s="19" t="str">
        <f>IFERROR(__xludf.DUMMYFUNCTION("""COMPUTED_VALUE"""),"BLUE")</f>
        <v>BLUE</v>
      </c>
      <c r="G3673" s="20" t="str">
        <f>IFERROR(__xludf.DUMMYFUNCTION("""COMPUTED_VALUE"""),"Uncle Sams Cider (11/12/2021) (Blue)")</f>
        <v>Uncle Sams Cider (11/12/2021) (Blue)</v>
      </c>
      <c r="H3673" s="19"/>
    </row>
    <row r="3674">
      <c r="A3674" s="9"/>
      <c r="B3674" s="15"/>
      <c r="C3674" s="9">
        <f>IFERROR(__xludf.DUMMYFUNCTION("""COMPUTED_VALUE"""),44567.2563406481)</f>
        <v>44567.25634</v>
      </c>
      <c r="D3674" s="15">
        <f>IFERROR(__xludf.DUMMYFUNCTION("""COMPUTED_VALUE"""),1.005)</f>
        <v>1.005</v>
      </c>
      <c r="E3674" s="16">
        <f>IFERROR(__xludf.DUMMYFUNCTION("""COMPUTED_VALUE"""),65.0)</f>
        <v>65</v>
      </c>
      <c r="F3674" s="19" t="str">
        <f>IFERROR(__xludf.DUMMYFUNCTION("""COMPUTED_VALUE"""),"BLUE")</f>
        <v>BLUE</v>
      </c>
      <c r="G3674" s="20" t="str">
        <f>IFERROR(__xludf.DUMMYFUNCTION("""COMPUTED_VALUE"""),"Uncle Sams Cider (11/12/2021) (Blue)")</f>
        <v>Uncle Sams Cider (11/12/2021) (Blue)</v>
      </c>
      <c r="H3674" s="19"/>
    </row>
    <row r="3675">
      <c r="A3675" s="9"/>
      <c r="B3675" s="15"/>
      <c r="C3675" s="9">
        <f>IFERROR(__xludf.DUMMYFUNCTION("""COMPUTED_VALUE"""),44567.245919456)</f>
        <v>44567.24592</v>
      </c>
      <c r="D3675" s="15">
        <f>IFERROR(__xludf.DUMMYFUNCTION("""COMPUTED_VALUE"""),1.005)</f>
        <v>1.005</v>
      </c>
      <c r="E3675" s="16">
        <f>IFERROR(__xludf.DUMMYFUNCTION("""COMPUTED_VALUE"""),65.0)</f>
        <v>65</v>
      </c>
      <c r="F3675" s="19" t="str">
        <f>IFERROR(__xludf.DUMMYFUNCTION("""COMPUTED_VALUE"""),"BLUE")</f>
        <v>BLUE</v>
      </c>
      <c r="G3675" s="20" t="str">
        <f>IFERROR(__xludf.DUMMYFUNCTION("""COMPUTED_VALUE"""),"Uncle Sams Cider (11/12/2021) (Blue)")</f>
        <v>Uncle Sams Cider (11/12/2021) (Blue)</v>
      </c>
      <c r="H3675" s="19"/>
    </row>
    <row r="3676">
      <c r="A3676" s="9"/>
      <c r="B3676" s="15"/>
      <c r="C3676" s="9">
        <f>IFERROR(__xludf.DUMMYFUNCTION("""COMPUTED_VALUE"""),44567.2354988194)</f>
        <v>44567.2355</v>
      </c>
      <c r="D3676" s="15">
        <f>IFERROR(__xludf.DUMMYFUNCTION("""COMPUTED_VALUE"""),1.005)</f>
        <v>1.005</v>
      </c>
      <c r="E3676" s="16">
        <f>IFERROR(__xludf.DUMMYFUNCTION("""COMPUTED_VALUE"""),65.0)</f>
        <v>65</v>
      </c>
      <c r="F3676" s="19" t="str">
        <f>IFERROR(__xludf.DUMMYFUNCTION("""COMPUTED_VALUE"""),"BLUE")</f>
        <v>BLUE</v>
      </c>
      <c r="G3676" s="20" t="str">
        <f>IFERROR(__xludf.DUMMYFUNCTION("""COMPUTED_VALUE"""),"Uncle Sams Cider (11/12/2021) (Blue)")</f>
        <v>Uncle Sams Cider (11/12/2021) (Blue)</v>
      </c>
      <c r="H3676" s="19"/>
    </row>
    <row r="3677">
      <c r="A3677" s="9"/>
      <c r="B3677" s="15"/>
      <c r="C3677" s="9">
        <f>IFERROR(__xludf.DUMMYFUNCTION("""COMPUTED_VALUE"""),44567.2250666666)</f>
        <v>44567.22507</v>
      </c>
      <c r="D3677" s="15">
        <f>IFERROR(__xludf.DUMMYFUNCTION("""COMPUTED_VALUE"""),1.005)</f>
        <v>1.005</v>
      </c>
      <c r="E3677" s="16">
        <f>IFERROR(__xludf.DUMMYFUNCTION("""COMPUTED_VALUE"""),65.0)</f>
        <v>65</v>
      </c>
      <c r="F3677" s="19" t="str">
        <f>IFERROR(__xludf.DUMMYFUNCTION("""COMPUTED_VALUE"""),"BLUE")</f>
        <v>BLUE</v>
      </c>
      <c r="G3677" s="20" t="str">
        <f>IFERROR(__xludf.DUMMYFUNCTION("""COMPUTED_VALUE"""),"Uncle Sams Cider (11/12/2021) (Blue)")</f>
        <v>Uncle Sams Cider (11/12/2021) (Blue)</v>
      </c>
      <c r="H3677" s="19"/>
    </row>
    <row r="3678">
      <c r="A3678" s="9"/>
      <c r="B3678" s="15"/>
      <c r="C3678" s="9">
        <f>IFERROR(__xludf.DUMMYFUNCTION("""COMPUTED_VALUE"""),44567.2146443981)</f>
        <v>44567.21464</v>
      </c>
      <c r="D3678" s="15">
        <f>IFERROR(__xludf.DUMMYFUNCTION("""COMPUTED_VALUE"""),1.005)</f>
        <v>1.005</v>
      </c>
      <c r="E3678" s="16">
        <f>IFERROR(__xludf.DUMMYFUNCTION("""COMPUTED_VALUE"""),65.0)</f>
        <v>65</v>
      </c>
      <c r="F3678" s="19" t="str">
        <f>IFERROR(__xludf.DUMMYFUNCTION("""COMPUTED_VALUE"""),"BLUE")</f>
        <v>BLUE</v>
      </c>
      <c r="G3678" s="20" t="str">
        <f>IFERROR(__xludf.DUMMYFUNCTION("""COMPUTED_VALUE"""),"Uncle Sams Cider (11/12/2021) (Blue)")</f>
        <v>Uncle Sams Cider (11/12/2021) (Blue)</v>
      </c>
      <c r="H3678" s="19"/>
    </row>
    <row r="3679">
      <c r="A3679" s="9"/>
      <c r="B3679" s="15"/>
      <c r="C3679" s="9">
        <f>IFERROR(__xludf.DUMMYFUNCTION("""COMPUTED_VALUE"""),44567.2042231944)</f>
        <v>44567.20422</v>
      </c>
      <c r="D3679" s="15">
        <f>IFERROR(__xludf.DUMMYFUNCTION("""COMPUTED_VALUE"""),1.006)</f>
        <v>1.006</v>
      </c>
      <c r="E3679" s="16">
        <f>IFERROR(__xludf.DUMMYFUNCTION("""COMPUTED_VALUE"""),65.0)</f>
        <v>65</v>
      </c>
      <c r="F3679" s="19" t="str">
        <f>IFERROR(__xludf.DUMMYFUNCTION("""COMPUTED_VALUE"""),"BLUE")</f>
        <v>BLUE</v>
      </c>
      <c r="G3679" s="20" t="str">
        <f>IFERROR(__xludf.DUMMYFUNCTION("""COMPUTED_VALUE"""),"Uncle Sams Cider (11/12/2021) (Blue)")</f>
        <v>Uncle Sams Cider (11/12/2021) (Blue)</v>
      </c>
      <c r="H3679" s="19"/>
    </row>
    <row r="3680">
      <c r="A3680" s="9"/>
      <c r="B3680" s="15"/>
      <c r="C3680" s="9">
        <f>IFERROR(__xludf.DUMMYFUNCTION("""COMPUTED_VALUE"""),44567.1938013425)</f>
        <v>44567.1938</v>
      </c>
      <c r="D3680" s="15">
        <f>IFERROR(__xludf.DUMMYFUNCTION("""COMPUTED_VALUE"""),1.005)</f>
        <v>1.005</v>
      </c>
      <c r="E3680" s="16">
        <f>IFERROR(__xludf.DUMMYFUNCTION("""COMPUTED_VALUE"""),65.0)</f>
        <v>65</v>
      </c>
      <c r="F3680" s="19" t="str">
        <f>IFERROR(__xludf.DUMMYFUNCTION("""COMPUTED_VALUE"""),"BLUE")</f>
        <v>BLUE</v>
      </c>
      <c r="G3680" s="20" t="str">
        <f>IFERROR(__xludf.DUMMYFUNCTION("""COMPUTED_VALUE"""),"Uncle Sams Cider (11/12/2021) (Blue)")</f>
        <v>Uncle Sams Cider (11/12/2021) (Blue)</v>
      </c>
      <c r="H3680" s="19"/>
    </row>
    <row r="3681">
      <c r="A3681" s="9"/>
      <c r="B3681" s="15"/>
      <c r="C3681" s="9">
        <f>IFERROR(__xludf.DUMMYFUNCTION("""COMPUTED_VALUE"""),44567.1833785185)</f>
        <v>44567.18338</v>
      </c>
      <c r="D3681" s="15">
        <f>IFERROR(__xludf.DUMMYFUNCTION("""COMPUTED_VALUE"""),1.005)</f>
        <v>1.005</v>
      </c>
      <c r="E3681" s="16">
        <f>IFERROR(__xludf.DUMMYFUNCTION("""COMPUTED_VALUE"""),65.0)</f>
        <v>65</v>
      </c>
      <c r="F3681" s="19" t="str">
        <f>IFERROR(__xludf.DUMMYFUNCTION("""COMPUTED_VALUE"""),"BLUE")</f>
        <v>BLUE</v>
      </c>
      <c r="G3681" s="20" t="str">
        <f>IFERROR(__xludf.DUMMYFUNCTION("""COMPUTED_VALUE"""),"Uncle Sams Cider (11/12/2021) (Blue)")</f>
        <v>Uncle Sams Cider (11/12/2021) (Blue)</v>
      </c>
      <c r="H3681" s="19"/>
    </row>
    <row r="3682">
      <c r="A3682" s="9"/>
      <c r="B3682" s="15"/>
      <c r="C3682" s="9">
        <f>IFERROR(__xludf.DUMMYFUNCTION("""COMPUTED_VALUE"""),44567.1729571412)</f>
        <v>44567.17296</v>
      </c>
      <c r="D3682" s="15">
        <f>IFERROR(__xludf.DUMMYFUNCTION("""COMPUTED_VALUE"""),1.005)</f>
        <v>1.005</v>
      </c>
      <c r="E3682" s="16">
        <f>IFERROR(__xludf.DUMMYFUNCTION("""COMPUTED_VALUE"""),65.0)</f>
        <v>65</v>
      </c>
      <c r="F3682" s="19" t="str">
        <f>IFERROR(__xludf.DUMMYFUNCTION("""COMPUTED_VALUE"""),"BLUE")</f>
        <v>BLUE</v>
      </c>
      <c r="G3682" s="20" t="str">
        <f>IFERROR(__xludf.DUMMYFUNCTION("""COMPUTED_VALUE"""),"Uncle Sams Cider (11/12/2021) (Blue)")</f>
        <v>Uncle Sams Cider (11/12/2021) (Blue)</v>
      </c>
      <c r="H3682" s="19"/>
    </row>
    <row r="3683">
      <c r="A3683" s="9"/>
      <c r="B3683" s="15"/>
      <c r="C3683" s="9">
        <f>IFERROR(__xludf.DUMMYFUNCTION("""COMPUTED_VALUE"""),44567.1625365277)</f>
        <v>44567.16254</v>
      </c>
      <c r="D3683" s="15">
        <f>IFERROR(__xludf.DUMMYFUNCTION("""COMPUTED_VALUE"""),1.006)</f>
        <v>1.006</v>
      </c>
      <c r="E3683" s="16">
        <f>IFERROR(__xludf.DUMMYFUNCTION("""COMPUTED_VALUE"""),66.0)</f>
        <v>66</v>
      </c>
      <c r="F3683" s="19" t="str">
        <f>IFERROR(__xludf.DUMMYFUNCTION("""COMPUTED_VALUE"""),"BLUE")</f>
        <v>BLUE</v>
      </c>
      <c r="G3683" s="20" t="str">
        <f>IFERROR(__xludf.DUMMYFUNCTION("""COMPUTED_VALUE"""),"Uncle Sams Cider (11/12/2021) (Blue)")</f>
        <v>Uncle Sams Cider (11/12/2021) (Blue)</v>
      </c>
      <c r="H3683" s="19"/>
    </row>
    <row r="3684">
      <c r="A3684" s="9"/>
      <c r="B3684" s="15"/>
      <c r="C3684" s="9">
        <f>IFERROR(__xludf.DUMMYFUNCTION("""COMPUTED_VALUE"""),44567.1521160763)</f>
        <v>44567.15212</v>
      </c>
      <c r="D3684" s="15">
        <f>IFERROR(__xludf.DUMMYFUNCTION("""COMPUTED_VALUE"""),1.005)</f>
        <v>1.005</v>
      </c>
      <c r="E3684" s="16">
        <f>IFERROR(__xludf.DUMMYFUNCTION("""COMPUTED_VALUE"""),66.0)</f>
        <v>66</v>
      </c>
      <c r="F3684" s="19" t="str">
        <f>IFERROR(__xludf.DUMMYFUNCTION("""COMPUTED_VALUE"""),"BLUE")</f>
        <v>BLUE</v>
      </c>
      <c r="G3684" s="20" t="str">
        <f>IFERROR(__xludf.DUMMYFUNCTION("""COMPUTED_VALUE"""),"Uncle Sams Cider (11/12/2021) (Blue)")</f>
        <v>Uncle Sams Cider (11/12/2021) (Blue)</v>
      </c>
      <c r="H3684" s="19"/>
    </row>
    <row r="3685">
      <c r="A3685" s="9"/>
      <c r="B3685" s="15"/>
      <c r="C3685" s="9">
        <f>IFERROR(__xludf.DUMMYFUNCTION("""COMPUTED_VALUE"""),44567.1416961226)</f>
        <v>44567.1417</v>
      </c>
      <c r="D3685" s="15">
        <f>IFERROR(__xludf.DUMMYFUNCTION("""COMPUTED_VALUE"""),1.005)</f>
        <v>1.005</v>
      </c>
      <c r="E3685" s="16">
        <f>IFERROR(__xludf.DUMMYFUNCTION("""COMPUTED_VALUE"""),66.0)</f>
        <v>66</v>
      </c>
      <c r="F3685" s="19" t="str">
        <f>IFERROR(__xludf.DUMMYFUNCTION("""COMPUTED_VALUE"""),"BLUE")</f>
        <v>BLUE</v>
      </c>
      <c r="G3685" s="20" t="str">
        <f>IFERROR(__xludf.DUMMYFUNCTION("""COMPUTED_VALUE"""),"Uncle Sams Cider (11/12/2021) (Blue)")</f>
        <v>Uncle Sams Cider (11/12/2021) (Blue)</v>
      </c>
      <c r="H3685" s="19"/>
    </row>
    <row r="3686">
      <c r="A3686" s="9"/>
      <c r="B3686" s="15"/>
      <c r="C3686" s="9">
        <f>IFERROR(__xludf.DUMMYFUNCTION("""COMPUTED_VALUE"""),44567.1312645138)</f>
        <v>44567.13126</v>
      </c>
      <c r="D3686" s="15">
        <f>IFERROR(__xludf.DUMMYFUNCTION("""COMPUTED_VALUE"""),1.005)</f>
        <v>1.005</v>
      </c>
      <c r="E3686" s="16">
        <f>IFERROR(__xludf.DUMMYFUNCTION("""COMPUTED_VALUE"""),66.0)</f>
        <v>66</v>
      </c>
      <c r="F3686" s="19" t="str">
        <f>IFERROR(__xludf.DUMMYFUNCTION("""COMPUTED_VALUE"""),"BLUE")</f>
        <v>BLUE</v>
      </c>
      <c r="G3686" s="20" t="str">
        <f>IFERROR(__xludf.DUMMYFUNCTION("""COMPUTED_VALUE"""),"Uncle Sams Cider (11/12/2021) (Blue)")</f>
        <v>Uncle Sams Cider (11/12/2021) (Blue)</v>
      </c>
      <c r="H3686" s="19"/>
    </row>
    <row r="3687">
      <c r="A3687" s="9"/>
      <c r="B3687" s="15"/>
      <c r="C3687" s="9">
        <f>IFERROR(__xludf.DUMMYFUNCTION("""COMPUTED_VALUE"""),44567.1208442361)</f>
        <v>44567.12084</v>
      </c>
      <c r="D3687" s="15">
        <f>IFERROR(__xludf.DUMMYFUNCTION("""COMPUTED_VALUE"""),1.005)</f>
        <v>1.005</v>
      </c>
      <c r="E3687" s="16">
        <f>IFERROR(__xludf.DUMMYFUNCTION("""COMPUTED_VALUE"""),66.0)</f>
        <v>66</v>
      </c>
      <c r="F3687" s="19" t="str">
        <f>IFERROR(__xludf.DUMMYFUNCTION("""COMPUTED_VALUE"""),"BLUE")</f>
        <v>BLUE</v>
      </c>
      <c r="G3687" s="20" t="str">
        <f>IFERROR(__xludf.DUMMYFUNCTION("""COMPUTED_VALUE"""),"Uncle Sams Cider (11/12/2021) (Blue)")</f>
        <v>Uncle Sams Cider (11/12/2021) (Blue)</v>
      </c>
      <c r="H3687" s="19"/>
    </row>
    <row r="3688">
      <c r="A3688" s="9"/>
      <c r="B3688" s="15"/>
      <c r="C3688" s="9">
        <f>IFERROR(__xludf.DUMMYFUNCTION("""COMPUTED_VALUE"""),44567.1104240162)</f>
        <v>44567.11042</v>
      </c>
      <c r="D3688" s="15">
        <f>IFERROR(__xludf.DUMMYFUNCTION("""COMPUTED_VALUE"""),1.005)</f>
        <v>1.005</v>
      </c>
      <c r="E3688" s="16">
        <f>IFERROR(__xludf.DUMMYFUNCTION("""COMPUTED_VALUE"""),66.0)</f>
        <v>66</v>
      </c>
      <c r="F3688" s="19" t="str">
        <f>IFERROR(__xludf.DUMMYFUNCTION("""COMPUTED_VALUE"""),"BLUE")</f>
        <v>BLUE</v>
      </c>
      <c r="G3688" s="20" t="str">
        <f>IFERROR(__xludf.DUMMYFUNCTION("""COMPUTED_VALUE"""),"Uncle Sams Cider (11/12/2021) (Blue)")</f>
        <v>Uncle Sams Cider (11/12/2021) (Blue)</v>
      </c>
      <c r="H3688" s="19"/>
    </row>
    <row r="3689">
      <c r="A3689" s="9"/>
      <c r="B3689" s="15"/>
      <c r="C3689" s="9">
        <f>IFERROR(__xludf.DUMMYFUNCTION("""COMPUTED_VALUE"""),44567.1000020023)</f>
        <v>44567.1</v>
      </c>
      <c r="D3689" s="15">
        <f>IFERROR(__xludf.DUMMYFUNCTION("""COMPUTED_VALUE"""),1.006)</f>
        <v>1.006</v>
      </c>
      <c r="E3689" s="16">
        <f>IFERROR(__xludf.DUMMYFUNCTION("""COMPUTED_VALUE"""),66.0)</f>
        <v>66</v>
      </c>
      <c r="F3689" s="19" t="str">
        <f>IFERROR(__xludf.DUMMYFUNCTION("""COMPUTED_VALUE"""),"BLUE")</f>
        <v>BLUE</v>
      </c>
      <c r="G3689" s="20" t="str">
        <f>IFERROR(__xludf.DUMMYFUNCTION("""COMPUTED_VALUE"""),"Uncle Sams Cider (11/12/2021) (Blue)")</f>
        <v>Uncle Sams Cider (11/12/2021) (Blue)</v>
      </c>
      <c r="H3689" s="19"/>
    </row>
    <row r="3690">
      <c r="A3690" s="9"/>
      <c r="B3690" s="15"/>
      <c r="C3690" s="9">
        <f>IFERROR(__xludf.DUMMYFUNCTION("""COMPUTED_VALUE"""),44567.0895699074)</f>
        <v>44567.08957</v>
      </c>
      <c r="D3690" s="15">
        <f>IFERROR(__xludf.DUMMYFUNCTION("""COMPUTED_VALUE"""),1.005)</f>
        <v>1.005</v>
      </c>
      <c r="E3690" s="16">
        <f>IFERROR(__xludf.DUMMYFUNCTION("""COMPUTED_VALUE"""),66.0)</f>
        <v>66</v>
      </c>
      <c r="F3690" s="19" t="str">
        <f>IFERROR(__xludf.DUMMYFUNCTION("""COMPUTED_VALUE"""),"BLUE")</f>
        <v>BLUE</v>
      </c>
      <c r="G3690" s="20" t="str">
        <f>IFERROR(__xludf.DUMMYFUNCTION("""COMPUTED_VALUE"""),"Uncle Sams Cider (11/12/2021) (Blue)")</f>
        <v>Uncle Sams Cider (11/12/2021) (Blue)</v>
      </c>
      <c r="H3690" s="19"/>
    </row>
    <row r="3691">
      <c r="A3691" s="9"/>
      <c r="B3691" s="15"/>
      <c r="C3691" s="9">
        <f>IFERROR(__xludf.DUMMYFUNCTION("""COMPUTED_VALUE"""),44567.0791376388)</f>
        <v>44567.07914</v>
      </c>
      <c r="D3691" s="15">
        <f>IFERROR(__xludf.DUMMYFUNCTION("""COMPUTED_VALUE"""),1.005)</f>
        <v>1.005</v>
      </c>
      <c r="E3691" s="16">
        <f>IFERROR(__xludf.DUMMYFUNCTION("""COMPUTED_VALUE"""),66.0)</f>
        <v>66</v>
      </c>
      <c r="F3691" s="19" t="str">
        <f>IFERROR(__xludf.DUMMYFUNCTION("""COMPUTED_VALUE"""),"BLUE")</f>
        <v>BLUE</v>
      </c>
      <c r="G3691" s="20" t="str">
        <f>IFERROR(__xludf.DUMMYFUNCTION("""COMPUTED_VALUE"""),"Uncle Sams Cider (11/12/2021) (Blue)")</f>
        <v>Uncle Sams Cider (11/12/2021) (Blue)</v>
      </c>
      <c r="H3691" s="19"/>
    </row>
    <row r="3692">
      <c r="A3692" s="9"/>
      <c r="B3692" s="15"/>
      <c r="C3692" s="9">
        <f>IFERROR(__xludf.DUMMYFUNCTION("""COMPUTED_VALUE"""),44567.0687171527)</f>
        <v>44567.06872</v>
      </c>
      <c r="D3692" s="15">
        <f>IFERROR(__xludf.DUMMYFUNCTION("""COMPUTED_VALUE"""),1.005)</f>
        <v>1.005</v>
      </c>
      <c r="E3692" s="16">
        <f>IFERROR(__xludf.DUMMYFUNCTION("""COMPUTED_VALUE"""),66.0)</f>
        <v>66</v>
      </c>
      <c r="F3692" s="19" t="str">
        <f>IFERROR(__xludf.DUMMYFUNCTION("""COMPUTED_VALUE"""),"BLUE")</f>
        <v>BLUE</v>
      </c>
      <c r="G3692" s="20" t="str">
        <f>IFERROR(__xludf.DUMMYFUNCTION("""COMPUTED_VALUE"""),"Uncle Sams Cider (11/12/2021) (Blue)")</f>
        <v>Uncle Sams Cider (11/12/2021) (Blue)</v>
      </c>
      <c r="H3692" s="19"/>
    </row>
    <row r="3693">
      <c r="A3693" s="9"/>
      <c r="B3693" s="15"/>
      <c r="C3693" s="9">
        <f>IFERROR(__xludf.DUMMYFUNCTION("""COMPUTED_VALUE"""),44567.0582959953)</f>
        <v>44567.0583</v>
      </c>
      <c r="D3693" s="15">
        <f>IFERROR(__xludf.DUMMYFUNCTION("""COMPUTED_VALUE"""),1.005)</f>
        <v>1.005</v>
      </c>
      <c r="E3693" s="16">
        <f>IFERROR(__xludf.DUMMYFUNCTION("""COMPUTED_VALUE"""),66.0)</f>
        <v>66</v>
      </c>
      <c r="F3693" s="19" t="str">
        <f>IFERROR(__xludf.DUMMYFUNCTION("""COMPUTED_VALUE"""),"BLUE")</f>
        <v>BLUE</v>
      </c>
      <c r="G3693" s="20" t="str">
        <f>IFERROR(__xludf.DUMMYFUNCTION("""COMPUTED_VALUE"""),"Uncle Sams Cider (11/12/2021) (Blue)")</f>
        <v>Uncle Sams Cider (11/12/2021) (Blue)</v>
      </c>
      <c r="H3693" s="19"/>
    </row>
    <row r="3694">
      <c r="A3694" s="9"/>
      <c r="B3694" s="15"/>
      <c r="C3694" s="9">
        <f>IFERROR(__xludf.DUMMYFUNCTION("""COMPUTED_VALUE"""),44567.0478742361)</f>
        <v>44567.04787</v>
      </c>
      <c r="D3694" s="15">
        <f>IFERROR(__xludf.DUMMYFUNCTION("""COMPUTED_VALUE"""),1.005)</f>
        <v>1.005</v>
      </c>
      <c r="E3694" s="16">
        <f>IFERROR(__xludf.DUMMYFUNCTION("""COMPUTED_VALUE"""),66.0)</f>
        <v>66</v>
      </c>
      <c r="F3694" s="19" t="str">
        <f>IFERROR(__xludf.DUMMYFUNCTION("""COMPUTED_VALUE"""),"BLUE")</f>
        <v>BLUE</v>
      </c>
      <c r="G3694" s="20" t="str">
        <f>IFERROR(__xludf.DUMMYFUNCTION("""COMPUTED_VALUE"""),"Uncle Sams Cider (11/12/2021) (Blue)")</f>
        <v>Uncle Sams Cider (11/12/2021) (Blue)</v>
      </c>
      <c r="H3694" s="19"/>
    </row>
    <row r="3695">
      <c r="A3695" s="9"/>
      <c r="B3695" s="15"/>
      <c r="C3695" s="9">
        <f>IFERROR(__xludf.DUMMYFUNCTION("""COMPUTED_VALUE"""),44567.0374548148)</f>
        <v>44567.03745</v>
      </c>
      <c r="D3695" s="15">
        <f>IFERROR(__xludf.DUMMYFUNCTION("""COMPUTED_VALUE"""),1.005)</f>
        <v>1.005</v>
      </c>
      <c r="E3695" s="16">
        <f>IFERROR(__xludf.DUMMYFUNCTION("""COMPUTED_VALUE"""),66.0)</f>
        <v>66</v>
      </c>
      <c r="F3695" s="19" t="str">
        <f>IFERROR(__xludf.DUMMYFUNCTION("""COMPUTED_VALUE"""),"BLUE")</f>
        <v>BLUE</v>
      </c>
      <c r="G3695" s="20" t="str">
        <f>IFERROR(__xludf.DUMMYFUNCTION("""COMPUTED_VALUE"""),"Uncle Sams Cider (11/12/2021) (Blue)")</f>
        <v>Uncle Sams Cider (11/12/2021) (Blue)</v>
      </c>
      <c r="H3695" s="19"/>
    </row>
    <row r="3696">
      <c r="A3696" s="9"/>
      <c r="B3696" s="15"/>
      <c r="C3696" s="9">
        <f>IFERROR(__xludf.DUMMYFUNCTION("""COMPUTED_VALUE"""),44567.027034618)</f>
        <v>44567.02703</v>
      </c>
      <c r="D3696" s="15">
        <f>IFERROR(__xludf.DUMMYFUNCTION("""COMPUTED_VALUE"""),1.005)</f>
        <v>1.005</v>
      </c>
      <c r="E3696" s="16">
        <f>IFERROR(__xludf.DUMMYFUNCTION("""COMPUTED_VALUE"""),66.0)</f>
        <v>66</v>
      </c>
      <c r="F3696" s="19" t="str">
        <f>IFERROR(__xludf.DUMMYFUNCTION("""COMPUTED_VALUE"""),"BLUE")</f>
        <v>BLUE</v>
      </c>
      <c r="G3696" s="20" t="str">
        <f>IFERROR(__xludf.DUMMYFUNCTION("""COMPUTED_VALUE"""),"Uncle Sams Cider (11/12/2021) (Blue)")</f>
        <v>Uncle Sams Cider (11/12/2021) (Blue)</v>
      </c>
      <c r="H3696" s="19"/>
    </row>
    <row r="3697">
      <c r="A3697" s="9"/>
      <c r="B3697" s="15"/>
      <c r="C3697" s="9">
        <f>IFERROR(__xludf.DUMMYFUNCTION("""COMPUTED_VALUE"""),44567.0166143865)</f>
        <v>44567.01661</v>
      </c>
      <c r="D3697" s="15">
        <f>IFERROR(__xludf.DUMMYFUNCTION("""COMPUTED_VALUE"""),1.005)</f>
        <v>1.005</v>
      </c>
      <c r="E3697" s="16">
        <f>IFERROR(__xludf.DUMMYFUNCTION("""COMPUTED_VALUE"""),66.0)</f>
        <v>66</v>
      </c>
      <c r="F3697" s="19" t="str">
        <f>IFERROR(__xludf.DUMMYFUNCTION("""COMPUTED_VALUE"""),"BLUE")</f>
        <v>BLUE</v>
      </c>
      <c r="G3697" s="20" t="str">
        <f>IFERROR(__xludf.DUMMYFUNCTION("""COMPUTED_VALUE"""),"Uncle Sams Cider (11/12/2021) (Blue)")</f>
        <v>Uncle Sams Cider (11/12/2021) (Blue)</v>
      </c>
      <c r="H3697" s="19"/>
    </row>
    <row r="3698">
      <c r="A3698" s="9"/>
      <c r="B3698" s="15"/>
      <c r="C3698" s="9">
        <f>IFERROR(__xludf.DUMMYFUNCTION("""COMPUTED_VALUE"""),44567.0061949884)</f>
        <v>44567.00619</v>
      </c>
      <c r="D3698" s="15">
        <f>IFERROR(__xludf.DUMMYFUNCTION("""COMPUTED_VALUE"""),1.005)</f>
        <v>1.005</v>
      </c>
      <c r="E3698" s="16">
        <f>IFERROR(__xludf.DUMMYFUNCTION("""COMPUTED_VALUE"""),66.0)</f>
        <v>66</v>
      </c>
      <c r="F3698" s="19" t="str">
        <f>IFERROR(__xludf.DUMMYFUNCTION("""COMPUTED_VALUE"""),"BLUE")</f>
        <v>BLUE</v>
      </c>
      <c r="G3698" s="20" t="str">
        <f>IFERROR(__xludf.DUMMYFUNCTION("""COMPUTED_VALUE"""),"Uncle Sams Cider (11/12/2021) (Blue)")</f>
        <v>Uncle Sams Cider (11/12/2021) (Blue)</v>
      </c>
      <c r="H3698" s="19"/>
    </row>
    <row r="3699">
      <c r="A3699" s="9"/>
      <c r="B3699" s="15"/>
      <c r="C3699" s="9">
        <f>IFERROR(__xludf.DUMMYFUNCTION("""COMPUTED_VALUE"""),44566.9957749884)</f>
        <v>44566.99577</v>
      </c>
      <c r="D3699" s="15">
        <f>IFERROR(__xludf.DUMMYFUNCTION("""COMPUTED_VALUE"""),1.005)</f>
        <v>1.005</v>
      </c>
      <c r="E3699" s="16">
        <f>IFERROR(__xludf.DUMMYFUNCTION("""COMPUTED_VALUE"""),66.0)</f>
        <v>66</v>
      </c>
      <c r="F3699" s="19" t="str">
        <f>IFERROR(__xludf.DUMMYFUNCTION("""COMPUTED_VALUE"""),"BLUE")</f>
        <v>BLUE</v>
      </c>
      <c r="G3699" s="20" t="str">
        <f>IFERROR(__xludf.DUMMYFUNCTION("""COMPUTED_VALUE"""),"Uncle Sams Cider (11/12/2021) (Blue)")</f>
        <v>Uncle Sams Cider (11/12/2021) (Blue)</v>
      </c>
      <c r="H3699" s="19"/>
    </row>
    <row r="3700">
      <c r="A3700" s="9"/>
      <c r="B3700" s="15"/>
      <c r="C3700" s="9">
        <f>IFERROR(__xludf.DUMMYFUNCTION("""COMPUTED_VALUE"""),44566.9853535648)</f>
        <v>44566.98535</v>
      </c>
      <c r="D3700" s="15">
        <f>IFERROR(__xludf.DUMMYFUNCTION("""COMPUTED_VALUE"""),1.005)</f>
        <v>1.005</v>
      </c>
      <c r="E3700" s="16">
        <f>IFERROR(__xludf.DUMMYFUNCTION("""COMPUTED_VALUE"""),66.0)</f>
        <v>66</v>
      </c>
      <c r="F3700" s="19" t="str">
        <f>IFERROR(__xludf.DUMMYFUNCTION("""COMPUTED_VALUE"""),"BLUE")</f>
        <v>BLUE</v>
      </c>
      <c r="G3700" s="20" t="str">
        <f>IFERROR(__xludf.DUMMYFUNCTION("""COMPUTED_VALUE"""),"Uncle Sams Cider (11/12/2021) (Blue)")</f>
        <v>Uncle Sams Cider (11/12/2021) (Blue)</v>
      </c>
      <c r="H3700" s="19"/>
    </row>
    <row r="3701">
      <c r="A3701" s="9"/>
      <c r="B3701" s="15"/>
      <c r="C3701" s="9">
        <f>IFERROR(__xludf.DUMMYFUNCTION("""COMPUTED_VALUE"""),44566.9749076504)</f>
        <v>44566.97491</v>
      </c>
      <c r="D3701" s="15">
        <f>IFERROR(__xludf.DUMMYFUNCTION("""COMPUTED_VALUE"""),1.005)</f>
        <v>1.005</v>
      </c>
      <c r="E3701" s="16">
        <f>IFERROR(__xludf.DUMMYFUNCTION("""COMPUTED_VALUE"""),66.0)</f>
        <v>66</v>
      </c>
      <c r="F3701" s="19" t="str">
        <f>IFERROR(__xludf.DUMMYFUNCTION("""COMPUTED_VALUE"""),"BLUE")</f>
        <v>BLUE</v>
      </c>
      <c r="G3701" s="20" t="str">
        <f>IFERROR(__xludf.DUMMYFUNCTION("""COMPUTED_VALUE"""),"Uncle Sams Cider (11/12/2021) (Blue)")</f>
        <v>Uncle Sams Cider (11/12/2021) (Blue)</v>
      </c>
      <c r="H3701" s="19"/>
    </row>
    <row r="3702">
      <c r="A3702" s="9"/>
      <c r="B3702" s="15"/>
      <c r="C3702" s="9">
        <f>IFERROR(__xludf.DUMMYFUNCTION("""COMPUTED_VALUE"""),44566.9644861689)</f>
        <v>44566.96449</v>
      </c>
      <c r="D3702" s="15">
        <f>IFERROR(__xludf.DUMMYFUNCTION("""COMPUTED_VALUE"""),1.005)</f>
        <v>1.005</v>
      </c>
      <c r="E3702" s="16">
        <f>IFERROR(__xludf.DUMMYFUNCTION("""COMPUTED_VALUE"""),66.0)</f>
        <v>66</v>
      </c>
      <c r="F3702" s="19" t="str">
        <f>IFERROR(__xludf.DUMMYFUNCTION("""COMPUTED_VALUE"""),"BLUE")</f>
        <v>BLUE</v>
      </c>
      <c r="G3702" s="20" t="str">
        <f>IFERROR(__xludf.DUMMYFUNCTION("""COMPUTED_VALUE"""),"Uncle Sams Cider (11/12/2021) (Blue)")</f>
        <v>Uncle Sams Cider (11/12/2021) (Blue)</v>
      </c>
      <c r="H3702" s="19"/>
    </row>
    <row r="3703">
      <c r="A3703" s="9"/>
      <c r="B3703" s="15"/>
      <c r="C3703" s="9">
        <f>IFERROR(__xludf.DUMMYFUNCTION("""COMPUTED_VALUE"""),44566.9540636921)</f>
        <v>44566.95406</v>
      </c>
      <c r="D3703" s="15">
        <f>IFERROR(__xludf.DUMMYFUNCTION("""COMPUTED_VALUE"""),1.005)</f>
        <v>1.005</v>
      </c>
      <c r="E3703" s="16">
        <f>IFERROR(__xludf.DUMMYFUNCTION("""COMPUTED_VALUE"""),66.0)</f>
        <v>66</v>
      </c>
      <c r="F3703" s="19" t="str">
        <f>IFERROR(__xludf.DUMMYFUNCTION("""COMPUTED_VALUE"""),"BLUE")</f>
        <v>BLUE</v>
      </c>
      <c r="G3703" s="20" t="str">
        <f>IFERROR(__xludf.DUMMYFUNCTION("""COMPUTED_VALUE"""),"Uncle Sams Cider (11/12/2021) (Blue)")</f>
        <v>Uncle Sams Cider (11/12/2021) (Blue)</v>
      </c>
      <c r="H3703" s="19"/>
    </row>
    <row r="3704">
      <c r="A3704" s="9"/>
      <c r="B3704" s="15"/>
      <c r="C3704" s="9">
        <f>IFERROR(__xludf.DUMMYFUNCTION("""COMPUTED_VALUE"""),44566.943631574)</f>
        <v>44566.94363</v>
      </c>
      <c r="D3704" s="15">
        <f>IFERROR(__xludf.DUMMYFUNCTION("""COMPUTED_VALUE"""),1.005)</f>
        <v>1.005</v>
      </c>
      <c r="E3704" s="16">
        <f>IFERROR(__xludf.DUMMYFUNCTION("""COMPUTED_VALUE"""),66.0)</f>
        <v>66</v>
      </c>
      <c r="F3704" s="19" t="str">
        <f>IFERROR(__xludf.DUMMYFUNCTION("""COMPUTED_VALUE"""),"BLUE")</f>
        <v>BLUE</v>
      </c>
      <c r="G3704" s="20" t="str">
        <f>IFERROR(__xludf.DUMMYFUNCTION("""COMPUTED_VALUE"""),"Uncle Sams Cider (11/12/2021) (Blue)")</f>
        <v>Uncle Sams Cider (11/12/2021) (Blue)</v>
      </c>
      <c r="H3704" s="19"/>
    </row>
    <row r="3705">
      <c r="A3705" s="9"/>
      <c r="B3705" s="15"/>
      <c r="C3705" s="9">
        <f>IFERROR(__xludf.DUMMYFUNCTION("""COMPUTED_VALUE"""),44566.9332109143)</f>
        <v>44566.93321</v>
      </c>
      <c r="D3705" s="15">
        <f>IFERROR(__xludf.DUMMYFUNCTION("""COMPUTED_VALUE"""),1.005)</f>
        <v>1.005</v>
      </c>
      <c r="E3705" s="16">
        <f>IFERROR(__xludf.DUMMYFUNCTION("""COMPUTED_VALUE"""),66.0)</f>
        <v>66</v>
      </c>
      <c r="F3705" s="19" t="str">
        <f>IFERROR(__xludf.DUMMYFUNCTION("""COMPUTED_VALUE"""),"BLUE")</f>
        <v>BLUE</v>
      </c>
      <c r="G3705" s="20" t="str">
        <f>IFERROR(__xludf.DUMMYFUNCTION("""COMPUTED_VALUE"""),"Uncle Sams Cider (11/12/2021) (Blue)")</f>
        <v>Uncle Sams Cider (11/12/2021) (Blue)</v>
      </c>
      <c r="H3705" s="19"/>
    </row>
    <row r="3706">
      <c r="A3706" s="9"/>
      <c r="B3706" s="15"/>
      <c r="C3706" s="9">
        <f>IFERROR(__xludf.DUMMYFUNCTION("""COMPUTED_VALUE"""),44566.9227778819)</f>
        <v>44566.92278</v>
      </c>
      <c r="D3706" s="15">
        <f>IFERROR(__xludf.DUMMYFUNCTION("""COMPUTED_VALUE"""),1.005)</f>
        <v>1.005</v>
      </c>
      <c r="E3706" s="16">
        <f>IFERROR(__xludf.DUMMYFUNCTION("""COMPUTED_VALUE"""),66.0)</f>
        <v>66</v>
      </c>
      <c r="F3706" s="19" t="str">
        <f>IFERROR(__xludf.DUMMYFUNCTION("""COMPUTED_VALUE"""),"BLUE")</f>
        <v>BLUE</v>
      </c>
      <c r="G3706" s="20" t="str">
        <f>IFERROR(__xludf.DUMMYFUNCTION("""COMPUTED_VALUE"""),"Uncle Sams Cider (11/12/2021) (Blue)")</f>
        <v>Uncle Sams Cider (11/12/2021) (Blue)</v>
      </c>
      <c r="H3706" s="19"/>
    </row>
    <row r="3707">
      <c r="A3707" s="9"/>
      <c r="B3707" s="15"/>
      <c r="C3707" s="9">
        <f>IFERROR(__xludf.DUMMYFUNCTION("""COMPUTED_VALUE"""),44566.9123550231)</f>
        <v>44566.91236</v>
      </c>
      <c r="D3707" s="15">
        <f>IFERROR(__xludf.DUMMYFUNCTION("""COMPUTED_VALUE"""),1.005)</f>
        <v>1.005</v>
      </c>
      <c r="E3707" s="16">
        <f>IFERROR(__xludf.DUMMYFUNCTION("""COMPUTED_VALUE"""),66.0)</f>
        <v>66</v>
      </c>
      <c r="F3707" s="19" t="str">
        <f>IFERROR(__xludf.DUMMYFUNCTION("""COMPUTED_VALUE"""),"BLUE")</f>
        <v>BLUE</v>
      </c>
      <c r="G3707" s="20" t="str">
        <f>IFERROR(__xludf.DUMMYFUNCTION("""COMPUTED_VALUE"""),"Uncle Sams Cider (11/12/2021) (Blue)")</f>
        <v>Uncle Sams Cider (11/12/2021) (Blue)</v>
      </c>
      <c r="H3707" s="19"/>
    </row>
    <row r="3708">
      <c r="A3708" s="9"/>
      <c r="B3708" s="15"/>
      <c r="C3708" s="9">
        <f>IFERROR(__xludf.DUMMYFUNCTION("""COMPUTED_VALUE"""),44566.9019343865)</f>
        <v>44566.90193</v>
      </c>
      <c r="D3708" s="15">
        <f>IFERROR(__xludf.DUMMYFUNCTION("""COMPUTED_VALUE"""),1.005)</f>
        <v>1.005</v>
      </c>
      <c r="E3708" s="16">
        <f>IFERROR(__xludf.DUMMYFUNCTION("""COMPUTED_VALUE"""),66.0)</f>
        <v>66</v>
      </c>
      <c r="F3708" s="19" t="str">
        <f>IFERROR(__xludf.DUMMYFUNCTION("""COMPUTED_VALUE"""),"BLUE")</f>
        <v>BLUE</v>
      </c>
      <c r="G3708" s="20" t="str">
        <f>IFERROR(__xludf.DUMMYFUNCTION("""COMPUTED_VALUE"""),"Uncle Sams Cider (11/12/2021) (Blue)")</f>
        <v>Uncle Sams Cider (11/12/2021) (Blue)</v>
      </c>
      <c r="H3708" s="19"/>
    </row>
    <row r="3709">
      <c r="A3709" s="9"/>
      <c r="B3709" s="15"/>
      <c r="C3709" s="9">
        <f>IFERROR(__xludf.DUMMYFUNCTION("""COMPUTED_VALUE"""),44566.8915129166)</f>
        <v>44566.89151</v>
      </c>
      <c r="D3709" s="15">
        <f>IFERROR(__xludf.DUMMYFUNCTION("""COMPUTED_VALUE"""),1.005)</f>
        <v>1.005</v>
      </c>
      <c r="E3709" s="16">
        <f>IFERROR(__xludf.DUMMYFUNCTION("""COMPUTED_VALUE"""),66.0)</f>
        <v>66</v>
      </c>
      <c r="F3709" s="19" t="str">
        <f>IFERROR(__xludf.DUMMYFUNCTION("""COMPUTED_VALUE"""),"BLUE")</f>
        <v>BLUE</v>
      </c>
      <c r="G3709" s="20" t="str">
        <f>IFERROR(__xludf.DUMMYFUNCTION("""COMPUTED_VALUE"""),"Uncle Sams Cider (11/12/2021) (Blue)")</f>
        <v>Uncle Sams Cider (11/12/2021) (Blue)</v>
      </c>
      <c r="H3709" s="19"/>
    </row>
    <row r="3710">
      <c r="A3710" s="9"/>
      <c r="B3710" s="15"/>
      <c r="C3710" s="9">
        <f>IFERROR(__xludf.DUMMYFUNCTION("""COMPUTED_VALUE"""),44566.8810925347)</f>
        <v>44566.88109</v>
      </c>
      <c r="D3710" s="15">
        <f>IFERROR(__xludf.DUMMYFUNCTION("""COMPUTED_VALUE"""),1.005)</f>
        <v>1.005</v>
      </c>
      <c r="E3710" s="16">
        <f>IFERROR(__xludf.DUMMYFUNCTION("""COMPUTED_VALUE"""),66.0)</f>
        <v>66</v>
      </c>
      <c r="F3710" s="19" t="str">
        <f>IFERROR(__xludf.DUMMYFUNCTION("""COMPUTED_VALUE"""),"BLUE")</f>
        <v>BLUE</v>
      </c>
      <c r="G3710" s="20" t="str">
        <f>IFERROR(__xludf.DUMMYFUNCTION("""COMPUTED_VALUE"""),"Uncle Sams Cider (11/12/2021) (Blue)")</f>
        <v>Uncle Sams Cider (11/12/2021) (Blue)</v>
      </c>
      <c r="H3710" s="19"/>
    </row>
    <row r="3711">
      <c r="A3711" s="9"/>
      <c r="B3711" s="15"/>
      <c r="C3711" s="9">
        <f>IFERROR(__xludf.DUMMYFUNCTION("""COMPUTED_VALUE"""),44566.8706695023)</f>
        <v>44566.87067</v>
      </c>
      <c r="D3711" s="15">
        <f>IFERROR(__xludf.DUMMYFUNCTION("""COMPUTED_VALUE"""),1.005)</f>
        <v>1.005</v>
      </c>
      <c r="E3711" s="16">
        <f>IFERROR(__xludf.DUMMYFUNCTION("""COMPUTED_VALUE"""),66.0)</f>
        <v>66</v>
      </c>
      <c r="F3711" s="19" t="str">
        <f>IFERROR(__xludf.DUMMYFUNCTION("""COMPUTED_VALUE"""),"BLUE")</f>
        <v>BLUE</v>
      </c>
      <c r="G3711" s="20" t="str">
        <f>IFERROR(__xludf.DUMMYFUNCTION("""COMPUTED_VALUE"""),"Uncle Sams Cider (11/12/2021) (Blue)")</f>
        <v>Uncle Sams Cider (11/12/2021) (Blue)</v>
      </c>
      <c r="H3711" s="19"/>
    </row>
    <row r="3712">
      <c r="A3712" s="9"/>
      <c r="B3712" s="15"/>
      <c r="C3712" s="9">
        <f>IFERROR(__xludf.DUMMYFUNCTION("""COMPUTED_VALUE"""),44566.8602378356)</f>
        <v>44566.86024</v>
      </c>
      <c r="D3712" s="15">
        <f>IFERROR(__xludf.DUMMYFUNCTION("""COMPUTED_VALUE"""),1.005)</f>
        <v>1.005</v>
      </c>
      <c r="E3712" s="16">
        <f>IFERROR(__xludf.DUMMYFUNCTION("""COMPUTED_VALUE"""),66.0)</f>
        <v>66</v>
      </c>
      <c r="F3712" s="19" t="str">
        <f>IFERROR(__xludf.DUMMYFUNCTION("""COMPUTED_VALUE"""),"BLUE")</f>
        <v>BLUE</v>
      </c>
      <c r="G3712" s="20" t="str">
        <f>IFERROR(__xludf.DUMMYFUNCTION("""COMPUTED_VALUE"""),"Uncle Sams Cider (11/12/2021) (Blue)")</f>
        <v>Uncle Sams Cider (11/12/2021) (Blue)</v>
      </c>
      <c r="H3712" s="19"/>
    </row>
    <row r="3713">
      <c r="A3713" s="9"/>
      <c r="B3713" s="15"/>
      <c r="C3713" s="9">
        <f>IFERROR(__xludf.DUMMYFUNCTION("""COMPUTED_VALUE"""),44566.849816493)</f>
        <v>44566.84982</v>
      </c>
      <c r="D3713" s="15">
        <f>IFERROR(__xludf.DUMMYFUNCTION("""COMPUTED_VALUE"""),1.005)</f>
        <v>1.005</v>
      </c>
      <c r="E3713" s="16">
        <f>IFERROR(__xludf.DUMMYFUNCTION("""COMPUTED_VALUE"""),66.0)</f>
        <v>66</v>
      </c>
      <c r="F3713" s="19" t="str">
        <f>IFERROR(__xludf.DUMMYFUNCTION("""COMPUTED_VALUE"""),"BLUE")</f>
        <v>BLUE</v>
      </c>
      <c r="G3713" s="20" t="str">
        <f>IFERROR(__xludf.DUMMYFUNCTION("""COMPUTED_VALUE"""),"Uncle Sams Cider (11/12/2021) (Blue)")</f>
        <v>Uncle Sams Cider (11/12/2021) (Blue)</v>
      </c>
      <c r="H3713" s="19"/>
    </row>
    <row r="3714">
      <c r="A3714" s="9"/>
      <c r="B3714" s="15"/>
      <c r="C3714" s="9">
        <f>IFERROR(__xludf.DUMMYFUNCTION("""COMPUTED_VALUE"""),44566.8393938194)</f>
        <v>44566.83939</v>
      </c>
      <c r="D3714" s="15">
        <f>IFERROR(__xludf.DUMMYFUNCTION("""COMPUTED_VALUE"""),1.005)</f>
        <v>1.005</v>
      </c>
      <c r="E3714" s="16">
        <f>IFERROR(__xludf.DUMMYFUNCTION("""COMPUTED_VALUE"""),66.0)</f>
        <v>66</v>
      </c>
      <c r="F3714" s="19" t="str">
        <f>IFERROR(__xludf.DUMMYFUNCTION("""COMPUTED_VALUE"""),"BLUE")</f>
        <v>BLUE</v>
      </c>
      <c r="G3714" s="20" t="str">
        <f>IFERROR(__xludf.DUMMYFUNCTION("""COMPUTED_VALUE"""),"Uncle Sams Cider (11/12/2021) (Blue)")</f>
        <v>Uncle Sams Cider (11/12/2021) (Blue)</v>
      </c>
      <c r="H3714" s="19"/>
    </row>
    <row r="3715">
      <c r="A3715" s="9"/>
      <c r="B3715" s="15"/>
      <c r="C3715" s="9">
        <f>IFERROR(__xludf.DUMMYFUNCTION("""COMPUTED_VALUE"""),44566.8289731018)</f>
        <v>44566.82897</v>
      </c>
      <c r="D3715" s="15">
        <f>IFERROR(__xludf.DUMMYFUNCTION("""COMPUTED_VALUE"""),1.005)</f>
        <v>1.005</v>
      </c>
      <c r="E3715" s="16">
        <f>IFERROR(__xludf.DUMMYFUNCTION("""COMPUTED_VALUE"""),66.0)</f>
        <v>66</v>
      </c>
      <c r="F3715" s="19" t="str">
        <f>IFERROR(__xludf.DUMMYFUNCTION("""COMPUTED_VALUE"""),"BLUE")</f>
        <v>BLUE</v>
      </c>
      <c r="G3715" s="20" t="str">
        <f>IFERROR(__xludf.DUMMYFUNCTION("""COMPUTED_VALUE"""),"Uncle Sams Cider (11/12/2021) (Blue)")</f>
        <v>Uncle Sams Cider (11/12/2021) (Blue)</v>
      </c>
      <c r="H3715" s="19"/>
    </row>
    <row r="3716">
      <c r="A3716" s="9"/>
      <c r="B3716" s="15"/>
      <c r="C3716" s="9">
        <f>IFERROR(__xludf.DUMMYFUNCTION("""COMPUTED_VALUE"""),44566.8185512847)</f>
        <v>44566.81855</v>
      </c>
      <c r="D3716" s="15">
        <f>IFERROR(__xludf.DUMMYFUNCTION("""COMPUTED_VALUE"""),1.005)</f>
        <v>1.005</v>
      </c>
      <c r="E3716" s="16">
        <f>IFERROR(__xludf.DUMMYFUNCTION("""COMPUTED_VALUE"""),66.0)</f>
        <v>66</v>
      </c>
      <c r="F3716" s="19" t="str">
        <f>IFERROR(__xludf.DUMMYFUNCTION("""COMPUTED_VALUE"""),"BLUE")</f>
        <v>BLUE</v>
      </c>
      <c r="G3716" s="20" t="str">
        <f>IFERROR(__xludf.DUMMYFUNCTION("""COMPUTED_VALUE"""),"Uncle Sams Cider (11/12/2021) (Blue)")</f>
        <v>Uncle Sams Cider (11/12/2021) (Blue)</v>
      </c>
      <c r="H3716" s="19"/>
    </row>
    <row r="3717">
      <c r="A3717" s="9"/>
      <c r="B3717" s="15"/>
      <c r="C3717" s="9">
        <f>IFERROR(__xludf.DUMMYFUNCTION("""COMPUTED_VALUE"""),44566.808130787)</f>
        <v>44566.80813</v>
      </c>
      <c r="D3717" s="15">
        <f>IFERROR(__xludf.DUMMYFUNCTION("""COMPUTED_VALUE"""),1.005)</f>
        <v>1.005</v>
      </c>
      <c r="E3717" s="16">
        <f>IFERROR(__xludf.DUMMYFUNCTION("""COMPUTED_VALUE"""),66.0)</f>
        <v>66</v>
      </c>
      <c r="F3717" s="19" t="str">
        <f>IFERROR(__xludf.DUMMYFUNCTION("""COMPUTED_VALUE"""),"BLUE")</f>
        <v>BLUE</v>
      </c>
      <c r="G3717" s="20" t="str">
        <f>IFERROR(__xludf.DUMMYFUNCTION("""COMPUTED_VALUE"""),"Uncle Sams Cider (11/12/2021) (Blue)")</f>
        <v>Uncle Sams Cider (11/12/2021) (Blue)</v>
      </c>
      <c r="H3717" s="19"/>
    </row>
    <row r="3718">
      <c r="A3718" s="9"/>
      <c r="B3718" s="15"/>
      <c r="C3718" s="9">
        <f>IFERROR(__xludf.DUMMYFUNCTION("""COMPUTED_VALUE"""),44566.7977092361)</f>
        <v>44566.79771</v>
      </c>
      <c r="D3718" s="15">
        <f>IFERROR(__xludf.DUMMYFUNCTION("""COMPUTED_VALUE"""),1.005)</f>
        <v>1.005</v>
      </c>
      <c r="E3718" s="16">
        <f>IFERROR(__xludf.DUMMYFUNCTION("""COMPUTED_VALUE"""),66.0)</f>
        <v>66</v>
      </c>
      <c r="F3718" s="19" t="str">
        <f>IFERROR(__xludf.DUMMYFUNCTION("""COMPUTED_VALUE"""),"BLUE")</f>
        <v>BLUE</v>
      </c>
      <c r="G3718" s="20" t="str">
        <f>IFERROR(__xludf.DUMMYFUNCTION("""COMPUTED_VALUE"""),"Uncle Sams Cider (11/12/2021) (Blue)")</f>
        <v>Uncle Sams Cider (11/12/2021) (Blue)</v>
      </c>
      <c r="H3718" s="19"/>
    </row>
    <row r="3719">
      <c r="A3719" s="9"/>
      <c r="B3719" s="15"/>
      <c r="C3719" s="9">
        <f>IFERROR(__xludf.DUMMYFUNCTION("""COMPUTED_VALUE"""),44566.7872893287)</f>
        <v>44566.78729</v>
      </c>
      <c r="D3719" s="15">
        <f>IFERROR(__xludf.DUMMYFUNCTION("""COMPUTED_VALUE"""),1.005)</f>
        <v>1.005</v>
      </c>
      <c r="E3719" s="16">
        <f>IFERROR(__xludf.DUMMYFUNCTION("""COMPUTED_VALUE"""),67.0)</f>
        <v>67</v>
      </c>
      <c r="F3719" s="19" t="str">
        <f>IFERROR(__xludf.DUMMYFUNCTION("""COMPUTED_VALUE"""),"BLUE")</f>
        <v>BLUE</v>
      </c>
      <c r="G3719" s="20" t="str">
        <f>IFERROR(__xludf.DUMMYFUNCTION("""COMPUTED_VALUE"""),"Uncle Sams Cider (11/12/2021) (Blue)")</f>
        <v>Uncle Sams Cider (11/12/2021) (Blue)</v>
      </c>
      <c r="H3719" s="19"/>
    </row>
    <row r="3720">
      <c r="A3720" s="9"/>
      <c r="B3720" s="15"/>
      <c r="C3720" s="9">
        <f>IFERROR(__xludf.DUMMYFUNCTION("""COMPUTED_VALUE"""),44566.7768677546)</f>
        <v>44566.77687</v>
      </c>
      <c r="D3720" s="15">
        <f>IFERROR(__xludf.DUMMYFUNCTION("""COMPUTED_VALUE"""),1.005)</f>
        <v>1.005</v>
      </c>
      <c r="E3720" s="16">
        <f>IFERROR(__xludf.DUMMYFUNCTION("""COMPUTED_VALUE"""),67.0)</f>
        <v>67</v>
      </c>
      <c r="F3720" s="19" t="str">
        <f>IFERROR(__xludf.DUMMYFUNCTION("""COMPUTED_VALUE"""),"BLUE")</f>
        <v>BLUE</v>
      </c>
      <c r="G3720" s="20" t="str">
        <f>IFERROR(__xludf.DUMMYFUNCTION("""COMPUTED_VALUE"""),"Uncle Sams Cider (11/12/2021) (Blue)")</f>
        <v>Uncle Sams Cider (11/12/2021) (Blue)</v>
      </c>
      <c r="H3720" s="19"/>
    </row>
    <row r="3721">
      <c r="A3721" s="9"/>
      <c r="B3721" s="15"/>
      <c r="C3721" s="9">
        <f>IFERROR(__xludf.DUMMYFUNCTION("""COMPUTED_VALUE"""),44566.7664474537)</f>
        <v>44566.76645</v>
      </c>
      <c r="D3721" s="15">
        <f>IFERROR(__xludf.DUMMYFUNCTION("""COMPUTED_VALUE"""),1.005)</f>
        <v>1.005</v>
      </c>
      <c r="E3721" s="16">
        <f>IFERROR(__xludf.DUMMYFUNCTION("""COMPUTED_VALUE"""),67.0)</f>
        <v>67</v>
      </c>
      <c r="F3721" s="19" t="str">
        <f>IFERROR(__xludf.DUMMYFUNCTION("""COMPUTED_VALUE"""),"BLUE")</f>
        <v>BLUE</v>
      </c>
      <c r="G3721" s="20" t="str">
        <f>IFERROR(__xludf.DUMMYFUNCTION("""COMPUTED_VALUE"""),"Uncle Sams Cider (11/12/2021) (Blue)")</f>
        <v>Uncle Sams Cider (11/12/2021) (Blue)</v>
      </c>
      <c r="H3721" s="19"/>
    </row>
    <row r="3722">
      <c r="A3722" s="9"/>
      <c r="B3722" s="15"/>
      <c r="C3722" s="9">
        <f>IFERROR(__xludf.DUMMYFUNCTION("""COMPUTED_VALUE"""),44566.7560261574)</f>
        <v>44566.75603</v>
      </c>
      <c r="D3722" s="15">
        <f>IFERROR(__xludf.DUMMYFUNCTION("""COMPUTED_VALUE"""),1.005)</f>
        <v>1.005</v>
      </c>
      <c r="E3722" s="16">
        <f>IFERROR(__xludf.DUMMYFUNCTION("""COMPUTED_VALUE"""),67.0)</f>
        <v>67</v>
      </c>
      <c r="F3722" s="19" t="str">
        <f>IFERROR(__xludf.DUMMYFUNCTION("""COMPUTED_VALUE"""),"BLUE")</f>
        <v>BLUE</v>
      </c>
      <c r="G3722" s="20" t="str">
        <f>IFERROR(__xludf.DUMMYFUNCTION("""COMPUTED_VALUE"""),"Uncle Sams Cider (11/12/2021) (Blue)")</f>
        <v>Uncle Sams Cider (11/12/2021) (Blue)</v>
      </c>
      <c r="H3722" s="19"/>
    </row>
    <row r="3723">
      <c r="A3723" s="9"/>
      <c r="B3723" s="15"/>
      <c r="C3723" s="9">
        <f>IFERROR(__xludf.DUMMYFUNCTION("""COMPUTED_VALUE"""),44566.745604618)</f>
        <v>44566.7456</v>
      </c>
      <c r="D3723" s="15">
        <f>IFERROR(__xludf.DUMMYFUNCTION("""COMPUTED_VALUE"""),1.005)</f>
        <v>1.005</v>
      </c>
      <c r="E3723" s="16">
        <f>IFERROR(__xludf.DUMMYFUNCTION("""COMPUTED_VALUE"""),67.0)</f>
        <v>67</v>
      </c>
      <c r="F3723" s="19" t="str">
        <f>IFERROR(__xludf.DUMMYFUNCTION("""COMPUTED_VALUE"""),"BLUE")</f>
        <v>BLUE</v>
      </c>
      <c r="G3723" s="20" t="str">
        <f>IFERROR(__xludf.DUMMYFUNCTION("""COMPUTED_VALUE"""),"Uncle Sams Cider (11/12/2021) (Blue)")</f>
        <v>Uncle Sams Cider (11/12/2021) (Blue)</v>
      </c>
      <c r="H3723" s="19"/>
    </row>
    <row r="3724">
      <c r="A3724" s="9"/>
      <c r="B3724" s="15"/>
      <c r="C3724" s="9">
        <f>IFERROR(__xludf.DUMMYFUNCTION("""COMPUTED_VALUE"""),44566.7351832291)</f>
        <v>44566.73518</v>
      </c>
      <c r="D3724" s="15">
        <f>IFERROR(__xludf.DUMMYFUNCTION("""COMPUTED_VALUE"""),1.005)</f>
        <v>1.005</v>
      </c>
      <c r="E3724" s="16">
        <f>IFERROR(__xludf.DUMMYFUNCTION("""COMPUTED_VALUE"""),67.0)</f>
        <v>67</v>
      </c>
      <c r="F3724" s="19" t="str">
        <f>IFERROR(__xludf.DUMMYFUNCTION("""COMPUTED_VALUE"""),"BLUE")</f>
        <v>BLUE</v>
      </c>
      <c r="G3724" s="20" t="str">
        <f>IFERROR(__xludf.DUMMYFUNCTION("""COMPUTED_VALUE"""),"Uncle Sams Cider (11/12/2021) (Blue)")</f>
        <v>Uncle Sams Cider (11/12/2021) (Blue)</v>
      </c>
      <c r="H3724" s="19"/>
    </row>
    <row r="3725">
      <c r="A3725" s="9"/>
      <c r="B3725" s="15"/>
      <c r="C3725" s="9">
        <f>IFERROR(__xludf.DUMMYFUNCTION("""COMPUTED_VALUE"""),44566.7247498611)</f>
        <v>44566.72475</v>
      </c>
      <c r="D3725" s="15">
        <f>IFERROR(__xludf.DUMMYFUNCTION("""COMPUTED_VALUE"""),1.005)</f>
        <v>1.005</v>
      </c>
      <c r="E3725" s="16">
        <f>IFERROR(__xludf.DUMMYFUNCTION("""COMPUTED_VALUE"""),67.0)</f>
        <v>67</v>
      </c>
      <c r="F3725" s="19" t="str">
        <f>IFERROR(__xludf.DUMMYFUNCTION("""COMPUTED_VALUE"""),"BLUE")</f>
        <v>BLUE</v>
      </c>
      <c r="G3725" s="20" t="str">
        <f>IFERROR(__xludf.DUMMYFUNCTION("""COMPUTED_VALUE"""),"Uncle Sams Cider (11/12/2021) (Blue)")</f>
        <v>Uncle Sams Cider (11/12/2021) (Blue)</v>
      </c>
      <c r="H3725" s="19"/>
    </row>
    <row r="3726">
      <c r="A3726" s="9"/>
      <c r="B3726" s="15"/>
      <c r="C3726" s="9">
        <f>IFERROR(__xludf.DUMMYFUNCTION("""COMPUTED_VALUE"""),44566.7143167013)</f>
        <v>44566.71432</v>
      </c>
      <c r="D3726" s="15">
        <f>IFERROR(__xludf.DUMMYFUNCTION("""COMPUTED_VALUE"""),1.005)</f>
        <v>1.005</v>
      </c>
      <c r="E3726" s="16">
        <f>IFERROR(__xludf.DUMMYFUNCTION("""COMPUTED_VALUE"""),67.0)</f>
        <v>67</v>
      </c>
      <c r="F3726" s="19" t="str">
        <f>IFERROR(__xludf.DUMMYFUNCTION("""COMPUTED_VALUE"""),"BLUE")</f>
        <v>BLUE</v>
      </c>
      <c r="G3726" s="20" t="str">
        <f>IFERROR(__xludf.DUMMYFUNCTION("""COMPUTED_VALUE"""),"Uncle Sams Cider (11/12/2021) (Blue)")</f>
        <v>Uncle Sams Cider (11/12/2021) (Blue)</v>
      </c>
      <c r="H3726" s="19"/>
    </row>
    <row r="3727">
      <c r="A3727" s="9"/>
      <c r="B3727" s="15"/>
      <c r="C3727" s="9">
        <f>IFERROR(__xludf.DUMMYFUNCTION("""COMPUTED_VALUE"""),44566.7038952662)</f>
        <v>44566.7039</v>
      </c>
      <c r="D3727" s="15">
        <f>IFERROR(__xludf.DUMMYFUNCTION("""COMPUTED_VALUE"""),1.005)</f>
        <v>1.005</v>
      </c>
      <c r="E3727" s="16">
        <f>IFERROR(__xludf.DUMMYFUNCTION("""COMPUTED_VALUE"""),67.0)</f>
        <v>67</v>
      </c>
      <c r="F3727" s="19" t="str">
        <f>IFERROR(__xludf.DUMMYFUNCTION("""COMPUTED_VALUE"""),"BLUE")</f>
        <v>BLUE</v>
      </c>
      <c r="G3727" s="20" t="str">
        <f>IFERROR(__xludf.DUMMYFUNCTION("""COMPUTED_VALUE"""),"Uncle Sams Cider (11/12/2021) (Blue)")</f>
        <v>Uncle Sams Cider (11/12/2021) (Blue)</v>
      </c>
      <c r="H3727" s="19"/>
    </row>
    <row r="3728">
      <c r="A3728" s="9"/>
      <c r="B3728" s="15"/>
      <c r="C3728" s="9">
        <f>IFERROR(__xludf.DUMMYFUNCTION("""COMPUTED_VALUE"""),44566.6934745601)</f>
        <v>44566.69347</v>
      </c>
      <c r="D3728" s="15">
        <f>IFERROR(__xludf.DUMMYFUNCTION("""COMPUTED_VALUE"""),1.005)</f>
        <v>1.005</v>
      </c>
      <c r="E3728" s="16">
        <f>IFERROR(__xludf.DUMMYFUNCTION("""COMPUTED_VALUE"""),67.0)</f>
        <v>67</v>
      </c>
      <c r="F3728" s="19" t="str">
        <f>IFERROR(__xludf.DUMMYFUNCTION("""COMPUTED_VALUE"""),"BLUE")</f>
        <v>BLUE</v>
      </c>
      <c r="G3728" s="20" t="str">
        <f>IFERROR(__xludf.DUMMYFUNCTION("""COMPUTED_VALUE"""),"Uncle Sams Cider (11/12/2021) (Blue)")</f>
        <v>Uncle Sams Cider (11/12/2021) (Blue)</v>
      </c>
      <c r="H3728" s="19"/>
    </row>
    <row r="3729">
      <c r="A3729" s="9"/>
      <c r="B3729" s="15"/>
      <c r="C3729" s="9">
        <f>IFERROR(__xludf.DUMMYFUNCTION("""COMPUTED_VALUE"""),44566.6830526041)</f>
        <v>44566.68305</v>
      </c>
      <c r="D3729" s="15">
        <f>IFERROR(__xludf.DUMMYFUNCTION("""COMPUTED_VALUE"""),1.005)</f>
        <v>1.005</v>
      </c>
      <c r="E3729" s="16">
        <f>IFERROR(__xludf.DUMMYFUNCTION("""COMPUTED_VALUE"""),67.0)</f>
        <v>67</v>
      </c>
      <c r="F3729" s="19" t="str">
        <f>IFERROR(__xludf.DUMMYFUNCTION("""COMPUTED_VALUE"""),"BLUE")</f>
        <v>BLUE</v>
      </c>
      <c r="G3729" s="20" t="str">
        <f>IFERROR(__xludf.DUMMYFUNCTION("""COMPUTED_VALUE"""),"Uncle Sams Cider (11/12/2021) (Blue)")</f>
        <v>Uncle Sams Cider (11/12/2021) (Blue)</v>
      </c>
      <c r="H3729" s="19"/>
    </row>
    <row r="3730">
      <c r="A3730" s="9"/>
      <c r="B3730" s="15"/>
      <c r="C3730" s="9">
        <f>IFERROR(__xludf.DUMMYFUNCTION("""COMPUTED_VALUE"""),44566.6726198263)</f>
        <v>44566.67262</v>
      </c>
      <c r="D3730" s="15">
        <f>IFERROR(__xludf.DUMMYFUNCTION("""COMPUTED_VALUE"""),1.005)</f>
        <v>1.005</v>
      </c>
      <c r="E3730" s="16">
        <f>IFERROR(__xludf.DUMMYFUNCTION("""COMPUTED_VALUE"""),67.0)</f>
        <v>67</v>
      </c>
      <c r="F3730" s="19" t="str">
        <f>IFERROR(__xludf.DUMMYFUNCTION("""COMPUTED_VALUE"""),"BLUE")</f>
        <v>BLUE</v>
      </c>
      <c r="G3730" s="20" t="str">
        <f>IFERROR(__xludf.DUMMYFUNCTION("""COMPUTED_VALUE"""),"Uncle Sams Cider (11/12/2021) (Blue)")</f>
        <v>Uncle Sams Cider (11/12/2021) (Blue)</v>
      </c>
      <c r="H3730" s="19"/>
    </row>
    <row r="3731">
      <c r="A3731" s="9"/>
      <c r="B3731" s="15"/>
      <c r="C3731" s="9">
        <f>IFERROR(__xludf.DUMMYFUNCTION("""COMPUTED_VALUE"""),44566.6621985648)</f>
        <v>44566.6622</v>
      </c>
      <c r="D3731" s="15">
        <f>IFERROR(__xludf.DUMMYFUNCTION("""COMPUTED_VALUE"""),1.005)</f>
        <v>1.005</v>
      </c>
      <c r="E3731" s="16">
        <f>IFERROR(__xludf.DUMMYFUNCTION("""COMPUTED_VALUE"""),67.0)</f>
        <v>67</v>
      </c>
      <c r="F3731" s="19" t="str">
        <f>IFERROR(__xludf.DUMMYFUNCTION("""COMPUTED_VALUE"""),"BLUE")</f>
        <v>BLUE</v>
      </c>
      <c r="G3731" s="20" t="str">
        <f>IFERROR(__xludf.DUMMYFUNCTION("""COMPUTED_VALUE"""),"Uncle Sams Cider (11/12/2021) (Blue)")</f>
        <v>Uncle Sams Cider (11/12/2021) (Blue)</v>
      </c>
      <c r="H3731" s="19"/>
    </row>
    <row r="3732">
      <c r="A3732" s="9"/>
      <c r="B3732" s="15"/>
      <c r="C3732" s="9">
        <f>IFERROR(__xludf.DUMMYFUNCTION("""COMPUTED_VALUE"""),44566.651765405)</f>
        <v>44566.65177</v>
      </c>
      <c r="D3732" s="15">
        <f>IFERROR(__xludf.DUMMYFUNCTION("""COMPUTED_VALUE"""),1.005)</f>
        <v>1.005</v>
      </c>
      <c r="E3732" s="16">
        <f>IFERROR(__xludf.DUMMYFUNCTION("""COMPUTED_VALUE"""),67.0)</f>
        <v>67</v>
      </c>
      <c r="F3732" s="19" t="str">
        <f>IFERROR(__xludf.DUMMYFUNCTION("""COMPUTED_VALUE"""),"BLUE")</f>
        <v>BLUE</v>
      </c>
      <c r="G3732" s="20" t="str">
        <f>IFERROR(__xludf.DUMMYFUNCTION("""COMPUTED_VALUE"""),"Uncle Sams Cider (11/12/2021) (Blue)")</f>
        <v>Uncle Sams Cider (11/12/2021) (Blue)</v>
      </c>
      <c r="H3732" s="19"/>
    </row>
    <row r="3733">
      <c r="A3733" s="9"/>
      <c r="B3733" s="15"/>
      <c r="C3733" s="9">
        <f>IFERROR(__xludf.DUMMYFUNCTION("""COMPUTED_VALUE"""),44566.6413447337)</f>
        <v>44566.64134</v>
      </c>
      <c r="D3733" s="15">
        <f>IFERROR(__xludf.DUMMYFUNCTION("""COMPUTED_VALUE"""),1.005)</f>
        <v>1.005</v>
      </c>
      <c r="E3733" s="16">
        <f>IFERROR(__xludf.DUMMYFUNCTION("""COMPUTED_VALUE"""),67.0)</f>
        <v>67</v>
      </c>
      <c r="F3733" s="19" t="str">
        <f>IFERROR(__xludf.DUMMYFUNCTION("""COMPUTED_VALUE"""),"BLUE")</f>
        <v>BLUE</v>
      </c>
      <c r="G3733" s="20" t="str">
        <f>IFERROR(__xludf.DUMMYFUNCTION("""COMPUTED_VALUE"""),"Uncle Sams Cider (11/12/2021) (Blue)")</f>
        <v>Uncle Sams Cider (11/12/2021) (Blue)</v>
      </c>
      <c r="H3733" s="19"/>
    </row>
    <row r="3734">
      <c r="A3734" s="9"/>
      <c r="B3734" s="15"/>
      <c r="C3734" s="9">
        <f>IFERROR(__xludf.DUMMYFUNCTION("""COMPUTED_VALUE"""),44566.6309247222)</f>
        <v>44566.63092</v>
      </c>
      <c r="D3734" s="15">
        <f>IFERROR(__xludf.DUMMYFUNCTION("""COMPUTED_VALUE"""),1.005)</f>
        <v>1.005</v>
      </c>
      <c r="E3734" s="16">
        <f>IFERROR(__xludf.DUMMYFUNCTION("""COMPUTED_VALUE"""),67.0)</f>
        <v>67</v>
      </c>
      <c r="F3734" s="19" t="str">
        <f>IFERROR(__xludf.DUMMYFUNCTION("""COMPUTED_VALUE"""),"BLUE")</f>
        <v>BLUE</v>
      </c>
      <c r="G3734" s="20" t="str">
        <f>IFERROR(__xludf.DUMMYFUNCTION("""COMPUTED_VALUE"""),"Uncle Sams Cider (11/12/2021) (Blue)")</f>
        <v>Uncle Sams Cider (11/12/2021) (Blue)</v>
      </c>
      <c r="H3734" s="19"/>
    </row>
    <row r="3735">
      <c r="A3735" s="9"/>
      <c r="B3735" s="15"/>
      <c r="C3735" s="9">
        <f>IFERROR(__xludf.DUMMYFUNCTION("""COMPUTED_VALUE"""),44566.6205039236)</f>
        <v>44566.6205</v>
      </c>
      <c r="D3735" s="15">
        <f>IFERROR(__xludf.DUMMYFUNCTION("""COMPUTED_VALUE"""),1.005)</f>
        <v>1.005</v>
      </c>
      <c r="E3735" s="16">
        <f>IFERROR(__xludf.DUMMYFUNCTION("""COMPUTED_VALUE"""),67.0)</f>
        <v>67</v>
      </c>
      <c r="F3735" s="19" t="str">
        <f>IFERROR(__xludf.DUMMYFUNCTION("""COMPUTED_VALUE"""),"BLUE")</f>
        <v>BLUE</v>
      </c>
      <c r="G3735" s="20" t="str">
        <f>IFERROR(__xludf.DUMMYFUNCTION("""COMPUTED_VALUE"""),"Uncle Sams Cider (11/12/2021) (Blue)")</f>
        <v>Uncle Sams Cider (11/12/2021) (Blue)</v>
      </c>
      <c r="H3735" s="19"/>
    </row>
    <row r="3736">
      <c r="A3736" s="9"/>
      <c r="B3736" s="15"/>
      <c r="C3736" s="9">
        <f>IFERROR(__xludf.DUMMYFUNCTION("""COMPUTED_VALUE"""),44566.6100818171)</f>
        <v>44566.61008</v>
      </c>
      <c r="D3736" s="15">
        <f>IFERROR(__xludf.DUMMYFUNCTION("""COMPUTED_VALUE"""),1.005)</f>
        <v>1.005</v>
      </c>
      <c r="E3736" s="16">
        <f>IFERROR(__xludf.DUMMYFUNCTION("""COMPUTED_VALUE"""),67.0)</f>
        <v>67</v>
      </c>
      <c r="F3736" s="19" t="str">
        <f>IFERROR(__xludf.DUMMYFUNCTION("""COMPUTED_VALUE"""),"BLUE")</f>
        <v>BLUE</v>
      </c>
      <c r="G3736" s="20" t="str">
        <f>IFERROR(__xludf.DUMMYFUNCTION("""COMPUTED_VALUE"""),"Uncle Sams Cider (11/12/2021) (Blue)")</f>
        <v>Uncle Sams Cider (11/12/2021) (Blue)</v>
      </c>
      <c r="H3736" s="19"/>
    </row>
    <row r="3737">
      <c r="A3737" s="9"/>
      <c r="B3737" s="15"/>
      <c r="C3737" s="9">
        <f>IFERROR(__xludf.DUMMYFUNCTION("""COMPUTED_VALUE"""),44566.5996603935)</f>
        <v>44566.59966</v>
      </c>
      <c r="D3737" s="15">
        <f>IFERROR(__xludf.DUMMYFUNCTION("""COMPUTED_VALUE"""),1.005)</f>
        <v>1.005</v>
      </c>
      <c r="E3737" s="16">
        <f>IFERROR(__xludf.DUMMYFUNCTION("""COMPUTED_VALUE"""),67.0)</f>
        <v>67</v>
      </c>
      <c r="F3737" s="19" t="str">
        <f>IFERROR(__xludf.DUMMYFUNCTION("""COMPUTED_VALUE"""),"BLUE")</f>
        <v>BLUE</v>
      </c>
      <c r="G3737" s="20" t="str">
        <f>IFERROR(__xludf.DUMMYFUNCTION("""COMPUTED_VALUE"""),"Uncle Sams Cider (11/12/2021) (Blue)")</f>
        <v>Uncle Sams Cider (11/12/2021) (Blue)</v>
      </c>
      <c r="H3737" s="19"/>
    </row>
    <row r="3738">
      <c r="A3738" s="9"/>
      <c r="B3738" s="15"/>
      <c r="C3738" s="9">
        <f>IFERROR(__xludf.DUMMYFUNCTION("""COMPUTED_VALUE"""),44566.5892382638)</f>
        <v>44566.58924</v>
      </c>
      <c r="D3738" s="15">
        <f>IFERROR(__xludf.DUMMYFUNCTION("""COMPUTED_VALUE"""),1.005)</f>
        <v>1.005</v>
      </c>
      <c r="E3738" s="16">
        <f>IFERROR(__xludf.DUMMYFUNCTION("""COMPUTED_VALUE"""),67.0)</f>
        <v>67</v>
      </c>
      <c r="F3738" s="19" t="str">
        <f>IFERROR(__xludf.DUMMYFUNCTION("""COMPUTED_VALUE"""),"BLUE")</f>
        <v>BLUE</v>
      </c>
      <c r="G3738" s="20" t="str">
        <f>IFERROR(__xludf.DUMMYFUNCTION("""COMPUTED_VALUE"""),"Uncle Sams Cider (11/12/2021) (Blue)")</f>
        <v>Uncle Sams Cider (11/12/2021) (Blue)</v>
      </c>
      <c r="H3738" s="19"/>
    </row>
    <row r="3739">
      <c r="A3739" s="9"/>
      <c r="B3739" s="15"/>
      <c r="C3739" s="9">
        <f>IFERROR(__xludf.DUMMYFUNCTION("""COMPUTED_VALUE"""),44566.5788166319)</f>
        <v>44566.57882</v>
      </c>
      <c r="D3739" s="15">
        <f>IFERROR(__xludf.DUMMYFUNCTION("""COMPUTED_VALUE"""),1.005)</f>
        <v>1.005</v>
      </c>
      <c r="E3739" s="16">
        <f>IFERROR(__xludf.DUMMYFUNCTION("""COMPUTED_VALUE"""),67.0)</f>
        <v>67</v>
      </c>
      <c r="F3739" s="19" t="str">
        <f>IFERROR(__xludf.DUMMYFUNCTION("""COMPUTED_VALUE"""),"BLUE")</f>
        <v>BLUE</v>
      </c>
      <c r="G3739" s="20" t="str">
        <f>IFERROR(__xludf.DUMMYFUNCTION("""COMPUTED_VALUE"""),"Uncle Sams Cider (11/12/2021) (Blue)")</f>
        <v>Uncle Sams Cider (11/12/2021) (Blue)</v>
      </c>
      <c r="H3739" s="19"/>
    </row>
    <row r="3740">
      <c r="A3740" s="9"/>
      <c r="B3740" s="15"/>
      <c r="C3740" s="9">
        <f>IFERROR(__xludf.DUMMYFUNCTION("""COMPUTED_VALUE"""),44566.5683956597)</f>
        <v>44566.5684</v>
      </c>
      <c r="D3740" s="15">
        <f>IFERROR(__xludf.DUMMYFUNCTION("""COMPUTED_VALUE"""),1.005)</f>
        <v>1.005</v>
      </c>
      <c r="E3740" s="16">
        <f>IFERROR(__xludf.DUMMYFUNCTION("""COMPUTED_VALUE"""),67.0)</f>
        <v>67</v>
      </c>
      <c r="F3740" s="19" t="str">
        <f>IFERROR(__xludf.DUMMYFUNCTION("""COMPUTED_VALUE"""),"BLUE")</f>
        <v>BLUE</v>
      </c>
      <c r="G3740" s="20" t="str">
        <f>IFERROR(__xludf.DUMMYFUNCTION("""COMPUTED_VALUE"""),"Uncle Sams Cider (11/12/2021) (Blue)")</f>
        <v>Uncle Sams Cider (11/12/2021) (Blue)</v>
      </c>
      <c r="H3740" s="19"/>
    </row>
    <row r="3741">
      <c r="A3741" s="9"/>
      <c r="B3741" s="15"/>
      <c r="C3741" s="9">
        <f>IFERROR(__xludf.DUMMYFUNCTION("""COMPUTED_VALUE"""),44566.5579630324)</f>
        <v>44566.55796</v>
      </c>
      <c r="D3741" s="15">
        <f>IFERROR(__xludf.DUMMYFUNCTION("""COMPUTED_VALUE"""),1.005)</f>
        <v>1.005</v>
      </c>
      <c r="E3741" s="16">
        <f>IFERROR(__xludf.DUMMYFUNCTION("""COMPUTED_VALUE"""),67.0)</f>
        <v>67</v>
      </c>
      <c r="F3741" s="19" t="str">
        <f>IFERROR(__xludf.DUMMYFUNCTION("""COMPUTED_VALUE"""),"BLUE")</f>
        <v>BLUE</v>
      </c>
      <c r="G3741" s="20" t="str">
        <f>IFERROR(__xludf.DUMMYFUNCTION("""COMPUTED_VALUE"""),"Uncle Sams Cider (11/12/2021) (Blue)")</f>
        <v>Uncle Sams Cider (11/12/2021) (Blue)</v>
      </c>
      <c r="H3741" s="19"/>
    </row>
    <row r="3742">
      <c r="A3742" s="9"/>
      <c r="B3742" s="15"/>
      <c r="C3742" s="9">
        <f>IFERROR(__xludf.DUMMYFUNCTION("""COMPUTED_VALUE"""),44566.5475413425)</f>
        <v>44566.54754</v>
      </c>
      <c r="D3742" s="15">
        <f>IFERROR(__xludf.DUMMYFUNCTION("""COMPUTED_VALUE"""),1.006)</f>
        <v>1.006</v>
      </c>
      <c r="E3742" s="16">
        <f>IFERROR(__xludf.DUMMYFUNCTION("""COMPUTED_VALUE"""),67.0)</f>
        <v>67</v>
      </c>
      <c r="F3742" s="19" t="str">
        <f>IFERROR(__xludf.DUMMYFUNCTION("""COMPUTED_VALUE"""),"BLUE")</f>
        <v>BLUE</v>
      </c>
      <c r="G3742" s="20" t="str">
        <f>IFERROR(__xludf.DUMMYFUNCTION("""COMPUTED_VALUE"""),"Uncle Sams Cider (11/12/2021) (Blue)")</f>
        <v>Uncle Sams Cider (11/12/2021) (Blue)</v>
      </c>
      <c r="H3742" s="19"/>
    </row>
    <row r="3743">
      <c r="A3743" s="9"/>
      <c r="B3743" s="15"/>
      <c r="C3743" s="9">
        <f>IFERROR(__xludf.DUMMYFUNCTION("""COMPUTED_VALUE"""),44566.5371206712)</f>
        <v>44566.53712</v>
      </c>
      <c r="D3743" s="15">
        <f>IFERROR(__xludf.DUMMYFUNCTION("""COMPUTED_VALUE"""),1.005)</f>
        <v>1.005</v>
      </c>
      <c r="E3743" s="16">
        <f>IFERROR(__xludf.DUMMYFUNCTION("""COMPUTED_VALUE"""),67.0)</f>
        <v>67</v>
      </c>
      <c r="F3743" s="19" t="str">
        <f>IFERROR(__xludf.DUMMYFUNCTION("""COMPUTED_VALUE"""),"BLUE")</f>
        <v>BLUE</v>
      </c>
      <c r="G3743" s="20" t="str">
        <f>IFERROR(__xludf.DUMMYFUNCTION("""COMPUTED_VALUE"""),"Uncle Sams Cider (11/12/2021) (Blue)")</f>
        <v>Uncle Sams Cider (11/12/2021) (Blue)</v>
      </c>
      <c r="H3743" s="19"/>
    </row>
    <row r="3744">
      <c r="A3744" s="9"/>
      <c r="B3744" s="15"/>
      <c r="C3744" s="9">
        <f>IFERROR(__xludf.DUMMYFUNCTION("""COMPUTED_VALUE"""),44566.5266995254)</f>
        <v>44566.5267</v>
      </c>
      <c r="D3744" s="15">
        <f>IFERROR(__xludf.DUMMYFUNCTION("""COMPUTED_VALUE"""),1.005)</f>
        <v>1.005</v>
      </c>
      <c r="E3744" s="16">
        <f>IFERROR(__xludf.DUMMYFUNCTION("""COMPUTED_VALUE"""),67.0)</f>
        <v>67</v>
      </c>
      <c r="F3744" s="19" t="str">
        <f>IFERROR(__xludf.DUMMYFUNCTION("""COMPUTED_VALUE"""),"BLUE")</f>
        <v>BLUE</v>
      </c>
      <c r="G3744" s="20" t="str">
        <f>IFERROR(__xludf.DUMMYFUNCTION("""COMPUTED_VALUE"""),"Uncle Sams Cider (11/12/2021) (Blue)")</f>
        <v>Uncle Sams Cider (11/12/2021) (Blue)</v>
      </c>
      <c r="H3744" s="19"/>
    </row>
    <row r="3745">
      <c r="A3745" s="9"/>
      <c r="B3745" s="15"/>
      <c r="C3745" s="9">
        <f>IFERROR(__xludf.DUMMYFUNCTION("""COMPUTED_VALUE"""),44566.5162777546)</f>
        <v>44566.51628</v>
      </c>
      <c r="D3745" s="15">
        <f>IFERROR(__xludf.DUMMYFUNCTION("""COMPUTED_VALUE"""),1.005)</f>
        <v>1.005</v>
      </c>
      <c r="E3745" s="16">
        <f>IFERROR(__xludf.DUMMYFUNCTION("""COMPUTED_VALUE"""),67.0)</f>
        <v>67</v>
      </c>
      <c r="F3745" s="19" t="str">
        <f>IFERROR(__xludf.DUMMYFUNCTION("""COMPUTED_VALUE"""),"BLUE")</f>
        <v>BLUE</v>
      </c>
      <c r="G3745" s="20" t="str">
        <f>IFERROR(__xludf.DUMMYFUNCTION("""COMPUTED_VALUE"""),"Uncle Sams Cider (11/12/2021) (Blue)")</f>
        <v>Uncle Sams Cider (11/12/2021) (Blue)</v>
      </c>
      <c r="H3745" s="19"/>
    </row>
    <row r="3746">
      <c r="A3746" s="9"/>
      <c r="B3746" s="15"/>
      <c r="C3746" s="9">
        <f>IFERROR(__xludf.DUMMYFUNCTION("""COMPUTED_VALUE"""),44566.5058570833)</f>
        <v>44566.50586</v>
      </c>
      <c r="D3746" s="15">
        <f>IFERROR(__xludf.DUMMYFUNCTION("""COMPUTED_VALUE"""),1.005)</f>
        <v>1.005</v>
      </c>
      <c r="E3746" s="16">
        <f>IFERROR(__xludf.DUMMYFUNCTION("""COMPUTED_VALUE"""),68.0)</f>
        <v>68</v>
      </c>
      <c r="F3746" s="19" t="str">
        <f>IFERROR(__xludf.DUMMYFUNCTION("""COMPUTED_VALUE"""),"BLUE")</f>
        <v>BLUE</v>
      </c>
      <c r="G3746" s="20" t="str">
        <f>IFERROR(__xludf.DUMMYFUNCTION("""COMPUTED_VALUE"""),"Uncle Sams Cider (11/12/2021) (Blue)")</f>
        <v>Uncle Sams Cider (11/12/2021) (Blue)</v>
      </c>
      <c r="H3746" s="19"/>
    </row>
    <row r="3747">
      <c r="A3747" s="9"/>
      <c r="B3747" s="15"/>
      <c r="C3747" s="9">
        <f>IFERROR(__xludf.DUMMYFUNCTION("""COMPUTED_VALUE"""),44566.4954353009)</f>
        <v>44566.49544</v>
      </c>
      <c r="D3747" s="15">
        <f>IFERROR(__xludf.DUMMYFUNCTION("""COMPUTED_VALUE"""),1.005)</f>
        <v>1.005</v>
      </c>
      <c r="E3747" s="16">
        <f>IFERROR(__xludf.DUMMYFUNCTION("""COMPUTED_VALUE"""),68.0)</f>
        <v>68</v>
      </c>
      <c r="F3747" s="19" t="str">
        <f>IFERROR(__xludf.DUMMYFUNCTION("""COMPUTED_VALUE"""),"BLUE")</f>
        <v>BLUE</v>
      </c>
      <c r="G3747" s="20" t="str">
        <f>IFERROR(__xludf.DUMMYFUNCTION("""COMPUTED_VALUE"""),"Uncle Sams Cider (11/12/2021) (Blue)")</f>
        <v>Uncle Sams Cider (11/12/2021) (Blue)</v>
      </c>
      <c r="H3747" s="19"/>
    </row>
    <row r="3748">
      <c r="A3748" s="9"/>
      <c r="B3748" s="15"/>
      <c r="C3748" s="9">
        <f>IFERROR(__xludf.DUMMYFUNCTION("""COMPUTED_VALUE"""),44566.4850023611)</f>
        <v>44566.485</v>
      </c>
      <c r="D3748" s="15">
        <f>IFERROR(__xludf.DUMMYFUNCTION("""COMPUTED_VALUE"""),1.005)</f>
        <v>1.005</v>
      </c>
      <c r="E3748" s="16">
        <f>IFERROR(__xludf.DUMMYFUNCTION("""COMPUTED_VALUE"""),68.0)</f>
        <v>68</v>
      </c>
      <c r="F3748" s="19" t="str">
        <f>IFERROR(__xludf.DUMMYFUNCTION("""COMPUTED_VALUE"""),"BLUE")</f>
        <v>BLUE</v>
      </c>
      <c r="G3748" s="20" t="str">
        <f>IFERROR(__xludf.DUMMYFUNCTION("""COMPUTED_VALUE"""),"Uncle Sams Cider (11/12/2021) (Blue)")</f>
        <v>Uncle Sams Cider (11/12/2021) (Blue)</v>
      </c>
      <c r="H3748" s="19"/>
    </row>
    <row r="3749">
      <c r="A3749" s="9"/>
      <c r="B3749" s="15"/>
      <c r="C3749" s="9">
        <f>IFERROR(__xludf.DUMMYFUNCTION("""COMPUTED_VALUE"""),44566.4745797106)</f>
        <v>44566.47458</v>
      </c>
      <c r="D3749" s="15">
        <f>IFERROR(__xludf.DUMMYFUNCTION("""COMPUTED_VALUE"""),1.005)</f>
        <v>1.005</v>
      </c>
      <c r="E3749" s="16">
        <f>IFERROR(__xludf.DUMMYFUNCTION("""COMPUTED_VALUE"""),68.0)</f>
        <v>68</v>
      </c>
      <c r="F3749" s="19" t="str">
        <f>IFERROR(__xludf.DUMMYFUNCTION("""COMPUTED_VALUE"""),"BLUE")</f>
        <v>BLUE</v>
      </c>
      <c r="G3749" s="20" t="str">
        <f>IFERROR(__xludf.DUMMYFUNCTION("""COMPUTED_VALUE"""),"Uncle Sams Cider (11/12/2021) (Blue)")</f>
        <v>Uncle Sams Cider (11/12/2021) (Blue)</v>
      </c>
      <c r="H3749" s="19"/>
    </row>
    <row r="3750">
      <c r="A3750" s="9"/>
      <c r="B3750" s="15"/>
      <c r="C3750" s="9">
        <f>IFERROR(__xludf.DUMMYFUNCTION("""COMPUTED_VALUE"""),44566.4641581481)</f>
        <v>44566.46416</v>
      </c>
      <c r="D3750" s="15">
        <f>IFERROR(__xludf.DUMMYFUNCTION("""COMPUTED_VALUE"""),1.005)</f>
        <v>1.005</v>
      </c>
      <c r="E3750" s="16">
        <f>IFERROR(__xludf.DUMMYFUNCTION("""COMPUTED_VALUE"""),68.0)</f>
        <v>68</v>
      </c>
      <c r="F3750" s="19" t="str">
        <f>IFERROR(__xludf.DUMMYFUNCTION("""COMPUTED_VALUE"""),"BLUE")</f>
        <v>BLUE</v>
      </c>
      <c r="G3750" s="20" t="str">
        <f>IFERROR(__xludf.DUMMYFUNCTION("""COMPUTED_VALUE"""),"Uncle Sams Cider (11/12/2021) (Blue)")</f>
        <v>Uncle Sams Cider (11/12/2021) (Blue)</v>
      </c>
      <c r="H3750" s="19"/>
    </row>
    <row r="3751">
      <c r="A3751" s="9"/>
      <c r="B3751" s="15"/>
      <c r="C3751" s="9">
        <f>IFERROR(__xludf.DUMMYFUNCTION("""COMPUTED_VALUE"""),44566.4537381365)</f>
        <v>44566.45374</v>
      </c>
      <c r="D3751" s="15">
        <f>IFERROR(__xludf.DUMMYFUNCTION("""COMPUTED_VALUE"""),1.005)</f>
        <v>1.005</v>
      </c>
      <c r="E3751" s="16">
        <f>IFERROR(__xludf.DUMMYFUNCTION("""COMPUTED_VALUE"""),68.0)</f>
        <v>68</v>
      </c>
      <c r="F3751" s="19" t="str">
        <f>IFERROR(__xludf.DUMMYFUNCTION("""COMPUTED_VALUE"""),"BLUE")</f>
        <v>BLUE</v>
      </c>
      <c r="G3751" s="20" t="str">
        <f>IFERROR(__xludf.DUMMYFUNCTION("""COMPUTED_VALUE"""),"Uncle Sams Cider (11/12/2021) (Blue)")</f>
        <v>Uncle Sams Cider (11/12/2021) (Blue)</v>
      </c>
      <c r="H3751" s="19"/>
    </row>
    <row r="3752">
      <c r="A3752" s="9"/>
      <c r="B3752" s="15"/>
      <c r="C3752" s="9">
        <f>IFERROR(__xludf.DUMMYFUNCTION("""COMPUTED_VALUE"""),44566.4433167013)</f>
        <v>44566.44332</v>
      </c>
      <c r="D3752" s="15">
        <f>IFERROR(__xludf.DUMMYFUNCTION("""COMPUTED_VALUE"""),1.005)</f>
        <v>1.005</v>
      </c>
      <c r="E3752" s="16">
        <f>IFERROR(__xludf.DUMMYFUNCTION("""COMPUTED_VALUE"""),68.0)</f>
        <v>68</v>
      </c>
      <c r="F3752" s="19" t="str">
        <f>IFERROR(__xludf.DUMMYFUNCTION("""COMPUTED_VALUE"""),"BLUE")</f>
        <v>BLUE</v>
      </c>
      <c r="G3752" s="20" t="str">
        <f>IFERROR(__xludf.DUMMYFUNCTION("""COMPUTED_VALUE"""),"Uncle Sams Cider (11/12/2021) (Blue)")</f>
        <v>Uncle Sams Cider (11/12/2021) (Blue)</v>
      </c>
      <c r="H3752" s="19"/>
    </row>
    <row r="3753">
      <c r="A3753" s="9"/>
      <c r="B3753" s="15"/>
      <c r="C3753" s="9">
        <f>IFERROR(__xludf.DUMMYFUNCTION("""COMPUTED_VALUE"""),44566.4328953935)</f>
        <v>44566.4329</v>
      </c>
      <c r="D3753" s="15">
        <f>IFERROR(__xludf.DUMMYFUNCTION("""COMPUTED_VALUE"""),1.005)</f>
        <v>1.005</v>
      </c>
      <c r="E3753" s="16">
        <f>IFERROR(__xludf.DUMMYFUNCTION("""COMPUTED_VALUE"""),68.0)</f>
        <v>68</v>
      </c>
      <c r="F3753" s="19" t="str">
        <f>IFERROR(__xludf.DUMMYFUNCTION("""COMPUTED_VALUE"""),"BLUE")</f>
        <v>BLUE</v>
      </c>
      <c r="G3753" s="20" t="str">
        <f>IFERROR(__xludf.DUMMYFUNCTION("""COMPUTED_VALUE"""),"Uncle Sams Cider (11/12/2021) (Blue)")</f>
        <v>Uncle Sams Cider (11/12/2021) (Blue)</v>
      </c>
      <c r="H3753" s="19"/>
    </row>
    <row r="3754">
      <c r="A3754" s="9"/>
      <c r="B3754" s="15"/>
      <c r="C3754" s="9">
        <f>IFERROR(__xludf.DUMMYFUNCTION("""COMPUTED_VALUE"""),44566.4224734838)</f>
        <v>44566.42247</v>
      </c>
      <c r="D3754" s="15">
        <f>IFERROR(__xludf.DUMMYFUNCTION("""COMPUTED_VALUE"""),1.005)</f>
        <v>1.005</v>
      </c>
      <c r="E3754" s="16">
        <f>IFERROR(__xludf.DUMMYFUNCTION("""COMPUTED_VALUE"""),67.0)</f>
        <v>67</v>
      </c>
      <c r="F3754" s="19" t="str">
        <f>IFERROR(__xludf.DUMMYFUNCTION("""COMPUTED_VALUE"""),"BLUE")</f>
        <v>BLUE</v>
      </c>
      <c r="G3754" s="20" t="str">
        <f>IFERROR(__xludf.DUMMYFUNCTION("""COMPUTED_VALUE"""),"Uncle Sams Cider (11/12/2021) (Blue)")</f>
        <v>Uncle Sams Cider (11/12/2021) (Blue)</v>
      </c>
      <c r="H3754" s="19"/>
    </row>
    <row r="3755">
      <c r="A3755" s="9"/>
      <c r="B3755" s="15"/>
      <c r="C3755" s="9">
        <f>IFERROR(__xludf.DUMMYFUNCTION("""COMPUTED_VALUE"""),44566.4120527546)</f>
        <v>44566.41205</v>
      </c>
      <c r="D3755" s="15">
        <f>IFERROR(__xludf.DUMMYFUNCTION("""COMPUTED_VALUE"""),1.005)</f>
        <v>1.005</v>
      </c>
      <c r="E3755" s="16">
        <f>IFERROR(__xludf.DUMMYFUNCTION("""COMPUTED_VALUE"""),67.0)</f>
        <v>67</v>
      </c>
      <c r="F3755" s="19" t="str">
        <f>IFERROR(__xludf.DUMMYFUNCTION("""COMPUTED_VALUE"""),"BLUE")</f>
        <v>BLUE</v>
      </c>
      <c r="G3755" s="20" t="str">
        <f>IFERROR(__xludf.DUMMYFUNCTION("""COMPUTED_VALUE"""),"Uncle Sams Cider (11/12/2021) (Blue)")</f>
        <v>Uncle Sams Cider (11/12/2021) (Blue)</v>
      </c>
      <c r="H3755" s="19"/>
    </row>
    <row r="3756">
      <c r="A3756" s="9"/>
      <c r="B3756" s="15"/>
      <c r="C3756" s="9">
        <f>IFERROR(__xludf.DUMMYFUNCTION("""COMPUTED_VALUE"""),44566.4016306365)</f>
        <v>44566.40163</v>
      </c>
      <c r="D3756" s="15">
        <f>IFERROR(__xludf.DUMMYFUNCTION("""COMPUTED_VALUE"""),1.005)</f>
        <v>1.005</v>
      </c>
      <c r="E3756" s="16">
        <f>IFERROR(__xludf.DUMMYFUNCTION("""COMPUTED_VALUE"""),66.0)</f>
        <v>66</v>
      </c>
      <c r="F3756" s="19" t="str">
        <f>IFERROR(__xludf.DUMMYFUNCTION("""COMPUTED_VALUE"""),"BLUE")</f>
        <v>BLUE</v>
      </c>
      <c r="G3756" s="20" t="str">
        <f>IFERROR(__xludf.DUMMYFUNCTION("""COMPUTED_VALUE"""),"Uncle Sams Cider (11/12/2021) (Blue)")</f>
        <v>Uncle Sams Cider (11/12/2021) (Blue)</v>
      </c>
      <c r="H3756" s="19"/>
    </row>
    <row r="3757">
      <c r="A3757" s="9"/>
      <c r="B3757" s="15"/>
      <c r="C3757" s="9">
        <f>IFERROR(__xludf.DUMMYFUNCTION("""COMPUTED_VALUE"""),44566.3912108564)</f>
        <v>44566.39121</v>
      </c>
      <c r="D3757" s="15">
        <f>IFERROR(__xludf.DUMMYFUNCTION("""COMPUTED_VALUE"""),1.005)</f>
        <v>1.005</v>
      </c>
      <c r="E3757" s="16">
        <f>IFERROR(__xludf.DUMMYFUNCTION("""COMPUTED_VALUE"""),66.0)</f>
        <v>66</v>
      </c>
      <c r="F3757" s="19" t="str">
        <f>IFERROR(__xludf.DUMMYFUNCTION("""COMPUTED_VALUE"""),"BLUE")</f>
        <v>BLUE</v>
      </c>
      <c r="G3757" s="20" t="str">
        <f>IFERROR(__xludf.DUMMYFUNCTION("""COMPUTED_VALUE"""),"Uncle Sams Cider (11/12/2021) (Blue)")</f>
        <v>Uncle Sams Cider (11/12/2021) (Blue)</v>
      </c>
      <c r="H3757" s="19"/>
    </row>
    <row r="3758">
      <c r="A3758" s="9"/>
      <c r="B3758" s="15"/>
      <c r="C3758" s="9">
        <f>IFERROR(__xludf.DUMMYFUNCTION("""COMPUTED_VALUE"""),44566.3807891435)</f>
        <v>44566.38079</v>
      </c>
      <c r="D3758" s="15">
        <f>IFERROR(__xludf.DUMMYFUNCTION("""COMPUTED_VALUE"""),1.005)</f>
        <v>1.005</v>
      </c>
      <c r="E3758" s="16">
        <f>IFERROR(__xludf.DUMMYFUNCTION("""COMPUTED_VALUE"""),65.0)</f>
        <v>65</v>
      </c>
      <c r="F3758" s="19" t="str">
        <f>IFERROR(__xludf.DUMMYFUNCTION("""COMPUTED_VALUE"""),"BLUE")</f>
        <v>BLUE</v>
      </c>
      <c r="G3758" s="20" t="str">
        <f>IFERROR(__xludf.DUMMYFUNCTION("""COMPUTED_VALUE"""),"Uncle Sams Cider (11/12/2021) (Blue)")</f>
        <v>Uncle Sams Cider (11/12/2021) (Blue)</v>
      </c>
      <c r="H3758" s="19"/>
    </row>
    <row r="3759">
      <c r="A3759" s="9"/>
      <c r="B3759" s="15"/>
      <c r="C3759" s="9">
        <f>IFERROR(__xludf.DUMMYFUNCTION("""COMPUTED_VALUE"""),44566.3703459259)</f>
        <v>44566.37035</v>
      </c>
      <c r="D3759" s="15">
        <f>IFERROR(__xludf.DUMMYFUNCTION("""COMPUTED_VALUE"""),1.006)</f>
        <v>1.006</v>
      </c>
      <c r="E3759" s="16">
        <f>IFERROR(__xludf.DUMMYFUNCTION("""COMPUTED_VALUE"""),65.0)</f>
        <v>65</v>
      </c>
      <c r="F3759" s="19" t="str">
        <f>IFERROR(__xludf.DUMMYFUNCTION("""COMPUTED_VALUE"""),"BLUE")</f>
        <v>BLUE</v>
      </c>
      <c r="G3759" s="20" t="str">
        <f>IFERROR(__xludf.DUMMYFUNCTION("""COMPUTED_VALUE"""),"Uncle Sams Cider (11/12/2021) (Blue)")</f>
        <v>Uncle Sams Cider (11/12/2021) (Blue)</v>
      </c>
      <c r="H3759" s="19"/>
    </row>
    <row r="3760">
      <c r="A3760" s="9"/>
      <c r="B3760" s="15"/>
      <c r="C3760" s="9">
        <f>IFERROR(__xludf.DUMMYFUNCTION("""COMPUTED_VALUE"""),44566.3599231481)</f>
        <v>44566.35992</v>
      </c>
      <c r="D3760" s="15">
        <f>IFERROR(__xludf.DUMMYFUNCTION("""COMPUTED_VALUE"""),1.006)</f>
        <v>1.006</v>
      </c>
      <c r="E3760" s="16">
        <f>IFERROR(__xludf.DUMMYFUNCTION("""COMPUTED_VALUE"""),65.0)</f>
        <v>65</v>
      </c>
      <c r="F3760" s="19" t="str">
        <f>IFERROR(__xludf.DUMMYFUNCTION("""COMPUTED_VALUE"""),"BLUE")</f>
        <v>BLUE</v>
      </c>
      <c r="G3760" s="20" t="str">
        <f>IFERROR(__xludf.DUMMYFUNCTION("""COMPUTED_VALUE"""),"Uncle Sams Cider (11/12/2021) (Blue)")</f>
        <v>Uncle Sams Cider (11/12/2021) (Blue)</v>
      </c>
      <c r="H3760" s="19"/>
    </row>
    <row r="3761">
      <c r="A3761" s="9"/>
      <c r="B3761" s="15"/>
      <c r="C3761" s="9">
        <f>IFERROR(__xludf.DUMMYFUNCTION("""COMPUTED_VALUE"""),44566.3494914351)</f>
        <v>44566.34949</v>
      </c>
      <c r="D3761" s="15">
        <f>IFERROR(__xludf.DUMMYFUNCTION("""COMPUTED_VALUE"""),1.006)</f>
        <v>1.006</v>
      </c>
      <c r="E3761" s="16">
        <f>IFERROR(__xludf.DUMMYFUNCTION("""COMPUTED_VALUE"""),64.0)</f>
        <v>64</v>
      </c>
      <c r="F3761" s="19" t="str">
        <f>IFERROR(__xludf.DUMMYFUNCTION("""COMPUTED_VALUE"""),"BLUE")</f>
        <v>BLUE</v>
      </c>
      <c r="G3761" s="20" t="str">
        <f>IFERROR(__xludf.DUMMYFUNCTION("""COMPUTED_VALUE"""),"Uncle Sams Cider (11/12/2021) (Blue)")</f>
        <v>Uncle Sams Cider (11/12/2021) (Blue)</v>
      </c>
      <c r="H3761" s="19"/>
    </row>
    <row r="3762">
      <c r="A3762" s="9"/>
      <c r="B3762" s="15"/>
      <c r="C3762" s="9">
        <f>IFERROR(__xludf.DUMMYFUNCTION("""COMPUTED_VALUE"""),44566.3390605208)</f>
        <v>44566.33906</v>
      </c>
      <c r="D3762" s="15">
        <f>IFERROR(__xludf.DUMMYFUNCTION("""COMPUTED_VALUE"""),1.006)</f>
        <v>1.006</v>
      </c>
      <c r="E3762" s="16">
        <f>IFERROR(__xludf.DUMMYFUNCTION("""COMPUTED_VALUE"""),64.0)</f>
        <v>64</v>
      </c>
      <c r="F3762" s="19" t="str">
        <f>IFERROR(__xludf.DUMMYFUNCTION("""COMPUTED_VALUE"""),"BLUE")</f>
        <v>BLUE</v>
      </c>
      <c r="G3762" s="20" t="str">
        <f>IFERROR(__xludf.DUMMYFUNCTION("""COMPUTED_VALUE"""),"Uncle Sams Cider (11/12/2021) (Blue)")</f>
        <v>Uncle Sams Cider (11/12/2021) (Blue)</v>
      </c>
      <c r="H3762" s="19"/>
    </row>
    <row r="3763">
      <c r="A3763" s="9"/>
      <c r="B3763" s="15"/>
      <c r="C3763" s="9">
        <f>IFERROR(__xludf.DUMMYFUNCTION("""COMPUTED_VALUE"""),44566.3286372453)</f>
        <v>44566.32864</v>
      </c>
      <c r="D3763" s="15">
        <f>IFERROR(__xludf.DUMMYFUNCTION("""COMPUTED_VALUE"""),1.006)</f>
        <v>1.006</v>
      </c>
      <c r="E3763" s="16">
        <f>IFERROR(__xludf.DUMMYFUNCTION("""COMPUTED_VALUE"""),63.0)</f>
        <v>63</v>
      </c>
      <c r="F3763" s="19" t="str">
        <f>IFERROR(__xludf.DUMMYFUNCTION("""COMPUTED_VALUE"""),"BLUE")</f>
        <v>BLUE</v>
      </c>
      <c r="G3763" s="20" t="str">
        <f>IFERROR(__xludf.DUMMYFUNCTION("""COMPUTED_VALUE"""),"Uncle Sams Cider (11/12/2021) (Blue)")</f>
        <v>Uncle Sams Cider (11/12/2021) (Blue)</v>
      </c>
      <c r="H3763" s="19"/>
    </row>
    <row r="3764">
      <c r="A3764" s="9"/>
      <c r="B3764" s="15"/>
      <c r="C3764" s="9">
        <f>IFERROR(__xludf.DUMMYFUNCTION("""COMPUTED_VALUE"""),44566.3182165972)</f>
        <v>44566.31822</v>
      </c>
      <c r="D3764" s="15">
        <f>IFERROR(__xludf.DUMMYFUNCTION("""COMPUTED_VALUE"""),1.006)</f>
        <v>1.006</v>
      </c>
      <c r="E3764" s="16">
        <f>IFERROR(__xludf.DUMMYFUNCTION("""COMPUTED_VALUE"""),63.0)</f>
        <v>63</v>
      </c>
      <c r="F3764" s="19" t="str">
        <f>IFERROR(__xludf.DUMMYFUNCTION("""COMPUTED_VALUE"""),"BLUE")</f>
        <v>BLUE</v>
      </c>
      <c r="G3764" s="20" t="str">
        <f>IFERROR(__xludf.DUMMYFUNCTION("""COMPUTED_VALUE"""),"Uncle Sams Cider (11/12/2021) (Blue)")</f>
        <v>Uncle Sams Cider (11/12/2021) (Blue)</v>
      </c>
      <c r="H3764" s="19"/>
    </row>
    <row r="3765">
      <c r="A3765" s="9"/>
      <c r="B3765" s="15"/>
      <c r="C3765" s="9">
        <f>IFERROR(__xludf.DUMMYFUNCTION("""COMPUTED_VALUE"""),44566.3077958449)</f>
        <v>44566.3078</v>
      </c>
      <c r="D3765" s="15">
        <f>IFERROR(__xludf.DUMMYFUNCTION("""COMPUTED_VALUE"""),1.006)</f>
        <v>1.006</v>
      </c>
      <c r="E3765" s="16">
        <f>IFERROR(__xludf.DUMMYFUNCTION("""COMPUTED_VALUE"""),62.0)</f>
        <v>62</v>
      </c>
      <c r="F3765" s="19" t="str">
        <f>IFERROR(__xludf.DUMMYFUNCTION("""COMPUTED_VALUE"""),"BLUE")</f>
        <v>BLUE</v>
      </c>
      <c r="G3765" s="20" t="str">
        <f>IFERROR(__xludf.DUMMYFUNCTION("""COMPUTED_VALUE"""),"Uncle Sams Cider (11/12/2021) (Blue)")</f>
        <v>Uncle Sams Cider (11/12/2021) (Blue)</v>
      </c>
      <c r="H3765" s="19"/>
    </row>
    <row r="3766">
      <c r="A3766" s="9"/>
      <c r="B3766" s="15"/>
      <c r="C3766" s="9">
        <f>IFERROR(__xludf.DUMMYFUNCTION("""COMPUTED_VALUE"""),44566.2973743518)</f>
        <v>44566.29737</v>
      </c>
      <c r="D3766" s="15">
        <f>IFERROR(__xludf.DUMMYFUNCTION("""COMPUTED_VALUE"""),1.006)</f>
        <v>1.006</v>
      </c>
      <c r="E3766" s="16">
        <f>IFERROR(__xludf.DUMMYFUNCTION("""COMPUTED_VALUE"""),62.0)</f>
        <v>62</v>
      </c>
      <c r="F3766" s="19" t="str">
        <f>IFERROR(__xludf.DUMMYFUNCTION("""COMPUTED_VALUE"""),"BLUE")</f>
        <v>BLUE</v>
      </c>
      <c r="G3766" s="20" t="str">
        <f>IFERROR(__xludf.DUMMYFUNCTION("""COMPUTED_VALUE"""),"Uncle Sams Cider (11/12/2021) (Blue)")</f>
        <v>Uncle Sams Cider (11/12/2021) (Blue)</v>
      </c>
      <c r="H3766" s="19"/>
    </row>
    <row r="3767">
      <c r="A3767" s="9"/>
      <c r="B3767" s="15"/>
      <c r="C3767" s="9">
        <f>IFERROR(__xludf.DUMMYFUNCTION("""COMPUTED_VALUE"""),44566.2869530324)</f>
        <v>44566.28695</v>
      </c>
      <c r="D3767" s="15">
        <f>IFERROR(__xludf.DUMMYFUNCTION("""COMPUTED_VALUE"""),1.006)</f>
        <v>1.006</v>
      </c>
      <c r="E3767" s="16">
        <f>IFERROR(__xludf.DUMMYFUNCTION("""COMPUTED_VALUE"""),62.0)</f>
        <v>62</v>
      </c>
      <c r="F3767" s="19" t="str">
        <f>IFERROR(__xludf.DUMMYFUNCTION("""COMPUTED_VALUE"""),"BLUE")</f>
        <v>BLUE</v>
      </c>
      <c r="G3767" s="20" t="str">
        <f>IFERROR(__xludf.DUMMYFUNCTION("""COMPUTED_VALUE"""),"Uncle Sams Cider (11/12/2021) (Blue)")</f>
        <v>Uncle Sams Cider (11/12/2021) (Blue)</v>
      </c>
      <c r="H3767" s="19"/>
    </row>
    <row r="3768">
      <c r="A3768" s="9"/>
      <c r="B3768" s="15"/>
      <c r="C3768" s="9">
        <f>IFERROR(__xludf.DUMMYFUNCTION("""COMPUTED_VALUE"""),44566.2765308101)</f>
        <v>44566.27653</v>
      </c>
      <c r="D3768" s="15">
        <f>IFERROR(__xludf.DUMMYFUNCTION("""COMPUTED_VALUE"""),1.006)</f>
        <v>1.006</v>
      </c>
      <c r="E3768" s="16">
        <f>IFERROR(__xludf.DUMMYFUNCTION("""COMPUTED_VALUE"""),61.0)</f>
        <v>61</v>
      </c>
      <c r="F3768" s="19" t="str">
        <f>IFERROR(__xludf.DUMMYFUNCTION("""COMPUTED_VALUE"""),"BLUE")</f>
        <v>BLUE</v>
      </c>
      <c r="G3768" s="20" t="str">
        <f>IFERROR(__xludf.DUMMYFUNCTION("""COMPUTED_VALUE"""),"Uncle Sams Cider (11/12/2021) (Blue)")</f>
        <v>Uncle Sams Cider (11/12/2021) (Blue)</v>
      </c>
      <c r="H3768" s="19"/>
    </row>
    <row r="3769">
      <c r="A3769" s="9"/>
      <c r="B3769" s="15"/>
      <c r="C3769" s="9">
        <f>IFERROR(__xludf.DUMMYFUNCTION("""COMPUTED_VALUE"""),44566.2661091435)</f>
        <v>44566.26611</v>
      </c>
      <c r="D3769" s="15">
        <f>IFERROR(__xludf.DUMMYFUNCTION("""COMPUTED_VALUE"""),1.006)</f>
        <v>1.006</v>
      </c>
      <c r="E3769" s="16">
        <f>IFERROR(__xludf.DUMMYFUNCTION("""COMPUTED_VALUE"""),61.0)</f>
        <v>61</v>
      </c>
      <c r="F3769" s="19" t="str">
        <f>IFERROR(__xludf.DUMMYFUNCTION("""COMPUTED_VALUE"""),"BLUE")</f>
        <v>BLUE</v>
      </c>
      <c r="G3769" s="20" t="str">
        <f>IFERROR(__xludf.DUMMYFUNCTION("""COMPUTED_VALUE"""),"Uncle Sams Cider (11/12/2021) (Blue)")</f>
        <v>Uncle Sams Cider (11/12/2021) (Blue)</v>
      </c>
      <c r="H3769" s="19"/>
    </row>
    <row r="3770">
      <c r="A3770" s="9"/>
      <c r="B3770" s="15"/>
      <c r="C3770" s="9">
        <f>IFERROR(__xludf.DUMMYFUNCTION("""COMPUTED_VALUE"""),44566.2556879745)</f>
        <v>44566.25569</v>
      </c>
      <c r="D3770" s="15">
        <f>IFERROR(__xludf.DUMMYFUNCTION("""COMPUTED_VALUE"""),1.006)</f>
        <v>1.006</v>
      </c>
      <c r="E3770" s="16">
        <f>IFERROR(__xludf.DUMMYFUNCTION("""COMPUTED_VALUE"""),61.0)</f>
        <v>61</v>
      </c>
      <c r="F3770" s="19" t="str">
        <f>IFERROR(__xludf.DUMMYFUNCTION("""COMPUTED_VALUE"""),"BLUE")</f>
        <v>BLUE</v>
      </c>
      <c r="G3770" s="20" t="str">
        <f>IFERROR(__xludf.DUMMYFUNCTION("""COMPUTED_VALUE"""),"Uncle Sams Cider (11/12/2021) (Blue)")</f>
        <v>Uncle Sams Cider (11/12/2021) (Blue)</v>
      </c>
      <c r="H3770" s="19"/>
    </row>
    <row r="3771">
      <c r="A3771" s="9"/>
      <c r="B3771" s="15"/>
      <c r="C3771" s="9">
        <f>IFERROR(__xludf.DUMMYFUNCTION("""COMPUTED_VALUE"""),44566.2452670138)</f>
        <v>44566.24527</v>
      </c>
      <c r="D3771" s="15">
        <f>IFERROR(__xludf.DUMMYFUNCTION("""COMPUTED_VALUE"""),1.006)</f>
        <v>1.006</v>
      </c>
      <c r="E3771" s="16">
        <f>IFERROR(__xludf.DUMMYFUNCTION("""COMPUTED_VALUE"""),61.0)</f>
        <v>61</v>
      </c>
      <c r="F3771" s="19" t="str">
        <f>IFERROR(__xludf.DUMMYFUNCTION("""COMPUTED_VALUE"""),"BLUE")</f>
        <v>BLUE</v>
      </c>
      <c r="G3771" s="20" t="str">
        <f>IFERROR(__xludf.DUMMYFUNCTION("""COMPUTED_VALUE"""),"Uncle Sams Cider (11/12/2021) (Blue)")</f>
        <v>Uncle Sams Cider (11/12/2021) (Blue)</v>
      </c>
      <c r="H3771" s="19"/>
    </row>
    <row r="3772">
      <c r="A3772" s="9"/>
      <c r="B3772" s="15"/>
      <c r="C3772" s="9">
        <f>IFERROR(__xludf.DUMMYFUNCTION("""COMPUTED_VALUE"""),44566.2348467129)</f>
        <v>44566.23485</v>
      </c>
      <c r="D3772" s="15">
        <f>IFERROR(__xludf.DUMMYFUNCTION("""COMPUTED_VALUE"""),1.006)</f>
        <v>1.006</v>
      </c>
      <c r="E3772" s="16">
        <f>IFERROR(__xludf.DUMMYFUNCTION("""COMPUTED_VALUE"""),61.0)</f>
        <v>61</v>
      </c>
      <c r="F3772" s="19" t="str">
        <f>IFERROR(__xludf.DUMMYFUNCTION("""COMPUTED_VALUE"""),"BLUE")</f>
        <v>BLUE</v>
      </c>
      <c r="G3772" s="20" t="str">
        <f>IFERROR(__xludf.DUMMYFUNCTION("""COMPUTED_VALUE"""),"Uncle Sams Cider (11/12/2021) (Blue)")</f>
        <v>Uncle Sams Cider (11/12/2021) (Blue)</v>
      </c>
      <c r="H3772" s="19"/>
    </row>
    <row r="3773">
      <c r="A3773" s="9"/>
      <c r="B3773" s="15"/>
      <c r="C3773" s="9">
        <f>IFERROR(__xludf.DUMMYFUNCTION("""COMPUTED_VALUE"""),44566.2244238773)</f>
        <v>44566.22442</v>
      </c>
      <c r="D3773" s="15">
        <f>IFERROR(__xludf.DUMMYFUNCTION("""COMPUTED_VALUE"""),1.006)</f>
        <v>1.006</v>
      </c>
      <c r="E3773" s="16">
        <f>IFERROR(__xludf.DUMMYFUNCTION("""COMPUTED_VALUE"""),61.0)</f>
        <v>61</v>
      </c>
      <c r="F3773" s="19" t="str">
        <f>IFERROR(__xludf.DUMMYFUNCTION("""COMPUTED_VALUE"""),"BLUE")</f>
        <v>BLUE</v>
      </c>
      <c r="G3773" s="20" t="str">
        <f>IFERROR(__xludf.DUMMYFUNCTION("""COMPUTED_VALUE"""),"Uncle Sams Cider (11/12/2021) (Blue)")</f>
        <v>Uncle Sams Cider (11/12/2021) (Blue)</v>
      </c>
      <c r="H3773" s="19"/>
    </row>
    <row r="3774">
      <c r="A3774" s="9"/>
      <c r="B3774" s="15"/>
      <c r="C3774" s="9">
        <f>IFERROR(__xludf.DUMMYFUNCTION("""COMPUTED_VALUE"""),44566.214004537)</f>
        <v>44566.214</v>
      </c>
      <c r="D3774" s="15">
        <f>IFERROR(__xludf.DUMMYFUNCTION("""COMPUTED_VALUE"""),1.006)</f>
        <v>1.006</v>
      </c>
      <c r="E3774" s="16">
        <f>IFERROR(__xludf.DUMMYFUNCTION("""COMPUTED_VALUE"""),62.0)</f>
        <v>62</v>
      </c>
      <c r="F3774" s="19" t="str">
        <f>IFERROR(__xludf.DUMMYFUNCTION("""COMPUTED_VALUE"""),"BLUE")</f>
        <v>BLUE</v>
      </c>
      <c r="G3774" s="20" t="str">
        <f>IFERROR(__xludf.DUMMYFUNCTION("""COMPUTED_VALUE"""),"Uncle Sams Cider (11/12/2021) (Blue)")</f>
        <v>Uncle Sams Cider (11/12/2021) (Blue)</v>
      </c>
      <c r="H3774" s="19"/>
    </row>
    <row r="3775">
      <c r="A3775" s="9"/>
      <c r="B3775" s="15"/>
      <c r="C3775" s="9">
        <f>IFERROR(__xludf.DUMMYFUNCTION("""COMPUTED_VALUE"""),44566.2035836111)</f>
        <v>44566.20358</v>
      </c>
      <c r="D3775" s="15">
        <f>IFERROR(__xludf.DUMMYFUNCTION("""COMPUTED_VALUE"""),1.006)</f>
        <v>1.006</v>
      </c>
      <c r="E3775" s="16">
        <f>IFERROR(__xludf.DUMMYFUNCTION("""COMPUTED_VALUE"""),61.0)</f>
        <v>61</v>
      </c>
      <c r="F3775" s="19" t="str">
        <f>IFERROR(__xludf.DUMMYFUNCTION("""COMPUTED_VALUE"""),"BLUE")</f>
        <v>BLUE</v>
      </c>
      <c r="G3775" s="20" t="str">
        <f>IFERROR(__xludf.DUMMYFUNCTION("""COMPUTED_VALUE"""),"Uncle Sams Cider (11/12/2021) (Blue)")</f>
        <v>Uncle Sams Cider (11/12/2021) (Blue)</v>
      </c>
      <c r="H3775" s="19"/>
    </row>
    <row r="3776">
      <c r="A3776" s="9"/>
      <c r="B3776" s="15"/>
      <c r="C3776" s="9">
        <f>IFERROR(__xludf.DUMMYFUNCTION("""COMPUTED_VALUE"""),44566.1931630208)</f>
        <v>44566.19316</v>
      </c>
      <c r="D3776" s="15">
        <f>IFERROR(__xludf.DUMMYFUNCTION("""COMPUTED_VALUE"""),1.006)</f>
        <v>1.006</v>
      </c>
      <c r="E3776" s="16">
        <f>IFERROR(__xludf.DUMMYFUNCTION("""COMPUTED_VALUE"""),61.0)</f>
        <v>61</v>
      </c>
      <c r="F3776" s="19" t="str">
        <f>IFERROR(__xludf.DUMMYFUNCTION("""COMPUTED_VALUE"""),"BLUE")</f>
        <v>BLUE</v>
      </c>
      <c r="G3776" s="20" t="str">
        <f>IFERROR(__xludf.DUMMYFUNCTION("""COMPUTED_VALUE"""),"Uncle Sams Cider (11/12/2021) (Blue)")</f>
        <v>Uncle Sams Cider (11/12/2021) (Blue)</v>
      </c>
      <c r="H3776" s="19"/>
    </row>
    <row r="3777">
      <c r="A3777" s="9"/>
      <c r="B3777" s="15"/>
      <c r="C3777" s="9">
        <f>IFERROR(__xludf.DUMMYFUNCTION("""COMPUTED_VALUE"""),44566.1827421296)</f>
        <v>44566.18274</v>
      </c>
      <c r="D3777" s="15">
        <f>IFERROR(__xludf.DUMMYFUNCTION("""COMPUTED_VALUE"""),1.006)</f>
        <v>1.006</v>
      </c>
      <c r="E3777" s="16">
        <f>IFERROR(__xludf.DUMMYFUNCTION("""COMPUTED_VALUE"""),61.0)</f>
        <v>61</v>
      </c>
      <c r="F3777" s="19" t="str">
        <f>IFERROR(__xludf.DUMMYFUNCTION("""COMPUTED_VALUE"""),"BLUE")</f>
        <v>BLUE</v>
      </c>
      <c r="G3777" s="20" t="str">
        <f>IFERROR(__xludf.DUMMYFUNCTION("""COMPUTED_VALUE"""),"Uncle Sams Cider (11/12/2021) (Blue)")</f>
        <v>Uncle Sams Cider (11/12/2021) (Blue)</v>
      </c>
      <c r="H3777" s="19"/>
    </row>
    <row r="3778">
      <c r="A3778" s="9"/>
      <c r="B3778" s="15"/>
      <c r="C3778" s="9">
        <f>IFERROR(__xludf.DUMMYFUNCTION("""COMPUTED_VALUE"""),44566.1723209837)</f>
        <v>44566.17232</v>
      </c>
      <c r="D3778" s="15">
        <f>IFERROR(__xludf.DUMMYFUNCTION("""COMPUTED_VALUE"""),1.006)</f>
        <v>1.006</v>
      </c>
      <c r="E3778" s="16">
        <f>IFERROR(__xludf.DUMMYFUNCTION("""COMPUTED_VALUE"""),61.0)</f>
        <v>61</v>
      </c>
      <c r="F3778" s="19" t="str">
        <f>IFERROR(__xludf.DUMMYFUNCTION("""COMPUTED_VALUE"""),"BLUE")</f>
        <v>BLUE</v>
      </c>
      <c r="G3778" s="20" t="str">
        <f>IFERROR(__xludf.DUMMYFUNCTION("""COMPUTED_VALUE"""),"Uncle Sams Cider (11/12/2021) (Blue)")</f>
        <v>Uncle Sams Cider (11/12/2021) (Blue)</v>
      </c>
      <c r="H3778" s="19"/>
    </row>
    <row r="3779">
      <c r="A3779" s="9"/>
      <c r="B3779" s="15"/>
      <c r="C3779" s="9">
        <f>IFERROR(__xludf.DUMMYFUNCTION("""COMPUTED_VALUE"""),44566.1619002314)</f>
        <v>44566.1619</v>
      </c>
      <c r="D3779" s="15">
        <f>IFERROR(__xludf.DUMMYFUNCTION("""COMPUTED_VALUE"""),1.006)</f>
        <v>1.006</v>
      </c>
      <c r="E3779" s="16">
        <f>IFERROR(__xludf.DUMMYFUNCTION("""COMPUTED_VALUE"""),62.0)</f>
        <v>62</v>
      </c>
      <c r="F3779" s="19" t="str">
        <f>IFERROR(__xludf.DUMMYFUNCTION("""COMPUTED_VALUE"""),"BLUE")</f>
        <v>BLUE</v>
      </c>
      <c r="G3779" s="20" t="str">
        <f>IFERROR(__xludf.DUMMYFUNCTION("""COMPUTED_VALUE"""),"Uncle Sams Cider (11/12/2021) (Blue)")</f>
        <v>Uncle Sams Cider (11/12/2021) (Blue)</v>
      </c>
      <c r="H3779" s="19"/>
    </row>
    <row r="3780">
      <c r="A3780" s="9"/>
      <c r="B3780" s="15"/>
      <c r="C3780" s="9">
        <f>IFERROR(__xludf.DUMMYFUNCTION("""COMPUTED_VALUE"""),44566.151478831)</f>
        <v>44566.15148</v>
      </c>
      <c r="D3780" s="15">
        <f>IFERROR(__xludf.DUMMYFUNCTION("""COMPUTED_VALUE"""),1.006)</f>
        <v>1.006</v>
      </c>
      <c r="E3780" s="16">
        <f>IFERROR(__xludf.DUMMYFUNCTION("""COMPUTED_VALUE"""),62.0)</f>
        <v>62</v>
      </c>
      <c r="F3780" s="19" t="str">
        <f>IFERROR(__xludf.DUMMYFUNCTION("""COMPUTED_VALUE"""),"BLUE")</f>
        <v>BLUE</v>
      </c>
      <c r="G3780" s="20" t="str">
        <f>IFERROR(__xludf.DUMMYFUNCTION("""COMPUTED_VALUE"""),"Uncle Sams Cider (11/12/2021) (Blue)")</f>
        <v>Uncle Sams Cider (11/12/2021) (Blue)</v>
      </c>
      <c r="H3780" s="19"/>
    </row>
    <row r="3781">
      <c r="A3781" s="9"/>
      <c r="B3781" s="15"/>
      <c r="C3781" s="9">
        <f>IFERROR(__xludf.DUMMYFUNCTION("""COMPUTED_VALUE"""),44566.1410571296)</f>
        <v>44566.14106</v>
      </c>
      <c r="D3781" s="15">
        <f>IFERROR(__xludf.DUMMYFUNCTION("""COMPUTED_VALUE"""),1.006)</f>
        <v>1.006</v>
      </c>
      <c r="E3781" s="16">
        <f>IFERROR(__xludf.DUMMYFUNCTION("""COMPUTED_VALUE"""),62.0)</f>
        <v>62</v>
      </c>
      <c r="F3781" s="19" t="str">
        <f>IFERROR(__xludf.DUMMYFUNCTION("""COMPUTED_VALUE"""),"BLUE")</f>
        <v>BLUE</v>
      </c>
      <c r="G3781" s="20" t="str">
        <f>IFERROR(__xludf.DUMMYFUNCTION("""COMPUTED_VALUE"""),"Uncle Sams Cider (11/12/2021) (Blue)")</f>
        <v>Uncle Sams Cider (11/12/2021) (Blue)</v>
      </c>
      <c r="H3781" s="19"/>
    </row>
    <row r="3782">
      <c r="A3782" s="9"/>
      <c r="B3782" s="15"/>
      <c r="C3782" s="9">
        <f>IFERROR(__xludf.DUMMYFUNCTION("""COMPUTED_VALUE"""),44566.1306358449)</f>
        <v>44566.13064</v>
      </c>
      <c r="D3782" s="15">
        <f>IFERROR(__xludf.DUMMYFUNCTION("""COMPUTED_VALUE"""),1.006)</f>
        <v>1.006</v>
      </c>
      <c r="E3782" s="16">
        <f>IFERROR(__xludf.DUMMYFUNCTION("""COMPUTED_VALUE"""),62.0)</f>
        <v>62</v>
      </c>
      <c r="F3782" s="19" t="str">
        <f>IFERROR(__xludf.DUMMYFUNCTION("""COMPUTED_VALUE"""),"BLUE")</f>
        <v>BLUE</v>
      </c>
      <c r="G3782" s="20" t="str">
        <f>IFERROR(__xludf.DUMMYFUNCTION("""COMPUTED_VALUE"""),"Uncle Sams Cider (11/12/2021) (Blue)")</f>
        <v>Uncle Sams Cider (11/12/2021) (Blue)</v>
      </c>
      <c r="H3782" s="19"/>
    </row>
    <row r="3783">
      <c r="A3783" s="9"/>
      <c r="B3783" s="15"/>
      <c r="C3783" s="9">
        <f>IFERROR(__xludf.DUMMYFUNCTION("""COMPUTED_VALUE"""),44566.1202143402)</f>
        <v>44566.12021</v>
      </c>
      <c r="D3783" s="15">
        <f>IFERROR(__xludf.DUMMYFUNCTION("""COMPUTED_VALUE"""),1.006)</f>
        <v>1.006</v>
      </c>
      <c r="E3783" s="16">
        <f>IFERROR(__xludf.DUMMYFUNCTION("""COMPUTED_VALUE"""),62.0)</f>
        <v>62</v>
      </c>
      <c r="F3783" s="19" t="str">
        <f>IFERROR(__xludf.DUMMYFUNCTION("""COMPUTED_VALUE"""),"BLUE")</f>
        <v>BLUE</v>
      </c>
      <c r="G3783" s="20" t="str">
        <f>IFERROR(__xludf.DUMMYFUNCTION("""COMPUTED_VALUE"""),"Uncle Sams Cider (11/12/2021) (Blue)")</f>
        <v>Uncle Sams Cider (11/12/2021) (Blue)</v>
      </c>
      <c r="H3783" s="19"/>
    </row>
    <row r="3784">
      <c r="A3784" s="9"/>
      <c r="B3784" s="15"/>
      <c r="C3784" s="9">
        <f>IFERROR(__xludf.DUMMYFUNCTION("""COMPUTED_VALUE"""),44566.1097915393)</f>
        <v>44566.10979</v>
      </c>
      <c r="D3784" s="15">
        <f>IFERROR(__xludf.DUMMYFUNCTION("""COMPUTED_VALUE"""),1.006)</f>
        <v>1.006</v>
      </c>
      <c r="E3784" s="16">
        <f>IFERROR(__xludf.DUMMYFUNCTION("""COMPUTED_VALUE"""),62.0)</f>
        <v>62</v>
      </c>
      <c r="F3784" s="19" t="str">
        <f>IFERROR(__xludf.DUMMYFUNCTION("""COMPUTED_VALUE"""),"BLUE")</f>
        <v>BLUE</v>
      </c>
      <c r="G3784" s="20" t="str">
        <f>IFERROR(__xludf.DUMMYFUNCTION("""COMPUTED_VALUE"""),"Uncle Sams Cider (11/12/2021) (Blue)")</f>
        <v>Uncle Sams Cider (11/12/2021) (Blue)</v>
      </c>
      <c r="H3784" s="19"/>
    </row>
    <row r="3785">
      <c r="A3785" s="9"/>
      <c r="B3785" s="15"/>
      <c r="C3785" s="9">
        <f>IFERROR(__xludf.DUMMYFUNCTION("""COMPUTED_VALUE"""),44566.099358449)</f>
        <v>44566.09936</v>
      </c>
      <c r="D3785" s="15">
        <f>IFERROR(__xludf.DUMMYFUNCTION("""COMPUTED_VALUE"""),1.006)</f>
        <v>1.006</v>
      </c>
      <c r="E3785" s="16">
        <f>IFERROR(__xludf.DUMMYFUNCTION("""COMPUTED_VALUE"""),62.0)</f>
        <v>62</v>
      </c>
      <c r="F3785" s="19" t="str">
        <f>IFERROR(__xludf.DUMMYFUNCTION("""COMPUTED_VALUE"""),"BLUE")</f>
        <v>BLUE</v>
      </c>
      <c r="G3785" s="20" t="str">
        <f>IFERROR(__xludf.DUMMYFUNCTION("""COMPUTED_VALUE"""),"Uncle Sams Cider (11/12/2021) (Blue)")</f>
        <v>Uncle Sams Cider (11/12/2021) (Blue)</v>
      </c>
      <c r="H3785" s="19"/>
    </row>
    <row r="3786">
      <c r="A3786" s="9"/>
      <c r="B3786" s="15"/>
      <c r="C3786" s="9">
        <f>IFERROR(__xludf.DUMMYFUNCTION("""COMPUTED_VALUE"""),44566.0889263078)</f>
        <v>44566.08893</v>
      </c>
      <c r="D3786" s="15">
        <f>IFERROR(__xludf.DUMMYFUNCTION("""COMPUTED_VALUE"""),1.006)</f>
        <v>1.006</v>
      </c>
      <c r="E3786" s="16">
        <f>IFERROR(__xludf.DUMMYFUNCTION("""COMPUTED_VALUE"""),62.0)</f>
        <v>62</v>
      </c>
      <c r="F3786" s="19" t="str">
        <f>IFERROR(__xludf.DUMMYFUNCTION("""COMPUTED_VALUE"""),"BLUE")</f>
        <v>BLUE</v>
      </c>
      <c r="G3786" s="20" t="str">
        <f>IFERROR(__xludf.DUMMYFUNCTION("""COMPUTED_VALUE"""),"Uncle Sams Cider (11/12/2021) (Blue)")</f>
        <v>Uncle Sams Cider (11/12/2021) (Blue)</v>
      </c>
      <c r="H3786" s="19"/>
    </row>
    <row r="3787">
      <c r="A3787" s="9"/>
      <c r="B3787" s="15"/>
      <c r="C3787" s="9">
        <f>IFERROR(__xludf.DUMMYFUNCTION("""COMPUTED_VALUE"""),44566.0784929629)</f>
        <v>44566.07849</v>
      </c>
      <c r="D3787" s="15">
        <f>IFERROR(__xludf.DUMMYFUNCTION("""COMPUTED_VALUE"""),1.006)</f>
        <v>1.006</v>
      </c>
      <c r="E3787" s="16">
        <f>IFERROR(__xludf.DUMMYFUNCTION("""COMPUTED_VALUE"""),62.0)</f>
        <v>62</v>
      </c>
      <c r="F3787" s="19" t="str">
        <f>IFERROR(__xludf.DUMMYFUNCTION("""COMPUTED_VALUE"""),"BLUE")</f>
        <v>BLUE</v>
      </c>
      <c r="G3787" s="20" t="str">
        <f>IFERROR(__xludf.DUMMYFUNCTION("""COMPUTED_VALUE"""),"Uncle Sams Cider (11/12/2021) (Blue)")</f>
        <v>Uncle Sams Cider (11/12/2021) (Blue)</v>
      </c>
      <c r="H3787" s="19"/>
    </row>
    <row r="3788">
      <c r="A3788" s="9"/>
      <c r="B3788" s="15"/>
      <c r="C3788" s="9">
        <f>IFERROR(__xludf.DUMMYFUNCTION("""COMPUTED_VALUE"""),44566.0680711689)</f>
        <v>44566.06807</v>
      </c>
      <c r="D3788" s="15">
        <f>IFERROR(__xludf.DUMMYFUNCTION("""COMPUTED_VALUE"""),1.006)</f>
        <v>1.006</v>
      </c>
      <c r="E3788" s="16">
        <f>IFERROR(__xludf.DUMMYFUNCTION("""COMPUTED_VALUE"""),62.0)</f>
        <v>62</v>
      </c>
      <c r="F3788" s="19" t="str">
        <f>IFERROR(__xludf.DUMMYFUNCTION("""COMPUTED_VALUE"""),"BLUE")</f>
        <v>BLUE</v>
      </c>
      <c r="G3788" s="20" t="str">
        <f>IFERROR(__xludf.DUMMYFUNCTION("""COMPUTED_VALUE"""),"Uncle Sams Cider (11/12/2021) (Blue)")</f>
        <v>Uncle Sams Cider (11/12/2021) (Blue)</v>
      </c>
      <c r="H3788" s="19"/>
    </row>
    <row r="3789">
      <c r="A3789" s="9"/>
      <c r="B3789" s="15"/>
      <c r="C3789" s="9">
        <f>IFERROR(__xludf.DUMMYFUNCTION("""COMPUTED_VALUE"""),44566.0576505208)</f>
        <v>44566.05765</v>
      </c>
      <c r="D3789" s="15">
        <f>IFERROR(__xludf.DUMMYFUNCTION("""COMPUTED_VALUE"""),1.006)</f>
        <v>1.006</v>
      </c>
      <c r="E3789" s="16">
        <f>IFERROR(__xludf.DUMMYFUNCTION("""COMPUTED_VALUE"""),62.0)</f>
        <v>62</v>
      </c>
      <c r="F3789" s="19" t="str">
        <f>IFERROR(__xludf.DUMMYFUNCTION("""COMPUTED_VALUE"""),"BLUE")</f>
        <v>BLUE</v>
      </c>
      <c r="G3789" s="20" t="str">
        <f>IFERROR(__xludf.DUMMYFUNCTION("""COMPUTED_VALUE"""),"Uncle Sams Cider (11/12/2021) (Blue)")</f>
        <v>Uncle Sams Cider (11/12/2021) (Blue)</v>
      </c>
      <c r="H3789" s="19"/>
    </row>
    <row r="3790">
      <c r="A3790" s="9"/>
      <c r="B3790" s="15"/>
      <c r="C3790" s="9">
        <f>IFERROR(__xludf.DUMMYFUNCTION("""COMPUTED_VALUE"""),44566.0472184606)</f>
        <v>44566.04722</v>
      </c>
      <c r="D3790" s="15">
        <f>IFERROR(__xludf.DUMMYFUNCTION("""COMPUTED_VALUE"""),1.006)</f>
        <v>1.006</v>
      </c>
      <c r="E3790" s="16">
        <f>IFERROR(__xludf.DUMMYFUNCTION("""COMPUTED_VALUE"""),62.0)</f>
        <v>62</v>
      </c>
      <c r="F3790" s="19" t="str">
        <f>IFERROR(__xludf.DUMMYFUNCTION("""COMPUTED_VALUE"""),"BLUE")</f>
        <v>BLUE</v>
      </c>
      <c r="G3790" s="20" t="str">
        <f>IFERROR(__xludf.DUMMYFUNCTION("""COMPUTED_VALUE"""),"Uncle Sams Cider (11/12/2021) (Blue)")</f>
        <v>Uncle Sams Cider (11/12/2021) (Blue)</v>
      </c>
      <c r="H3790" s="19"/>
    </row>
    <row r="3791">
      <c r="A3791" s="9"/>
      <c r="B3791" s="15"/>
      <c r="C3791" s="9">
        <f>IFERROR(__xludf.DUMMYFUNCTION("""COMPUTED_VALUE"""),44566.036797199)</f>
        <v>44566.0368</v>
      </c>
      <c r="D3791" s="15">
        <f>IFERROR(__xludf.DUMMYFUNCTION("""COMPUTED_VALUE"""),1.006)</f>
        <v>1.006</v>
      </c>
      <c r="E3791" s="16">
        <f>IFERROR(__xludf.DUMMYFUNCTION("""COMPUTED_VALUE"""),62.0)</f>
        <v>62</v>
      </c>
      <c r="F3791" s="19" t="str">
        <f>IFERROR(__xludf.DUMMYFUNCTION("""COMPUTED_VALUE"""),"BLUE")</f>
        <v>BLUE</v>
      </c>
      <c r="G3791" s="20" t="str">
        <f>IFERROR(__xludf.DUMMYFUNCTION("""COMPUTED_VALUE"""),"Uncle Sams Cider (11/12/2021) (Blue)")</f>
        <v>Uncle Sams Cider (11/12/2021) (Blue)</v>
      </c>
      <c r="H3791" s="19"/>
    </row>
    <row r="3792">
      <c r="A3792" s="9"/>
      <c r="B3792" s="15"/>
      <c r="C3792" s="9">
        <f>IFERROR(__xludf.DUMMYFUNCTION("""COMPUTED_VALUE"""),44566.0263633333)</f>
        <v>44566.02636</v>
      </c>
      <c r="D3792" s="15">
        <f>IFERROR(__xludf.DUMMYFUNCTION("""COMPUTED_VALUE"""),1.006)</f>
        <v>1.006</v>
      </c>
      <c r="E3792" s="16">
        <f>IFERROR(__xludf.DUMMYFUNCTION("""COMPUTED_VALUE"""),62.0)</f>
        <v>62</v>
      </c>
      <c r="F3792" s="19" t="str">
        <f>IFERROR(__xludf.DUMMYFUNCTION("""COMPUTED_VALUE"""),"BLUE")</f>
        <v>BLUE</v>
      </c>
      <c r="G3792" s="20" t="str">
        <f>IFERROR(__xludf.DUMMYFUNCTION("""COMPUTED_VALUE"""),"Uncle Sams Cider (11/12/2021) (Blue)")</f>
        <v>Uncle Sams Cider (11/12/2021) (Blue)</v>
      </c>
      <c r="H3792" s="19"/>
    </row>
    <row r="3793">
      <c r="A3793" s="9"/>
      <c r="B3793" s="15"/>
      <c r="C3793" s="9">
        <f>IFERROR(__xludf.DUMMYFUNCTION("""COMPUTED_VALUE"""),44566.0159316319)</f>
        <v>44566.01593</v>
      </c>
      <c r="D3793" s="15">
        <f>IFERROR(__xludf.DUMMYFUNCTION("""COMPUTED_VALUE"""),1.006)</f>
        <v>1.006</v>
      </c>
      <c r="E3793" s="16">
        <f>IFERROR(__xludf.DUMMYFUNCTION("""COMPUTED_VALUE"""),62.0)</f>
        <v>62</v>
      </c>
      <c r="F3793" s="19" t="str">
        <f>IFERROR(__xludf.DUMMYFUNCTION("""COMPUTED_VALUE"""),"BLUE")</f>
        <v>BLUE</v>
      </c>
      <c r="G3793" s="20" t="str">
        <f>IFERROR(__xludf.DUMMYFUNCTION("""COMPUTED_VALUE"""),"Uncle Sams Cider (11/12/2021) (Blue)")</f>
        <v>Uncle Sams Cider (11/12/2021) (Blue)</v>
      </c>
      <c r="H3793" s="19"/>
    </row>
    <row r="3794">
      <c r="A3794" s="9"/>
      <c r="B3794" s="15"/>
      <c r="C3794" s="9">
        <f>IFERROR(__xludf.DUMMYFUNCTION("""COMPUTED_VALUE"""),44566.0054992129)</f>
        <v>44566.0055</v>
      </c>
      <c r="D3794" s="15">
        <f>IFERROR(__xludf.DUMMYFUNCTION("""COMPUTED_VALUE"""),1.006)</f>
        <v>1.006</v>
      </c>
      <c r="E3794" s="16">
        <f>IFERROR(__xludf.DUMMYFUNCTION("""COMPUTED_VALUE"""),62.0)</f>
        <v>62</v>
      </c>
      <c r="F3794" s="19" t="str">
        <f>IFERROR(__xludf.DUMMYFUNCTION("""COMPUTED_VALUE"""),"BLUE")</f>
        <v>BLUE</v>
      </c>
      <c r="G3794" s="20" t="str">
        <f>IFERROR(__xludf.DUMMYFUNCTION("""COMPUTED_VALUE"""),"Uncle Sams Cider (11/12/2021) (Blue)")</f>
        <v>Uncle Sams Cider (11/12/2021) (Blue)</v>
      </c>
      <c r="H3794" s="19"/>
    </row>
    <row r="3795">
      <c r="A3795" s="9"/>
      <c r="B3795" s="15"/>
      <c r="C3795" s="9">
        <f>IFERROR(__xludf.DUMMYFUNCTION("""COMPUTED_VALUE"""),44565.9950786226)</f>
        <v>44565.99508</v>
      </c>
      <c r="D3795" s="15">
        <f>IFERROR(__xludf.DUMMYFUNCTION("""COMPUTED_VALUE"""),1.006)</f>
        <v>1.006</v>
      </c>
      <c r="E3795" s="16">
        <f>IFERROR(__xludf.DUMMYFUNCTION("""COMPUTED_VALUE"""),62.0)</f>
        <v>62</v>
      </c>
      <c r="F3795" s="19" t="str">
        <f>IFERROR(__xludf.DUMMYFUNCTION("""COMPUTED_VALUE"""),"BLUE")</f>
        <v>BLUE</v>
      </c>
      <c r="G3795" s="20" t="str">
        <f>IFERROR(__xludf.DUMMYFUNCTION("""COMPUTED_VALUE"""),"Uncle Sams Cider (11/12/2021) (Blue)")</f>
        <v>Uncle Sams Cider (11/12/2021) (Blue)</v>
      </c>
      <c r="H3795" s="19"/>
    </row>
    <row r="3796">
      <c r="A3796" s="9"/>
      <c r="B3796" s="15"/>
      <c r="C3796" s="9">
        <f>IFERROR(__xludf.DUMMYFUNCTION("""COMPUTED_VALUE"""),44565.9846577777)</f>
        <v>44565.98466</v>
      </c>
      <c r="D3796" s="15">
        <f>IFERROR(__xludf.DUMMYFUNCTION("""COMPUTED_VALUE"""),1.006)</f>
        <v>1.006</v>
      </c>
      <c r="E3796" s="16">
        <f>IFERROR(__xludf.DUMMYFUNCTION("""COMPUTED_VALUE"""),62.0)</f>
        <v>62</v>
      </c>
      <c r="F3796" s="19" t="str">
        <f>IFERROR(__xludf.DUMMYFUNCTION("""COMPUTED_VALUE"""),"BLUE")</f>
        <v>BLUE</v>
      </c>
      <c r="G3796" s="20" t="str">
        <f>IFERROR(__xludf.DUMMYFUNCTION("""COMPUTED_VALUE"""),"Uncle Sams Cider (11/12/2021) (Blue)")</f>
        <v>Uncle Sams Cider (11/12/2021) (Blue)</v>
      </c>
      <c r="H3796" s="19"/>
    </row>
    <row r="3797">
      <c r="A3797" s="9"/>
      <c r="B3797" s="15"/>
      <c r="C3797" s="9">
        <f>IFERROR(__xludf.DUMMYFUNCTION("""COMPUTED_VALUE"""),44565.9742137731)</f>
        <v>44565.97421</v>
      </c>
      <c r="D3797" s="15">
        <f>IFERROR(__xludf.DUMMYFUNCTION("""COMPUTED_VALUE"""),1.006)</f>
        <v>1.006</v>
      </c>
      <c r="E3797" s="16">
        <f>IFERROR(__xludf.DUMMYFUNCTION("""COMPUTED_VALUE"""),62.0)</f>
        <v>62</v>
      </c>
      <c r="F3797" s="19" t="str">
        <f>IFERROR(__xludf.DUMMYFUNCTION("""COMPUTED_VALUE"""),"BLUE")</f>
        <v>BLUE</v>
      </c>
      <c r="G3797" s="20" t="str">
        <f>IFERROR(__xludf.DUMMYFUNCTION("""COMPUTED_VALUE"""),"Uncle Sams Cider (11/12/2021) (Blue)")</f>
        <v>Uncle Sams Cider (11/12/2021) (Blue)</v>
      </c>
      <c r="H3797" s="19"/>
    </row>
    <row r="3798">
      <c r="A3798" s="9"/>
      <c r="B3798" s="15"/>
      <c r="C3798" s="9">
        <f>IFERROR(__xludf.DUMMYFUNCTION("""COMPUTED_VALUE"""),44565.9637935763)</f>
        <v>44565.96379</v>
      </c>
      <c r="D3798" s="15">
        <f>IFERROR(__xludf.DUMMYFUNCTION("""COMPUTED_VALUE"""),1.006)</f>
        <v>1.006</v>
      </c>
      <c r="E3798" s="16">
        <f>IFERROR(__xludf.DUMMYFUNCTION("""COMPUTED_VALUE"""),62.0)</f>
        <v>62</v>
      </c>
      <c r="F3798" s="19" t="str">
        <f>IFERROR(__xludf.DUMMYFUNCTION("""COMPUTED_VALUE"""),"BLUE")</f>
        <v>BLUE</v>
      </c>
      <c r="G3798" s="20" t="str">
        <f>IFERROR(__xludf.DUMMYFUNCTION("""COMPUTED_VALUE"""),"Uncle Sams Cider (11/12/2021) (Blue)")</f>
        <v>Uncle Sams Cider (11/12/2021) (Blue)</v>
      </c>
      <c r="H3798" s="19"/>
    </row>
    <row r="3799">
      <c r="A3799" s="9"/>
      <c r="B3799" s="15"/>
      <c r="C3799" s="9">
        <f>IFERROR(__xludf.DUMMYFUNCTION("""COMPUTED_VALUE"""),44565.9533727662)</f>
        <v>44565.95337</v>
      </c>
      <c r="D3799" s="15">
        <f>IFERROR(__xludf.DUMMYFUNCTION("""COMPUTED_VALUE"""),1.006)</f>
        <v>1.006</v>
      </c>
      <c r="E3799" s="16">
        <f>IFERROR(__xludf.DUMMYFUNCTION("""COMPUTED_VALUE"""),62.0)</f>
        <v>62</v>
      </c>
      <c r="F3799" s="19" t="str">
        <f>IFERROR(__xludf.DUMMYFUNCTION("""COMPUTED_VALUE"""),"BLUE")</f>
        <v>BLUE</v>
      </c>
      <c r="G3799" s="20" t="str">
        <f>IFERROR(__xludf.DUMMYFUNCTION("""COMPUTED_VALUE"""),"Uncle Sams Cider (11/12/2021) (Blue)")</f>
        <v>Uncle Sams Cider (11/12/2021) (Blue)</v>
      </c>
      <c r="H3799" s="19"/>
    </row>
    <row r="3800">
      <c r="A3800" s="9"/>
      <c r="B3800" s="15"/>
      <c r="C3800" s="9">
        <f>IFERROR(__xludf.DUMMYFUNCTION("""COMPUTED_VALUE"""),44565.9429505092)</f>
        <v>44565.94295</v>
      </c>
      <c r="D3800" s="15">
        <f>IFERROR(__xludf.DUMMYFUNCTION("""COMPUTED_VALUE"""),1.006)</f>
        <v>1.006</v>
      </c>
      <c r="E3800" s="16">
        <f>IFERROR(__xludf.DUMMYFUNCTION("""COMPUTED_VALUE"""),62.0)</f>
        <v>62</v>
      </c>
      <c r="F3800" s="19" t="str">
        <f>IFERROR(__xludf.DUMMYFUNCTION("""COMPUTED_VALUE"""),"BLUE")</f>
        <v>BLUE</v>
      </c>
      <c r="G3800" s="20" t="str">
        <f>IFERROR(__xludf.DUMMYFUNCTION("""COMPUTED_VALUE"""),"Uncle Sams Cider (11/12/2021) (Blue)")</f>
        <v>Uncle Sams Cider (11/12/2021) (Blue)</v>
      </c>
      <c r="H3800" s="19"/>
    </row>
    <row r="3801">
      <c r="A3801" s="9"/>
      <c r="B3801" s="15"/>
      <c r="C3801" s="9">
        <f>IFERROR(__xludf.DUMMYFUNCTION("""COMPUTED_VALUE"""),44565.932529456)</f>
        <v>44565.93253</v>
      </c>
      <c r="D3801" s="15">
        <f>IFERROR(__xludf.DUMMYFUNCTION("""COMPUTED_VALUE"""),1.006)</f>
        <v>1.006</v>
      </c>
      <c r="E3801" s="16">
        <f>IFERROR(__xludf.DUMMYFUNCTION("""COMPUTED_VALUE"""),62.0)</f>
        <v>62</v>
      </c>
      <c r="F3801" s="19" t="str">
        <f>IFERROR(__xludf.DUMMYFUNCTION("""COMPUTED_VALUE"""),"BLUE")</f>
        <v>BLUE</v>
      </c>
      <c r="G3801" s="20" t="str">
        <f>IFERROR(__xludf.DUMMYFUNCTION("""COMPUTED_VALUE"""),"Uncle Sams Cider (11/12/2021) (Blue)")</f>
        <v>Uncle Sams Cider (11/12/2021) (Blue)</v>
      </c>
      <c r="H3801" s="19"/>
    </row>
    <row r="3802">
      <c r="A3802" s="9"/>
      <c r="B3802" s="15"/>
      <c r="C3802" s="9">
        <f>IFERROR(__xludf.DUMMYFUNCTION("""COMPUTED_VALUE"""),44565.9221070601)</f>
        <v>44565.92211</v>
      </c>
      <c r="D3802" s="15">
        <f>IFERROR(__xludf.DUMMYFUNCTION("""COMPUTED_VALUE"""),1.006)</f>
        <v>1.006</v>
      </c>
      <c r="E3802" s="16">
        <f>IFERROR(__xludf.DUMMYFUNCTION("""COMPUTED_VALUE"""),62.0)</f>
        <v>62</v>
      </c>
      <c r="F3802" s="19" t="str">
        <f>IFERROR(__xludf.DUMMYFUNCTION("""COMPUTED_VALUE"""),"BLUE")</f>
        <v>BLUE</v>
      </c>
      <c r="G3802" s="20" t="str">
        <f>IFERROR(__xludf.DUMMYFUNCTION("""COMPUTED_VALUE"""),"Uncle Sams Cider (11/12/2021) (Blue)")</f>
        <v>Uncle Sams Cider (11/12/2021) (Blue)</v>
      </c>
      <c r="H3802" s="19"/>
    </row>
    <row r="3803">
      <c r="A3803" s="9"/>
      <c r="B3803" s="15"/>
      <c r="C3803" s="9">
        <f>IFERROR(__xludf.DUMMYFUNCTION("""COMPUTED_VALUE"""),44565.9116839467)</f>
        <v>44565.91168</v>
      </c>
      <c r="D3803" s="15">
        <f>IFERROR(__xludf.DUMMYFUNCTION("""COMPUTED_VALUE"""),1.006)</f>
        <v>1.006</v>
      </c>
      <c r="E3803" s="16">
        <f>IFERROR(__xludf.DUMMYFUNCTION("""COMPUTED_VALUE"""),62.0)</f>
        <v>62</v>
      </c>
      <c r="F3803" s="19" t="str">
        <f>IFERROR(__xludf.DUMMYFUNCTION("""COMPUTED_VALUE"""),"BLUE")</f>
        <v>BLUE</v>
      </c>
      <c r="G3803" s="20" t="str">
        <f>IFERROR(__xludf.DUMMYFUNCTION("""COMPUTED_VALUE"""),"Uncle Sams Cider (11/12/2021) (Blue)")</f>
        <v>Uncle Sams Cider (11/12/2021) (Blue)</v>
      </c>
      <c r="H3803" s="19"/>
    </row>
    <row r="3804">
      <c r="A3804" s="9"/>
      <c r="B3804" s="15"/>
      <c r="C3804" s="9">
        <f>IFERROR(__xludf.DUMMYFUNCTION("""COMPUTED_VALUE"""),44565.9012632986)</f>
        <v>44565.90126</v>
      </c>
      <c r="D3804" s="15">
        <f>IFERROR(__xludf.DUMMYFUNCTION("""COMPUTED_VALUE"""),1.006)</f>
        <v>1.006</v>
      </c>
      <c r="E3804" s="16">
        <f>IFERROR(__xludf.DUMMYFUNCTION("""COMPUTED_VALUE"""),62.0)</f>
        <v>62</v>
      </c>
      <c r="F3804" s="19" t="str">
        <f>IFERROR(__xludf.DUMMYFUNCTION("""COMPUTED_VALUE"""),"BLUE")</f>
        <v>BLUE</v>
      </c>
      <c r="G3804" s="20" t="str">
        <f>IFERROR(__xludf.DUMMYFUNCTION("""COMPUTED_VALUE"""),"Uncle Sams Cider (11/12/2021) (Blue)")</f>
        <v>Uncle Sams Cider (11/12/2021) (Blue)</v>
      </c>
      <c r="H3804" s="19"/>
    </row>
    <row r="3805">
      <c r="A3805" s="9"/>
      <c r="B3805" s="15"/>
      <c r="C3805" s="9">
        <f>IFERROR(__xludf.DUMMYFUNCTION("""COMPUTED_VALUE"""),44565.8908423611)</f>
        <v>44565.89084</v>
      </c>
      <c r="D3805" s="15">
        <f>IFERROR(__xludf.DUMMYFUNCTION("""COMPUTED_VALUE"""),1.006)</f>
        <v>1.006</v>
      </c>
      <c r="E3805" s="16">
        <f>IFERROR(__xludf.DUMMYFUNCTION("""COMPUTED_VALUE"""),62.0)</f>
        <v>62</v>
      </c>
      <c r="F3805" s="19" t="str">
        <f>IFERROR(__xludf.DUMMYFUNCTION("""COMPUTED_VALUE"""),"BLUE")</f>
        <v>BLUE</v>
      </c>
      <c r="G3805" s="20" t="str">
        <f>IFERROR(__xludf.DUMMYFUNCTION("""COMPUTED_VALUE"""),"Uncle Sams Cider (11/12/2021) (Blue)")</f>
        <v>Uncle Sams Cider (11/12/2021) (Blue)</v>
      </c>
      <c r="H3805" s="19"/>
    </row>
    <row r="3806">
      <c r="A3806" s="9"/>
      <c r="B3806" s="15"/>
      <c r="C3806" s="9">
        <f>IFERROR(__xludf.DUMMYFUNCTION("""COMPUTED_VALUE"""),44565.8804229282)</f>
        <v>44565.88042</v>
      </c>
      <c r="D3806" s="15">
        <f>IFERROR(__xludf.DUMMYFUNCTION("""COMPUTED_VALUE"""),1.006)</f>
        <v>1.006</v>
      </c>
      <c r="E3806" s="16">
        <f>IFERROR(__xludf.DUMMYFUNCTION("""COMPUTED_VALUE"""),62.0)</f>
        <v>62</v>
      </c>
      <c r="F3806" s="19" t="str">
        <f>IFERROR(__xludf.DUMMYFUNCTION("""COMPUTED_VALUE"""),"BLUE")</f>
        <v>BLUE</v>
      </c>
      <c r="G3806" s="20" t="str">
        <f>IFERROR(__xludf.DUMMYFUNCTION("""COMPUTED_VALUE"""),"Uncle Sams Cider (11/12/2021) (Blue)")</f>
        <v>Uncle Sams Cider (11/12/2021) (Blue)</v>
      </c>
      <c r="H3806" s="19"/>
    </row>
    <row r="3807">
      <c r="A3807" s="9"/>
      <c r="B3807" s="15"/>
      <c r="C3807" s="9">
        <f>IFERROR(__xludf.DUMMYFUNCTION("""COMPUTED_VALUE"""),44565.8700015161)</f>
        <v>44565.87</v>
      </c>
      <c r="D3807" s="15">
        <f>IFERROR(__xludf.DUMMYFUNCTION("""COMPUTED_VALUE"""),1.006)</f>
        <v>1.006</v>
      </c>
      <c r="E3807" s="16">
        <f>IFERROR(__xludf.DUMMYFUNCTION("""COMPUTED_VALUE"""),62.0)</f>
        <v>62</v>
      </c>
      <c r="F3807" s="19" t="str">
        <f>IFERROR(__xludf.DUMMYFUNCTION("""COMPUTED_VALUE"""),"BLUE")</f>
        <v>BLUE</v>
      </c>
      <c r="G3807" s="20" t="str">
        <f>IFERROR(__xludf.DUMMYFUNCTION("""COMPUTED_VALUE"""),"Uncle Sams Cider (11/12/2021) (Blue)")</f>
        <v>Uncle Sams Cider (11/12/2021) (Blue)</v>
      </c>
      <c r="H3807" s="19"/>
    </row>
    <row r="3808">
      <c r="A3808" s="9"/>
      <c r="B3808" s="15"/>
      <c r="C3808" s="9">
        <f>IFERROR(__xludf.DUMMYFUNCTION("""COMPUTED_VALUE"""),44565.8595685532)</f>
        <v>44565.85957</v>
      </c>
      <c r="D3808" s="15">
        <f>IFERROR(__xludf.DUMMYFUNCTION("""COMPUTED_VALUE"""),1.006)</f>
        <v>1.006</v>
      </c>
      <c r="E3808" s="16">
        <f>IFERROR(__xludf.DUMMYFUNCTION("""COMPUTED_VALUE"""),62.0)</f>
        <v>62</v>
      </c>
      <c r="F3808" s="19" t="str">
        <f>IFERROR(__xludf.DUMMYFUNCTION("""COMPUTED_VALUE"""),"BLUE")</f>
        <v>BLUE</v>
      </c>
      <c r="G3808" s="20" t="str">
        <f>IFERROR(__xludf.DUMMYFUNCTION("""COMPUTED_VALUE"""),"Uncle Sams Cider (11/12/2021) (Blue)")</f>
        <v>Uncle Sams Cider (11/12/2021) (Blue)</v>
      </c>
      <c r="H3808" s="19"/>
    </row>
    <row r="3809">
      <c r="A3809" s="9"/>
      <c r="B3809" s="15"/>
      <c r="C3809" s="9">
        <f>IFERROR(__xludf.DUMMYFUNCTION("""COMPUTED_VALUE"""),44565.8491456018)</f>
        <v>44565.84915</v>
      </c>
      <c r="D3809" s="15">
        <f>IFERROR(__xludf.DUMMYFUNCTION("""COMPUTED_VALUE"""),1.006)</f>
        <v>1.006</v>
      </c>
      <c r="E3809" s="16">
        <f>IFERROR(__xludf.DUMMYFUNCTION("""COMPUTED_VALUE"""),62.0)</f>
        <v>62</v>
      </c>
      <c r="F3809" s="19" t="str">
        <f>IFERROR(__xludf.DUMMYFUNCTION("""COMPUTED_VALUE"""),"BLUE")</f>
        <v>BLUE</v>
      </c>
      <c r="G3809" s="20" t="str">
        <f>IFERROR(__xludf.DUMMYFUNCTION("""COMPUTED_VALUE"""),"Uncle Sams Cider (11/12/2021) (Blue)")</f>
        <v>Uncle Sams Cider (11/12/2021) (Blue)</v>
      </c>
      <c r="H3809" s="19"/>
    </row>
    <row r="3810">
      <c r="A3810" s="9"/>
      <c r="B3810" s="15"/>
      <c r="C3810" s="9">
        <f>IFERROR(__xludf.DUMMYFUNCTION("""COMPUTED_VALUE"""),44565.8387241435)</f>
        <v>44565.83872</v>
      </c>
      <c r="D3810" s="15">
        <f>IFERROR(__xludf.DUMMYFUNCTION("""COMPUTED_VALUE"""),1.006)</f>
        <v>1.006</v>
      </c>
      <c r="E3810" s="16">
        <f>IFERROR(__xludf.DUMMYFUNCTION("""COMPUTED_VALUE"""),62.0)</f>
        <v>62</v>
      </c>
      <c r="F3810" s="19" t="str">
        <f>IFERROR(__xludf.DUMMYFUNCTION("""COMPUTED_VALUE"""),"BLUE")</f>
        <v>BLUE</v>
      </c>
      <c r="G3810" s="20" t="str">
        <f>IFERROR(__xludf.DUMMYFUNCTION("""COMPUTED_VALUE"""),"Uncle Sams Cider (11/12/2021) (Blue)")</f>
        <v>Uncle Sams Cider (11/12/2021) (Blue)</v>
      </c>
      <c r="H3810" s="19"/>
    </row>
    <row r="3811">
      <c r="A3811" s="9"/>
      <c r="B3811" s="15"/>
      <c r="C3811" s="9">
        <f>IFERROR(__xludf.DUMMYFUNCTION("""COMPUTED_VALUE"""),44565.828280868)</f>
        <v>44565.82828</v>
      </c>
      <c r="D3811" s="15">
        <f>IFERROR(__xludf.DUMMYFUNCTION("""COMPUTED_VALUE"""),1.006)</f>
        <v>1.006</v>
      </c>
      <c r="E3811" s="16">
        <f>IFERROR(__xludf.DUMMYFUNCTION("""COMPUTED_VALUE"""),62.0)</f>
        <v>62</v>
      </c>
      <c r="F3811" s="19" t="str">
        <f>IFERROR(__xludf.DUMMYFUNCTION("""COMPUTED_VALUE"""),"BLUE")</f>
        <v>BLUE</v>
      </c>
      <c r="G3811" s="20" t="str">
        <f>IFERROR(__xludf.DUMMYFUNCTION("""COMPUTED_VALUE"""),"Uncle Sams Cider (11/12/2021) (Blue)")</f>
        <v>Uncle Sams Cider (11/12/2021) (Blue)</v>
      </c>
      <c r="H3811" s="19"/>
    </row>
    <row r="3812">
      <c r="A3812" s="9"/>
      <c r="B3812" s="15"/>
      <c r="C3812" s="9">
        <f>IFERROR(__xludf.DUMMYFUNCTION("""COMPUTED_VALUE"""),44565.817860324)</f>
        <v>44565.81786</v>
      </c>
      <c r="D3812" s="15">
        <f>IFERROR(__xludf.DUMMYFUNCTION("""COMPUTED_VALUE"""),1.006)</f>
        <v>1.006</v>
      </c>
      <c r="E3812" s="16">
        <f>IFERROR(__xludf.DUMMYFUNCTION("""COMPUTED_VALUE"""),62.0)</f>
        <v>62</v>
      </c>
      <c r="F3812" s="19" t="str">
        <f>IFERROR(__xludf.DUMMYFUNCTION("""COMPUTED_VALUE"""),"BLUE")</f>
        <v>BLUE</v>
      </c>
      <c r="G3812" s="20" t="str">
        <f>IFERROR(__xludf.DUMMYFUNCTION("""COMPUTED_VALUE"""),"Uncle Sams Cider (11/12/2021) (Blue)")</f>
        <v>Uncle Sams Cider (11/12/2021) (Blue)</v>
      </c>
      <c r="H3812" s="19"/>
    </row>
    <row r="3813">
      <c r="A3813" s="9"/>
      <c r="B3813" s="15"/>
      <c r="C3813" s="9">
        <f>IFERROR(__xludf.DUMMYFUNCTION("""COMPUTED_VALUE"""),44565.8074398032)</f>
        <v>44565.80744</v>
      </c>
      <c r="D3813" s="15">
        <f>IFERROR(__xludf.DUMMYFUNCTION("""COMPUTED_VALUE"""),1.006)</f>
        <v>1.006</v>
      </c>
      <c r="E3813" s="16">
        <f>IFERROR(__xludf.DUMMYFUNCTION("""COMPUTED_VALUE"""),62.0)</f>
        <v>62</v>
      </c>
      <c r="F3813" s="19" t="str">
        <f>IFERROR(__xludf.DUMMYFUNCTION("""COMPUTED_VALUE"""),"BLUE")</f>
        <v>BLUE</v>
      </c>
      <c r="G3813" s="20" t="str">
        <f>IFERROR(__xludf.DUMMYFUNCTION("""COMPUTED_VALUE"""),"Uncle Sams Cider (11/12/2021) (Blue)")</f>
        <v>Uncle Sams Cider (11/12/2021) (Blue)</v>
      </c>
      <c r="H3813" s="19"/>
    </row>
    <row r="3814">
      <c r="A3814" s="9"/>
      <c r="B3814" s="15"/>
      <c r="C3814" s="9">
        <f>IFERROR(__xludf.DUMMYFUNCTION("""COMPUTED_VALUE"""),44565.7970184606)</f>
        <v>44565.79702</v>
      </c>
      <c r="D3814" s="15">
        <f>IFERROR(__xludf.DUMMYFUNCTION("""COMPUTED_VALUE"""),1.006)</f>
        <v>1.006</v>
      </c>
      <c r="E3814" s="16">
        <f>IFERROR(__xludf.DUMMYFUNCTION("""COMPUTED_VALUE"""),62.0)</f>
        <v>62</v>
      </c>
      <c r="F3814" s="19" t="str">
        <f>IFERROR(__xludf.DUMMYFUNCTION("""COMPUTED_VALUE"""),"BLUE")</f>
        <v>BLUE</v>
      </c>
      <c r="G3814" s="20" t="str">
        <f>IFERROR(__xludf.DUMMYFUNCTION("""COMPUTED_VALUE"""),"Uncle Sams Cider (11/12/2021) (Blue)")</f>
        <v>Uncle Sams Cider (11/12/2021) (Blue)</v>
      </c>
      <c r="H3814" s="19"/>
    </row>
    <row r="3815">
      <c r="A3815" s="9"/>
      <c r="B3815" s="15"/>
      <c r="C3815" s="9">
        <f>IFERROR(__xludf.DUMMYFUNCTION("""COMPUTED_VALUE"""),44565.7865979513)</f>
        <v>44565.7866</v>
      </c>
      <c r="D3815" s="15">
        <f>IFERROR(__xludf.DUMMYFUNCTION("""COMPUTED_VALUE"""),1.006)</f>
        <v>1.006</v>
      </c>
      <c r="E3815" s="16">
        <f>IFERROR(__xludf.DUMMYFUNCTION("""COMPUTED_VALUE"""),62.0)</f>
        <v>62</v>
      </c>
      <c r="F3815" s="19" t="str">
        <f>IFERROR(__xludf.DUMMYFUNCTION("""COMPUTED_VALUE"""),"BLUE")</f>
        <v>BLUE</v>
      </c>
      <c r="G3815" s="20" t="str">
        <f>IFERROR(__xludf.DUMMYFUNCTION("""COMPUTED_VALUE"""),"Uncle Sams Cider (11/12/2021) (Blue)")</f>
        <v>Uncle Sams Cider (11/12/2021) (Blue)</v>
      </c>
      <c r="H3815" s="19"/>
    </row>
    <row r="3816">
      <c r="A3816" s="9"/>
      <c r="B3816" s="15"/>
      <c r="C3816" s="9">
        <f>IFERROR(__xludf.DUMMYFUNCTION("""COMPUTED_VALUE"""),44565.7761760185)</f>
        <v>44565.77618</v>
      </c>
      <c r="D3816" s="15">
        <f>IFERROR(__xludf.DUMMYFUNCTION("""COMPUTED_VALUE"""),1.006)</f>
        <v>1.006</v>
      </c>
      <c r="E3816" s="16">
        <f>IFERROR(__xludf.DUMMYFUNCTION("""COMPUTED_VALUE"""),62.0)</f>
        <v>62</v>
      </c>
      <c r="F3816" s="19" t="str">
        <f>IFERROR(__xludf.DUMMYFUNCTION("""COMPUTED_VALUE"""),"BLUE")</f>
        <v>BLUE</v>
      </c>
      <c r="G3816" s="20" t="str">
        <f>IFERROR(__xludf.DUMMYFUNCTION("""COMPUTED_VALUE"""),"Uncle Sams Cider (11/12/2021) (Blue)")</f>
        <v>Uncle Sams Cider (11/12/2021) (Blue)</v>
      </c>
      <c r="H3816" s="19"/>
    </row>
    <row r="3817">
      <c r="A3817" s="9"/>
      <c r="B3817" s="15"/>
      <c r="C3817" s="9">
        <f>IFERROR(__xludf.DUMMYFUNCTION("""COMPUTED_VALUE"""),44565.76573125)</f>
        <v>44565.76573</v>
      </c>
      <c r="D3817" s="15">
        <f>IFERROR(__xludf.DUMMYFUNCTION("""COMPUTED_VALUE"""),1.006)</f>
        <v>1.006</v>
      </c>
      <c r="E3817" s="16">
        <f>IFERROR(__xludf.DUMMYFUNCTION("""COMPUTED_VALUE"""),62.0)</f>
        <v>62</v>
      </c>
      <c r="F3817" s="19" t="str">
        <f>IFERROR(__xludf.DUMMYFUNCTION("""COMPUTED_VALUE"""),"BLUE")</f>
        <v>BLUE</v>
      </c>
      <c r="G3817" s="20" t="str">
        <f>IFERROR(__xludf.DUMMYFUNCTION("""COMPUTED_VALUE"""),"Uncle Sams Cider (11/12/2021) (Blue)")</f>
        <v>Uncle Sams Cider (11/12/2021) (Blue)</v>
      </c>
      <c r="H3817" s="19"/>
    </row>
    <row r="3818">
      <c r="A3818" s="9"/>
      <c r="B3818" s="15"/>
      <c r="C3818" s="9">
        <f>IFERROR(__xludf.DUMMYFUNCTION("""COMPUTED_VALUE"""),44565.7553103472)</f>
        <v>44565.75531</v>
      </c>
      <c r="D3818" s="15">
        <f>IFERROR(__xludf.DUMMYFUNCTION("""COMPUTED_VALUE"""),1.006)</f>
        <v>1.006</v>
      </c>
      <c r="E3818" s="16">
        <f>IFERROR(__xludf.DUMMYFUNCTION("""COMPUTED_VALUE"""),62.0)</f>
        <v>62</v>
      </c>
      <c r="F3818" s="19" t="str">
        <f>IFERROR(__xludf.DUMMYFUNCTION("""COMPUTED_VALUE"""),"BLUE")</f>
        <v>BLUE</v>
      </c>
      <c r="G3818" s="20" t="str">
        <f>IFERROR(__xludf.DUMMYFUNCTION("""COMPUTED_VALUE"""),"Uncle Sams Cider (11/12/2021) (Blue)")</f>
        <v>Uncle Sams Cider (11/12/2021) (Blue)</v>
      </c>
      <c r="H3818" s="19"/>
    </row>
    <row r="3819">
      <c r="A3819" s="9"/>
      <c r="B3819" s="15"/>
      <c r="C3819" s="9">
        <f>IFERROR(__xludf.DUMMYFUNCTION("""COMPUTED_VALUE"""),44565.7448884722)</f>
        <v>44565.74489</v>
      </c>
      <c r="D3819" s="15">
        <f>IFERROR(__xludf.DUMMYFUNCTION("""COMPUTED_VALUE"""),1.006)</f>
        <v>1.006</v>
      </c>
      <c r="E3819" s="16">
        <f>IFERROR(__xludf.DUMMYFUNCTION("""COMPUTED_VALUE"""),62.0)</f>
        <v>62</v>
      </c>
      <c r="F3819" s="19" t="str">
        <f>IFERROR(__xludf.DUMMYFUNCTION("""COMPUTED_VALUE"""),"BLUE")</f>
        <v>BLUE</v>
      </c>
      <c r="G3819" s="20" t="str">
        <f>IFERROR(__xludf.DUMMYFUNCTION("""COMPUTED_VALUE"""),"Uncle Sams Cider (11/12/2021) (Blue)")</f>
        <v>Uncle Sams Cider (11/12/2021) (Blue)</v>
      </c>
      <c r="H3819" s="19"/>
    </row>
    <row r="3820">
      <c r="A3820" s="9"/>
      <c r="B3820" s="15"/>
      <c r="C3820" s="9">
        <f>IFERROR(__xludf.DUMMYFUNCTION("""COMPUTED_VALUE"""),44565.7344560879)</f>
        <v>44565.73446</v>
      </c>
      <c r="D3820" s="15">
        <f>IFERROR(__xludf.DUMMYFUNCTION("""COMPUTED_VALUE"""),1.006)</f>
        <v>1.006</v>
      </c>
      <c r="E3820" s="16">
        <f>IFERROR(__xludf.DUMMYFUNCTION("""COMPUTED_VALUE"""),62.0)</f>
        <v>62</v>
      </c>
      <c r="F3820" s="19" t="str">
        <f>IFERROR(__xludf.DUMMYFUNCTION("""COMPUTED_VALUE"""),"BLUE")</f>
        <v>BLUE</v>
      </c>
      <c r="G3820" s="20" t="str">
        <f>IFERROR(__xludf.DUMMYFUNCTION("""COMPUTED_VALUE"""),"Uncle Sams Cider (11/12/2021) (Blue)")</f>
        <v>Uncle Sams Cider (11/12/2021) (Blue)</v>
      </c>
      <c r="H3820" s="19"/>
    </row>
    <row r="3821">
      <c r="A3821" s="9"/>
      <c r="B3821" s="15"/>
      <c r="C3821" s="9">
        <f>IFERROR(__xludf.DUMMYFUNCTION("""COMPUTED_VALUE"""),44565.7240244328)</f>
        <v>44565.72402</v>
      </c>
      <c r="D3821" s="15">
        <f>IFERROR(__xludf.DUMMYFUNCTION("""COMPUTED_VALUE"""),1.006)</f>
        <v>1.006</v>
      </c>
      <c r="E3821" s="16">
        <f>IFERROR(__xludf.DUMMYFUNCTION("""COMPUTED_VALUE"""),62.0)</f>
        <v>62</v>
      </c>
      <c r="F3821" s="19" t="str">
        <f>IFERROR(__xludf.DUMMYFUNCTION("""COMPUTED_VALUE"""),"BLUE")</f>
        <v>BLUE</v>
      </c>
      <c r="G3821" s="20" t="str">
        <f>IFERROR(__xludf.DUMMYFUNCTION("""COMPUTED_VALUE"""),"Uncle Sams Cider (11/12/2021) (Blue)")</f>
        <v>Uncle Sams Cider (11/12/2021) (Blue)</v>
      </c>
      <c r="H3821" s="19"/>
    </row>
    <row r="3822">
      <c r="A3822" s="9"/>
      <c r="B3822" s="15"/>
      <c r="C3822" s="9">
        <f>IFERROR(__xludf.DUMMYFUNCTION("""COMPUTED_VALUE"""),44565.7136025462)</f>
        <v>44565.7136</v>
      </c>
      <c r="D3822" s="15">
        <f>IFERROR(__xludf.DUMMYFUNCTION("""COMPUTED_VALUE"""),1.006)</f>
        <v>1.006</v>
      </c>
      <c r="E3822" s="16">
        <f>IFERROR(__xludf.DUMMYFUNCTION("""COMPUTED_VALUE"""),62.0)</f>
        <v>62</v>
      </c>
      <c r="F3822" s="19" t="str">
        <f>IFERROR(__xludf.DUMMYFUNCTION("""COMPUTED_VALUE"""),"BLUE")</f>
        <v>BLUE</v>
      </c>
      <c r="G3822" s="20" t="str">
        <f>IFERROR(__xludf.DUMMYFUNCTION("""COMPUTED_VALUE"""),"Uncle Sams Cider (11/12/2021) (Blue)")</f>
        <v>Uncle Sams Cider (11/12/2021) (Blue)</v>
      </c>
      <c r="H3822" s="19"/>
    </row>
    <row r="3823">
      <c r="A3823" s="9"/>
      <c r="B3823" s="15"/>
      <c r="C3823" s="9">
        <f>IFERROR(__xludf.DUMMYFUNCTION("""COMPUTED_VALUE"""),44565.70316)</f>
        <v>44565.70316</v>
      </c>
      <c r="D3823" s="15">
        <f>IFERROR(__xludf.DUMMYFUNCTION("""COMPUTED_VALUE"""),1.006)</f>
        <v>1.006</v>
      </c>
      <c r="E3823" s="16">
        <f>IFERROR(__xludf.DUMMYFUNCTION("""COMPUTED_VALUE"""),62.0)</f>
        <v>62</v>
      </c>
      <c r="F3823" s="19" t="str">
        <f>IFERROR(__xludf.DUMMYFUNCTION("""COMPUTED_VALUE"""),"BLUE")</f>
        <v>BLUE</v>
      </c>
      <c r="G3823" s="20" t="str">
        <f>IFERROR(__xludf.DUMMYFUNCTION("""COMPUTED_VALUE"""),"Uncle Sams Cider (11/12/2021) (Blue)")</f>
        <v>Uncle Sams Cider (11/12/2021) (Blue)</v>
      </c>
      <c r="H3823" s="19"/>
    </row>
    <row r="3824">
      <c r="A3824" s="9"/>
      <c r="B3824" s="15"/>
      <c r="C3824" s="9">
        <f>IFERROR(__xludf.DUMMYFUNCTION("""COMPUTED_VALUE"""),44565.6927270138)</f>
        <v>44565.69273</v>
      </c>
      <c r="D3824" s="15">
        <f>IFERROR(__xludf.DUMMYFUNCTION("""COMPUTED_VALUE"""),1.006)</f>
        <v>1.006</v>
      </c>
      <c r="E3824" s="16">
        <f>IFERROR(__xludf.DUMMYFUNCTION("""COMPUTED_VALUE"""),62.0)</f>
        <v>62</v>
      </c>
      <c r="F3824" s="19" t="str">
        <f>IFERROR(__xludf.DUMMYFUNCTION("""COMPUTED_VALUE"""),"BLUE")</f>
        <v>BLUE</v>
      </c>
      <c r="G3824" s="20" t="str">
        <f>IFERROR(__xludf.DUMMYFUNCTION("""COMPUTED_VALUE"""),"Uncle Sams Cider (11/12/2021) (Blue)")</f>
        <v>Uncle Sams Cider (11/12/2021) (Blue)</v>
      </c>
      <c r="H3824" s="19"/>
    </row>
    <row r="3825">
      <c r="A3825" s="9"/>
      <c r="B3825" s="15"/>
      <c r="C3825" s="9">
        <f>IFERROR(__xludf.DUMMYFUNCTION("""COMPUTED_VALUE"""),44565.6823050115)</f>
        <v>44565.68231</v>
      </c>
      <c r="D3825" s="15">
        <f>IFERROR(__xludf.DUMMYFUNCTION("""COMPUTED_VALUE"""),1.006)</f>
        <v>1.006</v>
      </c>
      <c r="E3825" s="16">
        <f>IFERROR(__xludf.DUMMYFUNCTION("""COMPUTED_VALUE"""),62.0)</f>
        <v>62</v>
      </c>
      <c r="F3825" s="19" t="str">
        <f>IFERROR(__xludf.DUMMYFUNCTION("""COMPUTED_VALUE"""),"BLUE")</f>
        <v>BLUE</v>
      </c>
      <c r="G3825" s="20" t="str">
        <f>IFERROR(__xludf.DUMMYFUNCTION("""COMPUTED_VALUE"""),"Uncle Sams Cider (11/12/2021) (Blue)")</f>
        <v>Uncle Sams Cider (11/12/2021) (Blue)</v>
      </c>
      <c r="H3825" s="19"/>
    </row>
    <row r="3826">
      <c r="A3826" s="9"/>
      <c r="B3826" s="15"/>
      <c r="C3826" s="9">
        <f>IFERROR(__xludf.DUMMYFUNCTION("""COMPUTED_VALUE"""),44565.6718836111)</f>
        <v>44565.67188</v>
      </c>
      <c r="D3826" s="15">
        <f>IFERROR(__xludf.DUMMYFUNCTION("""COMPUTED_VALUE"""),1.006)</f>
        <v>1.006</v>
      </c>
      <c r="E3826" s="16">
        <f>IFERROR(__xludf.DUMMYFUNCTION("""COMPUTED_VALUE"""),62.0)</f>
        <v>62</v>
      </c>
      <c r="F3826" s="19" t="str">
        <f>IFERROR(__xludf.DUMMYFUNCTION("""COMPUTED_VALUE"""),"BLUE")</f>
        <v>BLUE</v>
      </c>
      <c r="G3826" s="20" t="str">
        <f>IFERROR(__xludf.DUMMYFUNCTION("""COMPUTED_VALUE"""),"Uncle Sams Cider (11/12/2021) (Blue)")</f>
        <v>Uncle Sams Cider (11/12/2021) (Blue)</v>
      </c>
      <c r="H3826" s="19"/>
    </row>
    <row r="3827">
      <c r="A3827" s="9"/>
      <c r="B3827" s="15"/>
      <c r="C3827" s="9">
        <f>IFERROR(__xludf.DUMMYFUNCTION("""COMPUTED_VALUE"""),44565.6614634838)</f>
        <v>44565.66146</v>
      </c>
      <c r="D3827" s="15">
        <f>IFERROR(__xludf.DUMMYFUNCTION("""COMPUTED_VALUE"""),1.006)</f>
        <v>1.006</v>
      </c>
      <c r="E3827" s="16">
        <f>IFERROR(__xludf.DUMMYFUNCTION("""COMPUTED_VALUE"""),62.0)</f>
        <v>62</v>
      </c>
      <c r="F3827" s="19" t="str">
        <f>IFERROR(__xludf.DUMMYFUNCTION("""COMPUTED_VALUE"""),"BLUE")</f>
        <v>BLUE</v>
      </c>
      <c r="G3827" s="20" t="str">
        <f>IFERROR(__xludf.DUMMYFUNCTION("""COMPUTED_VALUE"""),"Uncle Sams Cider (11/12/2021) (Blue)")</f>
        <v>Uncle Sams Cider (11/12/2021) (Blue)</v>
      </c>
      <c r="H3827" s="19"/>
    </row>
    <row r="3828">
      <c r="A3828" s="9"/>
      <c r="B3828" s="15"/>
      <c r="C3828" s="9">
        <f>IFERROR(__xludf.DUMMYFUNCTION("""COMPUTED_VALUE"""),44565.6510424537)</f>
        <v>44565.65104</v>
      </c>
      <c r="D3828" s="15">
        <f>IFERROR(__xludf.DUMMYFUNCTION("""COMPUTED_VALUE"""),1.006)</f>
        <v>1.006</v>
      </c>
      <c r="E3828" s="16">
        <f>IFERROR(__xludf.DUMMYFUNCTION("""COMPUTED_VALUE"""),62.0)</f>
        <v>62</v>
      </c>
      <c r="F3828" s="19" t="str">
        <f>IFERROR(__xludf.DUMMYFUNCTION("""COMPUTED_VALUE"""),"BLUE")</f>
        <v>BLUE</v>
      </c>
      <c r="G3828" s="20" t="str">
        <f>IFERROR(__xludf.DUMMYFUNCTION("""COMPUTED_VALUE"""),"Uncle Sams Cider (11/12/2021) (Blue)")</f>
        <v>Uncle Sams Cider (11/12/2021) (Blue)</v>
      </c>
      <c r="H3828" s="19"/>
    </row>
    <row r="3829">
      <c r="A3829" s="9"/>
      <c r="B3829" s="15"/>
      <c r="C3829" s="9">
        <f>IFERROR(__xludf.DUMMYFUNCTION("""COMPUTED_VALUE"""),44565.6406106712)</f>
        <v>44565.64061</v>
      </c>
      <c r="D3829" s="15">
        <f>IFERROR(__xludf.DUMMYFUNCTION("""COMPUTED_VALUE"""),1.006)</f>
        <v>1.006</v>
      </c>
      <c r="E3829" s="16">
        <f>IFERROR(__xludf.DUMMYFUNCTION("""COMPUTED_VALUE"""),62.0)</f>
        <v>62</v>
      </c>
      <c r="F3829" s="19" t="str">
        <f>IFERROR(__xludf.DUMMYFUNCTION("""COMPUTED_VALUE"""),"BLUE")</f>
        <v>BLUE</v>
      </c>
      <c r="G3829" s="20" t="str">
        <f>IFERROR(__xludf.DUMMYFUNCTION("""COMPUTED_VALUE"""),"Uncle Sams Cider (11/12/2021) (Blue)")</f>
        <v>Uncle Sams Cider (11/12/2021) (Blue)</v>
      </c>
      <c r="H3829" s="19"/>
    </row>
    <row r="3830">
      <c r="A3830" s="9"/>
      <c r="B3830" s="15"/>
      <c r="C3830" s="9">
        <f>IFERROR(__xludf.DUMMYFUNCTION("""COMPUTED_VALUE"""),44565.6301660648)</f>
        <v>44565.63017</v>
      </c>
      <c r="D3830" s="15">
        <f>IFERROR(__xludf.DUMMYFUNCTION("""COMPUTED_VALUE"""),1.006)</f>
        <v>1.006</v>
      </c>
      <c r="E3830" s="16">
        <f>IFERROR(__xludf.DUMMYFUNCTION("""COMPUTED_VALUE"""),62.0)</f>
        <v>62</v>
      </c>
      <c r="F3830" s="19" t="str">
        <f>IFERROR(__xludf.DUMMYFUNCTION("""COMPUTED_VALUE"""),"BLUE")</f>
        <v>BLUE</v>
      </c>
      <c r="G3830" s="20" t="str">
        <f>IFERROR(__xludf.DUMMYFUNCTION("""COMPUTED_VALUE"""),"Uncle Sams Cider (11/12/2021) (Blue)")</f>
        <v>Uncle Sams Cider (11/12/2021) (Blue)</v>
      </c>
      <c r="H3830" s="19"/>
    </row>
    <row r="3831">
      <c r="A3831" s="9"/>
      <c r="B3831" s="15"/>
      <c r="C3831" s="9">
        <f>IFERROR(__xludf.DUMMYFUNCTION("""COMPUTED_VALUE"""),44565.6197450694)</f>
        <v>44565.61975</v>
      </c>
      <c r="D3831" s="15">
        <f>IFERROR(__xludf.DUMMYFUNCTION("""COMPUTED_VALUE"""),1.006)</f>
        <v>1.006</v>
      </c>
      <c r="E3831" s="16">
        <f>IFERROR(__xludf.DUMMYFUNCTION("""COMPUTED_VALUE"""),62.0)</f>
        <v>62</v>
      </c>
      <c r="F3831" s="19" t="str">
        <f>IFERROR(__xludf.DUMMYFUNCTION("""COMPUTED_VALUE"""),"BLUE")</f>
        <v>BLUE</v>
      </c>
      <c r="G3831" s="20" t="str">
        <f>IFERROR(__xludf.DUMMYFUNCTION("""COMPUTED_VALUE"""),"Uncle Sams Cider (11/12/2021) (Blue)")</f>
        <v>Uncle Sams Cider (11/12/2021) (Blue)</v>
      </c>
      <c r="H3831" s="19"/>
    </row>
    <row r="3832">
      <c r="A3832" s="9"/>
      <c r="B3832" s="15"/>
      <c r="C3832" s="9">
        <f>IFERROR(__xludf.DUMMYFUNCTION("""COMPUTED_VALUE"""),44565.6093247453)</f>
        <v>44565.60932</v>
      </c>
      <c r="D3832" s="15">
        <f>IFERROR(__xludf.DUMMYFUNCTION("""COMPUTED_VALUE"""),1.006)</f>
        <v>1.006</v>
      </c>
      <c r="E3832" s="16">
        <f>IFERROR(__xludf.DUMMYFUNCTION("""COMPUTED_VALUE"""),62.0)</f>
        <v>62</v>
      </c>
      <c r="F3832" s="19" t="str">
        <f>IFERROR(__xludf.DUMMYFUNCTION("""COMPUTED_VALUE"""),"BLUE")</f>
        <v>BLUE</v>
      </c>
      <c r="G3832" s="20" t="str">
        <f>IFERROR(__xludf.DUMMYFUNCTION("""COMPUTED_VALUE"""),"Uncle Sams Cider (11/12/2021) (Blue)")</f>
        <v>Uncle Sams Cider (11/12/2021) (Blue)</v>
      </c>
      <c r="H3832" s="19"/>
    </row>
    <row r="3833">
      <c r="A3833" s="9"/>
      <c r="B3833" s="15"/>
      <c r="C3833" s="9">
        <f>IFERROR(__xludf.DUMMYFUNCTION("""COMPUTED_VALUE"""),44565.5989036574)</f>
        <v>44565.5989</v>
      </c>
      <c r="D3833" s="15">
        <f>IFERROR(__xludf.DUMMYFUNCTION("""COMPUTED_VALUE"""),1.006)</f>
        <v>1.006</v>
      </c>
      <c r="E3833" s="16">
        <f>IFERROR(__xludf.DUMMYFUNCTION("""COMPUTED_VALUE"""),62.0)</f>
        <v>62</v>
      </c>
      <c r="F3833" s="19" t="str">
        <f>IFERROR(__xludf.DUMMYFUNCTION("""COMPUTED_VALUE"""),"BLUE")</f>
        <v>BLUE</v>
      </c>
      <c r="G3833" s="20" t="str">
        <f>IFERROR(__xludf.DUMMYFUNCTION("""COMPUTED_VALUE"""),"Uncle Sams Cider (11/12/2021) (Blue)")</f>
        <v>Uncle Sams Cider (11/12/2021) (Blue)</v>
      </c>
      <c r="H3833" s="19"/>
    </row>
    <row r="3834">
      <c r="A3834" s="9"/>
      <c r="B3834" s="15"/>
      <c r="C3834" s="9">
        <f>IFERROR(__xludf.DUMMYFUNCTION("""COMPUTED_VALUE"""),44565.5884800925)</f>
        <v>44565.58848</v>
      </c>
      <c r="D3834" s="15">
        <f>IFERROR(__xludf.DUMMYFUNCTION("""COMPUTED_VALUE"""),1.006)</f>
        <v>1.006</v>
      </c>
      <c r="E3834" s="16">
        <f>IFERROR(__xludf.DUMMYFUNCTION("""COMPUTED_VALUE"""),62.0)</f>
        <v>62</v>
      </c>
      <c r="F3834" s="19" t="str">
        <f>IFERROR(__xludf.DUMMYFUNCTION("""COMPUTED_VALUE"""),"BLUE")</f>
        <v>BLUE</v>
      </c>
      <c r="G3834" s="20" t="str">
        <f>IFERROR(__xludf.DUMMYFUNCTION("""COMPUTED_VALUE"""),"Uncle Sams Cider (11/12/2021) (Blue)")</f>
        <v>Uncle Sams Cider (11/12/2021) (Blue)</v>
      </c>
      <c r="H3834" s="19"/>
    </row>
    <row r="3835">
      <c r="A3835" s="9"/>
      <c r="B3835" s="15"/>
      <c r="C3835" s="9">
        <f>IFERROR(__xludf.DUMMYFUNCTION("""COMPUTED_VALUE"""),44565.5780595949)</f>
        <v>44565.57806</v>
      </c>
      <c r="D3835" s="15">
        <f>IFERROR(__xludf.DUMMYFUNCTION("""COMPUTED_VALUE"""),1.006)</f>
        <v>1.006</v>
      </c>
      <c r="E3835" s="16">
        <f>IFERROR(__xludf.DUMMYFUNCTION("""COMPUTED_VALUE"""),62.0)</f>
        <v>62</v>
      </c>
      <c r="F3835" s="19" t="str">
        <f>IFERROR(__xludf.DUMMYFUNCTION("""COMPUTED_VALUE"""),"BLUE")</f>
        <v>BLUE</v>
      </c>
      <c r="G3835" s="20" t="str">
        <f>IFERROR(__xludf.DUMMYFUNCTION("""COMPUTED_VALUE"""),"Uncle Sams Cider (11/12/2021) (Blue)")</f>
        <v>Uncle Sams Cider (11/12/2021) (Blue)</v>
      </c>
      <c r="H3835" s="19"/>
    </row>
    <row r="3836">
      <c r="A3836" s="9"/>
      <c r="B3836" s="15"/>
      <c r="C3836" s="9">
        <f>IFERROR(__xludf.DUMMYFUNCTION("""COMPUTED_VALUE"""),44565.56764)</f>
        <v>44565.56764</v>
      </c>
      <c r="D3836" s="15">
        <f>IFERROR(__xludf.DUMMYFUNCTION("""COMPUTED_VALUE"""),1.006)</f>
        <v>1.006</v>
      </c>
      <c r="E3836" s="16">
        <f>IFERROR(__xludf.DUMMYFUNCTION("""COMPUTED_VALUE"""),62.0)</f>
        <v>62</v>
      </c>
      <c r="F3836" s="19" t="str">
        <f>IFERROR(__xludf.DUMMYFUNCTION("""COMPUTED_VALUE"""),"BLUE")</f>
        <v>BLUE</v>
      </c>
      <c r="G3836" s="20" t="str">
        <f>IFERROR(__xludf.DUMMYFUNCTION("""COMPUTED_VALUE"""),"Uncle Sams Cider (11/12/2021) (Blue)")</f>
        <v>Uncle Sams Cider (11/12/2021) (Blue)</v>
      </c>
      <c r="H3836" s="19"/>
    </row>
    <row r="3837">
      <c r="A3837" s="9"/>
      <c r="B3837" s="15"/>
      <c r="C3837" s="9">
        <f>IFERROR(__xludf.DUMMYFUNCTION("""COMPUTED_VALUE"""),44565.5572205208)</f>
        <v>44565.55722</v>
      </c>
      <c r="D3837" s="15">
        <f>IFERROR(__xludf.DUMMYFUNCTION("""COMPUTED_VALUE"""),1.006)</f>
        <v>1.006</v>
      </c>
      <c r="E3837" s="16">
        <f>IFERROR(__xludf.DUMMYFUNCTION("""COMPUTED_VALUE"""),62.0)</f>
        <v>62</v>
      </c>
      <c r="F3837" s="19" t="str">
        <f>IFERROR(__xludf.DUMMYFUNCTION("""COMPUTED_VALUE"""),"BLUE")</f>
        <v>BLUE</v>
      </c>
      <c r="G3837" s="20" t="str">
        <f>IFERROR(__xludf.DUMMYFUNCTION("""COMPUTED_VALUE"""),"Uncle Sams Cider (11/12/2021) (Blue)")</f>
        <v>Uncle Sams Cider (11/12/2021) (Blue)</v>
      </c>
      <c r="H3837" s="19"/>
    </row>
    <row r="3838">
      <c r="A3838" s="9"/>
      <c r="B3838" s="15"/>
      <c r="C3838" s="9">
        <f>IFERROR(__xludf.DUMMYFUNCTION("""COMPUTED_VALUE"""),44565.5467999884)</f>
        <v>44565.5468</v>
      </c>
      <c r="D3838" s="15">
        <f>IFERROR(__xludf.DUMMYFUNCTION("""COMPUTED_VALUE"""),1.006)</f>
        <v>1.006</v>
      </c>
      <c r="E3838" s="16">
        <f>IFERROR(__xludf.DUMMYFUNCTION("""COMPUTED_VALUE"""),62.0)</f>
        <v>62</v>
      </c>
      <c r="F3838" s="19" t="str">
        <f>IFERROR(__xludf.DUMMYFUNCTION("""COMPUTED_VALUE"""),"BLUE")</f>
        <v>BLUE</v>
      </c>
      <c r="G3838" s="20" t="str">
        <f>IFERROR(__xludf.DUMMYFUNCTION("""COMPUTED_VALUE"""),"Uncle Sams Cider (11/12/2021) (Blue)")</f>
        <v>Uncle Sams Cider (11/12/2021) (Blue)</v>
      </c>
      <c r="H3838" s="19"/>
    </row>
    <row r="3839">
      <c r="A3839" s="9"/>
      <c r="B3839" s="15"/>
      <c r="C3839" s="9">
        <f>IFERROR(__xludf.DUMMYFUNCTION("""COMPUTED_VALUE"""),44565.5363686921)</f>
        <v>44565.53637</v>
      </c>
      <c r="D3839" s="15">
        <f>IFERROR(__xludf.DUMMYFUNCTION("""COMPUTED_VALUE"""),1.006)</f>
        <v>1.006</v>
      </c>
      <c r="E3839" s="16">
        <f>IFERROR(__xludf.DUMMYFUNCTION("""COMPUTED_VALUE"""),62.0)</f>
        <v>62</v>
      </c>
      <c r="F3839" s="19" t="str">
        <f>IFERROR(__xludf.DUMMYFUNCTION("""COMPUTED_VALUE"""),"BLUE")</f>
        <v>BLUE</v>
      </c>
      <c r="G3839" s="20" t="str">
        <f>IFERROR(__xludf.DUMMYFUNCTION("""COMPUTED_VALUE"""),"Uncle Sams Cider (11/12/2021) (Blue)")</f>
        <v>Uncle Sams Cider (11/12/2021) (Blue)</v>
      </c>
      <c r="H3839" s="19"/>
    </row>
    <row r="3840">
      <c r="A3840" s="9"/>
      <c r="B3840" s="15"/>
      <c r="C3840" s="9">
        <f>IFERROR(__xludf.DUMMYFUNCTION("""COMPUTED_VALUE"""),44565.5259368287)</f>
        <v>44565.52594</v>
      </c>
      <c r="D3840" s="15">
        <f>IFERROR(__xludf.DUMMYFUNCTION("""COMPUTED_VALUE"""),1.006)</f>
        <v>1.006</v>
      </c>
      <c r="E3840" s="16">
        <f>IFERROR(__xludf.DUMMYFUNCTION("""COMPUTED_VALUE"""),62.0)</f>
        <v>62</v>
      </c>
      <c r="F3840" s="19" t="str">
        <f>IFERROR(__xludf.DUMMYFUNCTION("""COMPUTED_VALUE"""),"BLUE")</f>
        <v>BLUE</v>
      </c>
      <c r="G3840" s="20" t="str">
        <f>IFERROR(__xludf.DUMMYFUNCTION("""COMPUTED_VALUE"""),"Uncle Sams Cider (11/12/2021) (Blue)")</f>
        <v>Uncle Sams Cider (11/12/2021) (Blue)</v>
      </c>
      <c r="H3840" s="19"/>
    </row>
    <row r="3841">
      <c r="A3841" s="9"/>
      <c r="B3841" s="15"/>
      <c r="C3841" s="9">
        <f>IFERROR(__xludf.DUMMYFUNCTION("""COMPUTED_VALUE"""),44565.5155151041)</f>
        <v>44565.51552</v>
      </c>
      <c r="D3841" s="15">
        <f>IFERROR(__xludf.DUMMYFUNCTION("""COMPUTED_VALUE"""),1.006)</f>
        <v>1.006</v>
      </c>
      <c r="E3841" s="16">
        <f>IFERROR(__xludf.DUMMYFUNCTION("""COMPUTED_VALUE"""),62.0)</f>
        <v>62</v>
      </c>
      <c r="F3841" s="19" t="str">
        <f>IFERROR(__xludf.DUMMYFUNCTION("""COMPUTED_VALUE"""),"BLUE")</f>
        <v>BLUE</v>
      </c>
      <c r="G3841" s="20" t="str">
        <f>IFERROR(__xludf.DUMMYFUNCTION("""COMPUTED_VALUE"""),"Uncle Sams Cider (11/12/2021) (Blue)")</f>
        <v>Uncle Sams Cider (11/12/2021) (Blue)</v>
      </c>
      <c r="H3841" s="19"/>
    </row>
    <row r="3842">
      <c r="A3842" s="9"/>
      <c r="B3842" s="15"/>
      <c r="C3842" s="9">
        <f>IFERROR(__xludf.DUMMYFUNCTION("""COMPUTED_VALUE"""),44565.5050811805)</f>
        <v>44565.50508</v>
      </c>
      <c r="D3842" s="15">
        <f>IFERROR(__xludf.DUMMYFUNCTION("""COMPUTED_VALUE"""),1.006)</f>
        <v>1.006</v>
      </c>
      <c r="E3842" s="16">
        <f>IFERROR(__xludf.DUMMYFUNCTION("""COMPUTED_VALUE"""),62.0)</f>
        <v>62</v>
      </c>
      <c r="F3842" s="19" t="str">
        <f>IFERROR(__xludf.DUMMYFUNCTION("""COMPUTED_VALUE"""),"BLUE")</f>
        <v>BLUE</v>
      </c>
      <c r="G3842" s="20" t="str">
        <f>IFERROR(__xludf.DUMMYFUNCTION("""COMPUTED_VALUE"""),"Uncle Sams Cider (11/12/2021) (Blue)")</f>
        <v>Uncle Sams Cider (11/12/2021) (Blue)</v>
      </c>
      <c r="H3842" s="19"/>
    </row>
    <row r="3843">
      <c r="A3843" s="9"/>
      <c r="B3843" s="15"/>
      <c r="C3843" s="9">
        <f>IFERROR(__xludf.DUMMYFUNCTION("""COMPUTED_VALUE"""),44565.4946607986)</f>
        <v>44565.49466</v>
      </c>
      <c r="D3843" s="15">
        <f>IFERROR(__xludf.DUMMYFUNCTION("""COMPUTED_VALUE"""),1.006)</f>
        <v>1.006</v>
      </c>
      <c r="E3843" s="16">
        <f>IFERROR(__xludf.DUMMYFUNCTION("""COMPUTED_VALUE"""),62.0)</f>
        <v>62</v>
      </c>
      <c r="F3843" s="19" t="str">
        <f>IFERROR(__xludf.DUMMYFUNCTION("""COMPUTED_VALUE"""),"BLUE")</f>
        <v>BLUE</v>
      </c>
      <c r="G3843" s="20" t="str">
        <f>IFERROR(__xludf.DUMMYFUNCTION("""COMPUTED_VALUE"""),"Uncle Sams Cider (11/12/2021) (Blue)")</f>
        <v>Uncle Sams Cider (11/12/2021) (Blue)</v>
      </c>
      <c r="H3843" s="19"/>
    </row>
    <row r="3844">
      <c r="A3844" s="9"/>
      <c r="B3844" s="15"/>
      <c r="C3844" s="9">
        <f>IFERROR(__xludf.DUMMYFUNCTION("""COMPUTED_VALUE"""),44565.4842380324)</f>
        <v>44565.48424</v>
      </c>
      <c r="D3844" s="15">
        <f>IFERROR(__xludf.DUMMYFUNCTION("""COMPUTED_VALUE"""),1.006)</f>
        <v>1.006</v>
      </c>
      <c r="E3844" s="16">
        <f>IFERROR(__xludf.DUMMYFUNCTION("""COMPUTED_VALUE"""),62.0)</f>
        <v>62</v>
      </c>
      <c r="F3844" s="19" t="str">
        <f>IFERROR(__xludf.DUMMYFUNCTION("""COMPUTED_VALUE"""),"BLUE")</f>
        <v>BLUE</v>
      </c>
      <c r="G3844" s="20" t="str">
        <f>IFERROR(__xludf.DUMMYFUNCTION("""COMPUTED_VALUE"""),"Uncle Sams Cider (11/12/2021) (Blue)")</f>
        <v>Uncle Sams Cider (11/12/2021) (Blue)</v>
      </c>
      <c r="H3844" s="19"/>
    </row>
    <row r="3845">
      <c r="A3845" s="9"/>
      <c r="B3845" s="15"/>
      <c r="C3845" s="9">
        <f>IFERROR(__xludf.DUMMYFUNCTION("""COMPUTED_VALUE"""),44565.4738051388)</f>
        <v>44565.47381</v>
      </c>
      <c r="D3845" s="15">
        <f>IFERROR(__xludf.DUMMYFUNCTION("""COMPUTED_VALUE"""),1.006)</f>
        <v>1.006</v>
      </c>
      <c r="E3845" s="16">
        <f>IFERROR(__xludf.DUMMYFUNCTION("""COMPUTED_VALUE"""),62.0)</f>
        <v>62</v>
      </c>
      <c r="F3845" s="19" t="str">
        <f>IFERROR(__xludf.DUMMYFUNCTION("""COMPUTED_VALUE"""),"BLUE")</f>
        <v>BLUE</v>
      </c>
      <c r="G3845" s="20" t="str">
        <f>IFERROR(__xludf.DUMMYFUNCTION("""COMPUTED_VALUE"""),"Uncle Sams Cider (11/12/2021) (Blue)")</f>
        <v>Uncle Sams Cider (11/12/2021) (Blue)</v>
      </c>
      <c r="H3845" s="19"/>
    </row>
    <row r="3846">
      <c r="A3846" s="9"/>
      <c r="B3846" s="15"/>
      <c r="C3846" s="9">
        <f>IFERROR(__xludf.DUMMYFUNCTION("""COMPUTED_VALUE"""),44565.4633842592)</f>
        <v>44565.46338</v>
      </c>
      <c r="D3846" s="15">
        <f>IFERROR(__xludf.DUMMYFUNCTION("""COMPUTED_VALUE"""),1.006)</f>
        <v>1.006</v>
      </c>
      <c r="E3846" s="16">
        <f>IFERROR(__xludf.DUMMYFUNCTION("""COMPUTED_VALUE"""),62.0)</f>
        <v>62</v>
      </c>
      <c r="F3846" s="19" t="str">
        <f>IFERROR(__xludf.DUMMYFUNCTION("""COMPUTED_VALUE"""),"BLUE")</f>
        <v>BLUE</v>
      </c>
      <c r="G3846" s="20" t="str">
        <f>IFERROR(__xludf.DUMMYFUNCTION("""COMPUTED_VALUE"""),"Uncle Sams Cider (11/12/2021) (Blue)")</f>
        <v>Uncle Sams Cider (11/12/2021) (Blue)</v>
      </c>
      <c r="H3846" s="19"/>
    </row>
    <row r="3847">
      <c r="A3847" s="9"/>
      <c r="B3847" s="15"/>
      <c r="C3847" s="9">
        <f>IFERROR(__xludf.DUMMYFUNCTION("""COMPUTED_VALUE"""),44565.4529511574)</f>
        <v>44565.45295</v>
      </c>
      <c r="D3847" s="15">
        <f>IFERROR(__xludf.DUMMYFUNCTION("""COMPUTED_VALUE"""),1.006)</f>
        <v>1.006</v>
      </c>
      <c r="E3847" s="16">
        <f>IFERROR(__xludf.DUMMYFUNCTION("""COMPUTED_VALUE"""),62.0)</f>
        <v>62</v>
      </c>
      <c r="F3847" s="19" t="str">
        <f>IFERROR(__xludf.DUMMYFUNCTION("""COMPUTED_VALUE"""),"BLUE")</f>
        <v>BLUE</v>
      </c>
      <c r="G3847" s="20" t="str">
        <f>IFERROR(__xludf.DUMMYFUNCTION("""COMPUTED_VALUE"""),"Uncle Sams Cider (11/12/2021) (Blue)")</f>
        <v>Uncle Sams Cider (11/12/2021) (Blue)</v>
      </c>
      <c r="H3847" s="19"/>
    </row>
    <row r="3848">
      <c r="A3848" s="9"/>
      <c r="B3848" s="15"/>
      <c r="C3848" s="9">
        <f>IFERROR(__xludf.DUMMYFUNCTION("""COMPUTED_VALUE"""),44565.4425302662)</f>
        <v>44565.44253</v>
      </c>
      <c r="D3848" s="15">
        <f>IFERROR(__xludf.DUMMYFUNCTION("""COMPUTED_VALUE"""),1.006)</f>
        <v>1.006</v>
      </c>
      <c r="E3848" s="16">
        <f>IFERROR(__xludf.DUMMYFUNCTION("""COMPUTED_VALUE"""),62.0)</f>
        <v>62</v>
      </c>
      <c r="F3848" s="19" t="str">
        <f>IFERROR(__xludf.DUMMYFUNCTION("""COMPUTED_VALUE"""),"BLUE")</f>
        <v>BLUE</v>
      </c>
      <c r="G3848" s="20" t="str">
        <f>IFERROR(__xludf.DUMMYFUNCTION("""COMPUTED_VALUE"""),"Uncle Sams Cider (11/12/2021) (Blue)")</f>
        <v>Uncle Sams Cider (11/12/2021) (Blue)</v>
      </c>
      <c r="H3848" s="19"/>
    </row>
    <row r="3849">
      <c r="A3849" s="9"/>
      <c r="B3849" s="15"/>
      <c r="C3849" s="9">
        <f>IFERROR(__xludf.DUMMYFUNCTION("""COMPUTED_VALUE"""),44565.4321086342)</f>
        <v>44565.43211</v>
      </c>
      <c r="D3849" s="15">
        <f>IFERROR(__xludf.DUMMYFUNCTION("""COMPUTED_VALUE"""),1.006)</f>
        <v>1.006</v>
      </c>
      <c r="E3849" s="16">
        <f>IFERROR(__xludf.DUMMYFUNCTION("""COMPUTED_VALUE"""),62.0)</f>
        <v>62</v>
      </c>
      <c r="F3849" s="19" t="str">
        <f>IFERROR(__xludf.DUMMYFUNCTION("""COMPUTED_VALUE"""),"BLUE")</f>
        <v>BLUE</v>
      </c>
      <c r="G3849" s="20" t="str">
        <f>IFERROR(__xludf.DUMMYFUNCTION("""COMPUTED_VALUE"""),"Uncle Sams Cider (11/12/2021) (Blue)")</f>
        <v>Uncle Sams Cider (11/12/2021) (Blue)</v>
      </c>
      <c r="H3849" s="19"/>
    </row>
    <row r="3850">
      <c r="A3850" s="9"/>
      <c r="B3850" s="15"/>
      <c r="C3850" s="9">
        <f>IFERROR(__xludf.DUMMYFUNCTION("""COMPUTED_VALUE"""),44565.4216867476)</f>
        <v>44565.42169</v>
      </c>
      <c r="D3850" s="15">
        <f>IFERROR(__xludf.DUMMYFUNCTION("""COMPUTED_VALUE"""),1.006)</f>
        <v>1.006</v>
      </c>
      <c r="E3850" s="16">
        <f>IFERROR(__xludf.DUMMYFUNCTION("""COMPUTED_VALUE"""),62.0)</f>
        <v>62</v>
      </c>
      <c r="F3850" s="19" t="str">
        <f>IFERROR(__xludf.DUMMYFUNCTION("""COMPUTED_VALUE"""),"BLUE")</f>
        <v>BLUE</v>
      </c>
      <c r="G3850" s="20" t="str">
        <f>IFERROR(__xludf.DUMMYFUNCTION("""COMPUTED_VALUE"""),"Uncle Sams Cider (11/12/2021) (Blue)")</f>
        <v>Uncle Sams Cider (11/12/2021) (Blue)</v>
      </c>
      <c r="H3850" s="19"/>
    </row>
    <row r="3851">
      <c r="A3851" s="9"/>
      <c r="B3851" s="15"/>
      <c r="C3851" s="9">
        <f>IFERROR(__xludf.DUMMYFUNCTION("""COMPUTED_VALUE"""),44565.4112661689)</f>
        <v>44565.41127</v>
      </c>
      <c r="D3851" s="15">
        <f>IFERROR(__xludf.DUMMYFUNCTION("""COMPUTED_VALUE"""),1.006)</f>
        <v>1.006</v>
      </c>
      <c r="E3851" s="16">
        <f>IFERROR(__xludf.DUMMYFUNCTION("""COMPUTED_VALUE"""),62.0)</f>
        <v>62</v>
      </c>
      <c r="F3851" s="19" t="str">
        <f>IFERROR(__xludf.DUMMYFUNCTION("""COMPUTED_VALUE"""),"BLUE")</f>
        <v>BLUE</v>
      </c>
      <c r="G3851" s="20" t="str">
        <f>IFERROR(__xludf.DUMMYFUNCTION("""COMPUTED_VALUE"""),"Uncle Sams Cider (11/12/2021) (Blue)")</f>
        <v>Uncle Sams Cider (11/12/2021) (Blue)</v>
      </c>
      <c r="H3851" s="19"/>
    </row>
    <row r="3852">
      <c r="A3852" s="9"/>
      <c r="B3852" s="15"/>
      <c r="C3852" s="9">
        <f>IFERROR(__xludf.DUMMYFUNCTION("""COMPUTED_VALUE"""),44565.4008352662)</f>
        <v>44565.40084</v>
      </c>
      <c r="D3852" s="15">
        <f>IFERROR(__xludf.DUMMYFUNCTION("""COMPUTED_VALUE"""),1.006)</f>
        <v>1.006</v>
      </c>
      <c r="E3852" s="16">
        <f>IFERROR(__xludf.DUMMYFUNCTION("""COMPUTED_VALUE"""),62.0)</f>
        <v>62</v>
      </c>
      <c r="F3852" s="19" t="str">
        <f>IFERROR(__xludf.DUMMYFUNCTION("""COMPUTED_VALUE"""),"BLUE")</f>
        <v>BLUE</v>
      </c>
      <c r="G3852" s="20" t="str">
        <f>IFERROR(__xludf.DUMMYFUNCTION("""COMPUTED_VALUE"""),"Uncle Sams Cider (11/12/2021) (Blue)")</f>
        <v>Uncle Sams Cider (11/12/2021) (Blue)</v>
      </c>
      <c r="H3852" s="19"/>
    </row>
    <row r="3853">
      <c r="A3853" s="9"/>
      <c r="B3853" s="15"/>
      <c r="C3853" s="9">
        <f>IFERROR(__xludf.DUMMYFUNCTION("""COMPUTED_VALUE"""),44565.3904129398)</f>
        <v>44565.39041</v>
      </c>
      <c r="D3853" s="15">
        <f>IFERROR(__xludf.DUMMYFUNCTION("""COMPUTED_VALUE"""),1.006)</f>
        <v>1.006</v>
      </c>
      <c r="E3853" s="16">
        <f>IFERROR(__xludf.DUMMYFUNCTION("""COMPUTED_VALUE"""),62.0)</f>
        <v>62</v>
      </c>
      <c r="F3853" s="19" t="str">
        <f>IFERROR(__xludf.DUMMYFUNCTION("""COMPUTED_VALUE"""),"BLUE")</f>
        <v>BLUE</v>
      </c>
      <c r="G3853" s="20" t="str">
        <f>IFERROR(__xludf.DUMMYFUNCTION("""COMPUTED_VALUE"""),"Uncle Sams Cider (11/12/2021) (Blue)")</f>
        <v>Uncle Sams Cider (11/12/2021) (Blue)</v>
      </c>
      <c r="H3853" s="19"/>
    </row>
    <row r="3854">
      <c r="A3854" s="9"/>
      <c r="B3854" s="15"/>
      <c r="C3854" s="9">
        <f>IFERROR(__xludf.DUMMYFUNCTION("""COMPUTED_VALUE"""),44565.3799914467)</f>
        <v>44565.37999</v>
      </c>
      <c r="D3854" s="15">
        <f>IFERROR(__xludf.DUMMYFUNCTION("""COMPUTED_VALUE"""),1.006)</f>
        <v>1.006</v>
      </c>
      <c r="E3854" s="16">
        <f>IFERROR(__xludf.DUMMYFUNCTION("""COMPUTED_VALUE"""),62.0)</f>
        <v>62</v>
      </c>
      <c r="F3854" s="19" t="str">
        <f>IFERROR(__xludf.DUMMYFUNCTION("""COMPUTED_VALUE"""),"BLUE")</f>
        <v>BLUE</v>
      </c>
      <c r="G3854" s="20" t="str">
        <f>IFERROR(__xludf.DUMMYFUNCTION("""COMPUTED_VALUE"""),"Uncle Sams Cider (11/12/2021) (Blue)")</f>
        <v>Uncle Sams Cider (11/12/2021) (Blue)</v>
      </c>
      <c r="H3854" s="19"/>
    </row>
    <row r="3855">
      <c r="A3855" s="9"/>
      <c r="B3855" s="15"/>
      <c r="C3855" s="9">
        <f>IFERROR(__xludf.DUMMYFUNCTION("""COMPUTED_VALUE"""),44565.3695480902)</f>
        <v>44565.36955</v>
      </c>
      <c r="D3855" s="15">
        <f>IFERROR(__xludf.DUMMYFUNCTION("""COMPUTED_VALUE"""),1.006)</f>
        <v>1.006</v>
      </c>
      <c r="E3855" s="16">
        <f>IFERROR(__xludf.DUMMYFUNCTION("""COMPUTED_VALUE"""),62.0)</f>
        <v>62</v>
      </c>
      <c r="F3855" s="19" t="str">
        <f>IFERROR(__xludf.DUMMYFUNCTION("""COMPUTED_VALUE"""),"BLUE")</f>
        <v>BLUE</v>
      </c>
      <c r="G3855" s="20" t="str">
        <f>IFERROR(__xludf.DUMMYFUNCTION("""COMPUTED_VALUE"""),"Uncle Sams Cider (11/12/2021) (Blue)")</f>
        <v>Uncle Sams Cider (11/12/2021) (Blue)</v>
      </c>
      <c r="H3855" s="19"/>
    </row>
    <row r="3856">
      <c r="A3856" s="9"/>
      <c r="B3856" s="15"/>
      <c r="C3856" s="9">
        <f>IFERROR(__xludf.DUMMYFUNCTION("""COMPUTED_VALUE"""),44565.3591281712)</f>
        <v>44565.35913</v>
      </c>
      <c r="D3856" s="15">
        <f>IFERROR(__xludf.DUMMYFUNCTION("""COMPUTED_VALUE"""),1.006)</f>
        <v>1.006</v>
      </c>
      <c r="E3856" s="16">
        <f>IFERROR(__xludf.DUMMYFUNCTION("""COMPUTED_VALUE"""),62.0)</f>
        <v>62</v>
      </c>
      <c r="F3856" s="19" t="str">
        <f>IFERROR(__xludf.DUMMYFUNCTION("""COMPUTED_VALUE"""),"BLUE")</f>
        <v>BLUE</v>
      </c>
      <c r="G3856" s="20" t="str">
        <f>IFERROR(__xludf.DUMMYFUNCTION("""COMPUTED_VALUE"""),"Uncle Sams Cider (11/12/2021) (Blue)")</f>
        <v>Uncle Sams Cider (11/12/2021) (Blue)</v>
      </c>
      <c r="H3856" s="19"/>
    </row>
    <row r="3857">
      <c r="A3857" s="9"/>
      <c r="B3857" s="15"/>
      <c r="C3857" s="9">
        <f>IFERROR(__xludf.DUMMYFUNCTION("""COMPUTED_VALUE"""),44565.34870603)</f>
        <v>44565.34871</v>
      </c>
      <c r="D3857" s="15">
        <f>IFERROR(__xludf.DUMMYFUNCTION("""COMPUTED_VALUE"""),1.006)</f>
        <v>1.006</v>
      </c>
      <c r="E3857" s="16">
        <f>IFERROR(__xludf.DUMMYFUNCTION("""COMPUTED_VALUE"""),62.0)</f>
        <v>62</v>
      </c>
      <c r="F3857" s="19" t="str">
        <f>IFERROR(__xludf.DUMMYFUNCTION("""COMPUTED_VALUE"""),"BLUE")</f>
        <v>BLUE</v>
      </c>
      <c r="G3857" s="20" t="str">
        <f>IFERROR(__xludf.DUMMYFUNCTION("""COMPUTED_VALUE"""),"Uncle Sams Cider (11/12/2021) (Blue)")</f>
        <v>Uncle Sams Cider (11/12/2021) (Blue)</v>
      </c>
      <c r="H3857" s="19"/>
    </row>
    <row r="3858">
      <c r="A3858" s="9"/>
      <c r="B3858" s="15"/>
      <c r="C3858" s="9">
        <f>IFERROR(__xludf.DUMMYFUNCTION("""COMPUTED_VALUE"""),44565.3382843749)</f>
        <v>44565.33828</v>
      </c>
      <c r="D3858" s="15">
        <f>IFERROR(__xludf.DUMMYFUNCTION("""COMPUTED_VALUE"""),1.006)</f>
        <v>1.006</v>
      </c>
      <c r="E3858" s="16">
        <f>IFERROR(__xludf.DUMMYFUNCTION("""COMPUTED_VALUE"""),62.0)</f>
        <v>62</v>
      </c>
      <c r="F3858" s="19" t="str">
        <f>IFERROR(__xludf.DUMMYFUNCTION("""COMPUTED_VALUE"""),"BLUE")</f>
        <v>BLUE</v>
      </c>
      <c r="G3858" s="20" t="str">
        <f>IFERROR(__xludf.DUMMYFUNCTION("""COMPUTED_VALUE"""),"Uncle Sams Cider (11/12/2021) (Blue)")</f>
        <v>Uncle Sams Cider (11/12/2021) (Blue)</v>
      </c>
      <c r="H3858" s="19"/>
    </row>
    <row r="3859">
      <c r="A3859" s="9"/>
      <c r="B3859" s="15"/>
      <c r="C3859" s="9">
        <f>IFERROR(__xludf.DUMMYFUNCTION("""COMPUTED_VALUE"""),44565.327853368)</f>
        <v>44565.32785</v>
      </c>
      <c r="D3859" s="15">
        <f>IFERROR(__xludf.DUMMYFUNCTION("""COMPUTED_VALUE"""),1.006)</f>
        <v>1.006</v>
      </c>
      <c r="E3859" s="16">
        <f>IFERROR(__xludf.DUMMYFUNCTION("""COMPUTED_VALUE"""),62.0)</f>
        <v>62</v>
      </c>
      <c r="F3859" s="19" t="str">
        <f>IFERROR(__xludf.DUMMYFUNCTION("""COMPUTED_VALUE"""),"BLUE")</f>
        <v>BLUE</v>
      </c>
      <c r="G3859" s="20" t="str">
        <f>IFERROR(__xludf.DUMMYFUNCTION("""COMPUTED_VALUE"""),"Uncle Sams Cider (11/12/2021) (Blue)")</f>
        <v>Uncle Sams Cider (11/12/2021) (Blue)</v>
      </c>
      <c r="H3859" s="19"/>
    </row>
    <row r="3860">
      <c r="A3860" s="9"/>
      <c r="B3860" s="15"/>
      <c r="C3860" s="9">
        <f>IFERROR(__xludf.DUMMYFUNCTION("""COMPUTED_VALUE"""),44565.3174310763)</f>
        <v>44565.31743</v>
      </c>
      <c r="D3860" s="15">
        <f>IFERROR(__xludf.DUMMYFUNCTION("""COMPUTED_VALUE"""),1.006)</f>
        <v>1.006</v>
      </c>
      <c r="E3860" s="16">
        <f>IFERROR(__xludf.DUMMYFUNCTION("""COMPUTED_VALUE"""),62.0)</f>
        <v>62</v>
      </c>
      <c r="F3860" s="19" t="str">
        <f>IFERROR(__xludf.DUMMYFUNCTION("""COMPUTED_VALUE"""),"BLUE")</f>
        <v>BLUE</v>
      </c>
      <c r="G3860" s="20" t="str">
        <f>IFERROR(__xludf.DUMMYFUNCTION("""COMPUTED_VALUE"""),"Uncle Sams Cider (11/12/2021) (Blue)")</f>
        <v>Uncle Sams Cider (11/12/2021) (Blue)</v>
      </c>
      <c r="H3860" s="19"/>
    </row>
    <row r="3861">
      <c r="A3861" s="9"/>
      <c r="B3861" s="15"/>
      <c r="C3861" s="9">
        <f>IFERROR(__xludf.DUMMYFUNCTION("""COMPUTED_VALUE"""),44565.3070108101)</f>
        <v>44565.30701</v>
      </c>
      <c r="D3861" s="15">
        <f>IFERROR(__xludf.DUMMYFUNCTION("""COMPUTED_VALUE"""),1.006)</f>
        <v>1.006</v>
      </c>
      <c r="E3861" s="16">
        <f>IFERROR(__xludf.DUMMYFUNCTION("""COMPUTED_VALUE"""),62.0)</f>
        <v>62</v>
      </c>
      <c r="F3861" s="19" t="str">
        <f>IFERROR(__xludf.DUMMYFUNCTION("""COMPUTED_VALUE"""),"BLUE")</f>
        <v>BLUE</v>
      </c>
      <c r="G3861" s="20" t="str">
        <f>IFERROR(__xludf.DUMMYFUNCTION("""COMPUTED_VALUE"""),"Uncle Sams Cider (11/12/2021) (Blue)")</f>
        <v>Uncle Sams Cider (11/12/2021) (Blue)</v>
      </c>
      <c r="H3861" s="19"/>
    </row>
    <row r="3862">
      <c r="A3862" s="9"/>
      <c r="B3862" s="15"/>
      <c r="C3862" s="9">
        <f>IFERROR(__xludf.DUMMYFUNCTION("""COMPUTED_VALUE"""),44565.2965878472)</f>
        <v>44565.29659</v>
      </c>
      <c r="D3862" s="15">
        <f>IFERROR(__xludf.DUMMYFUNCTION("""COMPUTED_VALUE"""),1.006)</f>
        <v>1.006</v>
      </c>
      <c r="E3862" s="16">
        <f>IFERROR(__xludf.DUMMYFUNCTION("""COMPUTED_VALUE"""),62.0)</f>
        <v>62</v>
      </c>
      <c r="F3862" s="19" t="str">
        <f>IFERROR(__xludf.DUMMYFUNCTION("""COMPUTED_VALUE"""),"BLUE")</f>
        <v>BLUE</v>
      </c>
      <c r="G3862" s="20" t="str">
        <f>IFERROR(__xludf.DUMMYFUNCTION("""COMPUTED_VALUE"""),"Uncle Sams Cider (11/12/2021) (Blue)")</f>
        <v>Uncle Sams Cider (11/12/2021) (Blue)</v>
      </c>
      <c r="H3862" s="19"/>
    </row>
    <row r="3863">
      <c r="A3863" s="9"/>
      <c r="B3863" s="15"/>
      <c r="C3863" s="9">
        <f>IFERROR(__xludf.DUMMYFUNCTION("""COMPUTED_VALUE"""),44565.2861648842)</f>
        <v>44565.28616</v>
      </c>
      <c r="D3863" s="15">
        <f>IFERROR(__xludf.DUMMYFUNCTION("""COMPUTED_VALUE"""),1.006)</f>
        <v>1.006</v>
      </c>
      <c r="E3863" s="16">
        <f>IFERROR(__xludf.DUMMYFUNCTION("""COMPUTED_VALUE"""),62.0)</f>
        <v>62</v>
      </c>
      <c r="F3863" s="19" t="str">
        <f>IFERROR(__xludf.DUMMYFUNCTION("""COMPUTED_VALUE"""),"BLUE")</f>
        <v>BLUE</v>
      </c>
      <c r="G3863" s="20" t="str">
        <f>IFERROR(__xludf.DUMMYFUNCTION("""COMPUTED_VALUE"""),"Uncle Sams Cider (11/12/2021) (Blue)")</f>
        <v>Uncle Sams Cider (11/12/2021) (Blue)</v>
      </c>
      <c r="H3863" s="19"/>
    </row>
    <row r="3864">
      <c r="A3864" s="9"/>
      <c r="B3864" s="15"/>
      <c r="C3864" s="9">
        <f>IFERROR(__xludf.DUMMYFUNCTION("""COMPUTED_VALUE"""),44565.275745081)</f>
        <v>44565.27575</v>
      </c>
      <c r="D3864" s="15">
        <f>IFERROR(__xludf.DUMMYFUNCTION("""COMPUTED_VALUE"""),1.006)</f>
        <v>1.006</v>
      </c>
      <c r="E3864" s="16">
        <f>IFERROR(__xludf.DUMMYFUNCTION("""COMPUTED_VALUE"""),62.0)</f>
        <v>62</v>
      </c>
      <c r="F3864" s="19" t="str">
        <f>IFERROR(__xludf.DUMMYFUNCTION("""COMPUTED_VALUE"""),"BLUE")</f>
        <v>BLUE</v>
      </c>
      <c r="G3864" s="20" t="str">
        <f>IFERROR(__xludf.DUMMYFUNCTION("""COMPUTED_VALUE"""),"Uncle Sams Cider (11/12/2021) (Blue)")</f>
        <v>Uncle Sams Cider (11/12/2021) (Blue)</v>
      </c>
      <c r="H3864" s="19"/>
    </row>
    <row r="3865">
      <c r="A3865" s="9"/>
      <c r="B3865" s="15"/>
      <c r="C3865" s="9">
        <f>IFERROR(__xludf.DUMMYFUNCTION("""COMPUTED_VALUE"""),44565.265323206)</f>
        <v>44565.26532</v>
      </c>
      <c r="D3865" s="15">
        <f>IFERROR(__xludf.DUMMYFUNCTION("""COMPUTED_VALUE"""),1.006)</f>
        <v>1.006</v>
      </c>
      <c r="E3865" s="16">
        <f>IFERROR(__xludf.DUMMYFUNCTION("""COMPUTED_VALUE"""),62.0)</f>
        <v>62</v>
      </c>
      <c r="F3865" s="19" t="str">
        <f>IFERROR(__xludf.DUMMYFUNCTION("""COMPUTED_VALUE"""),"BLUE")</f>
        <v>BLUE</v>
      </c>
      <c r="G3865" s="20" t="str">
        <f>IFERROR(__xludf.DUMMYFUNCTION("""COMPUTED_VALUE"""),"Uncle Sams Cider (11/12/2021) (Blue)")</f>
        <v>Uncle Sams Cider (11/12/2021) (Blue)</v>
      </c>
      <c r="H3865" s="19"/>
    </row>
    <row r="3866">
      <c r="A3866" s="9"/>
      <c r="B3866" s="15"/>
      <c r="C3866" s="9">
        <f>IFERROR(__xludf.DUMMYFUNCTION("""COMPUTED_VALUE"""),44565.2548896643)</f>
        <v>44565.25489</v>
      </c>
      <c r="D3866" s="15">
        <f>IFERROR(__xludf.DUMMYFUNCTION("""COMPUTED_VALUE"""),1.006)</f>
        <v>1.006</v>
      </c>
      <c r="E3866" s="16">
        <f>IFERROR(__xludf.DUMMYFUNCTION("""COMPUTED_VALUE"""),62.0)</f>
        <v>62</v>
      </c>
      <c r="F3866" s="19" t="str">
        <f>IFERROR(__xludf.DUMMYFUNCTION("""COMPUTED_VALUE"""),"BLUE")</f>
        <v>BLUE</v>
      </c>
      <c r="G3866" s="20" t="str">
        <f>IFERROR(__xludf.DUMMYFUNCTION("""COMPUTED_VALUE"""),"Uncle Sams Cider (11/12/2021) (Blue)")</f>
        <v>Uncle Sams Cider (11/12/2021) (Blue)</v>
      </c>
      <c r="H3866" s="19"/>
    </row>
    <row r="3867">
      <c r="A3867" s="9"/>
      <c r="B3867" s="15"/>
      <c r="C3867" s="9">
        <f>IFERROR(__xludf.DUMMYFUNCTION("""COMPUTED_VALUE"""),44565.2444562152)</f>
        <v>44565.24446</v>
      </c>
      <c r="D3867" s="15">
        <f>IFERROR(__xludf.DUMMYFUNCTION("""COMPUTED_VALUE"""),1.006)</f>
        <v>1.006</v>
      </c>
      <c r="E3867" s="16">
        <f>IFERROR(__xludf.DUMMYFUNCTION("""COMPUTED_VALUE"""),62.0)</f>
        <v>62</v>
      </c>
      <c r="F3867" s="19" t="str">
        <f>IFERROR(__xludf.DUMMYFUNCTION("""COMPUTED_VALUE"""),"BLUE")</f>
        <v>BLUE</v>
      </c>
      <c r="G3867" s="20" t="str">
        <f>IFERROR(__xludf.DUMMYFUNCTION("""COMPUTED_VALUE"""),"Uncle Sams Cider (11/12/2021) (Blue)")</f>
        <v>Uncle Sams Cider (11/12/2021) (Blue)</v>
      </c>
      <c r="H3867" s="19"/>
    </row>
    <row r="3868">
      <c r="A3868" s="9"/>
      <c r="B3868" s="15"/>
      <c r="C3868" s="9">
        <f>IFERROR(__xludf.DUMMYFUNCTION("""COMPUTED_VALUE"""),44565.234035787)</f>
        <v>44565.23404</v>
      </c>
      <c r="D3868" s="15">
        <f>IFERROR(__xludf.DUMMYFUNCTION("""COMPUTED_VALUE"""),1.006)</f>
        <v>1.006</v>
      </c>
      <c r="E3868" s="16">
        <f>IFERROR(__xludf.DUMMYFUNCTION("""COMPUTED_VALUE"""),62.0)</f>
        <v>62</v>
      </c>
      <c r="F3868" s="19" t="str">
        <f>IFERROR(__xludf.DUMMYFUNCTION("""COMPUTED_VALUE"""),"BLUE")</f>
        <v>BLUE</v>
      </c>
      <c r="G3868" s="20" t="str">
        <f>IFERROR(__xludf.DUMMYFUNCTION("""COMPUTED_VALUE"""),"Uncle Sams Cider (11/12/2021) (Blue)")</f>
        <v>Uncle Sams Cider (11/12/2021) (Blue)</v>
      </c>
      <c r="H3868" s="19"/>
    </row>
    <row r="3869">
      <c r="A3869" s="9"/>
      <c r="B3869" s="15"/>
      <c r="C3869" s="9">
        <f>IFERROR(__xludf.DUMMYFUNCTION("""COMPUTED_VALUE"""),44565.2236152199)</f>
        <v>44565.22362</v>
      </c>
      <c r="D3869" s="15">
        <f>IFERROR(__xludf.DUMMYFUNCTION("""COMPUTED_VALUE"""),1.006)</f>
        <v>1.006</v>
      </c>
      <c r="E3869" s="16">
        <f>IFERROR(__xludf.DUMMYFUNCTION("""COMPUTED_VALUE"""),62.0)</f>
        <v>62</v>
      </c>
      <c r="F3869" s="19" t="str">
        <f>IFERROR(__xludf.DUMMYFUNCTION("""COMPUTED_VALUE"""),"BLUE")</f>
        <v>BLUE</v>
      </c>
      <c r="G3869" s="20" t="str">
        <f>IFERROR(__xludf.DUMMYFUNCTION("""COMPUTED_VALUE"""),"Uncle Sams Cider (11/12/2021) (Blue)")</f>
        <v>Uncle Sams Cider (11/12/2021) (Blue)</v>
      </c>
      <c r="H3869" s="19"/>
    </row>
    <row r="3870">
      <c r="A3870" s="9"/>
      <c r="B3870" s="15"/>
      <c r="C3870" s="9">
        <f>IFERROR(__xludf.DUMMYFUNCTION("""COMPUTED_VALUE"""),44565.2131943171)</f>
        <v>44565.21319</v>
      </c>
      <c r="D3870" s="15">
        <f>IFERROR(__xludf.DUMMYFUNCTION("""COMPUTED_VALUE"""),1.006)</f>
        <v>1.006</v>
      </c>
      <c r="E3870" s="16">
        <f>IFERROR(__xludf.DUMMYFUNCTION("""COMPUTED_VALUE"""),62.0)</f>
        <v>62</v>
      </c>
      <c r="F3870" s="19" t="str">
        <f>IFERROR(__xludf.DUMMYFUNCTION("""COMPUTED_VALUE"""),"BLUE")</f>
        <v>BLUE</v>
      </c>
      <c r="G3870" s="20" t="str">
        <f>IFERROR(__xludf.DUMMYFUNCTION("""COMPUTED_VALUE"""),"Uncle Sams Cider (11/12/2021) (Blue)")</f>
        <v>Uncle Sams Cider (11/12/2021) (Blue)</v>
      </c>
      <c r="H3870" s="19"/>
    </row>
    <row r="3871">
      <c r="A3871" s="9"/>
      <c r="B3871" s="15"/>
      <c r="C3871" s="9">
        <f>IFERROR(__xludf.DUMMYFUNCTION("""COMPUTED_VALUE"""),44565.2027733333)</f>
        <v>44565.20277</v>
      </c>
      <c r="D3871" s="15">
        <f>IFERROR(__xludf.DUMMYFUNCTION("""COMPUTED_VALUE"""),1.006)</f>
        <v>1.006</v>
      </c>
      <c r="E3871" s="16">
        <f>IFERROR(__xludf.DUMMYFUNCTION("""COMPUTED_VALUE"""),62.0)</f>
        <v>62</v>
      </c>
      <c r="F3871" s="19" t="str">
        <f>IFERROR(__xludf.DUMMYFUNCTION("""COMPUTED_VALUE"""),"BLUE")</f>
        <v>BLUE</v>
      </c>
      <c r="G3871" s="20" t="str">
        <f>IFERROR(__xludf.DUMMYFUNCTION("""COMPUTED_VALUE"""),"Uncle Sams Cider (11/12/2021) (Blue)")</f>
        <v>Uncle Sams Cider (11/12/2021) (Blue)</v>
      </c>
      <c r="H3871" s="19"/>
    </row>
    <row r="3872">
      <c r="A3872" s="9"/>
      <c r="B3872" s="15"/>
      <c r="C3872" s="9">
        <f>IFERROR(__xludf.DUMMYFUNCTION("""COMPUTED_VALUE"""),44565.1923537731)</f>
        <v>44565.19235</v>
      </c>
      <c r="D3872" s="15">
        <f>IFERROR(__xludf.DUMMYFUNCTION("""COMPUTED_VALUE"""),1.006)</f>
        <v>1.006</v>
      </c>
      <c r="E3872" s="16">
        <f>IFERROR(__xludf.DUMMYFUNCTION("""COMPUTED_VALUE"""),62.0)</f>
        <v>62</v>
      </c>
      <c r="F3872" s="19" t="str">
        <f>IFERROR(__xludf.DUMMYFUNCTION("""COMPUTED_VALUE"""),"BLUE")</f>
        <v>BLUE</v>
      </c>
      <c r="G3872" s="20" t="str">
        <f>IFERROR(__xludf.DUMMYFUNCTION("""COMPUTED_VALUE"""),"Uncle Sams Cider (11/12/2021) (Blue)")</f>
        <v>Uncle Sams Cider (11/12/2021) (Blue)</v>
      </c>
      <c r="H3872" s="19"/>
    </row>
    <row r="3873">
      <c r="A3873" s="9"/>
      <c r="B3873" s="15"/>
      <c r="C3873" s="9">
        <f>IFERROR(__xludf.DUMMYFUNCTION("""COMPUTED_VALUE"""),44565.1819322916)</f>
        <v>44565.18193</v>
      </c>
      <c r="D3873" s="15">
        <f>IFERROR(__xludf.DUMMYFUNCTION("""COMPUTED_VALUE"""),1.006)</f>
        <v>1.006</v>
      </c>
      <c r="E3873" s="16">
        <f>IFERROR(__xludf.DUMMYFUNCTION("""COMPUTED_VALUE"""),62.0)</f>
        <v>62</v>
      </c>
      <c r="F3873" s="19" t="str">
        <f>IFERROR(__xludf.DUMMYFUNCTION("""COMPUTED_VALUE"""),"BLUE")</f>
        <v>BLUE</v>
      </c>
      <c r="G3873" s="20" t="str">
        <f>IFERROR(__xludf.DUMMYFUNCTION("""COMPUTED_VALUE"""),"Uncle Sams Cider (11/12/2021) (Blue)")</f>
        <v>Uncle Sams Cider (11/12/2021) (Blue)</v>
      </c>
      <c r="H3873" s="19"/>
    </row>
    <row r="3874">
      <c r="A3874" s="9"/>
      <c r="B3874" s="15"/>
      <c r="C3874" s="9">
        <f>IFERROR(__xludf.DUMMYFUNCTION("""COMPUTED_VALUE"""),44565.171486956)</f>
        <v>44565.17149</v>
      </c>
      <c r="D3874" s="15">
        <f>IFERROR(__xludf.DUMMYFUNCTION("""COMPUTED_VALUE"""),1.006)</f>
        <v>1.006</v>
      </c>
      <c r="E3874" s="16">
        <f>IFERROR(__xludf.DUMMYFUNCTION("""COMPUTED_VALUE"""),62.0)</f>
        <v>62</v>
      </c>
      <c r="F3874" s="19" t="str">
        <f>IFERROR(__xludf.DUMMYFUNCTION("""COMPUTED_VALUE"""),"BLUE")</f>
        <v>BLUE</v>
      </c>
      <c r="G3874" s="20" t="str">
        <f>IFERROR(__xludf.DUMMYFUNCTION("""COMPUTED_VALUE"""),"Uncle Sams Cider (11/12/2021) (Blue)")</f>
        <v>Uncle Sams Cider (11/12/2021) (Blue)</v>
      </c>
      <c r="H3874" s="19"/>
    </row>
    <row r="3875">
      <c r="A3875" s="9"/>
      <c r="B3875" s="15"/>
      <c r="C3875" s="9">
        <f>IFERROR(__xludf.DUMMYFUNCTION("""COMPUTED_VALUE"""),44565.1506445138)</f>
        <v>44565.15064</v>
      </c>
      <c r="D3875" s="15">
        <f>IFERROR(__xludf.DUMMYFUNCTION("""COMPUTED_VALUE"""),1.006)</f>
        <v>1.006</v>
      </c>
      <c r="E3875" s="16">
        <f>IFERROR(__xludf.DUMMYFUNCTION("""COMPUTED_VALUE"""),62.0)</f>
        <v>62</v>
      </c>
      <c r="F3875" s="19" t="str">
        <f>IFERROR(__xludf.DUMMYFUNCTION("""COMPUTED_VALUE"""),"BLUE")</f>
        <v>BLUE</v>
      </c>
      <c r="G3875" s="20" t="str">
        <f>IFERROR(__xludf.DUMMYFUNCTION("""COMPUTED_VALUE"""),"Uncle Sams Cider (11/12/2021) (Blue)")</f>
        <v>Uncle Sams Cider (11/12/2021) (Blue)</v>
      </c>
      <c r="H3875" s="19"/>
    </row>
    <row r="3876">
      <c r="A3876" s="9"/>
      <c r="B3876" s="15"/>
      <c r="C3876" s="9">
        <f>IFERROR(__xludf.DUMMYFUNCTION("""COMPUTED_VALUE"""),44565.1402136111)</f>
        <v>44565.14021</v>
      </c>
      <c r="D3876" s="15">
        <f>IFERROR(__xludf.DUMMYFUNCTION("""COMPUTED_VALUE"""),1.006)</f>
        <v>1.006</v>
      </c>
      <c r="E3876" s="16">
        <f>IFERROR(__xludf.DUMMYFUNCTION("""COMPUTED_VALUE"""),62.0)</f>
        <v>62</v>
      </c>
      <c r="F3876" s="19" t="str">
        <f>IFERROR(__xludf.DUMMYFUNCTION("""COMPUTED_VALUE"""),"BLUE")</f>
        <v>BLUE</v>
      </c>
      <c r="G3876" s="20" t="str">
        <f>IFERROR(__xludf.DUMMYFUNCTION("""COMPUTED_VALUE"""),"Uncle Sams Cider (11/12/2021) (Blue)")</f>
        <v>Uncle Sams Cider (11/12/2021) (Blue)</v>
      </c>
      <c r="H3876" s="19"/>
    </row>
    <row r="3877">
      <c r="A3877" s="9"/>
      <c r="B3877" s="15"/>
      <c r="C3877" s="9">
        <f>IFERROR(__xludf.DUMMYFUNCTION("""COMPUTED_VALUE"""),44565.1297799074)</f>
        <v>44565.12978</v>
      </c>
      <c r="D3877" s="15">
        <f>IFERROR(__xludf.DUMMYFUNCTION("""COMPUTED_VALUE"""),1.006)</f>
        <v>1.006</v>
      </c>
      <c r="E3877" s="16">
        <f>IFERROR(__xludf.DUMMYFUNCTION("""COMPUTED_VALUE"""),62.0)</f>
        <v>62</v>
      </c>
      <c r="F3877" s="19" t="str">
        <f>IFERROR(__xludf.DUMMYFUNCTION("""COMPUTED_VALUE"""),"BLUE")</f>
        <v>BLUE</v>
      </c>
      <c r="G3877" s="20" t="str">
        <f>IFERROR(__xludf.DUMMYFUNCTION("""COMPUTED_VALUE"""),"Uncle Sams Cider (11/12/2021) (Blue)")</f>
        <v>Uncle Sams Cider (11/12/2021) (Blue)</v>
      </c>
      <c r="H3877" s="19"/>
    </row>
    <row r="3878">
      <c r="A3878" s="9"/>
      <c r="B3878" s="15"/>
      <c r="C3878" s="9">
        <f>IFERROR(__xludf.DUMMYFUNCTION("""COMPUTED_VALUE"""),44565.1193602893)</f>
        <v>44565.11936</v>
      </c>
      <c r="D3878" s="15">
        <f>IFERROR(__xludf.DUMMYFUNCTION("""COMPUTED_VALUE"""),1.006)</f>
        <v>1.006</v>
      </c>
      <c r="E3878" s="16">
        <f>IFERROR(__xludf.DUMMYFUNCTION("""COMPUTED_VALUE"""),62.0)</f>
        <v>62</v>
      </c>
      <c r="F3878" s="19" t="str">
        <f>IFERROR(__xludf.DUMMYFUNCTION("""COMPUTED_VALUE"""),"BLUE")</f>
        <v>BLUE</v>
      </c>
      <c r="G3878" s="20" t="str">
        <f>IFERROR(__xludf.DUMMYFUNCTION("""COMPUTED_VALUE"""),"Uncle Sams Cider (11/12/2021) (Blue)")</f>
        <v>Uncle Sams Cider (11/12/2021) (Blue)</v>
      </c>
      <c r="H3878" s="19"/>
    </row>
    <row r="3879">
      <c r="A3879" s="9"/>
      <c r="B3879" s="15"/>
      <c r="C3879" s="9">
        <f>IFERROR(__xludf.DUMMYFUNCTION("""COMPUTED_VALUE"""),44565.108937118)</f>
        <v>44565.10894</v>
      </c>
      <c r="D3879" s="15">
        <f>IFERROR(__xludf.DUMMYFUNCTION("""COMPUTED_VALUE"""),1.006)</f>
        <v>1.006</v>
      </c>
      <c r="E3879" s="16">
        <f>IFERROR(__xludf.DUMMYFUNCTION("""COMPUTED_VALUE"""),62.0)</f>
        <v>62</v>
      </c>
      <c r="F3879" s="19" t="str">
        <f>IFERROR(__xludf.DUMMYFUNCTION("""COMPUTED_VALUE"""),"BLUE")</f>
        <v>BLUE</v>
      </c>
      <c r="G3879" s="20" t="str">
        <f>IFERROR(__xludf.DUMMYFUNCTION("""COMPUTED_VALUE"""),"Uncle Sams Cider (11/12/2021) (Blue)")</f>
        <v>Uncle Sams Cider (11/12/2021) (Blue)</v>
      </c>
      <c r="H3879" s="19"/>
    </row>
    <row r="3880">
      <c r="A3880" s="9"/>
      <c r="B3880" s="15"/>
      <c r="C3880" s="9">
        <f>IFERROR(__xludf.DUMMYFUNCTION("""COMPUTED_VALUE"""),44565.0985142708)</f>
        <v>44565.09851</v>
      </c>
      <c r="D3880" s="15">
        <f>IFERROR(__xludf.DUMMYFUNCTION("""COMPUTED_VALUE"""),1.007)</f>
        <v>1.007</v>
      </c>
      <c r="E3880" s="16">
        <f>IFERROR(__xludf.DUMMYFUNCTION("""COMPUTED_VALUE"""),62.0)</f>
        <v>62</v>
      </c>
      <c r="F3880" s="19" t="str">
        <f>IFERROR(__xludf.DUMMYFUNCTION("""COMPUTED_VALUE"""),"BLUE")</f>
        <v>BLUE</v>
      </c>
      <c r="G3880" s="20" t="str">
        <f>IFERROR(__xludf.DUMMYFUNCTION("""COMPUTED_VALUE"""),"Uncle Sams Cider (11/12/2021) (Blue)")</f>
        <v>Uncle Sams Cider (11/12/2021) (Blue)</v>
      </c>
      <c r="H3880" s="19"/>
    </row>
    <row r="3881">
      <c r="A3881" s="9"/>
      <c r="B3881" s="15"/>
      <c r="C3881" s="9">
        <f>IFERROR(__xludf.DUMMYFUNCTION("""COMPUTED_VALUE"""),44565.0880917824)</f>
        <v>44565.08809</v>
      </c>
      <c r="D3881" s="15">
        <f>IFERROR(__xludf.DUMMYFUNCTION("""COMPUTED_VALUE"""),1.006)</f>
        <v>1.006</v>
      </c>
      <c r="E3881" s="16">
        <f>IFERROR(__xludf.DUMMYFUNCTION("""COMPUTED_VALUE"""),62.0)</f>
        <v>62</v>
      </c>
      <c r="F3881" s="19" t="str">
        <f>IFERROR(__xludf.DUMMYFUNCTION("""COMPUTED_VALUE"""),"BLUE")</f>
        <v>BLUE</v>
      </c>
      <c r="G3881" s="20" t="str">
        <f>IFERROR(__xludf.DUMMYFUNCTION("""COMPUTED_VALUE"""),"Uncle Sams Cider (11/12/2021) (Blue)")</f>
        <v>Uncle Sams Cider (11/12/2021) (Blue)</v>
      </c>
      <c r="H3881" s="19"/>
    </row>
    <row r="3882">
      <c r="A3882" s="9"/>
      <c r="B3882" s="15"/>
      <c r="C3882" s="9">
        <f>IFERROR(__xludf.DUMMYFUNCTION("""COMPUTED_VALUE"""),44565.0776713773)</f>
        <v>44565.07767</v>
      </c>
      <c r="D3882" s="15">
        <f>IFERROR(__xludf.DUMMYFUNCTION("""COMPUTED_VALUE"""),1.006)</f>
        <v>1.006</v>
      </c>
      <c r="E3882" s="16">
        <f>IFERROR(__xludf.DUMMYFUNCTION("""COMPUTED_VALUE"""),62.0)</f>
        <v>62</v>
      </c>
      <c r="F3882" s="19" t="str">
        <f>IFERROR(__xludf.DUMMYFUNCTION("""COMPUTED_VALUE"""),"BLUE")</f>
        <v>BLUE</v>
      </c>
      <c r="G3882" s="20" t="str">
        <f>IFERROR(__xludf.DUMMYFUNCTION("""COMPUTED_VALUE"""),"Uncle Sams Cider (11/12/2021) (Blue)")</f>
        <v>Uncle Sams Cider (11/12/2021) (Blue)</v>
      </c>
      <c r="H3882" s="19"/>
    </row>
    <row r="3883">
      <c r="A3883" s="9"/>
      <c r="B3883" s="15"/>
      <c r="C3883" s="9">
        <f>IFERROR(__xludf.DUMMYFUNCTION("""COMPUTED_VALUE"""),44565.0672505787)</f>
        <v>44565.06725</v>
      </c>
      <c r="D3883" s="15">
        <f>IFERROR(__xludf.DUMMYFUNCTION("""COMPUTED_VALUE"""),1.006)</f>
        <v>1.006</v>
      </c>
      <c r="E3883" s="16">
        <f>IFERROR(__xludf.DUMMYFUNCTION("""COMPUTED_VALUE"""),62.0)</f>
        <v>62</v>
      </c>
      <c r="F3883" s="19" t="str">
        <f>IFERROR(__xludf.DUMMYFUNCTION("""COMPUTED_VALUE"""),"BLUE")</f>
        <v>BLUE</v>
      </c>
      <c r="G3883" s="20" t="str">
        <f>IFERROR(__xludf.DUMMYFUNCTION("""COMPUTED_VALUE"""),"Uncle Sams Cider (11/12/2021) (Blue)")</f>
        <v>Uncle Sams Cider (11/12/2021) (Blue)</v>
      </c>
      <c r="H3883" s="19"/>
    </row>
    <row r="3884">
      <c r="A3884" s="9"/>
      <c r="B3884" s="15"/>
      <c r="C3884" s="9">
        <f>IFERROR(__xludf.DUMMYFUNCTION("""COMPUTED_VALUE"""),44565.0568286111)</f>
        <v>44565.05683</v>
      </c>
      <c r="D3884" s="15">
        <f>IFERROR(__xludf.DUMMYFUNCTION("""COMPUTED_VALUE"""),1.006)</f>
        <v>1.006</v>
      </c>
      <c r="E3884" s="16">
        <f>IFERROR(__xludf.DUMMYFUNCTION("""COMPUTED_VALUE"""),62.0)</f>
        <v>62</v>
      </c>
      <c r="F3884" s="19" t="str">
        <f>IFERROR(__xludf.DUMMYFUNCTION("""COMPUTED_VALUE"""),"BLUE")</f>
        <v>BLUE</v>
      </c>
      <c r="G3884" s="20" t="str">
        <f>IFERROR(__xludf.DUMMYFUNCTION("""COMPUTED_VALUE"""),"Uncle Sams Cider (11/12/2021) (Blue)")</f>
        <v>Uncle Sams Cider (11/12/2021) (Blue)</v>
      </c>
      <c r="H3884" s="19"/>
    </row>
    <row r="3885">
      <c r="A3885" s="9"/>
      <c r="B3885" s="15"/>
      <c r="C3885" s="9">
        <f>IFERROR(__xludf.DUMMYFUNCTION("""COMPUTED_VALUE"""),44565.0463963657)</f>
        <v>44565.0464</v>
      </c>
      <c r="D3885" s="15">
        <f>IFERROR(__xludf.DUMMYFUNCTION("""COMPUTED_VALUE"""),1.006)</f>
        <v>1.006</v>
      </c>
      <c r="E3885" s="16">
        <f>IFERROR(__xludf.DUMMYFUNCTION("""COMPUTED_VALUE"""),62.0)</f>
        <v>62</v>
      </c>
      <c r="F3885" s="19" t="str">
        <f>IFERROR(__xludf.DUMMYFUNCTION("""COMPUTED_VALUE"""),"BLUE")</f>
        <v>BLUE</v>
      </c>
      <c r="G3885" s="20" t="str">
        <f>IFERROR(__xludf.DUMMYFUNCTION("""COMPUTED_VALUE"""),"Uncle Sams Cider (11/12/2021) (Blue)")</f>
        <v>Uncle Sams Cider (11/12/2021) (Blue)</v>
      </c>
      <c r="H3885" s="19"/>
    </row>
    <row r="3886">
      <c r="A3886" s="9"/>
      <c r="B3886" s="15"/>
      <c r="C3886" s="9">
        <f>IFERROR(__xludf.DUMMYFUNCTION("""COMPUTED_VALUE"""),44565.0359741087)</f>
        <v>44565.03597</v>
      </c>
      <c r="D3886" s="15">
        <f>IFERROR(__xludf.DUMMYFUNCTION("""COMPUTED_VALUE"""),1.006)</f>
        <v>1.006</v>
      </c>
      <c r="E3886" s="16">
        <f>IFERROR(__xludf.DUMMYFUNCTION("""COMPUTED_VALUE"""),62.0)</f>
        <v>62</v>
      </c>
      <c r="F3886" s="19" t="str">
        <f>IFERROR(__xludf.DUMMYFUNCTION("""COMPUTED_VALUE"""),"BLUE")</f>
        <v>BLUE</v>
      </c>
      <c r="G3886" s="20" t="str">
        <f>IFERROR(__xludf.DUMMYFUNCTION("""COMPUTED_VALUE"""),"Uncle Sams Cider (11/12/2021) (Blue)")</f>
        <v>Uncle Sams Cider (11/12/2021) (Blue)</v>
      </c>
      <c r="H3886" s="19"/>
    </row>
    <row r="3887">
      <c r="A3887" s="9"/>
      <c r="B3887" s="15"/>
      <c r="C3887" s="9">
        <f>IFERROR(__xludf.DUMMYFUNCTION("""COMPUTED_VALUE"""),44565.0255301504)</f>
        <v>44565.02553</v>
      </c>
      <c r="D3887" s="15">
        <f>IFERROR(__xludf.DUMMYFUNCTION("""COMPUTED_VALUE"""),1.006)</f>
        <v>1.006</v>
      </c>
      <c r="E3887" s="16">
        <f>IFERROR(__xludf.DUMMYFUNCTION("""COMPUTED_VALUE"""),62.0)</f>
        <v>62</v>
      </c>
      <c r="F3887" s="19" t="str">
        <f>IFERROR(__xludf.DUMMYFUNCTION("""COMPUTED_VALUE"""),"BLUE")</f>
        <v>BLUE</v>
      </c>
      <c r="G3887" s="20" t="str">
        <f>IFERROR(__xludf.DUMMYFUNCTION("""COMPUTED_VALUE"""),"Uncle Sams Cider (11/12/2021) (Blue)")</f>
        <v>Uncle Sams Cider (11/12/2021) (Blue)</v>
      </c>
      <c r="H3887" s="19"/>
    </row>
    <row r="3888">
      <c r="A3888" s="9"/>
      <c r="B3888" s="15"/>
      <c r="C3888" s="9">
        <f>IFERROR(__xludf.DUMMYFUNCTION("""COMPUTED_VALUE"""),44565.0151078587)</f>
        <v>44565.01511</v>
      </c>
      <c r="D3888" s="15">
        <f>IFERROR(__xludf.DUMMYFUNCTION("""COMPUTED_VALUE"""),1.006)</f>
        <v>1.006</v>
      </c>
      <c r="E3888" s="16">
        <f>IFERROR(__xludf.DUMMYFUNCTION("""COMPUTED_VALUE"""),62.0)</f>
        <v>62</v>
      </c>
      <c r="F3888" s="19" t="str">
        <f>IFERROR(__xludf.DUMMYFUNCTION("""COMPUTED_VALUE"""),"BLUE")</f>
        <v>BLUE</v>
      </c>
      <c r="G3888" s="20" t="str">
        <f>IFERROR(__xludf.DUMMYFUNCTION("""COMPUTED_VALUE"""),"Uncle Sams Cider (11/12/2021) (Blue)")</f>
        <v>Uncle Sams Cider (11/12/2021) (Blue)</v>
      </c>
      <c r="H3888" s="19"/>
    </row>
    <row r="3889">
      <c r="A3889" s="9"/>
      <c r="B3889" s="15"/>
      <c r="C3889" s="9">
        <f>IFERROR(__xludf.DUMMYFUNCTION("""COMPUTED_VALUE"""),44565.0046885185)</f>
        <v>44565.00469</v>
      </c>
      <c r="D3889" s="15">
        <f>IFERROR(__xludf.DUMMYFUNCTION("""COMPUTED_VALUE"""),1.006)</f>
        <v>1.006</v>
      </c>
      <c r="E3889" s="16">
        <f>IFERROR(__xludf.DUMMYFUNCTION("""COMPUTED_VALUE"""),62.0)</f>
        <v>62</v>
      </c>
      <c r="F3889" s="19" t="str">
        <f>IFERROR(__xludf.DUMMYFUNCTION("""COMPUTED_VALUE"""),"BLUE")</f>
        <v>BLUE</v>
      </c>
      <c r="G3889" s="20" t="str">
        <f>IFERROR(__xludf.DUMMYFUNCTION("""COMPUTED_VALUE"""),"Uncle Sams Cider (11/12/2021) (Blue)")</f>
        <v>Uncle Sams Cider (11/12/2021) (Blue)</v>
      </c>
      <c r="H3889" s="19"/>
    </row>
    <row r="3890">
      <c r="A3890" s="9"/>
      <c r="B3890" s="15"/>
      <c r="C3890" s="9">
        <f>IFERROR(__xludf.DUMMYFUNCTION("""COMPUTED_VALUE"""),44564.9942649074)</f>
        <v>44564.99426</v>
      </c>
      <c r="D3890" s="15">
        <f>IFERROR(__xludf.DUMMYFUNCTION("""COMPUTED_VALUE"""),1.007)</f>
        <v>1.007</v>
      </c>
      <c r="E3890" s="16">
        <f>IFERROR(__xludf.DUMMYFUNCTION("""COMPUTED_VALUE"""),62.0)</f>
        <v>62</v>
      </c>
      <c r="F3890" s="19" t="str">
        <f>IFERROR(__xludf.DUMMYFUNCTION("""COMPUTED_VALUE"""),"BLUE")</f>
        <v>BLUE</v>
      </c>
      <c r="G3890" s="20" t="str">
        <f>IFERROR(__xludf.DUMMYFUNCTION("""COMPUTED_VALUE"""),"Uncle Sams Cider (11/12/2021) (Blue)")</f>
        <v>Uncle Sams Cider (11/12/2021) (Blue)</v>
      </c>
      <c r="H3890" s="19"/>
    </row>
    <row r="3891">
      <c r="A3891" s="9"/>
      <c r="B3891" s="15"/>
      <c r="C3891" s="9">
        <f>IFERROR(__xludf.DUMMYFUNCTION("""COMPUTED_VALUE"""),44564.9838427546)</f>
        <v>44564.98384</v>
      </c>
      <c r="D3891" s="15">
        <f>IFERROR(__xludf.DUMMYFUNCTION("""COMPUTED_VALUE"""),1.006)</f>
        <v>1.006</v>
      </c>
      <c r="E3891" s="16">
        <f>IFERROR(__xludf.DUMMYFUNCTION("""COMPUTED_VALUE"""),62.0)</f>
        <v>62</v>
      </c>
      <c r="F3891" s="19" t="str">
        <f>IFERROR(__xludf.DUMMYFUNCTION("""COMPUTED_VALUE"""),"BLUE")</f>
        <v>BLUE</v>
      </c>
      <c r="G3891" s="20" t="str">
        <f>IFERROR(__xludf.DUMMYFUNCTION("""COMPUTED_VALUE"""),"Uncle Sams Cider (11/12/2021) (Blue)")</f>
        <v>Uncle Sams Cider (11/12/2021) (Blue)</v>
      </c>
      <c r="H3891" s="19"/>
    </row>
    <row r="3892">
      <c r="A3892" s="9"/>
      <c r="B3892" s="15"/>
      <c r="C3892" s="9">
        <f>IFERROR(__xludf.DUMMYFUNCTION("""COMPUTED_VALUE"""),44564.9734088888)</f>
        <v>44564.97341</v>
      </c>
      <c r="D3892" s="15">
        <f>IFERROR(__xludf.DUMMYFUNCTION("""COMPUTED_VALUE"""),1.006)</f>
        <v>1.006</v>
      </c>
      <c r="E3892" s="16">
        <f>IFERROR(__xludf.DUMMYFUNCTION("""COMPUTED_VALUE"""),62.0)</f>
        <v>62</v>
      </c>
      <c r="F3892" s="19" t="str">
        <f>IFERROR(__xludf.DUMMYFUNCTION("""COMPUTED_VALUE"""),"BLUE")</f>
        <v>BLUE</v>
      </c>
      <c r="G3892" s="20" t="str">
        <f>IFERROR(__xludf.DUMMYFUNCTION("""COMPUTED_VALUE"""),"Uncle Sams Cider (11/12/2021) (Blue)")</f>
        <v>Uncle Sams Cider (11/12/2021) (Blue)</v>
      </c>
      <c r="H3892" s="19"/>
    </row>
    <row r="3893">
      <c r="A3893" s="9"/>
      <c r="B3893" s="15"/>
      <c r="C3893" s="9">
        <f>IFERROR(__xludf.DUMMYFUNCTION("""COMPUTED_VALUE"""),44564.9629756828)</f>
        <v>44564.96298</v>
      </c>
      <c r="D3893" s="15">
        <f>IFERROR(__xludf.DUMMYFUNCTION("""COMPUTED_VALUE"""),1.006)</f>
        <v>1.006</v>
      </c>
      <c r="E3893" s="16">
        <f>IFERROR(__xludf.DUMMYFUNCTION("""COMPUTED_VALUE"""),62.0)</f>
        <v>62</v>
      </c>
      <c r="F3893" s="19" t="str">
        <f>IFERROR(__xludf.DUMMYFUNCTION("""COMPUTED_VALUE"""),"BLUE")</f>
        <v>BLUE</v>
      </c>
      <c r="G3893" s="20" t="str">
        <f>IFERROR(__xludf.DUMMYFUNCTION("""COMPUTED_VALUE"""),"Uncle Sams Cider (11/12/2021) (Blue)")</f>
        <v>Uncle Sams Cider (11/12/2021) (Blue)</v>
      </c>
      <c r="H3893" s="19"/>
    </row>
    <row r="3894">
      <c r="A3894" s="9"/>
      <c r="B3894" s="15"/>
      <c r="C3894" s="9">
        <f>IFERROR(__xludf.DUMMYFUNCTION("""COMPUTED_VALUE"""),44564.9525540277)</f>
        <v>44564.95255</v>
      </c>
      <c r="D3894" s="15">
        <f>IFERROR(__xludf.DUMMYFUNCTION("""COMPUTED_VALUE"""),1.006)</f>
        <v>1.006</v>
      </c>
      <c r="E3894" s="16">
        <f>IFERROR(__xludf.DUMMYFUNCTION("""COMPUTED_VALUE"""),62.0)</f>
        <v>62</v>
      </c>
      <c r="F3894" s="19" t="str">
        <f>IFERROR(__xludf.DUMMYFUNCTION("""COMPUTED_VALUE"""),"BLUE")</f>
        <v>BLUE</v>
      </c>
      <c r="G3894" s="20" t="str">
        <f>IFERROR(__xludf.DUMMYFUNCTION("""COMPUTED_VALUE"""),"Uncle Sams Cider (11/12/2021) (Blue)")</f>
        <v>Uncle Sams Cider (11/12/2021) (Blue)</v>
      </c>
      <c r="H3894" s="19"/>
    </row>
    <row r="3895">
      <c r="A3895" s="9"/>
      <c r="B3895" s="15"/>
      <c r="C3895" s="9">
        <f>IFERROR(__xludf.DUMMYFUNCTION("""COMPUTED_VALUE"""),44564.9421346874)</f>
        <v>44564.94213</v>
      </c>
      <c r="D3895" s="15">
        <f>IFERROR(__xludf.DUMMYFUNCTION("""COMPUTED_VALUE"""),1.006)</f>
        <v>1.006</v>
      </c>
      <c r="E3895" s="16">
        <f>IFERROR(__xludf.DUMMYFUNCTION("""COMPUTED_VALUE"""),62.0)</f>
        <v>62</v>
      </c>
      <c r="F3895" s="19" t="str">
        <f>IFERROR(__xludf.DUMMYFUNCTION("""COMPUTED_VALUE"""),"BLUE")</f>
        <v>BLUE</v>
      </c>
      <c r="G3895" s="20" t="str">
        <f>IFERROR(__xludf.DUMMYFUNCTION("""COMPUTED_VALUE"""),"Uncle Sams Cider (11/12/2021) (Blue)")</f>
        <v>Uncle Sams Cider (11/12/2021) (Blue)</v>
      </c>
      <c r="H3895" s="19"/>
    </row>
    <row r="3896">
      <c r="A3896" s="9"/>
      <c r="B3896" s="15"/>
      <c r="C3896" s="9">
        <f>IFERROR(__xludf.DUMMYFUNCTION("""COMPUTED_VALUE"""),44564.9317132986)</f>
        <v>44564.93171</v>
      </c>
      <c r="D3896" s="15">
        <f>IFERROR(__xludf.DUMMYFUNCTION("""COMPUTED_VALUE"""),1.007)</f>
        <v>1.007</v>
      </c>
      <c r="E3896" s="16">
        <f>IFERROR(__xludf.DUMMYFUNCTION("""COMPUTED_VALUE"""),62.0)</f>
        <v>62</v>
      </c>
      <c r="F3896" s="19" t="str">
        <f>IFERROR(__xludf.DUMMYFUNCTION("""COMPUTED_VALUE"""),"BLUE")</f>
        <v>BLUE</v>
      </c>
      <c r="G3896" s="20" t="str">
        <f>IFERROR(__xludf.DUMMYFUNCTION("""COMPUTED_VALUE"""),"Uncle Sams Cider (11/12/2021) (Blue)")</f>
        <v>Uncle Sams Cider (11/12/2021) (Blue)</v>
      </c>
      <c r="H3896" s="19"/>
    </row>
    <row r="3897">
      <c r="A3897" s="9"/>
      <c r="B3897" s="15"/>
      <c r="C3897" s="9">
        <f>IFERROR(__xludf.DUMMYFUNCTION("""COMPUTED_VALUE"""),44564.9212918055)</f>
        <v>44564.92129</v>
      </c>
      <c r="D3897" s="15">
        <f>IFERROR(__xludf.DUMMYFUNCTION("""COMPUTED_VALUE"""),1.006)</f>
        <v>1.006</v>
      </c>
      <c r="E3897" s="16">
        <f>IFERROR(__xludf.DUMMYFUNCTION("""COMPUTED_VALUE"""),62.0)</f>
        <v>62</v>
      </c>
      <c r="F3897" s="19" t="str">
        <f>IFERROR(__xludf.DUMMYFUNCTION("""COMPUTED_VALUE"""),"BLUE")</f>
        <v>BLUE</v>
      </c>
      <c r="G3897" s="20" t="str">
        <f>IFERROR(__xludf.DUMMYFUNCTION("""COMPUTED_VALUE"""),"Uncle Sams Cider (11/12/2021) (Blue)")</f>
        <v>Uncle Sams Cider (11/12/2021) (Blue)</v>
      </c>
      <c r="H3897" s="19"/>
    </row>
    <row r="3898">
      <c r="A3898" s="9"/>
      <c r="B3898" s="15"/>
      <c r="C3898" s="9">
        <f>IFERROR(__xludf.DUMMYFUNCTION("""COMPUTED_VALUE"""),44564.9108698842)</f>
        <v>44564.91087</v>
      </c>
      <c r="D3898" s="15">
        <f>IFERROR(__xludf.DUMMYFUNCTION("""COMPUTED_VALUE"""),1.006)</f>
        <v>1.006</v>
      </c>
      <c r="E3898" s="16">
        <f>IFERROR(__xludf.DUMMYFUNCTION("""COMPUTED_VALUE"""),62.0)</f>
        <v>62</v>
      </c>
      <c r="F3898" s="19" t="str">
        <f>IFERROR(__xludf.DUMMYFUNCTION("""COMPUTED_VALUE"""),"BLUE")</f>
        <v>BLUE</v>
      </c>
      <c r="G3898" s="20" t="str">
        <f>IFERROR(__xludf.DUMMYFUNCTION("""COMPUTED_VALUE"""),"Uncle Sams Cider (11/12/2021) (Blue)")</f>
        <v>Uncle Sams Cider (11/12/2021) (Blue)</v>
      </c>
      <c r="H3898" s="19"/>
    </row>
    <row r="3899">
      <c r="A3899" s="9"/>
      <c r="B3899" s="15"/>
      <c r="C3899" s="9">
        <f>IFERROR(__xludf.DUMMYFUNCTION("""COMPUTED_VALUE"""),44564.9004376388)</f>
        <v>44564.90044</v>
      </c>
      <c r="D3899" s="15">
        <f>IFERROR(__xludf.DUMMYFUNCTION("""COMPUTED_VALUE"""),1.006)</f>
        <v>1.006</v>
      </c>
      <c r="E3899" s="16">
        <f>IFERROR(__xludf.DUMMYFUNCTION("""COMPUTED_VALUE"""),62.0)</f>
        <v>62</v>
      </c>
      <c r="F3899" s="19" t="str">
        <f>IFERROR(__xludf.DUMMYFUNCTION("""COMPUTED_VALUE"""),"BLUE")</f>
        <v>BLUE</v>
      </c>
      <c r="G3899" s="20" t="str">
        <f>IFERROR(__xludf.DUMMYFUNCTION("""COMPUTED_VALUE"""),"Uncle Sams Cider (11/12/2021) (Blue)")</f>
        <v>Uncle Sams Cider (11/12/2021) (Blue)</v>
      </c>
      <c r="H3899" s="19"/>
    </row>
    <row r="3900">
      <c r="A3900" s="9"/>
      <c r="B3900" s="15"/>
      <c r="C3900" s="9">
        <f>IFERROR(__xludf.DUMMYFUNCTION("""COMPUTED_VALUE"""),44564.8900174537)</f>
        <v>44564.89002</v>
      </c>
      <c r="D3900" s="15">
        <f>IFERROR(__xludf.DUMMYFUNCTION("""COMPUTED_VALUE"""),1.006)</f>
        <v>1.006</v>
      </c>
      <c r="E3900" s="16">
        <f>IFERROR(__xludf.DUMMYFUNCTION("""COMPUTED_VALUE"""),62.0)</f>
        <v>62</v>
      </c>
      <c r="F3900" s="19" t="str">
        <f>IFERROR(__xludf.DUMMYFUNCTION("""COMPUTED_VALUE"""),"BLUE")</f>
        <v>BLUE</v>
      </c>
      <c r="G3900" s="20" t="str">
        <f>IFERROR(__xludf.DUMMYFUNCTION("""COMPUTED_VALUE"""),"Uncle Sams Cider (11/12/2021) (Blue)")</f>
        <v>Uncle Sams Cider (11/12/2021) (Blue)</v>
      </c>
      <c r="H3900" s="19"/>
    </row>
    <row r="3901">
      <c r="A3901" s="9"/>
      <c r="B3901" s="15"/>
      <c r="C3901" s="9">
        <f>IFERROR(__xludf.DUMMYFUNCTION("""COMPUTED_VALUE"""),44564.879585625)</f>
        <v>44564.87959</v>
      </c>
      <c r="D3901" s="15">
        <f>IFERROR(__xludf.DUMMYFUNCTION("""COMPUTED_VALUE"""),1.006)</f>
        <v>1.006</v>
      </c>
      <c r="E3901" s="16">
        <f>IFERROR(__xludf.DUMMYFUNCTION("""COMPUTED_VALUE"""),62.0)</f>
        <v>62</v>
      </c>
      <c r="F3901" s="19" t="str">
        <f>IFERROR(__xludf.DUMMYFUNCTION("""COMPUTED_VALUE"""),"BLUE")</f>
        <v>BLUE</v>
      </c>
      <c r="G3901" s="20" t="str">
        <f>IFERROR(__xludf.DUMMYFUNCTION("""COMPUTED_VALUE"""),"Uncle Sams Cider (11/12/2021) (Blue)")</f>
        <v>Uncle Sams Cider (11/12/2021) (Blue)</v>
      </c>
      <c r="H3901" s="19"/>
    </row>
    <row r="3902">
      <c r="A3902" s="9"/>
      <c r="B3902" s="15"/>
      <c r="C3902" s="9">
        <f>IFERROR(__xludf.DUMMYFUNCTION("""COMPUTED_VALUE"""),44564.8691536921)</f>
        <v>44564.86915</v>
      </c>
      <c r="D3902" s="15">
        <f>IFERROR(__xludf.DUMMYFUNCTION("""COMPUTED_VALUE"""),1.007)</f>
        <v>1.007</v>
      </c>
      <c r="E3902" s="16">
        <f>IFERROR(__xludf.DUMMYFUNCTION("""COMPUTED_VALUE"""),62.0)</f>
        <v>62</v>
      </c>
      <c r="F3902" s="19" t="str">
        <f>IFERROR(__xludf.DUMMYFUNCTION("""COMPUTED_VALUE"""),"BLUE")</f>
        <v>BLUE</v>
      </c>
      <c r="G3902" s="20" t="str">
        <f>IFERROR(__xludf.DUMMYFUNCTION("""COMPUTED_VALUE"""),"Uncle Sams Cider (11/12/2021) (Blue)")</f>
        <v>Uncle Sams Cider (11/12/2021) (Blue)</v>
      </c>
      <c r="H3902" s="19"/>
    </row>
    <row r="3903">
      <c r="A3903" s="9"/>
      <c r="B3903" s="15"/>
      <c r="C3903" s="9">
        <f>IFERROR(__xludf.DUMMYFUNCTION("""COMPUTED_VALUE"""),44564.8587321527)</f>
        <v>44564.85873</v>
      </c>
      <c r="D3903" s="15">
        <f>IFERROR(__xludf.DUMMYFUNCTION("""COMPUTED_VALUE"""),1.007)</f>
        <v>1.007</v>
      </c>
      <c r="E3903" s="16">
        <f>IFERROR(__xludf.DUMMYFUNCTION("""COMPUTED_VALUE"""),62.0)</f>
        <v>62</v>
      </c>
      <c r="F3903" s="19" t="str">
        <f>IFERROR(__xludf.DUMMYFUNCTION("""COMPUTED_VALUE"""),"BLUE")</f>
        <v>BLUE</v>
      </c>
      <c r="G3903" s="20" t="str">
        <f>IFERROR(__xludf.DUMMYFUNCTION("""COMPUTED_VALUE"""),"Uncle Sams Cider (11/12/2021) (Blue)")</f>
        <v>Uncle Sams Cider (11/12/2021) (Blue)</v>
      </c>
      <c r="H3903" s="19"/>
    </row>
    <row r="3904">
      <c r="A3904" s="9"/>
      <c r="B3904" s="15"/>
      <c r="C3904" s="9">
        <f>IFERROR(__xludf.DUMMYFUNCTION("""COMPUTED_VALUE"""),44564.8483105092)</f>
        <v>44564.84831</v>
      </c>
      <c r="D3904" s="15">
        <f>IFERROR(__xludf.DUMMYFUNCTION("""COMPUTED_VALUE"""),1.006)</f>
        <v>1.006</v>
      </c>
      <c r="E3904" s="16">
        <f>IFERROR(__xludf.DUMMYFUNCTION("""COMPUTED_VALUE"""),62.0)</f>
        <v>62</v>
      </c>
      <c r="F3904" s="19" t="str">
        <f>IFERROR(__xludf.DUMMYFUNCTION("""COMPUTED_VALUE"""),"BLUE")</f>
        <v>BLUE</v>
      </c>
      <c r="G3904" s="20" t="str">
        <f>IFERROR(__xludf.DUMMYFUNCTION("""COMPUTED_VALUE"""),"Uncle Sams Cider (11/12/2021) (Blue)")</f>
        <v>Uncle Sams Cider (11/12/2021) (Blue)</v>
      </c>
      <c r="H3904" s="19"/>
    </row>
    <row r="3905">
      <c r="A3905" s="9"/>
      <c r="B3905" s="15"/>
      <c r="C3905" s="9">
        <f>IFERROR(__xludf.DUMMYFUNCTION("""COMPUTED_VALUE"""),44564.8378905092)</f>
        <v>44564.83789</v>
      </c>
      <c r="D3905" s="15">
        <f>IFERROR(__xludf.DUMMYFUNCTION("""COMPUTED_VALUE"""),1.006)</f>
        <v>1.006</v>
      </c>
      <c r="E3905" s="16">
        <f>IFERROR(__xludf.DUMMYFUNCTION("""COMPUTED_VALUE"""),62.0)</f>
        <v>62</v>
      </c>
      <c r="F3905" s="19" t="str">
        <f>IFERROR(__xludf.DUMMYFUNCTION("""COMPUTED_VALUE"""),"BLUE")</f>
        <v>BLUE</v>
      </c>
      <c r="G3905" s="20" t="str">
        <f>IFERROR(__xludf.DUMMYFUNCTION("""COMPUTED_VALUE"""),"Uncle Sams Cider (11/12/2021) (Blue)")</f>
        <v>Uncle Sams Cider (11/12/2021) (Blue)</v>
      </c>
      <c r="H3905" s="19"/>
    </row>
    <row r="3906">
      <c r="A3906" s="9"/>
      <c r="B3906" s="15"/>
      <c r="C3906" s="9">
        <f>IFERROR(__xludf.DUMMYFUNCTION("""COMPUTED_VALUE"""),44564.8274692245)</f>
        <v>44564.82747</v>
      </c>
      <c r="D3906" s="15">
        <f>IFERROR(__xludf.DUMMYFUNCTION("""COMPUTED_VALUE"""),1.006)</f>
        <v>1.006</v>
      </c>
      <c r="E3906" s="16">
        <f>IFERROR(__xludf.DUMMYFUNCTION("""COMPUTED_VALUE"""),62.0)</f>
        <v>62</v>
      </c>
      <c r="F3906" s="19" t="str">
        <f>IFERROR(__xludf.DUMMYFUNCTION("""COMPUTED_VALUE"""),"BLUE")</f>
        <v>BLUE</v>
      </c>
      <c r="G3906" s="20" t="str">
        <f>IFERROR(__xludf.DUMMYFUNCTION("""COMPUTED_VALUE"""),"Uncle Sams Cider (11/12/2021) (Blue)")</f>
        <v>Uncle Sams Cider (11/12/2021) (Blue)</v>
      </c>
      <c r="H3906" s="19"/>
    </row>
    <row r="3907">
      <c r="A3907" s="9"/>
      <c r="B3907" s="15"/>
      <c r="C3907" s="9">
        <f>IFERROR(__xludf.DUMMYFUNCTION("""COMPUTED_VALUE"""),44564.8170466087)</f>
        <v>44564.81705</v>
      </c>
      <c r="D3907" s="15">
        <f>IFERROR(__xludf.DUMMYFUNCTION("""COMPUTED_VALUE"""),1.007)</f>
        <v>1.007</v>
      </c>
      <c r="E3907" s="16">
        <f>IFERROR(__xludf.DUMMYFUNCTION("""COMPUTED_VALUE"""),62.0)</f>
        <v>62</v>
      </c>
      <c r="F3907" s="19" t="str">
        <f>IFERROR(__xludf.DUMMYFUNCTION("""COMPUTED_VALUE"""),"BLUE")</f>
        <v>BLUE</v>
      </c>
      <c r="G3907" s="20" t="str">
        <f>IFERROR(__xludf.DUMMYFUNCTION("""COMPUTED_VALUE"""),"Uncle Sams Cider (11/12/2021) (Blue)")</f>
        <v>Uncle Sams Cider (11/12/2021) (Blue)</v>
      </c>
      <c r="H3907" s="19"/>
    </row>
    <row r="3908">
      <c r="A3908" s="9"/>
      <c r="B3908" s="15"/>
      <c r="C3908" s="9">
        <f>IFERROR(__xludf.DUMMYFUNCTION("""COMPUTED_VALUE"""),44564.8066245254)</f>
        <v>44564.80662</v>
      </c>
      <c r="D3908" s="15">
        <f>IFERROR(__xludf.DUMMYFUNCTION("""COMPUTED_VALUE"""),1.006)</f>
        <v>1.006</v>
      </c>
      <c r="E3908" s="16">
        <f>IFERROR(__xludf.DUMMYFUNCTION("""COMPUTED_VALUE"""),62.0)</f>
        <v>62</v>
      </c>
      <c r="F3908" s="19" t="str">
        <f>IFERROR(__xludf.DUMMYFUNCTION("""COMPUTED_VALUE"""),"BLUE")</f>
        <v>BLUE</v>
      </c>
      <c r="G3908" s="20" t="str">
        <f>IFERROR(__xludf.DUMMYFUNCTION("""COMPUTED_VALUE"""),"Uncle Sams Cider (11/12/2021) (Blue)")</f>
        <v>Uncle Sams Cider (11/12/2021) (Blue)</v>
      </c>
      <c r="H3908" s="19"/>
    </row>
    <row r="3909">
      <c r="A3909" s="9"/>
      <c r="B3909" s="15"/>
      <c r="C3909" s="9">
        <f>IFERROR(__xludf.DUMMYFUNCTION("""COMPUTED_VALUE"""),44564.7962049652)</f>
        <v>44564.7962</v>
      </c>
      <c r="D3909" s="15">
        <f>IFERROR(__xludf.DUMMYFUNCTION("""COMPUTED_VALUE"""),1.007)</f>
        <v>1.007</v>
      </c>
      <c r="E3909" s="16">
        <f>IFERROR(__xludf.DUMMYFUNCTION("""COMPUTED_VALUE"""),62.0)</f>
        <v>62</v>
      </c>
      <c r="F3909" s="19" t="str">
        <f>IFERROR(__xludf.DUMMYFUNCTION("""COMPUTED_VALUE"""),"BLUE")</f>
        <v>BLUE</v>
      </c>
      <c r="G3909" s="20" t="str">
        <f>IFERROR(__xludf.DUMMYFUNCTION("""COMPUTED_VALUE"""),"Uncle Sams Cider (11/12/2021) (Blue)")</f>
        <v>Uncle Sams Cider (11/12/2021) (Blue)</v>
      </c>
      <c r="H3909" s="19"/>
    </row>
    <row r="3910">
      <c r="A3910" s="9"/>
      <c r="B3910" s="15"/>
      <c r="C3910" s="9">
        <f>IFERROR(__xludf.DUMMYFUNCTION("""COMPUTED_VALUE"""),44564.7857837847)</f>
        <v>44564.78578</v>
      </c>
      <c r="D3910" s="15">
        <f>IFERROR(__xludf.DUMMYFUNCTION("""COMPUTED_VALUE"""),1.006)</f>
        <v>1.006</v>
      </c>
      <c r="E3910" s="16">
        <f>IFERROR(__xludf.DUMMYFUNCTION("""COMPUTED_VALUE"""),62.0)</f>
        <v>62</v>
      </c>
      <c r="F3910" s="19" t="str">
        <f>IFERROR(__xludf.DUMMYFUNCTION("""COMPUTED_VALUE"""),"BLUE")</f>
        <v>BLUE</v>
      </c>
      <c r="G3910" s="20" t="str">
        <f>IFERROR(__xludf.DUMMYFUNCTION("""COMPUTED_VALUE"""),"Uncle Sams Cider (11/12/2021) (Blue)")</f>
        <v>Uncle Sams Cider (11/12/2021) (Blue)</v>
      </c>
      <c r="H3910" s="19"/>
    </row>
    <row r="3911">
      <c r="A3911" s="9"/>
      <c r="B3911" s="15"/>
      <c r="C3911" s="9">
        <f>IFERROR(__xludf.DUMMYFUNCTION("""COMPUTED_VALUE"""),44564.7753634953)</f>
        <v>44564.77536</v>
      </c>
      <c r="D3911" s="15">
        <f>IFERROR(__xludf.DUMMYFUNCTION("""COMPUTED_VALUE"""),1.006)</f>
        <v>1.006</v>
      </c>
      <c r="E3911" s="16">
        <f>IFERROR(__xludf.DUMMYFUNCTION("""COMPUTED_VALUE"""),62.0)</f>
        <v>62</v>
      </c>
      <c r="F3911" s="19" t="str">
        <f>IFERROR(__xludf.DUMMYFUNCTION("""COMPUTED_VALUE"""),"BLUE")</f>
        <v>BLUE</v>
      </c>
      <c r="G3911" s="20" t="str">
        <f>IFERROR(__xludf.DUMMYFUNCTION("""COMPUTED_VALUE"""),"Uncle Sams Cider (11/12/2021) (Blue)")</f>
        <v>Uncle Sams Cider (11/12/2021) (Blue)</v>
      </c>
      <c r="H3911" s="19"/>
    </row>
    <row r="3912">
      <c r="A3912" s="9"/>
      <c r="B3912" s="15"/>
      <c r="C3912" s="9">
        <f>IFERROR(__xludf.DUMMYFUNCTION("""COMPUTED_VALUE"""),44564.7649409374)</f>
        <v>44564.76494</v>
      </c>
      <c r="D3912" s="15">
        <f>IFERROR(__xludf.DUMMYFUNCTION("""COMPUTED_VALUE"""),1.006)</f>
        <v>1.006</v>
      </c>
      <c r="E3912" s="16">
        <f>IFERROR(__xludf.DUMMYFUNCTION("""COMPUTED_VALUE"""),62.0)</f>
        <v>62</v>
      </c>
      <c r="F3912" s="19" t="str">
        <f>IFERROR(__xludf.DUMMYFUNCTION("""COMPUTED_VALUE"""),"BLUE")</f>
        <v>BLUE</v>
      </c>
      <c r="G3912" s="20" t="str">
        <f>IFERROR(__xludf.DUMMYFUNCTION("""COMPUTED_VALUE"""),"Uncle Sams Cider (11/12/2021) (Blue)")</f>
        <v>Uncle Sams Cider (11/12/2021) (Blue)</v>
      </c>
      <c r="H3912" s="19"/>
    </row>
    <row r="3913">
      <c r="A3913" s="9"/>
      <c r="B3913" s="15"/>
      <c r="C3913" s="9">
        <f>IFERROR(__xludf.DUMMYFUNCTION("""COMPUTED_VALUE"""),44564.7545190972)</f>
        <v>44564.75452</v>
      </c>
      <c r="D3913" s="15">
        <f>IFERROR(__xludf.DUMMYFUNCTION("""COMPUTED_VALUE"""),1.006)</f>
        <v>1.006</v>
      </c>
      <c r="E3913" s="16">
        <f>IFERROR(__xludf.DUMMYFUNCTION("""COMPUTED_VALUE"""),62.0)</f>
        <v>62</v>
      </c>
      <c r="F3913" s="19" t="str">
        <f>IFERROR(__xludf.DUMMYFUNCTION("""COMPUTED_VALUE"""),"BLUE")</f>
        <v>BLUE</v>
      </c>
      <c r="G3913" s="20" t="str">
        <f>IFERROR(__xludf.DUMMYFUNCTION("""COMPUTED_VALUE"""),"Uncle Sams Cider (11/12/2021) (Blue)")</f>
        <v>Uncle Sams Cider (11/12/2021) (Blue)</v>
      </c>
      <c r="H3913" s="19"/>
    </row>
    <row r="3914">
      <c r="A3914" s="9"/>
      <c r="B3914" s="15"/>
      <c r="C3914" s="9">
        <f>IFERROR(__xludf.DUMMYFUNCTION("""COMPUTED_VALUE"""),44564.7440989467)</f>
        <v>44564.7441</v>
      </c>
      <c r="D3914" s="15">
        <f>IFERROR(__xludf.DUMMYFUNCTION("""COMPUTED_VALUE"""),1.006)</f>
        <v>1.006</v>
      </c>
      <c r="E3914" s="16">
        <f>IFERROR(__xludf.DUMMYFUNCTION("""COMPUTED_VALUE"""),62.0)</f>
        <v>62</v>
      </c>
      <c r="F3914" s="19" t="str">
        <f>IFERROR(__xludf.DUMMYFUNCTION("""COMPUTED_VALUE"""),"BLUE")</f>
        <v>BLUE</v>
      </c>
      <c r="G3914" s="20" t="str">
        <f>IFERROR(__xludf.DUMMYFUNCTION("""COMPUTED_VALUE"""),"Uncle Sams Cider (11/12/2021) (Blue)")</f>
        <v>Uncle Sams Cider (11/12/2021) (Blue)</v>
      </c>
      <c r="H3914" s="19"/>
    </row>
    <row r="3915">
      <c r="A3915" s="9"/>
      <c r="B3915" s="15"/>
      <c r="C3915" s="9">
        <f>IFERROR(__xludf.DUMMYFUNCTION("""COMPUTED_VALUE"""),44564.7336530439)</f>
        <v>44564.73365</v>
      </c>
      <c r="D3915" s="15">
        <f>IFERROR(__xludf.DUMMYFUNCTION("""COMPUTED_VALUE"""),1.006)</f>
        <v>1.006</v>
      </c>
      <c r="E3915" s="16">
        <f>IFERROR(__xludf.DUMMYFUNCTION("""COMPUTED_VALUE"""),62.0)</f>
        <v>62</v>
      </c>
      <c r="F3915" s="19" t="str">
        <f>IFERROR(__xludf.DUMMYFUNCTION("""COMPUTED_VALUE"""),"BLUE")</f>
        <v>BLUE</v>
      </c>
      <c r="G3915" s="20" t="str">
        <f>IFERROR(__xludf.DUMMYFUNCTION("""COMPUTED_VALUE"""),"Uncle Sams Cider (11/12/2021) (Blue)")</f>
        <v>Uncle Sams Cider (11/12/2021) (Blue)</v>
      </c>
      <c r="H3915" s="19"/>
    </row>
    <row r="3916">
      <c r="A3916" s="9"/>
      <c r="B3916" s="15"/>
      <c r="C3916" s="9">
        <f>IFERROR(__xludf.DUMMYFUNCTION("""COMPUTED_VALUE"""),44564.7232208912)</f>
        <v>44564.72322</v>
      </c>
      <c r="D3916" s="15">
        <f>IFERROR(__xludf.DUMMYFUNCTION("""COMPUTED_VALUE"""),1.006)</f>
        <v>1.006</v>
      </c>
      <c r="E3916" s="16">
        <f>IFERROR(__xludf.DUMMYFUNCTION("""COMPUTED_VALUE"""),62.0)</f>
        <v>62</v>
      </c>
      <c r="F3916" s="19" t="str">
        <f>IFERROR(__xludf.DUMMYFUNCTION("""COMPUTED_VALUE"""),"BLUE")</f>
        <v>BLUE</v>
      </c>
      <c r="G3916" s="20" t="str">
        <f>IFERROR(__xludf.DUMMYFUNCTION("""COMPUTED_VALUE"""),"Uncle Sams Cider (11/12/2021) (Blue)")</f>
        <v>Uncle Sams Cider (11/12/2021) (Blue)</v>
      </c>
      <c r="H3916" s="19"/>
    </row>
    <row r="3917">
      <c r="A3917" s="9"/>
      <c r="B3917" s="15"/>
      <c r="C3917" s="9">
        <f>IFERROR(__xludf.DUMMYFUNCTION("""COMPUTED_VALUE"""),44564.7128003703)</f>
        <v>44564.7128</v>
      </c>
      <c r="D3917" s="15">
        <f>IFERROR(__xludf.DUMMYFUNCTION("""COMPUTED_VALUE"""),1.006)</f>
        <v>1.006</v>
      </c>
      <c r="E3917" s="16">
        <f>IFERROR(__xludf.DUMMYFUNCTION("""COMPUTED_VALUE"""),62.0)</f>
        <v>62</v>
      </c>
      <c r="F3917" s="19" t="str">
        <f>IFERROR(__xludf.DUMMYFUNCTION("""COMPUTED_VALUE"""),"BLUE")</f>
        <v>BLUE</v>
      </c>
      <c r="G3917" s="20" t="str">
        <f>IFERROR(__xludf.DUMMYFUNCTION("""COMPUTED_VALUE"""),"Uncle Sams Cider (11/12/2021) (Blue)")</f>
        <v>Uncle Sams Cider (11/12/2021) (Blue)</v>
      </c>
      <c r="H3917" s="19"/>
    </row>
    <row r="3918">
      <c r="A3918" s="9"/>
      <c r="B3918" s="15"/>
      <c r="C3918" s="9">
        <f>IFERROR(__xludf.DUMMYFUNCTION("""COMPUTED_VALUE"""),44564.7023820486)</f>
        <v>44564.70238</v>
      </c>
      <c r="D3918" s="15">
        <f>IFERROR(__xludf.DUMMYFUNCTION("""COMPUTED_VALUE"""),1.006)</f>
        <v>1.006</v>
      </c>
      <c r="E3918" s="16">
        <f>IFERROR(__xludf.DUMMYFUNCTION("""COMPUTED_VALUE"""),62.0)</f>
        <v>62</v>
      </c>
      <c r="F3918" s="19" t="str">
        <f>IFERROR(__xludf.DUMMYFUNCTION("""COMPUTED_VALUE"""),"BLUE")</f>
        <v>BLUE</v>
      </c>
      <c r="G3918" s="20" t="str">
        <f>IFERROR(__xludf.DUMMYFUNCTION("""COMPUTED_VALUE"""),"Uncle Sams Cider (11/12/2021) (Blue)")</f>
        <v>Uncle Sams Cider (11/12/2021) (Blue)</v>
      </c>
      <c r="H3918" s="19"/>
    </row>
    <row r="3919">
      <c r="A3919" s="9"/>
      <c r="B3919" s="15"/>
      <c r="C3919" s="9">
        <f>IFERROR(__xludf.DUMMYFUNCTION("""COMPUTED_VALUE"""),44564.691960405)</f>
        <v>44564.69196</v>
      </c>
      <c r="D3919" s="15">
        <f>IFERROR(__xludf.DUMMYFUNCTION("""COMPUTED_VALUE"""),1.006)</f>
        <v>1.006</v>
      </c>
      <c r="E3919" s="16">
        <f>IFERROR(__xludf.DUMMYFUNCTION("""COMPUTED_VALUE"""),62.0)</f>
        <v>62</v>
      </c>
      <c r="F3919" s="19" t="str">
        <f>IFERROR(__xludf.DUMMYFUNCTION("""COMPUTED_VALUE"""),"BLUE")</f>
        <v>BLUE</v>
      </c>
      <c r="G3919" s="20" t="str">
        <f>IFERROR(__xludf.DUMMYFUNCTION("""COMPUTED_VALUE"""),"Uncle Sams Cider (11/12/2021) (Blue)")</f>
        <v>Uncle Sams Cider (11/12/2021) (Blue)</v>
      </c>
      <c r="H3919" s="19"/>
    </row>
    <row r="3920">
      <c r="A3920" s="9"/>
      <c r="B3920" s="15"/>
      <c r="C3920" s="9">
        <f>IFERROR(__xludf.DUMMYFUNCTION("""COMPUTED_VALUE"""),44564.6815278703)</f>
        <v>44564.68153</v>
      </c>
      <c r="D3920" s="15">
        <f>IFERROR(__xludf.DUMMYFUNCTION("""COMPUTED_VALUE"""),1.006)</f>
        <v>1.006</v>
      </c>
      <c r="E3920" s="16">
        <f>IFERROR(__xludf.DUMMYFUNCTION("""COMPUTED_VALUE"""),63.0)</f>
        <v>63</v>
      </c>
      <c r="F3920" s="19" t="str">
        <f>IFERROR(__xludf.DUMMYFUNCTION("""COMPUTED_VALUE"""),"BLUE")</f>
        <v>BLUE</v>
      </c>
      <c r="G3920" s="20" t="str">
        <f>IFERROR(__xludf.DUMMYFUNCTION("""COMPUTED_VALUE"""),"Uncle Sams Cider (11/12/2021) (Blue)")</f>
        <v>Uncle Sams Cider (11/12/2021) (Blue)</v>
      </c>
      <c r="H3920" s="19"/>
    </row>
    <row r="3921">
      <c r="A3921" s="9"/>
      <c r="B3921" s="15"/>
      <c r="C3921" s="9">
        <f>IFERROR(__xludf.DUMMYFUNCTION("""COMPUTED_VALUE"""),44564.6711075347)</f>
        <v>44564.67111</v>
      </c>
      <c r="D3921" s="15">
        <f>IFERROR(__xludf.DUMMYFUNCTION("""COMPUTED_VALUE"""),1.006)</f>
        <v>1.006</v>
      </c>
      <c r="E3921" s="16">
        <f>IFERROR(__xludf.DUMMYFUNCTION("""COMPUTED_VALUE"""),63.0)</f>
        <v>63</v>
      </c>
      <c r="F3921" s="19" t="str">
        <f>IFERROR(__xludf.DUMMYFUNCTION("""COMPUTED_VALUE"""),"BLUE")</f>
        <v>BLUE</v>
      </c>
      <c r="G3921" s="20" t="str">
        <f>IFERROR(__xludf.DUMMYFUNCTION("""COMPUTED_VALUE"""),"Uncle Sams Cider (11/12/2021) (Blue)")</f>
        <v>Uncle Sams Cider (11/12/2021) (Blue)</v>
      </c>
      <c r="H3921" s="19"/>
    </row>
    <row r="3922">
      <c r="A3922" s="9"/>
      <c r="B3922" s="15"/>
      <c r="C3922" s="9">
        <f>IFERROR(__xludf.DUMMYFUNCTION("""COMPUTED_VALUE"""),44564.6606878935)</f>
        <v>44564.66069</v>
      </c>
      <c r="D3922" s="15">
        <f>IFERROR(__xludf.DUMMYFUNCTION("""COMPUTED_VALUE"""),1.006)</f>
        <v>1.006</v>
      </c>
      <c r="E3922" s="16">
        <f>IFERROR(__xludf.DUMMYFUNCTION("""COMPUTED_VALUE"""),63.0)</f>
        <v>63</v>
      </c>
      <c r="F3922" s="19" t="str">
        <f>IFERROR(__xludf.DUMMYFUNCTION("""COMPUTED_VALUE"""),"BLUE")</f>
        <v>BLUE</v>
      </c>
      <c r="G3922" s="20" t="str">
        <f>IFERROR(__xludf.DUMMYFUNCTION("""COMPUTED_VALUE"""),"Uncle Sams Cider (11/12/2021) (Blue)")</f>
        <v>Uncle Sams Cider (11/12/2021) (Blue)</v>
      </c>
      <c r="H3922" s="19"/>
    </row>
    <row r="3923">
      <c r="A3923" s="9"/>
      <c r="B3923" s="15"/>
      <c r="C3923" s="9">
        <f>IFERROR(__xludf.DUMMYFUNCTION("""COMPUTED_VALUE"""),44564.6502683796)</f>
        <v>44564.65027</v>
      </c>
      <c r="D3923" s="15">
        <f>IFERROR(__xludf.DUMMYFUNCTION("""COMPUTED_VALUE"""),1.006)</f>
        <v>1.006</v>
      </c>
      <c r="E3923" s="16">
        <f>IFERROR(__xludf.DUMMYFUNCTION("""COMPUTED_VALUE"""),62.0)</f>
        <v>62</v>
      </c>
      <c r="F3923" s="19" t="str">
        <f>IFERROR(__xludf.DUMMYFUNCTION("""COMPUTED_VALUE"""),"BLUE")</f>
        <v>BLUE</v>
      </c>
      <c r="G3923" s="20" t="str">
        <f>IFERROR(__xludf.DUMMYFUNCTION("""COMPUTED_VALUE"""),"Uncle Sams Cider (11/12/2021) (Blue)")</f>
        <v>Uncle Sams Cider (11/12/2021) (Blue)</v>
      </c>
      <c r="H3923" s="19"/>
    </row>
    <row r="3924">
      <c r="A3924" s="9"/>
      <c r="B3924" s="15"/>
      <c r="C3924" s="9">
        <f>IFERROR(__xludf.DUMMYFUNCTION("""COMPUTED_VALUE"""),44564.6398480555)</f>
        <v>44564.63985</v>
      </c>
      <c r="D3924" s="15">
        <f>IFERROR(__xludf.DUMMYFUNCTION("""COMPUTED_VALUE"""),1.006)</f>
        <v>1.006</v>
      </c>
      <c r="E3924" s="16">
        <f>IFERROR(__xludf.DUMMYFUNCTION("""COMPUTED_VALUE"""),62.0)</f>
        <v>62</v>
      </c>
      <c r="F3924" s="19" t="str">
        <f>IFERROR(__xludf.DUMMYFUNCTION("""COMPUTED_VALUE"""),"BLUE")</f>
        <v>BLUE</v>
      </c>
      <c r="G3924" s="20" t="str">
        <f>IFERROR(__xludf.DUMMYFUNCTION("""COMPUTED_VALUE"""),"Uncle Sams Cider (11/12/2021) (Blue)")</f>
        <v>Uncle Sams Cider (11/12/2021) (Blue)</v>
      </c>
      <c r="H3924" s="19"/>
    </row>
    <row r="3925">
      <c r="A3925" s="9"/>
      <c r="B3925" s="15"/>
      <c r="C3925" s="9">
        <f>IFERROR(__xludf.DUMMYFUNCTION("""COMPUTED_VALUE"""),44564.6294265162)</f>
        <v>44564.62943</v>
      </c>
      <c r="D3925" s="15">
        <f>IFERROR(__xludf.DUMMYFUNCTION("""COMPUTED_VALUE"""),1.006)</f>
        <v>1.006</v>
      </c>
      <c r="E3925" s="16">
        <f>IFERROR(__xludf.DUMMYFUNCTION("""COMPUTED_VALUE"""),62.0)</f>
        <v>62</v>
      </c>
      <c r="F3925" s="19" t="str">
        <f>IFERROR(__xludf.DUMMYFUNCTION("""COMPUTED_VALUE"""),"BLUE")</f>
        <v>BLUE</v>
      </c>
      <c r="G3925" s="20" t="str">
        <f>IFERROR(__xludf.DUMMYFUNCTION("""COMPUTED_VALUE"""),"Uncle Sams Cider (11/12/2021) (Blue)")</f>
        <v>Uncle Sams Cider (11/12/2021) (Blue)</v>
      </c>
      <c r="H3925" s="19"/>
    </row>
    <row r="3926">
      <c r="A3926" s="9"/>
      <c r="B3926" s="15"/>
      <c r="C3926" s="9">
        <f>IFERROR(__xludf.DUMMYFUNCTION("""COMPUTED_VALUE"""),44564.6189936689)</f>
        <v>44564.61899</v>
      </c>
      <c r="D3926" s="15">
        <f>IFERROR(__xludf.DUMMYFUNCTION("""COMPUTED_VALUE"""),1.006)</f>
        <v>1.006</v>
      </c>
      <c r="E3926" s="16">
        <f>IFERROR(__xludf.DUMMYFUNCTION("""COMPUTED_VALUE"""),62.0)</f>
        <v>62</v>
      </c>
      <c r="F3926" s="19" t="str">
        <f>IFERROR(__xludf.DUMMYFUNCTION("""COMPUTED_VALUE"""),"BLUE")</f>
        <v>BLUE</v>
      </c>
      <c r="G3926" s="20" t="str">
        <f>IFERROR(__xludf.DUMMYFUNCTION("""COMPUTED_VALUE"""),"Uncle Sams Cider (11/12/2021) (Blue)")</f>
        <v>Uncle Sams Cider (11/12/2021) (Blue)</v>
      </c>
      <c r="H3926" s="19"/>
    </row>
    <row r="3927">
      <c r="A3927" s="9"/>
      <c r="B3927" s="15"/>
      <c r="C3927" s="9">
        <f>IFERROR(__xludf.DUMMYFUNCTION("""COMPUTED_VALUE"""),44564.6085739467)</f>
        <v>44564.60857</v>
      </c>
      <c r="D3927" s="15">
        <f>IFERROR(__xludf.DUMMYFUNCTION("""COMPUTED_VALUE"""),1.006)</f>
        <v>1.006</v>
      </c>
      <c r="E3927" s="16">
        <f>IFERROR(__xludf.DUMMYFUNCTION("""COMPUTED_VALUE"""),63.0)</f>
        <v>63</v>
      </c>
      <c r="F3927" s="19" t="str">
        <f>IFERROR(__xludf.DUMMYFUNCTION("""COMPUTED_VALUE"""),"BLUE")</f>
        <v>BLUE</v>
      </c>
      <c r="G3927" s="20" t="str">
        <f>IFERROR(__xludf.DUMMYFUNCTION("""COMPUTED_VALUE"""),"Uncle Sams Cider (11/12/2021) (Blue)")</f>
        <v>Uncle Sams Cider (11/12/2021) (Blue)</v>
      </c>
      <c r="H3927" s="19"/>
    </row>
    <row r="3928">
      <c r="A3928" s="9"/>
      <c r="B3928" s="15"/>
      <c r="C3928" s="9">
        <f>IFERROR(__xludf.DUMMYFUNCTION("""COMPUTED_VALUE"""),44564.5981535185)</f>
        <v>44564.59815</v>
      </c>
      <c r="D3928" s="15">
        <f>IFERROR(__xludf.DUMMYFUNCTION("""COMPUTED_VALUE"""),1.006)</f>
        <v>1.006</v>
      </c>
      <c r="E3928" s="16">
        <f>IFERROR(__xludf.DUMMYFUNCTION("""COMPUTED_VALUE"""),62.0)</f>
        <v>62</v>
      </c>
      <c r="F3928" s="19" t="str">
        <f>IFERROR(__xludf.DUMMYFUNCTION("""COMPUTED_VALUE"""),"BLUE")</f>
        <v>BLUE</v>
      </c>
      <c r="G3928" s="20" t="str">
        <f>IFERROR(__xludf.DUMMYFUNCTION("""COMPUTED_VALUE"""),"Uncle Sams Cider (11/12/2021) (Blue)")</f>
        <v>Uncle Sams Cider (11/12/2021) (Blue)</v>
      </c>
      <c r="H3928" s="19"/>
    </row>
    <row r="3929">
      <c r="A3929" s="9"/>
      <c r="B3929" s="15"/>
      <c r="C3929" s="9">
        <f>IFERROR(__xludf.DUMMYFUNCTION("""COMPUTED_VALUE"""),44564.5877204976)</f>
        <v>44564.58772</v>
      </c>
      <c r="D3929" s="15">
        <f>IFERROR(__xludf.DUMMYFUNCTION("""COMPUTED_VALUE"""),1.006)</f>
        <v>1.006</v>
      </c>
      <c r="E3929" s="16">
        <f>IFERROR(__xludf.DUMMYFUNCTION("""COMPUTED_VALUE"""),63.0)</f>
        <v>63</v>
      </c>
      <c r="F3929" s="19" t="str">
        <f>IFERROR(__xludf.DUMMYFUNCTION("""COMPUTED_VALUE"""),"BLUE")</f>
        <v>BLUE</v>
      </c>
      <c r="G3929" s="20" t="str">
        <f>IFERROR(__xludf.DUMMYFUNCTION("""COMPUTED_VALUE"""),"Uncle Sams Cider (11/12/2021) (Blue)")</f>
        <v>Uncle Sams Cider (11/12/2021) (Blue)</v>
      </c>
      <c r="H3929" s="19"/>
    </row>
    <row r="3930">
      <c r="A3930" s="9"/>
      <c r="B3930" s="15"/>
      <c r="C3930" s="9">
        <f>IFERROR(__xludf.DUMMYFUNCTION("""COMPUTED_VALUE"""),44564.5772872453)</f>
        <v>44564.57729</v>
      </c>
      <c r="D3930" s="15">
        <f>IFERROR(__xludf.DUMMYFUNCTION("""COMPUTED_VALUE"""),1.006)</f>
        <v>1.006</v>
      </c>
      <c r="E3930" s="16">
        <f>IFERROR(__xludf.DUMMYFUNCTION("""COMPUTED_VALUE"""),63.0)</f>
        <v>63</v>
      </c>
      <c r="F3930" s="19" t="str">
        <f>IFERROR(__xludf.DUMMYFUNCTION("""COMPUTED_VALUE"""),"BLUE")</f>
        <v>BLUE</v>
      </c>
      <c r="G3930" s="20" t="str">
        <f>IFERROR(__xludf.DUMMYFUNCTION("""COMPUTED_VALUE"""),"Uncle Sams Cider (11/12/2021) (Blue)")</f>
        <v>Uncle Sams Cider (11/12/2021) (Blue)</v>
      </c>
      <c r="H3930" s="19"/>
    </row>
    <row r="3931">
      <c r="A3931" s="9"/>
      <c r="B3931" s="15"/>
      <c r="C3931" s="9">
        <f>IFERROR(__xludf.DUMMYFUNCTION("""COMPUTED_VALUE"""),44564.566866655)</f>
        <v>44564.56687</v>
      </c>
      <c r="D3931" s="15">
        <f>IFERROR(__xludf.DUMMYFUNCTION("""COMPUTED_VALUE"""),1.006)</f>
        <v>1.006</v>
      </c>
      <c r="E3931" s="16">
        <f>IFERROR(__xludf.DUMMYFUNCTION("""COMPUTED_VALUE"""),63.0)</f>
        <v>63</v>
      </c>
      <c r="F3931" s="19" t="str">
        <f>IFERROR(__xludf.DUMMYFUNCTION("""COMPUTED_VALUE"""),"BLUE")</f>
        <v>BLUE</v>
      </c>
      <c r="G3931" s="20" t="str">
        <f>IFERROR(__xludf.DUMMYFUNCTION("""COMPUTED_VALUE"""),"Uncle Sams Cider (11/12/2021) (Blue)")</f>
        <v>Uncle Sams Cider (11/12/2021) (Blue)</v>
      </c>
      <c r="H3931" s="19"/>
    </row>
    <row r="3932">
      <c r="A3932" s="9"/>
      <c r="B3932" s="15"/>
      <c r="C3932" s="9">
        <f>IFERROR(__xludf.DUMMYFUNCTION("""COMPUTED_VALUE"""),44564.5564451851)</f>
        <v>44564.55645</v>
      </c>
      <c r="D3932" s="15">
        <f>IFERROR(__xludf.DUMMYFUNCTION("""COMPUTED_VALUE"""),1.006)</f>
        <v>1.006</v>
      </c>
      <c r="E3932" s="16">
        <f>IFERROR(__xludf.DUMMYFUNCTION("""COMPUTED_VALUE"""),63.0)</f>
        <v>63</v>
      </c>
      <c r="F3932" s="19" t="str">
        <f>IFERROR(__xludf.DUMMYFUNCTION("""COMPUTED_VALUE"""),"BLUE")</f>
        <v>BLUE</v>
      </c>
      <c r="G3932" s="20" t="str">
        <f>IFERROR(__xludf.DUMMYFUNCTION("""COMPUTED_VALUE"""),"Uncle Sams Cider (11/12/2021) (Blue)")</f>
        <v>Uncle Sams Cider (11/12/2021) (Blue)</v>
      </c>
      <c r="H3932" s="19"/>
    </row>
    <row r="3933">
      <c r="A3933" s="9"/>
      <c r="B3933" s="15"/>
      <c r="C3933" s="9">
        <f>IFERROR(__xludf.DUMMYFUNCTION("""COMPUTED_VALUE"""),44564.5460229166)</f>
        <v>44564.54602</v>
      </c>
      <c r="D3933" s="15">
        <f>IFERROR(__xludf.DUMMYFUNCTION("""COMPUTED_VALUE"""),1.006)</f>
        <v>1.006</v>
      </c>
      <c r="E3933" s="16">
        <f>IFERROR(__xludf.DUMMYFUNCTION("""COMPUTED_VALUE"""),62.0)</f>
        <v>62</v>
      </c>
      <c r="F3933" s="19" t="str">
        <f>IFERROR(__xludf.DUMMYFUNCTION("""COMPUTED_VALUE"""),"BLUE")</f>
        <v>BLUE</v>
      </c>
      <c r="G3933" s="20" t="str">
        <f>IFERROR(__xludf.DUMMYFUNCTION("""COMPUTED_VALUE"""),"Uncle Sams Cider (11/12/2021) (Blue)")</f>
        <v>Uncle Sams Cider (11/12/2021) (Blue)</v>
      </c>
      <c r="H3933" s="19"/>
    </row>
    <row r="3934">
      <c r="A3934" s="9"/>
      <c r="B3934" s="15"/>
      <c r="C3934" s="9">
        <f>IFERROR(__xludf.DUMMYFUNCTION("""COMPUTED_VALUE"""),44564.5355786805)</f>
        <v>44564.53558</v>
      </c>
      <c r="D3934" s="15">
        <f>IFERROR(__xludf.DUMMYFUNCTION("""COMPUTED_VALUE"""),1.006)</f>
        <v>1.006</v>
      </c>
      <c r="E3934" s="16">
        <f>IFERROR(__xludf.DUMMYFUNCTION("""COMPUTED_VALUE"""),63.0)</f>
        <v>63</v>
      </c>
      <c r="F3934" s="19" t="str">
        <f>IFERROR(__xludf.DUMMYFUNCTION("""COMPUTED_VALUE"""),"BLUE")</f>
        <v>BLUE</v>
      </c>
      <c r="G3934" s="20" t="str">
        <f>IFERROR(__xludf.DUMMYFUNCTION("""COMPUTED_VALUE"""),"Uncle Sams Cider (11/12/2021) (Blue)")</f>
        <v>Uncle Sams Cider (11/12/2021) (Blue)</v>
      </c>
      <c r="H3934" s="19"/>
    </row>
    <row r="3935">
      <c r="A3935" s="9"/>
      <c r="B3935" s="15"/>
      <c r="C3935" s="9">
        <f>IFERROR(__xludf.DUMMYFUNCTION("""COMPUTED_VALUE"""),44564.5251571759)</f>
        <v>44564.52516</v>
      </c>
      <c r="D3935" s="15">
        <f>IFERROR(__xludf.DUMMYFUNCTION("""COMPUTED_VALUE"""),1.006)</f>
        <v>1.006</v>
      </c>
      <c r="E3935" s="16">
        <f>IFERROR(__xludf.DUMMYFUNCTION("""COMPUTED_VALUE"""),63.0)</f>
        <v>63</v>
      </c>
      <c r="F3935" s="19" t="str">
        <f>IFERROR(__xludf.DUMMYFUNCTION("""COMPUTED_VALUE"""),"BLUE")</f>
        <v>BLUE</v>
      </c>
      <c r="G3935" s="20" t="str">
        <f>IFERROR(__xludf.DUMMYFUNCTION("""COMPUTED_VALUE"""),"Uncle Sams Cider (11/12/2021) (Blue)")</f>
        <v>Uncle Sams Cider (11/12/2021) (Blue)</v>
      </c>
      <c r="H3935" s="19"/>
    </row>
    <row r="3936">
      <c r="A3936" s="9"/>
      <c r="B3936" s="15"/>
      <c r="C3936" s="9">
        <f>IFERROR(__xludf.DUMMYFUNCTION("""COMPUTED_VALUE"""),44564.5147348032)</f>
        <v>44564.51473</v>
      </c>
      <c r="D3936" s="15">
        <f>IFERROR(__xludf.DUMMYFUNCTION("""COMPUTED_VALUE"""),1.006)</f>
        <v>1.006</v>
      </c>
      <c r="E3936" s="16">
        <f>IFERROR(__xludf.DUMMYFUNCTION("""COMPUTED_VALUE"""),63.0)</f>
        <v>63</v>
      </c>
      <c r="F3936" s="19" t="str">
        <f>IFERROR(__xludf.DUMMYFUNCTION("""COMPUTED_VALUE"""),"BLUE")</f>
        <v>BLUE</v>
      </c>
      <c r="G3936" s="20" t="str">
        <f>IFERROR(__xludf.DUMMYFUNCTION("""COMPUTED_VALUE"""),"Uncle Sams Cider (11/12/2021) (Blue)")</f>
        <v>Uncle Sams Cider (11/12/2021) (Blue)</v>
      </c>
      <c r="H3936" s="19"/>
    </row>
    <row r="3937">
      <c r="A3937" s="9"/>
      <c r="B3937" s="15"/>
      <c r="C3937" s="9">
        <f>IFERROR(__xludf.DUMMYFUNCTION("""COMPUTED_VALUE"""),44564.504314375)</f>
        <v>44564.50431</v>
      </c>
      <c r="D3937" s="15">
        <f>IFERROR(__xludf.DUMMYFUNCTION("""COMPUTED_VALUE"""),1.006)</f>
        <v>1.006</v>
      </c>
      <c r="E3937" s="16">
        <f>IFERROR(__xludf.DUMMYFUNCTION("""COMPUTED_VALUE"""),63.0)</f>
        <v>63</v>
      </c>
      <c r="F3937" s="19" t="str">
        <f>IFERROR(__xludf.DUMMYFUNCTION("""COMPUTED_VALUE"""),"BLUE")</f>
        <v>BLUE</v>
      </c>
      <c r="G3937" s="20" t="str">
        <f>IFERROR(__xludf.DUMMYFUNCTION("""COMPUTED_VALUE"""),"Uncle Sams Cider (11/12/2021) (Blue)")</f>
        <v>Uncle Sams Cider (11/12/2021) (Blue)</v>
      </c>
      <c r="H3937" s="19"/>
    </row>
    <row r="3938">
      <c r="A3938" s="9"/>
      <c r="B3938" s="15"/>
      <c r="C3938" s="9">
        <f>IFERROR(__xludf.DUMMYFUNCTION("""COMPUTED_VALUE"""),44564.493881331)</f>
        <v>44564.49388</v>
      </c>
      <c r="D3938" s="15">
        <f>IFERROR(__xludf.DUMMYFUNCTION("""COMPUTED_VALUE"""),1.006)</f>
        <v>1.006</v>
      </c>
      <c r="E3938" s="16">
        <f>IFERROR(__xludf.DUMMYFUNCTION("""COMPUTED_VALUE"""),63.0)</f>
        <v>63</v>
      </c>
      <c r="F3938" s="19" t="str">
        <f>IFERROR(__xludf.DUMMYFUNCTION("""COMPUTED_VALUE"""),"BLUE")</f>
        <v>BLUE</v>
      </c>
      <c r="G3938" s="20" t="str">
        <f>IFERROR(__xludf.DUMMYFUNCTION("""COMPUTED_VALUE"""),"Uncle Sams Cider (11/12/2021) (Blue)")</f>
        <v>Uncle Sams Cider (11/12/2021) (Blue)</v>
      </c>
      <c r="H3938" s="19"/>
    </row>
    <row r="3939">
      <c r="A3939" s="9"/>
      <c r="B3939" s="15"/>
      <c r="C3939" s="9">
        <f>IFERROR(__xludf.DUMMYFUNCTION("""COMPUTED_VALUE"""),44564.4834599537)</f>
        <v>44564.48346</v>
      </c>
      <c r="D3939" s="15">
        <f>IFERROR(__xludf.DUMMYFUNCTION("""COMPUTED_VALUE"""),1.007)</f>
        <v>1.007</v>
      </c>
      <c r="E3939" s="16">
        <f>IFERROR(__xludf.DUMMYFUNCTION("""COMPUTED_VALUE"""),63.0)</f>
        <v>63</v>
      </c>
      <c r="F3939" s="19" t="str">
        <f>IFERROR(__xludf.DUMMYFUNCTION("""COMPUTED_VALUE"""),"BLUE")</f>
        <v>BLUE</v>
      </c>
      <c r="G3939" s="20" t="str">
        <f>IFERROR(__xludf.DUMMYFUNCTION("""COMPUTED_VALUE"""),"Uncle Sams Cider (11/12/2021) (Blue)")</f>
        <v>Uncle Sams Cider (11/12/2021) (Blue)</v>
      </c>
      <c r="H3939" s="19"/>
    </row>
    <row r="3940">
      <c r="A3940" s="9"/>
      <c r="B3940" s="15"/>
      <c r="C3940" s="9">
        <f>IFERROR(__xludf.DUMMYFUNCTION("""COMPUTED_VALUE"""),44564.4730265856)</f>
        <v>44564.47303</v>
      </c>
      <c r="D3940" s="15">
        <f>IFERROR(__xludf.DUMMYFUNCTION("""COMPUTED_VALUE"""),1.006)</f>
        <v>1.006</v>
      </c>
      <c r="E3940" s="16">
        <f>IFERROR(__xludf.DUMMYFUNCTION("""COMPUTED_VALUE"""),63.0)</f>
        <v>63</v>
      </c>
      <c r="F3940" s="19" t="str">
        <f>IFERROR(__xludf.DUMMYFUNCTION("""COMPUTED_VALUE"""),"BLUE")</f>
        <v>BLUE</v>
      </c>
      <c r="G3940" s="20" t="str">
        <f>IFERROR(__xludf.DUMMYFUNCTION("""COMPUTED_VALUE"""),"Uncle Sams Cider (11/12/2021) (Blue)")</f>
        <v>Uncle Sams Cider (11/12/2021) (Blue)</v>
      </c>
      <c r="H3940" s="19"/>
    </row>
    <row r="3941">
      <c r="A3941" s="9"/>
      <c r="B3941" s="15"/>
      <c r="C3941" s="9">
        <f>IFERROR(__xludf.DUMMYFUNCTION("""COMPUTED_VALUE"""),44564.4626070254)</f>
        <v>44564.46261</v>
      </c>
      <c r="D3941" s="15">
        <f>IFERROR(__xludf.DUMMYFUNCTION("""COMPUTED_VALUE"""),1.006)</f>
        <v>1.006</v>
      </c>
      <c r="E3941" s="16">
        <f>IFERROR(__xludf.DUMMYFUNCTION("""COMPUTED_VALUE"""),63.0)</f>
        <v>63</v>
      </c>
      <c r="F3941" s="19" t="str">
        <f>IFERROR(__xludf.DUMMYFUNCTION("""COMPUTED_VALUE"""),"BLUE")</f>
        <v>BLUE</v>
      </c>
      <c r="G3941" s="20" t="str">
        <f>IFERROR(__xludf.DUMMYFUNCTION("""COMPUTED_VALUE"""),"Uncle Sams Cider (11/12/2021) (Blue)")</f>
        <v>Uncle Sams Cider (11/12/2021) (Blue)</v>
      </c>
      <c r="H3941" s="19"/>
    </row>
    <row r="3942">
      <c r="A3942" s="9"/>
      <c r="B3942" s="15"/>
      <c r="C3942" s="9">
        <f>IFERROR(__xludf.DUMMYFUNCTION("""COMPUTED_VALUE"""),44564.4521852893)</f>
        <v>44564.45219</v>
      </c>
      <c r="D3942" s="15">
        <f>IFERROR(__xludf.DUMMYFUNCTION("""COMPUTED_VALUE"""),1.007)</f>
        <v>1.007</v>
      </c>
      <c r="E3942" s="16">
        <f>IFERROR(__xludf.DUMMYFUNCTION("""COMPUTED_VALUE"""),63.0)</f>
        <v>63</v>
      </c>
      <c r="F3942" s="19" t="str">
        <f>IFERROR(__xludf.DUMMYFUNCTION("""COMPUTED_VALUE"""),"BLUE")</f>
        <v>BLUE</v>
      </c>
      <c r="G3942" s="20" t="str">
        <f>IFERROR(__xludf.DUMMYFUNCTION("""COMPUTED_VALUE"""),"Uncle Sams Cider (11/12/2021) (Blue)")</f>
        <v>Uncle Sams Cider (11/12/2021) (Blue)</v>
      </c>
      <c r="H3942" s="19"/>
    </row>
    <row r="3943">
      <c r="A3943" s="9"/>
      <c r="B3943" s="15"/>
      <c r="C3943" s="9">
        <f>IFERROR(__xludf.DUMMYFUNCTION("""COMPUTED_VALUE"""),44564.441764537)</f>
        <v>44564.44176</v>
      </c>
      <c r="D3943" s="15">
        <f>IFERROR(__xludf.DUMMYFUNCTION("""COMPUTED_VALUE"""),1.006)</f>
        <v>1.006</v>
      </c>
      <c r="E3943" s="16">
        <f>IFERROR(__xludf.DUMMYFUNCTION("""COMPUTED_VALUE"""),63.0)</f>
        <v>63</v>
      </c>
      <c r="F3943" s="19" t="str">
        <f>IFERROR(__xludf.DUMMYFUNCTION("""COMPUTED_VALUE"""),"BLUE")</f>
        <v>BLUE</v>
      </c>
      <c r="G3943" s="20" t="str">
        <f>IFERROR(__xludf.DUMMYFUNCTION("""COMPUTED_VALUE"""),"Uncle Sams Cider (11/12/2021) (Blue)")</f>
        <v>Uncle Sams Cider (11/12/2021) (Blue)</v>
      </c>
      <c r="H3943" s="19"/>
    </row>
    <row r="3944">
      <c r="A3944" s="9"/>
      <c r="B3944" s="15"/>
      <c r="C3944" s="9">
        <f>IFERROR(__xludf.DUMMYFUNCTION("""COMPUTED_VALUE"""),44564.4313427546)</f>
        <v>44564.43134</v>
      </c>
      <c r="D3944" s="15">
        <f>IFERROR(__xludf.DUMMYFUNCTION("""COMPUTED_VALUE"""),1.006)</f>
        <v>1.006</v>
      </c>
      <c r="E3944" s="16">
        <f>IFERROR(__xludf.DUMMYFUNCTION("""COMPUTED_VALUE"""),63.0)</f>
        <v>63</v>
      </c>
      <c r="F3944" s="19" t="str">
        <f>IFERROR(__xludf.DUMMYFUNCTION("""COMPUTED_VALUE"""),"BLUE")</f>
        <v>BLUE</v>
      </c>
      <c r="G3944" s="20" t="str">
        <f>IFERROR(__xludf.DUMMYFUNCTION("""COMPUTED_VALUE"""),"Uncle Sams Cider (11/12/2021) (Blue)")</f>
        <v>Uncle Sams Cider (11/12/2021) (Blue)</v>
      </c>
      <c r="H3944" s="19"/>
    </row>
    <row r="3945">
      <c r="A3945" s="9"/>
      <c r="B3945" s="15"/>
      <c r="C3945" s="9">
        <f>IFERROR(__xludf.DUMMYFUNCTION("""COMPUTED_VALUE"""),44564.4209215046)</f>
        <v>44564.42092</v>
      </c>
      <c r="D3945" s="15">
        <f>IFERROR(__xludf.DUMMYFUNCTION("""COMPUTED_VALUE"""),1.007)</f>
        <v>1.007</v>
      </c>
      <c r="E3945" s="16">
        <f>IFERROR(__xludf.DUMMYFUNCTION("""COMPUTED_VALUE"""),63.0)</f>
        <v>63</v>
      </c>
      <c r="F3945" s="19" t="str">
        <f>IFERROR(__xludf.DUMMYFUNCTION("""COMPUTED_VALUE"""),"BLUE")</f>
        <v>BLUE</v>
      </c>
      <c r="G3945" s="20" t="str">
        <f>IFERROR(__xludf.DUMMYFUNCTION("""COMPUTED_VALUE"""),"Uncle Sams Cider (11/12/2021) (Blue)")</f>
        <v>Uncle Sams Cider (11/12/2021) (Blue)</v>
      </c>
      <c r="H3945" s="19"/>
    </row>
    <row r="3946">
      <c r="A3946" s="9"/>
      <c r="B3946" s="15"/>
      <c r="C3946" s="9">
        <f>IFERROR(__xludf.DUMMYFUNCTION("""COMPUTED_VALUE"""),44564.4105007291)</f>
        <v>44564.4105</v>
      </c>
      <c r="D3946" s="15">
        <f>IFERROR(__xludf.DUMMYFUNCTION("""COMPUTED_VALUE"""),1.006)</f>
        <v>1.006</v>
      </c>
      <c r="E3946" s="16">
        <f>IFERROR(__xludf.DUMMYFUNCTION("""COMPUTED_VALUE"""),63.0)</f>
        <v>63</v>
      </c>
      <c r="F3946" s="19" t="str">
        <f>IFERROR(__xludf.DUMMYFUNCTION("""COMPUTED_VALUE"""),"BLUE")</f>
        <v>BLUE</v>
      </c>
      <c r="G3946" s="20" t="str">
        <f>IFERROR(__xludf.DUMMYFUNCTION("""COMPUTED_VALUE"""),"Uncle Sams Cider (11/12/2021) (Blue)")</f>
        <v>Uncle Sams Cider (11/12/2021) (Blue)</v>
      </c>
      <c r="H3946" s="19"/>
    </row>
    <row r="3947">
      <c r="A3947" s="9"/>
      <c r="B3947" s="15"/>
      <c r="C3947" s="9">
        <f>IFERROR(__xludf.DUMMYFUNCTION("""COMPUTED_VALUE"""),44564.4000667245)</f>
        <v>44564.40007</v>
      </c>
      <c r="D3947" s="15">
        <f>IFERROR(__xludf.DUMMYFUNCTION("""COMPUTED_VALUE"""),1.006)</f>
        <v>1.006</v>
      </c>
      <c r="E3947" s="16">
        <f>IFERROR(__xludf.DUMMYFUNCTION("""COMPUTED_VALUE"""),63.0)</f>
        <v>63</v>
      </c>
      <c r="F3947" s="19" t="str">
        <f>IFERROR(__xludf.DUMMYFUNCTION("""COMPUTED_VALUE"""),"BLUE")</f>
        <v>BLUE</v>
      </c>
      <c r="G3947" s="20" t="str">
        <f>IFERROR(__xludf.DUMMYFUNCTION("""COMPUTED_VALUE"""),"Uncle Sams Cider (11/12/2021) (Blue)")</f>
        <v>Uncle Sams Cider (11/12/2021) (Blue)</v>
      </c>
      <c r="H3947" s="19"/>
    </row>
    <row r="3948">
      <c r="A3948" s="9"/>
      <c r="B3948" s="15"/>
      <c r="C3948" s="9">
        <f>IFERROR(__xludf.DUMMYFUNCTION("""COMPUTED_VALUE"""),44564.3896460069)</f>
        <v>44564.38965</v>
      </c>
      <c r="D3948" s="15">
        <f>IFERROR(__xludf.DUMMYFUNCTION("""COMPUTED_VALUE"""),1.006)</f>
        <v>1.006</v>
      </c>
      <c r="E3948" s="16">
        <f>IFERROR(__xludf.DUMMYFUNCTION("""COMPUTED_VALUE"""),63.0)</f>
        <v>63</v>
      </c>
      <c r="F3948" s="19" t="str">
        <f>IFERROR(__xludf.DUMMYFUNCTION("""COMPUTED_VALUE"""),"BLUE")</f>
        <v>BLUE</v>
      </c>
      <c r="G3948" s="20" t="str">
        <f>IFERROR(__xludf.DUMMYFUNCTION("""COMPUTED_VALUE"""),"Uncle Sams Cider (11/12/2021) (Blue)")</f>
        <v>Uncle Sams Cider (11/12/2021) (Blue)</v>
      </c>
      <c r="H3948" s="19"/>
    </row>
    <row r="3949">
      <c r="A3949" s="9"/>
      <c r="B3949" s="15"/>
      <c r="C3949" s="9">
        <f>IFERROR(__xludf.DUMMYFUNCTION("""COMPUTED_VALUE"""),44564.3792259375)</f>
        <v>44564.37923</v>
      </c>
      <c r="D3949" s="15">
        <f>IFERROR(__xludf.DUMMYFUNCTION("""COMPUTED_VALUE"""),1.006)</f>
        <v>1.006</v>
      </c>
      <c r="E3949" s="16">
        <f>IFERROR(__xludf.DUMMYFUNCTION("""COMPUTED_VALUE"""),63.0)</f>
        <v>63</v>
      </c>
      <c r="F3949" s="19" t="str">
        <f>IFERROR(__xludf.DUMMYFUNCTION("""COMPUTED_VALUE"""),"BLUE")</f>
        <v>BLUE</v>
      </c>
      <c r="G3949" s="20" t="str">
        <f>IFERROR(__xludf.DUMMYFUNCTION("""COMPUTED_VALUE"""),"Uncle Sams Cider (11/12/2021) (Blue)")</f>
        <v>Uncle Sams Cider (11/12/2021) (Blue)</v>
      </c>
      <c r="H3949" s="19"/>
    </row>
    <row r="3950">
      <c r="A3950" s="9"/>
      <c r="B3950" s="15"/>
      <c r="C3950" s="9">
        <f>IFERROR(__xludf.DUMMYFUNCTION("""COMPUTED_VALUE"""),44564.3687943634)</f>
        <v>44564.36879</v>
      </c>
      <c r="D3950" s="15">
        <f>IFERROR(__xludf.DUMMYFUNCTION("""COMPUTED_VALUE"""),1.006)</f>
        <v>1.006</v>
      </c>
      <c r="E3950" s="16">
        <f>IFERROR(__xludf.DUMMYFUNCTION("""COMPUTED_VALUE"""),63.0)</f>
        <v>63</v>
      </c>
      <c r="F3950" s="19" t="str">
        <f>IFERROR(__xludf.DUMMYFUNCTION("""COMPUTED_VALUE"""),"BLUE")</f>
        <v>BLUE</v>
      </c>
      <c r="G3950" s="20" t="str">
        <f>IFERROR(__xludf.DUMMYFUNCTION("""COMPUTED_VALUE"""),"Uncle Sams Cider (11/12/2021) (Blue)")</f>
        <v>Uncle Sams Cider (11/12/2021) (Blue)</v>
      </c>
      <c r="H3950" s="19"/>
    </row>
    <row r="3951">
      <c r="A3951" s="9"/>
      <c r="B3951" s="15"/>
      <c r="C3951" s="9">
        <f>IFERROR(__xludf.DUMMYFUNCTION("""COMPUTED_VALUE"""),44564.3583495717)</f>
        <v>44564.35835</v>
      </c>
      <c r="D3951" s="15">
        <f>IFERROR(__xludf.DUMMYFUNCTION("""COMPUTED_VALUE"""),1.006)</f>
        <v>1.006</v>
      </c>
      <c r="E3951" s="16">
        <f>IFERROR(__xludf.DUMMYFUNCTION("""COMPUTED_VALUE"""),63.0)</f>
        <v>63</v>
      </c>
      <c r="F3951" s="19" t="str">
        <f>IFERROR(__xludf.DUMMYFUNCTION("""COMPUTED_VALUE"""),"BLUE")</f>
        <v>BLUE</v>
      </c>
      <c r="G3951" s="20" t="str">
        <f>IFERROR(__xludf.DUMMYFUNCTION("""COMPUTED_VALUE"""),"Uncle Sams Cider (11/12/2021) (Blue)")</f>
        <v>Uncle Sams Cider (11/12/2021) (Blue)</v>
      </c>
      <c r="H3951" s="19"/>
    </row>
    <row r="3952">
      <c r="A3952" s="9"/>
      <c r="B3952" s="15"/>
      <c r="C3952" s="9">
        <f>IFERROR(__xludf.DUMMYFUNCTION("""COMPUTED_VALUE"""),44564.347925)</f>
        <v>44564.34793</v>
      </c>
      <c r="D3952" s="15">
        <f>IFERROR(__xludf.DUMMYFUNCTION("""COMPUTED_VALUE"""),1.006)</f>
        <v>1.006</v>
      </c>
      <c r="E3952" s="16">
        <f>IFERROR(__xludf.DUMMYFUNCTION("""COMPUTED_VALUE"""),63.0)</f>
        <v>63</v>
      </c>
      <c r="F3952" s="19" t="str">
        <f>IFERROR(__xludf.DUMMYFUNCTION("""COMPUTED_VALUE"""),"BLUE")</f>
        <v>BLUE</v>
      </c>
      <c r="G3952" s="20" t="str">
        <f>IFERROR(__xludf.DUMMYFUNCTION("""COMPUTED_VALUE"""),"Uncle Sams Cider (11/12/2021) (Blue)")</f>
        <v>Uncle Sams Cider (11/12/2021) (Blue)</v>
      </c>
      <c r="H3952" s="19"/>
    </row>
    <row r="3953">
      <c r="A3953" s="9"/>
      <c r="B3953" s="15"/>
      <c r="C3953" s="9">
        <f>IFERROR(__xludf.DUMMYFUNCTION("""COMPUTED_VALUE"""),44564.3375042824)</f>
        <v>44564.3375</v>
      </c>
      <c r="D3953" s="15">
        <f>IFERROR(__xludf.DUMMYFUNCTION("""COMPUTED_VALUE"""),1.007)</f>
        <v>1.007</v>
      </c>
      <c r="E3953" s="16">
        <f>IFERROR(__xludf.DUMMYFUNCTION("""COMPUTED_VALUE"""),63.0)</f>
        <v>63</v>
      </c>
      <c r="F3953" s="19" t="str">
        <f>IFERROR(__xludf.DUMMYFUNCTION("""COMPUTED_VALUE"""),"BLUE")</f>
        <v>BLUE</v>
      </c>
      <c r="G3953" s="20" t="str">
        <f>IFERROR(__xludf.DUMMYFUNCTION("""COMPUTED_VALUE"""),"Uncle Sams Cider (11/12/2021) (Blue)")</f>
        <v>Uncle Sams Cider (11/12/2021) (Blue)</v>
      </c>
      <c r="H3953" s="19"/>
    </row>
    <row r="3954">
      <c r="A3954" s="9"/>
      <c r="B3954" s="15"/>
      <c r="C3954" s="9">
        <f>IFERROR(__xludf.DUMMYFUNCTION("""COMPUTED_VALUE"""),44564.3270830208)</f>
        <v>44564.32708</v>
      </c>
      <c r="D3954" s="15">
        <f>IFERROR(__xludf.DUMMYFUNCTION("""COMPUTED_VALUE"""),1.007)</f>
        <v>1.007</v>
      </c>
      <c r="E3954" s="16">
        <f>IFERROR(__xludf.DUMMYFUNCTION("""COMPUTED_VALUE"""),63.0)</f>
        <v>63</v>
      </c>
      <c r="F3954" s="19" t="str">
        <f>IFERROR(__xludf.DUMMYFUNCTION("""COMPUTED_VALUE"""),"BLUE")</f>
        <v>BLUE</v>
      </c>
      <c r="G3954" s="20" t="str">
        <f>IFERROR(__xludf.DUMMYFUNCTION("""COMPUTED_VALUE"""),"Uncle Sams Cider (11/12/2021) (Blue)")</f>
        <v>Uncle Sams Cider (11/12/2021) (Blue)</v>
      </c>
      <c r="H3954" s="19"/>
    </row>
    <row r="3955">
      <c r="A3955" s="9"/>
      <c r="B3955" s="15"/>
      <c r="C3955" s="9">
        <f>IFERROR(__xludf.DUMMYFUNCTION("""COMPUTED_VALUE"""),44564.3166617361)</f>
        <v>44564.31666</v>
      </c>
      <c r="D3955" s="15">
        <f>IFERROR(__xludf.DUMMYFUNCTION("""COMPUTED_VALUE"""),1.006)</f>
        <v>1.006</v>
      </c>
      <c r="E3955" s="16">
        <f>IFERROR(__xludf.DUMMYFUNCTION("""COMPUTED_VALUE"""),63.0)</f>
        <v>63</v>
      </c>
      <c r="F3955" s="19" t="str">
        <f>IFERROR(__xludf.DUMMYFUNCTION("""COMPUTED_VALUE"""),"BLUE")</f>
        <v>BLUE</v>
      </c>
      <c r="G3955" s="20" t="str">
        <f>IFERROR(__xludf.DUMMYFUNCTION("""COMPUTED_VALUE"""),"Uncle Sams Cider (11/12/2021) (Blue)")</f>
        <v>Uncle Sams Cider (11/12/2021) (Blue)</v>
      </c>
      <c r="H3955" s="19"/>
    </row>
    <row r="3956">
      <c r="A3956" s="9"/>
      <c r="B3956" s="15"/>
      <c r="C3956" s="9">
        <f>IFERROR(__xludf.DUMMYFUNCTION("""COMPUTED_VALUE"""),44564.3062415162)</f>
        <v>44564.30624</v>
      </c>
      <c r="D3956" s="15">
        <f>IFERROR(__xludf.DUMMYFUNCTION("""COMPUTED_VALUE"""),1.006)</f>
        <v>1.006</v>
      </c>
      <c r="E3956" s="16">
        <f>IFERROR(__xludf.DUMMYFUNCTION("""COMPUTED_VALUE"""),63.0)</f>
        <v>63</v>
      </c>
      <c r="F3956" s="19" t="str">
        <f>IFERROR(__xludf.DUMMYFUNCTION("""COMPUTED_VALUE"""),"BLUE")</f>
        <v>BLUE</v>
      </c>
      <c r="G3956" s="20" t="str">
        <f>IFERROR(__xludf.DUMMYFUNCTION("""COMPUTED_VALUE"""),"Uncle Sams Cider (11/12/2021) (Blue)")</f>
        <v>Uncle Sams Cider (11/12/2021) (Blue)</v>
      </c>
      <c r="H3956" s="19"/>
    </row>
    <row r="3957">
      <c r="A3957" s="9"/>
      <c r="B3957" s="15"/>
      <c r="C3957" s="9">
        <f>IFERROR(__xludf.DUMMYFUNCTION("""COMPUTED_VALUE"""),44564.2958205671)</f>
        <v>44564.29582</v>
      </c>
      <c r="D3957" s="15">
        <f>IFERROR(__xludf.DUMMYFUNCTION("""COMPUTED_VALUE"""),1.007)</f>
        <v>1.007</v>
      </c>
      <c r="E3957" s="16">
        <f>IFERROR(__xludf.DUMMYFUNCTION("""COMPUTED_VALUE"""),63.0)</f>
        <v>63</v>
      </c>
      <c r="F3957" s="19" t="str">
        <f>IFERROR(__xludf.DUMMYFUNCTION("""COMPUTED_VALUE"""),"BLUE")</f>
        <v>BLUE</v>
      </c>
      <c r="G3957" s="20" t="str">
        <f>IFERROR(__xludf.DUMMYFUNCTION("""COMPUTED_VALUE"""),"Uncle Sams Cider (11/12/2021) (Blue)")</f>
        <v>Uncle Sams Cider (11/12/2021) (Blue)</v>
      </c>
      <c r="H3957" s="19"/>
    </row>
    <row r="3958">
      <c r="A3958" s="9"/>
      <c r="B3958" s="15"/>
      <c r="C3958" s="9">
        <f>IFERROR(__xludf.DUMMYFUNCTION("""COMPUTED_VALUE"""),44564.2853990625)</f>
        <v>44564.2854</v>
      </c>
      <c r="D3958" s="15">
        <f>IFERROR(__xludf.DUMMYFUNCTION("""COMPUTED_VALUE"""),1.007)</f>
        <v>1.007</v>
      </c>
      <c r="E3958" s="16">
        <f>IFERROR(__xludf.DUMMYFUNCTION("""COMPUTED_VALUE"""),63.0)</f>
        <v>63</v>
      </c>
      <c r="F3958" s="19" t="str">
        <f>IFERROR(__xludf.DUMMYFUNCTION("""COMPUTED_VALUE"""),"BLUE")</f>
        <v>BLUE</v>
      </c>
      <c r="G3958" s="20" t="str">
        <f>IFERROR(__xludf.DUMMYFUNCTION("""COMPUTED_VALUE"""),"Uncle Sams Cider (11/12/2021) (Blue)")</f>
        <v>Uncle Sams Cider (11/12/2021) (Blue)</v>
      </c>
      <c r="H3958" s="19"/>
    </row>
    <row r="3959">
      <c r="A3959" s="9"/>
      <c r="B3959" s="15"/>
      <c r="C3959" s="9">
        <f>IFERROR(__xludf.DUMMYFUNCTION("""COMPUTED_VALUE"""),44564.2749776736)</f>
        <v>44564.27498</v>
      </c>
      <c r="D3959" s="15">
        <f>IFERROR(__xludf.DUMMYFUNCTION("""COMPUTED_VALUE"""),1.006)</f>
        <v>1.006</v>
      </c>
      <c r="E3959" s="16">
        <f>IFERROR(__xludf.DUMMYFUNCTION("""COMPUTED_VALUE"""),63.0)</f>
        <v>63</v>
      </c>
      <c r="F3959" s="19" t="str">
        <f>IFERROR(__xludf.DUMMYFUNCTION("""COMPUTED_VALUE"""),"BLUE")</f>
        <v>BLUE</v>
      </c>
      <c r="G3959" s="20" t="str">
        <f>IFERROR(__xludf.DUMMYFUNCTION("""COMPUTED_VALUE"""),"Uncle Sams Cider (11/12/2021) (Blue)")</f>
        <v>Uncle Sams Cider (11/12/2021) (Blue)</v>
      </c>
      <c r="H3959" s="19"/>
    </row>
    <row r="3960">
      <c r="A3960" s="9"/>
      <c r="B3960" s="15"/>
      <c r="C3960" s="9">
        <f>IFERROR(__xludf.DUMMYFUNCTION("""COMPUTED_VALUE"""),44564.2645564236)</f>
        <v>44564.26456</v>
      </c>
      <c r="D3960" s="15">
        <f>IFERROR(__xludf.DUMMYFUNCTION("""COMPUTED_VALUE"""),1.006)</f>
        <v>1.006</v>
      </c>
      <c r="E3960" s="16">
        <f>IFERROR(__xludf.DUMMYFUNCTION("""COMPUTED_VALUE"""),63.0)</f>
        <v>63</v>
      </c>
      <c r="F3960" s="19" t="str">
        <f>IFERROR(__xludf.DUMMYFUNCTION("""COMPUTED_VALUE"""),"BLUE")</f>
        <v>BLUE</v>
      </c>
      <c r="G3960" s="20" t="str">
        <f>IFERROR(__xludf.DUMMYFUNCTION("""COMPUTED_VALUE"""),"Uncle Sams Cider (11/12/2021) (Blue)")</f>
        <v>Uncle Sams Cider (11/12/2021) (Blue)</v>
      </c>
      <c r="H3960" s="19"/>
    </row>
    <row r="3961">
      <c r="A3961" s="9"/>
      <c r="B3961" s="15"/>
      <c r="C3961" s="9">
        <f>IFERROR(__xludf.DUMMYFUNCTION("""COMPUTED_VALUE"""),44564.2541362962)</f>
        <v>44564.25414</v>
      </c>
      <c r="D3961" s="15">
        <f>IFERROR(__xludf.DUMMYFUNCTION("""COMPUTED_VALUE"""),1.006)</f>
        <v>1.006</v>
      </c>
      <c r="E3961" s="16">
        <f>IFERROR(__xludf.DUMMYFUNCTION("""COMPUTED_VALUE"""),63.0)</f>
        <v>63</v>
      </c>
      <c r="F3961" s="19" t="str">
        <f>IFERROR(__xludf.DUMMYFUNCTION("""COMPUTED_VALUE"""),"BLUE")</f>
        <v>BLUE</v>
      </c>
      <c r="G3961" s="20" t="str">
        <f>IFERROR(__xludf.DUMMYFUNCTION("""COMPUTED_VALUE"""),"Uncle Sams Cider (11/12/2021) (Blue)")</f>
        <v>Uncle Sams Cider (11/12/2021) (Blue)</v>
      </c>
      <c r="H3961" s="19"/>
    </row>
    <row r="3962">
      <c r="A3962" s="9"/>
      <c r="B3962" s="15"/>
      <c r="C3962" s="9">
        <f>IFERROR(__xludf.DUMMYFUNCTION("""COMPUTED_VALUE"""),44564.2437146296)</f>
        <v>44564.24371</v>
      </c>
      <c r="D3962" s="15">
        <f>IFERROR(__xludf.DUMMYFUNCTION("""COMPUTED_VALUE"""),1.006)</f>
        <v>1.006</v>
      </c>
      <c r="E3962" s="16">
        <f>IFERROR(__xludf.DUMMYFUNCTION("""COMPUTED_VALUE"""),63.0)</f>
        <v>63</v>
      </c>
      <c r="F3962" s="19" t="str">
        <f>IFERROR(__xludf.DUMMYFUNCTION("""COMPUTED_VALUE"""),"BLUE")</f>
        <v>BLUE</v>
      </c>
      <c r="G3962" s="20" t="str">
        <f>IFERROR(__xludf.DUMMYFUNCTION("""COMPUTED_VALUE"""),"Uncle Sams Cider (11/12/2021) (Blue)")</f>
        <v>Uncle Sams Cider (11/12/2021) (Blue)</v>
      </c>
      <c r="H3962" s="19"/>
    </row>
    <row r="3963">
      <c r="A3963" s="9"/>
      <c r="B3963" s="15"/>
      <c r="C3963" s="9">
        <f>IFERROR(__xludf.DUMMYFUNCTION("""COMPUTED_VALUE"""),44564.233293831)</f>
        <v>44564.23329</v>
      </c>
      <c r="D3963" s="15">
        <f>IFERROR(__xludf.DUMMYFUNCTION("""COMPUTED_VALUE"""),1.006)</f>
        <v>1.006</v>
      </c>
      <c r="E3963" s="16">
        <f>IFERROR(__xludf.DUMMYFUNCTION("""COMPUTED_VALUE"""),63.0)</f>
        <v>63</v>
      </c>
      <c r="F3963" s="19" t="str">
        <f>IFERROR(__xludf.DUMMYFUNCTION("""COMPUTED_VALUE"""),"BLUE")</f>
        <v>BLUE</v>
      </c>
      <c r="G3963" s="20" t="str">
        <f>IFERROR(__xludf.DUMMYFUNCTION("""COMPUTED_VALUE"""),"Uncle Sams Cider (11/12/2021) (Blue)")</f>
        <v>Uncle Sams Cider (11/12/2021) (Blue)</v>
      </c>
      <c r="H3963" s="19"/>
    </row>
    <row r="3964">
      <c r="A3964" s="9"/>
      <c r="B3964" s="15"/>
      <c r="C3964" s="9">
        <f>IFERROR(__xludf.DUMMYFUNCTION("""COMPUTED_VALUE"""),44564.2228607523)</f>
        <v>44564.22286</v>
      </c>
      <c r="D3964" s="15">
        <f>IFERROR(__xludf.DUMMYFUNCTION("""COMPUTED_VALUE"""),1.006)</f>
        <v>1.006</v>
      </c>
      <c r="E3964" s="16">
        <f>IFERROR(__xludf.DUMMYFUNCTION("""COMPUTED_VALUE"""),63.0)</f>
        <v>63</v>
      </c>
      <c r="F3964" s="19" t="str">
        <f>IFERROR(__xludf.DUMMYFUNCTION("""COMPUTED_VALUE"""),"BLUE")</f>
        <v>BLUE</v>
      </c>
      <c r="G3964" s="20" t="str">
        <f>IFERROR(__xludf.DUMMYFUNCTION("""COMPUTED_VALUE"""),"Uncle Sams Cider (11/12/2021) (Blue)")</f>
        <v>Uncle Sams Cider (11/12/2021) (Blue)</v>
      </c>
      <c r="H3964" s="19"/>
    </row>
    <row r="3965">
      <c r="A3965" s="9"/>
      <c r="B3965" s="15"/>
      <c r="C3965" s="9">
        <f>IFERROR(__xludf.DUMMYFUNCTION("""COMPUTED_VALUE"""),44564.212440324)</f>
        <v>44564.21244</v>
      </c>
      <c r="D3965" s="15">
        <f>IFERROR(__xludf.DUMMYFUNCTION("""COMPUTED_VALUE"""),1.006)</f>
        <v>1.006</v>
      </c>
      <c r="E3965" s="16">
        <f>IFERROR(__xludf.DUMMYFUNCTION("""COMPUTED_VALUE"""),63.0)</f>
        <v>63</v>
      </c>
      <c r="F3965" s="19" t="str">
        <f>IFERROR(__xludf.DUMMYFUNCTION("""COMPUTED_VALUE"""),"BLUE")</f>
        <v>BLUE</v>
      </c>
      <c r="G3965" s="20" t="str">
        <f>IFERROR(__xludf.DUMMYFUNCTION("""COMPUTED_VALUE"""),"Uncle Sams Cider (11/12/2021) (Blue)")</f>
        <v>Uncle Sams Cider (11/12/2021) (Blue)</v>
      </c>
      <c r="H3965" s="19"/>
    </row>
    <row r="3966">
      <c r="A3966" s="9"/>
      <c r="B3966" s="15"/>
      <c r="C3966" s="9">
        <f>IFERROR(__xludf.DUMMYFUNCTION("""COMPUTED_VALUE"""),44564.2020188078)</f>
        <v>44564.20202</v>
      </c>
      <c r="D3966" s="15">
        <f>IFERROR(__xludf.DUMMYFUNCTION("""COMPUTED_VALUE"""),1.006)</f>
        <v>1.006</v>
      </c>
      <c r="E3966" s="16">
        <f>IFERROR(__xludf.DUMMYFUNCTION("""COMPUTED_VALUE"""),63.0)</f>
        <v>63</v>
      </c>
      <c r="F3966" s="19" t="str">
        <f>IFERROR(__xludf.DUMMYFUNCTION("""COMPUTED_VALUE"""),"BLUE")</f>
        <v>BLUE</v>
      </c>
      <c r="G3966" s="20" t="str">
        <f>IFERROR(__xludf.DUMMYFUNCTION("""COMPUTED_VALUE"""),"Uncle Sams Cider (11/12/2021) (Blue)")</f>
        <v>Uncle Sams Cider (11/12/2021) (Blue)</v>
      </c>
      <c r="H3966" s="19"/>
    </row>
    <row r="3967">
      <c r="A3967" s="9"/>
      <c r="B3967" s="15"/>
      <c r="C3967" s="9">
        <f>IFERROR(__xludf.DUMMYFUNCTION("""COMPUTED_VALUE"""),44564.1915978935)</f>
        <v>44564.1916</v>
      </c>
      <c r="D3967" s="15">
        <f>IFERROR(__xludf.DUMMYFUNCTION("""COMPUTED_VALUE"""),1.006)</f>
        <v>1.006</v>
      </c>
      <c r="E3967" s="16">
        <f>IFERROR(__xludf.DUMMYFUNCTION("""COMPUTED_VALUE"""),63.0)</f>
        <v>63</v>
      </c>
      <c r="F3967" s="19" t="str">
        <f>IFERROR(__xludf.DUMMYFUNCTION("""COMPUTED_VALUE"""),"BLUE")</f>
        <v>BLUE</v>
      </c>
      <c r="G3967" s="20" t="str">
        <f>IFERROR(__xludf.DUMMYFUNCTION("""COMPUTED_VALUE"""),"Uncle Sams Cider (11/12/2021) (Blue)")</f>
        <v>Uncle Sams Cider (11/12/2021) (Blue)</v>
      </c>
      <c r="H3967" s="19"/>
    </row>
    <row r="3968">
      <c r="A3968" s="9"/>
      <c r="B3968" s="15"/>
      <c r="C3968" s="9">
        <f>IFERROR(__xludf.DUMMYFUNCTION("""COMPUTED_VALUE"""),44564.1811770254)</f>
        <v>44564.18118</v>
      </c>
      <c r="D3968" s="15">
        <f>IFERROR(__xludf.DUMMYFUNCTION("""COMPUTED_VALUE"""),1.006)</f>
        <v>1.006</v>
      </c>
      <c r="E3968" s="16">
        <f>IFERROR(__xludf.DUMMYFUNCTION("""COMPUTED_VALUE"""),63.0)</f>
        <v>63</v>
      </c>
      <c r="F3968" s="19" t="str">
        <f>IFERROR(__xludf.DUMMYFUNCTION("""COMPUTED_VALUE"""),"BLUE")</f>
        <v>BLUE</v>
      </c>
      <c r="G3968" s="20" t="str">
        <f>IFERROR(__xludf.DUMMYFUNCTION("""COMPUTED_VALUE"""),"Uncle Sams Cider (11/12/2021) (Blue)")</f>
        <v>Uncle Sams Cider (11/12/2021) (Blue)</v>
      </c>
      <c r="H3968" s="19"/>
    </row>
    <row r="3969">
      <c r="A3969" s="9"/>
      <c r="B3969" s="15"/>
      <c r="C3969" s="9">
        <f>IFERROR(__xludf.DUMMYFUNCTION("""COMPUTED_VALUE"""),44564.1707557291)</f>
        <v>44564.17076</v>
      </c>
      <c r="D3969" s="15">
        <f>IFERROR(__xludf.DUMMYFUNCTION("""COMPUTED_VALUE"""),1.007)</f>
        <v>1.007</v>
      </c>
      <c r="E3969" s="16">
        <f>IFERROR(__xludf.DUMMYFUNCTION("""COMPUTED_VALUE"""),63.0)</f>
        <v>63</v>
      </c>
      <c r="F3969" s="19" t="str">
        <f>IFERROR(__xludf.DUMMYFUNCTION("""COMPUTED_VALUE"""),"BLUE")</f>
        <v>BLUE</v>
      </c>
      <c r="G3969" s="20" t="str">
        <f>IFERROR(__xludf.DUMMYFUNCTION("""COMPUTED_VALUE"""),"Uncle Sams Cider (11/12/2021) (Blue)")</f>
        <v>Uncle Sams Cider (11/12/2021) (Blue)</v>
      </c>
      <c r="H3969" s="19"/>
    </row>
    <row r="3970">
      <c r="A3970" s="9"/>
      <c r="B3970" s="15"/>
      <c r="C3970" s="9">
        <f>IFERROR(__xludf.DUMMYFUNCTION("""COMPUTED_VALUE"""),44564.1603243749)</f>
        <v>44564.16032</v>
      </c>
      <c r="D3970" s="15">
        <f>IFERROR(__xludf.DUMMYFUNCTION("""COMPUTED_VALUE"""),1.006)</f>
        <v>1.006</v>
      </c>
      <c r="E3970" s="16">
        <f>IFERROR(__xludf.DUMMYFUNCTION("""COMPUTED_VALUE"""),63.0)</f>
        <v>63</v>
      </c>
      <c r="F3970" s="19" t="str">
        <f>IFERROR(__xludf.DUMMYFUNCTION("""COMPUTED_VALUE"""),"BLUE")</f>
        <v>BLUE</v>
      </c>
      <c r="G3970" s="20" t="str">
        <f>IFERROR(__xludf.DUMMYFUNCTION("""COMPUTED_VALUE"""),"Uncle Sams Cider (11/12/2021) (Blue)")</f>
        <v>Uncle Sams Cider (11/12/2021) (Blue)</v>
      </c>
      <c r="H3970" s="19"/>
    </row>
    <row r="3971">
      <c r="A3971" s="9"/>
      <c r="B3971" s="15"/>
      <c r="C3971" s="9">
        <f>IFERROR(__xludf.DUMMYFUNCTION("""COMPUTED_VALUE"""),44564.1499037499)</f>
        <v>44564.1499</v>
      </c>
      <c r="D3971" s="15">
        <f>IFERROR(__xludf.DUMMYFUNCTION("""COMPUTED_VALUE"""),1.007)</f>
        <v>1.007</v>
      </c>
      <c r="E3971" s="16">
        <f>IFERROR(__xludf.DUMMYFUNCTION("""COMPUTED_VALUE"""),63.0)</f>
        <v>63</v>
      </c>
      <c r="F3971" s="19" t="str">
        <f>IFERROR(__xludf.DUMMYFUNCTION("""COMPUTED_VALUE"""),"BLUE")</f>
        <v>BLUE</v>
      </c>
      <c r="G3971" s="20" t="str">
        <f>IFERROR(__xludf.DUMMYFUNCTION("""COMPUTED_VALUE"""),"Uncle Sams Cider (11/12/2021) (Blue)")</f>
        <v>Uncle Sams Cider (11/12/2021) (Blue)</v>
      </c>
      <c r="H3971" s="19"/>
    </row>
    <row r="3972">
      <c r="A3972" s="9"/>
      <c r="B3972" s="15"/>
      <c r="C3972" s="9">
        <f>IFERROR(__xludf.DUMMYFUNCTION("""COMPUTED_VALUE"""),44564.1394852893)</f>
        <v>44564.13949</v>
      </c>
      <c r="D3972" s="15">
        <f>IFERROR(__xludf.DUMMYFUNCTION("""COMPUTED_VALUE"""),1.006)</f>
        <v>1.006</v>
      </c>
      <c r="E3972" s="16">
        <f>IFERROR(__xludf.DUMMYFUNCTION("""COMPUTED_VALUE"""),63.0)</f>
        <v>63</v>
      </c>
      <c r="F3972" s="19" t="str">
        <f>IFERROR(__xludf.DUMMYFUNCTION("""COMPUTED_VALUE"""),"BLUE")</f>
        <v>BLUE</v>
      </c>
      <c r="G3972" s="20" t="str">
        <f>IFERROR(__xludf.DUMMYFUNCTION("""COMPUTED_VALUE"""),"Uncle Sams Cider (11/12/2021) (Blue)")</f>
        <v>Uncle Sams Cider (11/12/2021) (Blue)</v>
      </c>
      <c r="H3972" s="19"/>
    </row>
    <row r="3973">
      <c r="A3973" s="9"/>
      <c r="B3973" s="15"/>
      <c r="C3973" s="9">
        <f>IFERROR(__xludf.DUMMYFUNCTION("""COMPUTED_VALUE"""),44564.1290634953)</f>
        <v>44564.12906</v>
      </c>
      <c r="D3973" s="15">
        <f>IFERROR(__xludf.DUMMYFUNCTION("""COMPUTED_VALUE"""),1.006)</f>
        <v>1.006</v>
      </c>
      <c r="E3973" s="16">
        <f>IFERROR(__xludf.DUMMYFUNCTION("""COMPUTED_VALUE"""),63.0)</f>
        <v>63</v>
      </c>
      <c r="F3973" s="19" t="str">
        <f>IFERROR(__xludf.DUMMYFUNCTION("""COMPUTED_VALUE"""),"BLUE")</f>
        <v>BLUE</v>
      </c>
      <c r="G3973" s="20" t="str">
        <f>IFERROR(__xludf.DUMMYFUNCTION("""COMPUTED_VALUE"""),"Uncle Sams Cider (11/12/2021) (Blue)")</f>
        <v>Uncle Sams Cider (11/12/2021) (Blue)</v>
      </c>
      <c r="H3973" s="19"/>
    </row>
    <row r="3974">
      <c r="A3974" s="9"/>
      <c r="B3974" s="15"/>
      <c r="C3974" s="9">
        <f>IFERROR(__xludf.DUMMYFUNCTION("""COMPUTED_VALUE"""),44564.1186413541)</f>
        <v>44564.11864</v>
      </c>
      <c r="D3974" s="15">
        <f>IFERROR(__xludf.DUMMYFUNCTION("""COMPUTED_VALUE"""),1.006)</f>
        <v>1.006</v>
      </c>
      <c r="E3974" s="16">
        <f>IFERROR(__xludf.DUMMYFUNCTION("""COMPUTED_VALUE"""),63.0)</f>
        <v>63</v>
      </c>
      <c r="F3974" s="19" t="str">
        <f>IFERROR(__xludf.DUMMYFUNCTION("""COMPUTED_VALUE"""),"BLUE")</f>
        <v>BLUE</v>
      </c>
      <c r="G3974" s="20" t="str">
        <f>IFERROR(__xludf.DUMMYFUNCTION("""COMPUTED_VALUE"""),"Uncle Sams Cider (11/12/2021) (Blue)")</f>
        <v>Uncle Sams Cider (11/12/2021) (Blue)</v>
      </c>
      <c r="H3974" s="19"/>
    </row>
    <row r="3975">
      <c r="A3975" s="9"/>
      <c r="B3975" s="15"/>
      <c r="C3975" s="9">
        <f>IFERROR(__xludf.DUMMYFUNCTION("""COMPUTED_VALUE"""),44564.1082208101)</f>
        <v>44564.10822</v>
      </c>
      <c r="D3975" s="15">
        <f>IFERROR(__xludf.DUMMYFUNCTION("""COMPUTED_VALUE"""),1.006)</f>
        <v>1.006</v>
      </c>
      <c r="E3975" s="16">
        <f>IFERROR(__xludf.DUMMYFUNCTION("""COMPUTED_VALUE"""),63.0)</f>
        <v>63</v>
      </c>
      <c r="F3975" s="19" t="str">
        <f>IFERROR(__xludf.DUMMYFUNCTION("""COMPUTED_VALUE"""),"BLUE")</f>
        <v>BLUE</v>
      </c>
      <c r="G3975" s="20" t="str">
        <f>IFERROR(__xludf.DUMMYFUNCTION("""COMPUTED_VALUE"""),"Uncle Sams Cider (11/12/2021) (Blue)")</f>
        <v>Uncle Sams Cider (11/12/2021) (Blue)</v>
      </c>
      <c r="H3975" s="19"/>
    </row>
    <row r="3976">
      <c r="A3976" s="9"/>
      <c r="B3976" s="15"/>
      <c r="C3976" s="9">
        <f>IFERROR(__xludf.DUMMYFUNCTION("""COMPUTED_VALUE"""),44564.0977885763)</f>
        <v>44564.09779</v>
      </c>
      <c r="D3976" s="15">
        <f>IFERROR(__xludf.DUMMYFUNCTION("""COMPUTED_VALUE"""),1.007)</f>
        <v>1.007</v>
      </c>
      <c r="E3976" s="16">
        <f>IFERROR(__xludf.DUMMYFUNCTION("""COMPUTED_VALUE"""),63.0)</f>
        <v>63</v>
      </c>
      <c r="F3976" s="19" t="str">
        <f>IFERROR(__xludf.DUMMYFUNCTION("""COMPUTED_VALUE"""),"BLUE")</f>
        <v>BLUE</v>
      </c>
      <c r="G3976" s="20" t="str">
        <f>IFERROR(__xludf.DUMMYFUNCTION("""COMPUTED_VALUE"""),"Uncle Sams Cider (11/12/2021) (Blue)")</f>
        <v>Uncle Sams Cider (11/12/2021) (Blue)</v>
      </c>
      <c r="H3976" s="19"/>
    </row>
    <row r="3977">
      <c r="A3977" s="9"/>
      <c r="B3977" s="15"/>
      <c r="C3977" s="9">
        <f>IFERROR(__xludf.DUMMYFUNCTION("""COMPUTED_VALUE"""),44564.0873675)</f>
        <v>44564.08737</v>
      </c>
      <c r="D3977" s="15">
        <f>IFERROR(__xludf.DUMMYFUNCTION("""COMPUTED_VALUE"""),1.006)</f>
        <v>1.006</v>
      </c>
      <c r="E3977" s="16">
        <f>IFERROR(__xludf.DUMMYFUNCTION("""COMPUTED_VALUE"""),63.0)</f>
        <v>63</v>
      </c>
      <c r="F3977" s="19" t="str">
        <f>IFERROR(__xludf.DUMMYFUNCTION("""COMPUTED_VALUE"""),"BLUE")</f>
        <v>BLUE</v>
      </c>
      <c r="G3977" s="20" t="str">
        <f>IFERROR(__xludf.DUMMYFUNCTION("""COMPUTED_VALUE"""),"Uncle Sams Cider (11/12/2021) (Blue)")</f>
        <v>Uncle Sams Cider (11/12/2021) (Blue)</v>
      </c>
      <c r="H3977" s="19"/>
    </row>
    <row r="3978">
      <c r="A3978" s="9"/>
      <c r="B3978" s="15"/>
      <c r="C3978" s="9">
        <f>IFERROR(__xludf.DUMMYFUNCTION("""COMPUTED_VALUE"""),44564.0769471759)</f>
        <v>44564.07695</v>
      </c>
      <c r="D3978" s="15">
        <f>IFERROR(__xludf.DUMMYFUNCTION("""COMPUTED_VALUE"""),1.007)</f>
        <v>1.007</v>
      </c>
      <c r="E3978" s="16">
        <f>IFERROR(__xludf.DUMMYFUNCTION("""COMPUTED_VALUE"""),63.0)</f>
        <v>63</v>
      </c>
      <c r="F3978" s="19" t="str">
        <f>IFERROR(__xludf.DUMMYFUNCTION("""COMPUTED_VALUE"""),"BLUE")</f>
        <v>BLUE</v>
      </c>
      <c r="G3978" s="20" t="str">
        <f>IFERROR(__xludf.DUMMYFUNCTION("""COMPUTED_VALUE"""),"Uncle Sams Cider (11/12/2021) (Blue)")</f>
        <v>Uncle Sams Cider (11/12/2021) (Blue)</v>
      </c>
      <c r="H3978" s="19"/>
    </row>
    <row r="3979">
      <c r="A3979" s="9"/>
      <c r="B3979" s="15"/>
      <c r="C3979" s="9">
        <f>IFERROR(__xludf.DUMMYFUNCTION("""COMPUTED_VALUE"""),44564.0665150115)</f>
        <v>44564.06652</v>
      </c>
      <c r="D3979" s="15">
        <f>IFERROR(__xludf.DUMMYFUNCTION("""COMPUTED_VALUE"""),1.006)</f>
        <v>1.006</v>
      </c>
      <c r="E3979" s="16">
        <f>IFERROR(__xludf.DUMMYFUNCTION("""COMPUTED_VALUE"""),63.0)</f>
        <v>63</v>
      </c>
      <c r="F3979" s="19" t="str">
        <f>IFERROR(__xludf.DUMMYFUNCTION("""COMPUTED_VALUE"""),"BLUE")</f>
        <v>BLUE</v>
      </c>
      <c r="G3979" s="20" t="str">
        <f>IFERROR(__xludf.DUMMYFUNCTION("""COMPUTED_VALUE"""),"Uncle Sams Cider (11/12/2021) (Blue)")</f>
        <v>Uncle Sams Cider (11/12/2021) (Blue)</v>
      </c>
      <c r="H3979" s="19"/>
    </row>
    <row r="3980">
      <c r="A3980" s="9"/>
      <c r="B3980" s="15"/>
      <c r="C3980" s="9">
        <f>IFERROR(__xludf.DUMMYFUNCTION("""COMPUTED_VALUE"""),44564.0456729282)</f>
        <v>44564.04567</v>
      </c>
      <c r="D3980" s="15">
        <f>IFERROR(__xludf.DUMMYFUNCTION("""COMPUTED_VALUE"""),1.006)</f>
        <v>1.006</v>
      </c>
      <c r="E3980" s="16">
        <f>IFERROR(__xludf.DUMMYFUNCTION("""COMPUTED_VALUE"""),63.0)</f>
        <v>63</v>
      </c>
      <c r="F3980" s="19" t="str">
        <f>IFERROR(__xludf.DUMMYFUNCTION("""COMPUTED_VALUE"""),"BLUE")</f>
        <v>BLUE</v>
      </c>
      <c r="G3980" s="20" t="str">
        <f>IFERROR(__xludf.DUMMYFUNCTION("""COMPUTED_VALUE"""),"Uncle Sams Cider (11/12/2021) (Blue)")</f>
        <v>Uncle Sams Cider (11/12/2021) (Blue)</v>
      </c>
      <c r="H3980" s="19"/>
    </row>
    <row r="3981">
      <c r="A3981" s="9"/>
      <c r="B3981" s="15"/>
      <c r="C3981" s="9">
        <f>IFERROR(__xludf.DUMMYFUNCTION("""COMPUTED_VALUE"""),44564.0352526273)</f>
        <v>44564.03525</v>
      </c>
      <c r="D3981" s="15">
        <f>IFERROR(__xludf.DUMMYFUNCTION("""COMPUTED_VALUE"""),1.006)</f>
        <v>1.006</v>
      </c>
      <c r="E3981" s="16">
        <f>IFERROR(__xludf.DUMMYFUNCTION("""COMPUTED_VALUE"""),63.0)</f>
        <v>63</v>
      </c>
      <c r="F3981" s="19" t="str">
        <f>IFERROR(__xludf.DUMMYFUNCTION("""COMPUTED_VALUE"""),"BLUE")</f>
        <v>BLUE</v>
      </c>
      <c r="G3981" s="20" t="str">
        <f>IFERROR(__xludf.DUMMYFUNCTION("""COMPUTED_VALUE"""),"Uncle Sams Cider (11/12/2021) (Blue)")</f>
        <v>Uncle Sams Cider (11/12/2021) (Blue)</v>
      </c>
      <c r="H3981" s="19"/>
    </row>
    <row r="3982">
      <c r="A3982" s="9"/>
      <c r="B3982" s="15"/>
      <c r="C3982" s="9">
        <f>IFERROR(__xludf.DUMMYFUNCTION("""COMPUTED_VALUE"""),44564.024821493)</f>
        <v>44564.02482</v>
      </c>
      <c r="D3982" s="15">
        <f>IFERROR(__xludf.DUMMYFUNCTION("""COMPUTED_VALUE"""),1.006)</f>
        <v>1.006</v>
      </c>
      <c r="E3982" s="16">
        <f>IFERROR(__xludf.DUMMYFUNCTION("""COMPUTED_VALUE"""),63.0)</f>
        <v>63</v>
      </c>
      <c r="F3982" s="19" t="str">
        <f>IFERROR(__xludf.DUMMYFUNCTION("""COMPUTED_VALUE"""),"BLUE")</f>
        <v>BLUE</v>
      </c>
      <c r="G3982" s="20" t="str">
        <f>IFERROR(__xludf.DUMMYFUNCTION("""COMPUTED_VALUE"""),"Uncle Sams Cider (11/12/2021) (Blue)")</f>
        <v>Uncle Sams Cider (11/12/2021) (Blue)</v>
      </c>
      <c r="H3982" s="19"/>
    </row>
    <row r="3983">
      <c r="A3983" s="9"/>
      <c r="B3983" s="15"/>
      <c r="C3983" s="9">
        <f>IFERROR(__xludf.DUMMYFUNCTION("""COMPUTED_VALUE"""),44564.014399155)</f>
        <v>44564.0144</v>
      </c>
      <c r="D3983" s="15">
        <f>IFERROR(__xludf.DUMMYFUNCTION("""COMPUTED_VALUE"""),1.006)</f>
        <v>1.006</v>
      </c>
      <c r="E3983" s="16">
        <f>IFERROR(__xludf.DUMMYFUNCTION("""COMPUTED_VALUE"""),63.0)</f>
        <v>63</v>
      </c>
      <c r="F3983" s="19" t="str">
        <f>IFERROR(__xludf.DUMMYFUNCTION("""COMPUTED_VALUE"""),"BLUE")</f>
        <v>BLUE</v>
      </c>
      <c r="G3983" s="20" t="str">
        <f>IFERROR(__xludf.DUMMYFUNCTION("""COMPUTED_VALUE"""),"Uncle Sams Cider (11/12/2021) (Blue)")</f>
        <v>Uncle Sams Cider (11/12/2021) (Blue)</v>
      </c>
      <c r="H3983" s="19"/>
    </row>
    <row r="3984">
      <c r="A3984" s="9"/>
      <c r="B3984" s="15"/>
      <c r="C3984" s="9">
        <f>IFERROR(__xludf.DUMMYFUNCTION("""COMPUTED_VALUE"""),44564.0039792361)</f>
        <v>44564.00398</v>
      </c>
      <c r="D3984" s="15">
        <f>IFERROR(__xludf.DUMMYFUNCTION("""COMPUTED_VALUE"""),1.006)</f>
        <v>1.006</v>
      </c>
      <c r="E3984" s="16">
        <f>IFERROR(__xludf.DUMMYFUNCTION("""COMPUTED_VALUE"""),63.0)</f>
        <v>63</v>
      </c>
      <c r="F3984" s="19" t="str">
        <f>IFERROR(__xludf.DUMMYFUNCTION("""COMPUTED_VALUE"""),"BLUE")</f>
        <v>BLUE</v>
      </c>
      <c r="G3984" s="20" t="str">
        <f>IFERROR(__xludf.DUMMYFUNCTION("""COMPUTED_VALUE"""),"Uncle Sams Cider (11/12/2021) (Blue)")</f>
        <v>Uncle Sams Cider (11/12/2021) (Blue)</v>
      </c>
      <c r="H3984" s="19"/>
    </row>
    <row r="3985">
      <c r="A3985" s="9"/>
      <c r="B3985" s="15"/>
      <c r="C3985" s="9">
        <f>IFERROR(__xludf.DUMMYFUNCTION("""COMPUTED_VALUE"""),44563.993547743)</f>
        <v>44563.99355</v>
      </c>
      <c r="D3985" s="15">
        <f>IFERROR(__xludf.DUMMYFUNCTION("""COMPUTED_VALUE"""),1.006)</f>
        <v>1.006</v>
      </c>
      <c r="E3985" s="16">
        <f>IFERROR(__xludf.DUMMYFUNCTION("""COMPUTED_VALUE"""),63.0)</f>
        <v>63</v>
      </c>
      <c r="F3985" s="19" t="str">
        <f>IFERROR(__xludf.DUMMYFUNCTION("""COMPUTED_VALUE"""),"BLUE")</f>
        <v>BLUE</v>
      </c>
      <c r="G3985" s="20" t="str">
        <f>IFERROR(__xludf.DUMMYFUNCTION("""COMPUTED_VALUE"""),"Uncle Sams Cider (11/12/2021) (Blue)")</f>
        <v>Uncle Sams Cider (11/12/2021) (Blue)</v>
      </c>
      <c r="H3985" s="19"/>
    </row>
    <row r="3986">
      <c r="A3986" s="9"/>
      <c r="B3986" s="15"/>
      <c r="C3986" s="9">
        <f>IFERROR(__xludf.DUMMYFUNCTION("""COMPUTED_VALUE"""),44563.9831263194)</f>
        <v>44563.98313</v>
      </c>
      <c r="D3986" s="15">
        <f>IFERROR(__xludf.DUMMYFUNCTION("""COMPUTED_VALUE"""),1.006)</f>
        <v>1.006</v>
      </c>
      <c r="E3986" s="16">
        <f>IFERROR(__xludf.DUMMYFUNCTION("""COMPUTED_VALUE"""),63.0)</f>
        <v>63</v>
      </c>
      <c r="F3986" s="19" t="str">
        <f>IFERROR(__xludf.DUMMYFUNCTION("""COMPUTED_VALUE"""),"BLUE")</f>
        <v>BLUE</v>
      </c>
      <c r="G3986" s="20" t="str">
        <f>IFERROR(__xludf.DUMMYFUNCTION("""COMPUTED_VALUE"""),"Uncle Sams Cider (11/12/2021) (Blue)")</f>
        <v>Uncle Sams Cider (11/12/2021) (Blue)</v>
      </c>
      <c r="H3986" s="19"/>
    </row>
    <row r="3987">
      <c r="A3987" s="9"/>
      <c r="B3987" s="15"/>
      <c r="C3987" s="9">
        <f>IFERROR(__xludf.DUMMYFUNCTION("""COMPUTED_VALUE"""),44563.9727062962)</f>
        <v>44563.97271</v>
      </c>
      <c r="D3987" s="15">
        <f>IFERROR(__xludf.DUMMYFUNCTION("""COMPUTED_VALUE"""),1.006)</f>
        <v>1.006</v>
      </c>
      <c r="E3987" s="16">
        <f>IFERROR(__xludf.DUMMYFUNCTION("""COMPUTED_VALUE"""),63.0)</f>
        <v>63</v>
      </c>
      <c r="F3987" s="19" t="str">
        <f>IFERROR(__xludf.DUMMYFUNCTION("""COMPUTED_VALUE"""),"BLUE")</f>
        <v>BLUE</v>
      </c>
      <c r="G3987" s="20" t="str">
        <f>IFERROR(__xludf.DUMMYFUNCTION("""COMPUTED_VALUE"""),"Uncle Sams Cider (11/12/2021) (Blue)")</f>
        <v>Uncle Sams Cider (11/12/2021) (Blue)</v>
      </c>
      <c r="H3987" s="19"/>
    </row>
    <row r="3988">
      <c r="A3988" s="9"/>
      <c r="B3988" s="15"/>
      <c r="C3988" s="9">
        <f>IFERROR(__xludf.DUMMYFUNCTION("""COMPUTED_VALUE"""),44563.9622846759)</f>
        <v>44563.96228</v>
      </c>
      <c r="D3988" s="15">
        <f>IFERROR(__xludf.DUMMYFUNCTION("""COMPUTED_VALUE"""),1.006)</f>
        <v>1.006</v>
      </c>
      <c r="E3988" s="16">
        <f>IFERROR(__xludf.DUMMYFUNCTION("""COMPUTED_VALUE"""),63.0)</f>
        <v>63</v>
      </c>
      <c r="F3988" s="19" t="str">
        <f>IFERROR(__xludf.DUMMYFUNCTION("""COMPUTED_VALUE"""),"BLUE")</f>
        <v>BLUE</v>
      </c>
      <c r="G3988" s="20" t="str">
        <f>IFERROR(__xludf.DUMMYFUNCTION("""COMPUTED_VALUE"""),"Uncle Sams Cider (11/12/2021) (Blue)")</f>
        <v>Uncle Sams Cider (11/12/2021) (Blue)</v>
      </c>
      <c r="H3988" s="19"/>
    </row>
    <row r="3989">
      <c r="A3989" s="9"/>
      <c r="B3989" s="15"/>
      <c r="C3989" s="9">
        <f>IFERROR(__xludf.DUMMYFUNCTION("""COMPUTED_VALUE"""),44563.9518648148)</f>
        <v>44563.95186</v>
      </c>
      <c r="D3989" s="15">
        <f>IFERROR(__xludf.DUMMYFUNCTION("""COMPUTED_VALUE"""),1.007)</f>
        <v>1.007</v>
      </c>
      <c r="E3989" s="16">
        <f>IFERROR(__xludf.DUMMYFUNCTION("""COMPUTED_VALUE"""),63.0)</f>
        <v>63</v>
      </c>
      <c r="F3989" s="19" t="str">
        <f>IFERROR(__xludf.DUMMYFUNCTION("""COMPUTED_VALUE"""),"BLUE")</f>
        <v>BLUE</v>
      </c>
      <c r="G3989" s="20" t="str">
        <f>IFERROR(__xludf.DUMMYFUNCTION("""COMPUTED_VALUE"""),"Uncle Sams Cider (11/12/2021) (Blue)")</f>
        <v>Uncle Sams Cider (11/12/2021) (Blue)</v>
      </c>
      <c r="H3989" s="19"/>
    </row>
    <row r="3990">
      <c r="A3990" s="9"/>
      <c r="B3990" s="15"/>
      <c r="C3990" s="9">
        <f>IFERROR(__xludf.DUMMYFUNCTION("""COMPUTED_VALUE"""),44563.94144228)</f>
        <v>44563.94144</v>
      </c>
      <c r="D3990" s="15">
        <f>IFERROR(__xludf.DUMMYFUNCTION("""COMPUTED_VALUE"""),1.007)</f>
        <v>1.007</v>
      </c>
      <c r="E3990" s="16">
        <f>IFERROR(__xludf.DUMMYFUNCTION("""COMPUTED_VALUE"""),63.0)</f>
        <v>63</v>
      </c>
      <c r="F3990" s="19" t="str">
        <f>IFERROR(__xludf.DUMMYFUNCTION("""COMPUTED_VALUE"""),"BLUE")</f>
        <v>BLUE</v>
      </c>
      <c r="G3990" s="20" t="str">
        <f>IFERROR(__xludf.DUMMYFUNCTION("""COMPUTED_VALUE"""),"Uncle Sams Cider (11/12/2021) (Blue)")</f>
        <v>Uncle Sams Cider (11/12/2021) (Blue)</v>
      </c>
      <c r="H3990" s="19"/>
    </row>
    <row r="3991">
      <c r="A3991" s="9"/>
      <c r="B3991" s="15"/>
      <c r="C3991" s="9">
        <f>IFERROR(__xludf.DUMMYFUNCTION("""COMPUTED_VALUE"""),44563.9310203125)</f>
        <v>44563.93102</v>
      </c>
      <c r="D3991" s="15">
        <f>IFERROR(__xludf.DUMMYFUNCTION("""COMPUTED_VALUE"""),1.007)</f>
        <v>1.007</v>
      </c>
      <c r="E3991" s="16">
        <f>IFERROR(__xludf.DUMMYFUNCTION("""COMPUTED_VALUE"""),63.0)</f>
        <v>63</v>
      </c>
      <c r="F3991" s="19" t="str">
        <f>IFERROR(__xludf.DUMMYFUNCTION("""COMPUTED_VALUE"""),"BLUE")</f>
        <v>BLUE</v>
      </c>
      <c r="G3991" s="20" t="str">
        <f>IFERROR(__xludf.DUMMYFUNCTION("""COMPUTED_VALUE"""),"Uncle Sams Cider (11/12/2021) (Blue)")</f>
        <v>Uncle Sams Cider (11/12/2021) (Blue)</v>
      </c>
      <c r="H3991" s="19"/>
    </row>
    <row r="3992">
      <c r="A3992" s="9"/>
      <c r="B3992" s="15"/>
      <c r="C3992" s="9">
        <f>IFERROR(__xludf.DUMMYFUNCTION("""COMPUTED_VALUE"""),44563.9205977662)</f>
        <v>44563.9206</v>
      </c>
      <c r="D3992" s="15">
        <f>IFERROR(__xludf.DUMMYFUNCTION("""COMPUTED_VALUE"""),1.007)</f>
        <v>1.007</v>
      </c>
      <c r="E3992" s="16">
        <f>IFERROR(__xludf.DUMMYFUNCTION("""COMPUTED_VALUE"""),63.0)</f>
        <v>63</v>
      </c>
      <c r="F3992" s="19" t="str">
        <f>IFERROR(__xludf.DUMMYFUNCTION("""COMPUTED_VALUE"""),"BLUE")</f>
        <v>BLUE</v>
      </c>
      <c r="G3992" s="20" t="str">
        <f>IFERROR(__xludf.DUMMYFUNCTION("""COMPUTED_VALUE"""),"Uncle Sams Cider (11/12/2021) (Blue)")</f>
        <v>Uncle Sams Cider (11/12/2021) (Blue)</v>
      </c>
      <c r="H3992" s="19"/>
    </row>
    <row r="3993">
      <c r="A3993" s="9"/>
      <c r="B3993" s="15"/>
      <c r="C3993" s="9">
        <f>IFERROR(__xludf.DUMMYFUNCTION("""COMPUTED_VALUE"""),44563.910177037)</f>
        <v>44563.91018</v>
      </c>
      <c r="D3993" s="15">
        <f>IFERROR(__xludf.DUMMYFUNCTION("""COMPUTED_VALUE"""),1.007)</f>
        <v>1.007</v>
      </c>
      <c r="E3993" s="16">
        <f>IFERROR(__xludf.DUMMYFUNCTION("""COMPUTED_VALUE"""),63.0)</f>
        <v>63</v>
      </c>
      <c r="F3993" s="19" t="str">
        <f>IFERROR(__xludf.DUMMYFUNCTION("""COMPUTED_VALUE"""),"BLUE")</f>
        <v>BLUE</v>
      </c>
      <c r="G3993" s="20" t="str">
        <f>IFERROR(__xludf.DUMMYFUNCTION("""COMPUTED_VALUE"""),"Uncle Sams Cider (11/12/2021) (Blue)")</f>
        <v>Uncle Sams Cider (11/12/2021) (Blue)</v>
      </c>
      <c r="H3993" s="19"/>
    </row>
    <row r="3994">
      <c r="A3994" s="9"/>
      <c r="B3994" s="15"/>
      <c r="C3994" s="9">
        <f>IFERROR(__xludf.DUMMYFUNCTION("""COMPUTED_VALUE"""),44563.899744618)</f>
        <v>44563.89974</v>
      </c>
      <c r="D3994" s="15">
        <f>IFERROR(__xludf.DUMMYFUNCTION("""COMPUTED_VALUE"""),1.007)</f>
        <v>1.007</v>
      </c>
      <c r="E3994" s="16">
        <f>IFERROR(__xludf.DUMMYFUNCTION("""COMPUTED_VALUE"""),63.0)</f>
        <v>63</v>
      </c>
      <c r="F3994" s="19" t="str">
        <f>IFERROR(__xludf.DUMMYFUNCTION("""COMPUTED_VALUE"""),"BLUE")</f>
        <v>BLUE</v>
      </c>
      <c r="G3994" s="20" t="str">
        <f>IFERROR(__xludf.DUMMYFUNCTION("""COMPUTED_VALUE"""),"Uncle Sams Cider (11/12/2021) (Blue)")</f>
        <v>Uncle Sams Cider (11/12/2021) (Blue)</v>
      </c>
      <c r="H3994" s="19"/>
    </row>
    <row r="3995">
      <c r="A3995" s="9"/>
      <c r="B3995" s="15"/>
      <c r="C3995" s="9">
        <f>IFERROR(__xludf.DUMMYFUNCTION("""COMPUTED_VALUE"""),44563.8893247685)</f>
        <v>44563.88932</v>
      </c>
      <c r="D3995" s="15">
        <f>IFERROR(__xludf.DUMMYFUNCTION("""COMPUTED_VALUE"""),1.007)</f>
        <v>1.007</v>
      </c>
      <c r="E3995" s="16">
        <f>IFERROR(__xludf.DUMMYFUNCTION("""COMPUTED_VALUE"""),63.0)</f>
        <v>63</v>
      </c>
      <c r="F3995" s="19" t="str">
        <f>IFERROR(__xludf.DUMMYFUNCTION("""COMPUTED_VALUE"""),"BLUE")</f>
        <v>BLUE</v>
      </c>
      <c r="G3995" s="20" t="str">
        <f>IFERROR(__xludf.DUMMYFUNCTION("""COMPUTED_VALUE"""),"Uncle Sams Cider (11/12/2021) (Blue)")</f>
        <v>Uncle Sams Cider (11/12/2021) (Blue)</v>
      </c>
      <c r="H3995" s="19"/>
    </row>
    <row r="3996">
      <c r="A3996" s="9"/>
      <c r="B3996" s="15"/>
      <c r="C3996" s="9">
        <f>IFERROR(__xludf.DUMMYFUNCTION("""COMPUTED_VALUE"""),44563.8789047569)</f>
        <v>44563.8789</v>
      </c>
      <c r="D3996" s="15">
        <f>IFERROR(__xludf.DUMMYFUNCTION("""COMPUTED_VALUE"""),1.007)</f>
        <v>1.007</v>
      </c>
      <c r="E3996" s="16">
        <f>IFERROR(__xludf.DUMMYFUNCTION("""COMPUTED_VALUE"""),63.0)</f>
        <v>63</v>
      </c>
      <c r="F3996" s="19" t="str">
        <f>IFERROR(__xludf.DUMMYFUNCTION("""COMPUTED_VALUE"""),"BLUE")</f>
        <v>BLUE</v>
      </c>
      <c r="G3996" s="20" t="str">
        <f>IFERROR(__xludf.DUMMYFUNCTION("""COMPUTED_VALUE"""),"Uncle Sams Cider (11/12/2021) (Blue)")</f>
        <v>Uncle Sams Cider (11/12/2021) (Blue)</v>
      </c>
      <c r="H3996" s="19"/>
    </row>
    <row r="3997">
      <c r="A3997" s="9"/>
      <c r="B3997" s="15"/>
      <c r="C3997" s="9">
        <f>IFERROR(__xludf.DUMMYFUNCTION("""COMPUTED_VALUE"""),44563.8684703356)</f>
        <v>44563.86847</v>
      </c>
      <c r="D3997" s="15">
        <f>IFERROR(__xludf.DUMMYFUNCTION("""COMPUTED_VALUE"""),1.007)</f>
        <v>1.007</v>
      </c>
      <c r="E3997" s="16">
        <f>IFERROR(__xludf.DUMMYFUNCTION("""COMPUTED_VALUE"""),63.0)</f>
        <v>63</v>
      </c>
      <c r="F3997" s="19" t="str">
        <f>IFERROR(__xludf.DUMMYFUNCTION("""COMPUTED_VALUE"""),"BLUE")</f>
        <v>BLUE</v>
      </c>
      <c r="G3997" s="20" t="str">
        <f>IFERROR(__xludf.DUMMYFUNCTION("""COMPUTED_VALUE"""),"Uncle Sams Cider (11/12/2021) (Blue)")</f>
        <v>Uncle Sams Cider (11/12/2021) (Blue)</v>
      </c>
      <c r="H3997" s="19"/>
    </row>
    <row r="3998">
      <c r="A3998" s="9"/>
      <c r="B3998" s="15"/>
      <c r="C3998" s="9">
        <f>IFERROR(__xludf.DUMMYFUNCTION("""COMPUTED_VALUE"""),44563.8580376157)</f>
        <v>44563.85804</v>
      </c>
      <c r="D3998" s="15">
        <f>IFERROR(__xludf.DUMMYFUNCTION("""COMPUTED_VALUE"""),1.006)</f>
        <v>1.006</v>
      </c>
      <c r="E3998" s="16">
        <f>IFERROR(__xludf.DUMMYFUNCTION("""COMPUTED_VALUE"""),63.0)</f>
        <v>63</v>
      </c>
      <c r="F3998" s="19" t="str">
        <f>IFERROR(__xludf.DUMMYFUNCTION("""COMPUTED_VALUE"""),"BLUE")</f>
        <v>BLUE</v>
      </c>
      <c r="G3998" s="20" t="str">
        <f>IFERROR(__xludf.DUMMYFUNCTION("""COMPUTED_VALUE"""),"Uncle Sams Cider (11/12/2021) (Blue)")</f>
        <v>Uncle Sams Cider (11/12/2021) (Blue)</v>
      </c>
      <c r="H3998" s="19"/>
    </row>
    <row r="3999">
      <c r="A3999" s="9"/>
      <c r="B3999" s="15"/>
      <c r="C3999" s="9">
        <f>IFERROR(__xludf.DUMMYFUNCTION("""COMPUTED_VALUE"""),44563.8475948958)</f>
        <v>44563.84759</v>
      </c>
      <c r="D3999" s="15">
        <f>IFERROR(__xludf.DUMMYFUNCTION("""COMPUTED_VALUE"""),1.007)</f>
        <v>1.007</v>
      </c>
      <c r="E3999" s="16">
        <f>IFERROR(__xludf.DUMMYFUNCTION("""COMPUTED_VALUE"""),63.0)</f>
        <v>63</v>
      </c>
      <c r="F3999" s="19" t="str">
        <f>IFERROR(__xludf.DUMMYFUNCTION("""COMPUTED_VALUE"""),"BLUE")</f>
        <v>BLUE</v>
      </c>
      <c r="G3999" s="20" t="str">
        <f>IFERROR(__xludf.DUMMYFUNCTION("""COMPUTED_VALUE"""),"Uncle Sams Cider (11/12/2021) (Blue)")</f>
        <v>Uncle Sams Cider (11/12/2021) (Blue)</v>
      </c>
      <c r="H3999" s="19"/>
    </row>
    <row r="4000">
      <c r="A4000" s="9"/>
      <c r="B4000" s="15"/>
      <c r="C4000" s="9">
        <f>IFERROR(__xludf.DUMMYFUNCTION("""COMPUTED_VALUE"""),44563.8371726851)</f>
        <v>44563.83717</v>
      </c>
      <c r="D4000" s="15">
        <f>IFERROR(__xludf.DUMMYFUNCTION("""COMPUTED_VALUE"""),1.007)</f>
        <v>1.007</v>
      </c>
      <c r="E4000" s="16">
        <f>IFERROR(__xludf.DUMMYFUNCTION("""COMPUTED_VALUE"""),63.0)</f>
        <v>63</v>
      </c>
      <c r="F4000" s="19" t="str">
        <f>IFERROR(__xludf.DUMMYFUNCTION("""COMPUTED_VALUE"""),"BLUE")</f>
        <v>BLUE</v>
      </c>
      <c r="G4000" s="20" t="str">
        <f>IFERROR(__xludf.DUMMYFUNCTION("""COMPUTED_VALUE"""),"Uncle Sams Cider (11/12/2021) (Blue)")</f>
        <v>Uncle Sams Cider (11/12/2021) (Blue)</v>
      </c>
      <c r="H4000" s="19"/>
    </row>
    <row r="4001">
      <c r="A4001" s="9"/>
      <c r="B4001" s="15"/>
      <c r="C4001" s="9">
        <f>IFERROR(__xludf.DUMMYFUNCTION("""COMPUTED_VALUE"""),44563.8267409027)</f>
        <v>44563.82674</v>
      </c>
      <c r="D4001" s="15">
        <f>IFERROR(__xludf.DUMMYFUNCTION("""COMPUTED_VALUE"""),1.007)</f>
        <v>1.007</v>
      </c>
      <c r="E4001" s="16">
        <f>IFERROR(__xludf.DUMMYFUNCTION("""COMPUTED_VALUE"""),63.0)</f>
        <v>63</v>
      </c>
      <c r="F4001" s="19" t="str">
        <f>IFERROR(__xludf.DUMMYFUNCTION("""COMPUTED_VALUE"""),"BLUE")</f>
        <v>BLUE</v>
      </c>
      <c r="G4001" s="20" t="str">
        <f>IFERROR(__xludf.DUMMYFUNCTION("""COMPUTED_VALUE"""),"Uncle Sams Cider (11/12/2021) (Blue)")</f>
        <v>Uncle Sams Cider (11/12/2021) (Blue)</v>
      </c>
      <c r="H4001" s="19"/>
    </row>
    <row r="4002">
      <c r="A4002" s="9"/>
      <c r="B4002" s="15"/>
      <c r="C4002" s="9">
        <f>IFERROR(__xludf.DUMMYFUNCTION("""COMPUTED_VALUE"""),44563.816309618)</f>
        <v>44563.81631</v>
      </c>
      <c r="D4002" s="15">
        <f>IFERROR(__xludf.DUMMYFUNCTION("""COMPUTED_VALUE"""),1.007)</f>
        <v>1.007</v>
      </c>
      <c r="E4002" s="16">
        <f>IFERROR(__xludf.DUMMYFUNCTION("""COMPUTED_VALUE"""),63.0)</f>
        <v>63</v>
      </c>
      <c r="F4002" s="19" t="str">
        <f>IFERROR(__xludf.DUMMYFUNCTION("""COMPUTED_VALUE"""),"BLUE")</f>
        <v>BLUE</v>
      </c>
      <c r="G4002" s="20" t="str">
        <f>IFERROR(__xludf.DUMMYFUNCTION("""COMPUTED_VALUE"""),"Uncle Sams Cider (11/12/2021) (Blue)")</f>
        <v>Uncle Sams Cider (11/12/2021) (Blue)</v>
      </c>
      <c r="H4002" s="19"/>
    </row>
    <row r="4003">
      <c r="A4003" s="9"/>
      <c r="B4003" s="15"/>
      <c r="C4003" s="9">
        <f>IFERROR(__xludf.DUMMYFUNCTION("""COMPUTED_VALUE"""),44563.8058883796)</f>
        <v>44563.80589</v>
      </c>
      <c r="D4003" s="15">
        <f>IFERROR(__xludf.DUMMYFUNCTION("""COMPUTED_VALUE"""),1.007)</f>
        <v>1.007</v>
      </c>
      <c r="E4003" s="16">
        <f>IFERROR(__xludf.DUMMYFUNCTION("""COMPUTED_VALUE"""),63.0)</f>
        <v>63</v>
      </c>
      <c r="F4003" s="19" t="str">
        <f>IFERROR(__xludf.DUMMYFUNCTION("""COMPUTED_VALUE"""),"BLUE")</f>
        <v>BLUE</v>
      </c>
      <c r="G4003" s="20" t="str">
        <f>IFERROR(__xludf.DUMMYFUNCTION("""COMPUTED_VALUE"""),"Uncle Sams Cider (11/12/2021) (Blue)")</f>
        <v>Uncle Sams Cider (11/12/2021) (Blue)</v>
      </c>
      <c r="H4003" s="19"/>
    </row>
    <row r="4004">
      <c r="A4004" s="9"/>
      <c r="B4004" s="15"/>
      <c r="C4004" s="9">
        <f>IFERROR(__xludf.DUMMYFUNCTION("""COMPUTED_VALUE"""),44563.7954670717)</f>
        <v>44563.79547</v>
      </c>
      <c r="D4004" s="15">
        <f>IFERROR(__xludf.DUMMYFUNCTION("""COMPUTED_VALUE"""),1.007)</f>
        <v>1.007</v>
      </c>
      <c r="E4004" s="16">
        <f>IFERROR(__xludf.DUMMYFUNCTION("""COMPUTED_VALUE"""),63.0)</f>
        <v>63</v>
      </c>
      <c r="F4004" s="19" t="str">
        <f>IFERROR(__xludf.DUMMYFUNCTION("""COMPUTED_VALUE"""),"BLUE")</f>
        <v>BLUE</v>
      </c>
      <c r="G4004" s="20" t="str">
        <f>IFERROR(__xludf.DUMMYFUNCTION("""COMPUTED_VALUE"""),"Uncle Sams Cider (11/12/2021) (Blue)")</f>
        <v>Uncle Sams Cider (11/12/2021) (Blue)</v>
      </c>
      <c r="H4004" s="19"/>
    </row>
    <row r="4005">
      <c r="A4005" s="9"/>
      <c r="B4005" s="15"/>
      <c r="C4005" s="9">
        <f>IFERROR(__xludf.DUMMYFUNCTION("""COMPUTED_VALUE"""),44563.7850447222)</f>
        <v>44563.78504</v>
      </c>
      <c r="D4005" s="15">
        <f>IFERROR(__xludf.DUMMYFUNCTION("""COMPUTED_VALUE"""),1.006)</f>
        <v>1.006</v>
      </c>
      <c r="E4005" s="16">
        <f>IFERROR(__xludf.DUMMYFUNCTION("""COMPUTED_VALUE"""),63.0)</f>
        <v>63</v>
      </c>
      <c r="F4005" s="19" t="str">
        <f>IFERROR(__xludf.DUMMYFUNCTION("""COMPUTED_VALUE"""),"BLUE")</f>
        <v>BLUE</v>
      </c>
      <c r="G4005" s="20" t="str">
        <f>IFERROR(__xludf.DUMMYFUNCTION("""COMPUTED_VALUE"""),"Uncle Sams Cider (11/12/2021) (Blue)")</f>
        <v>Uncle Sams Cider (11/12/2021) (Blue)</v>
      </c>
      <c r="H4005" s="19"/>
    </row>
    <row r="4006">
      <c r="A4006" s="9"/>
      <c r="B4006" s="15"/>
      <c r="C4006" s="9">
        <f>IFERROR(__xludf.DUMMYFUNCTION("""COMPUTED_VALUE"""),44563.7746222916)</f>
        <v>44563.77462</v>
      </c>
      <c r="D4006" s="15">
        <f>IFERROR(__xludf.DUMMYFUNCTION("""COMPUTED_VALUE"""),1.006)</f>
        <v>1.006</v>
      </c>
      <c r="E4006" s="16">
        <f>IFERROR(__xludf.DUMMYFUNCTION("""COMPUTED_VALUE"""),63.0)</f>
        <v>63</v>
      </c>
      <c r="F4006" s="19" t="str">
        <f>IFERROR(__xludf.DUMMYFUNCTION("""COMPUTED_VALUE"""),"BLUE")</f>
        <v>BLUE</v>
      </c>
      <c r="G4006" s="20" t="str">
        <f>IFERROR(__xludf.DUMMYFUNCTION("""COMPUTED_VALUE"""),"Uncle Sams Cider (11/12/2021) (Blue)")</f>
        <v>Uncle Sams Cider (11/12/2021) (Blue)</v>
      </c>
      <c r="H4006" s="19"/>
    </row>
    <row r="4007">
      <c r="A4007" s="9"/>
      <c r="B4007" s="15"/>
      <c r="C4007" s="9">
        <f>IFERROR(__xludf.DUMMYFUNCTION("""COMPUTED_VALUE"""),44563.7642018634)</f>
        <v>44563.7642</v>
      </c>
      <c r="D4007" s="15">
        <f>IFERROR(__xludf.DUMMYFUNCTION("""COMPUTED_VALUE"""),1.006)</f>
        <v>1.006</v>
      </c>
      <c r="E4007" s="16">
        <f>IFERROR(__xludf.DUMMYFUNCTION("""COMPUTED_VALUE"""),63.0)</f>
        <v>63</v>
      </c>
      <c r="F4007" s="19" t="str">
        <f>IFERROR(__xludf.DUMMYFUNCTION("""COMPUTED_VALUE"""),"BLUE")</f>
        <v>BLUE</v>
      </c>
      <c r="G4007" s="20" t="str">
        <f>IFERROR(__xludf.DUMMYFUNCTION("""COMPUTED_VALUE"""),"Uncle Sams Cider (11/12/2021) (Blue)")</f>
        <v>Uncle Sams Cider (11/12/2021) (Blue)</v>
      </c>
      <c r="H4007" s="19"/>
    </row>
    <row r="4008">
      <c r="A4008" s="9"/>
      <c r="B4008" s="15"/>
      <c r="C4008" s="9">
        <f>IFERROR(__xludf.DUMMYFUNCTION("""COMPUTED_VALUE"""),44563.7537791666)</f>
        <v>44563.75378</v>
      </c>
      <c r="D4008" s="15">
        <f>IFERROR(__xludf.DUMMYFUNCTION("""COMPUTED_VALUE"""),1.007)</f>
        <v>1.007</v>
      </c>
      <c r="E4008" s="16">
        <f>IFERROR(__xludf.DUMMYFUNCTION("""COMPUTED_VALUE"""),63.0)</f>
        <v>63</v>
      </c>
      <c r="F4008" s="19" t="str">
        <f>IFERROR(__xludf.DUMMYFUNCTION("""COMPUTED_VALUE"""),"BLUE")</f>
        <v>BLUE</v>
      </c>
      <c r="G4008" s="20" t="str">
        <f>IFERROR(__xludf.DUMMYFUNCTION("""COMPUTED_VALUE"""),"Uncle Sams Cider (11/12/2021) (Blue)")</f>
        <v>Uncle Sams Cider (11/12/2021) (Blue)</v>
      </c>
      <c r="H4008" s="19"/>
    </row>
    <row r="4009">
      <c r="A4009" s="9"/>
      <c r="B4009" s="15"/>
      <c r="C4009" s="9">
        <f>IFERROR(__xludf.DUMMYFUNCTION("""COMPUTED_VALUE"""),44563.7433567824)</f>
        <v>44563.74336</v>
      </c>
      <c r="D4009" s="15">
        <f>IFERROR(__xludf.DUMMYFUNCTION("""COMPUTED_VALUE"""),1.007)</f>
        <v>1.007</v>
      </c>
      <c r="E4009" s="16">
        <f>IFERROR(__xludf.DUMMYFUNCTION("""COMPUTED_VALUE"""),63.0)</f>
        <v>63</v>
      </c>
      <c r="F4009" s="19" t="str">
        <f>IFERROR(__xludf.DUMMYFUNCTION("""COMPUTED_VALUE"""),"BLUE")</f>
        <v>BLUE</v>
      </c>
      <c r="G4009" s="20" t="str">
        <f>IFERROR(__xludf.DUMMYFUNCTION("""COMPUTED_VALUE"""),"Uncle Sams Cider (11/12/2021) (Blue)")</f>
        <v>Uncle Sams Cider (11/12/2021) (Blue)</v>
      </c>
      <c r="H4009" s="19"/>
    </row>
    <row r="4010">
      <c r="A4010" s="9"/>
      <c r="B4010" s="15"/>
      <c r="C4010" s="9">
        <f>IFERROR(__xludf.DUMMYFUNCTION("""COMPUTED_VALUE"""),44563.7329356481)</f>
        <v>44563.73294</v>
      </c>
      <c r="D4010" s="15">
        <f>IFERROR(__xludf.DUMMYFUNCTION("""COMPUTED_VALUE"""),1.006)</f>
        <v>1.006</v>
      </c>
      <c r="E4010" s="16">
        <f>IFERROR(__xludf.DUMMYFUNCTION("""COMPUTED_VALUE"""),63.0)</f>
        <v>63</v>
      </c>
      <c r="F4010" s="19" t="str">
        <f>IFERROR(__xludf.DUMMYFUNCTION("""COMPUTED_VALUE"""),"BLUE")</f>
        <v>BLUE</v>
      </c>
      <c r="G4010" s="20" t="str">
        <f>IFERROR(__xludf.DUMMYFUNCTION("""COMPUTED_VALUE"""),"Uncle Sams Cider (11/12/2021) (Blue)")</f>
        <v>Uncle Sams Cider (11/12/2021) (Blue)</v>
      </c>
      <c r="H4010" s="19"/>
    </row>
    <row r="4011">
      <c r="A4011" s="9"/>
      <c r="B4011" s="15"/>
      <c r="C4011" s="9">
        <f>IFERROR(__xludf.DUMMYFUNCTION("""COMPUTED_VALUE"""),44563.7224924537)</f>
        <v>44563.72249</v>
      </c>
      <c r="D4011" s="15">
        <f>IFERROR(__xludf.DUMMYFUNCTION("""COMPUTED_VALUE"""),1.006)</f>
        <v>1.006</v>
      </c>
      <c r="E4011" s="16">
        <f>IFERROR(__xludf.DUMMYFUNCTION("""COMPUTED_VALUE"""),63.0)</f>
        <v>63</v>
      </c>
      <c r="F4011" s="19" t="str">
        <f>IFERROR(__xludf.DUMMYFUNCTION("""COMPUTED_VALUE"""),"BLUE")</f>
        <v>BLUE</v>
      </c>
      <c r="G4011" s="20" t="str">
        <f>IFERROR(__xludf.DUMMYFUNCTION("""COMPUTED_VALUE"""),"Uncle Sams Cider (11/12/2021) (Blue)")</f>
        <v>Uncle Sams Cider (11/12/2021) (Blue)</v>
      </c>
      <c r="H4011" s="19"/>
    </row>
    <row r="4012">
      <c r="A4012" s="9"/>
      <c r="B4012" s="15"/>
      <c r="C4012" s="9">
        <f>IFERROR(__xludf.DUMMYFUNCTION("""COMPUTED_VALUE"""),44563.7120710532)</f>
        <v>44563.71207</v>
      </c>
      <c r="D4012" s="15">
        <f>IFERROR(__xludf.DUMMYFUNCTION("""COMPUTED_VALUE"""),1.007)</f>
        <v>1.007</v>
      </c>
      <c r="E4012" s="16">
        <f>IFERROR(__xludf.DUMMYFUNCTION("""COMPUTED_VALUE"""),63.0)</f>
        <v>63</v>
      </c>
      <c r="F4012" s="19" t="str">
        <f>IFERROR(__xludf.DUMMYFUNCTION("""COMPUTED_VALUE"""),"BLUE")</f>
        <v>BLUE</v>
      </c>
      <c r="G4012" s="20" t="str">
        <f>IFERROR(__xludf.DUMMYFUNCTION("""COMPUTED_VALUE"""),"Uncle Sams Cider (11/12/2021) (Blue)")</f>
        <v>Uncle Sams Cider (11/12/2021) (Blue)</v>
      </c>
      <c r="H4012" s="19"/>
    </row>
    <row r="4013">
      <c r="A4013" s="9"/>
      <c r="B4013" s="15"/>
      <c r="C4013" s="9">
        <f>IFERROR(__xludf.DUMMYFUNCTION("""COMPUTED_VALUE"""),44563.7016506597)</f>
        <v>44563.70165</v>
      </c>
      <c r="D4013" s="15">
        <f>IFERROR(__xludf.DUMMYFUNCTION("""COMPUTED_VALUE"""),1.007)</f>
        <v>1.007</v>
      </c>
      <c r="E4013" s="16">
        <f>IFERROR(__xludf.DUMMYFUNCTION("""COMPUTED_VALUE"""),63.0)</f>
        <v>63</v>
      </c>
      <c r="F4013" s="19" t="str">
        <f>IFERROR(__xludf.DUMMYFUNCTION("""COMPUTED_VALUE"""),"BLUE")</f>
        <v>BLUE</v>
      </c>
      <c r="G4013" s="20" t="str">
        <f>IFERROR(__xludf.DUMMYFUNCTION("""COMPUTED_VALUE"""),"Uncle Sams Cider (11/12/2021) (Blue)")</f>
        <v>Uncle Sams Cider (11/12/2021) (Blue)</v>
      </c>
      <c r="H4013" s="19"/>
    </row>
    <row r="4014">
      <c r="A4014" s="9"/>
      <c r="B4014" s="15"/>
      <c r="C4014" s="9">
        <f>IFERROR(__xludf.DUMMYFUNCTION("""COMPUTED_VALUE"""),44563.6912298263)</f>
        <v>44563.69123</v>
      </c>
      <c r="D4014" s="15">
        <f>IFERROR(__xludf.DUMMYFUNCTION("""COMPUTED_VALUE"""),1.007)</f>
        <v>1.007</v>
      </c>
      <c r="E4014" s="16">
        <f>IFERROR(__xludf.DUMMYFUNCTION("""COMPUTED_VALUE"""),63.0)</f>
        <v>63</v>
      </c>
      <c r="F4014" s="19" t="str">
        <f>IFERROR(__xludf.DUMMYFUNCTION("""COMPUTED_VALUE"""),"BLUE")</f>
        <v>BLUE</v>
      </c>
      <c r="G4014" s="20" t="str">
        <f>IFERROR(__xludf.DUMMYFUNCTION("""COMPUTED_VALUE"""),"Uncle Sams Cider (11/12/2021) (Blue)")</f>
        <v>Uncle Sams Cider (11/12/2021) (Blue)</v>
      </c>
      <c r="H4014" s="19"/>
    </row>
    <row r="4015">
      <c r="A4015" s="9"/>
      <c r="B4015" s="15"/>
      <c r="C4015" s="9">
        <f>IFERROR(__xludf.DUMMYFUNCTION("""COMPUTED_VALUE"""),44563.6808077893)</f>
        <v>44563.68081</v>
      </c>
      <c r="D4015" s="15">
        <f>IFERROR(__xludf.DUMMYFUNCTION("""COMPUTED_VALUE"""),1.007)</f>
        <v>1.007</v>
      </c>
      <c r="E4015" s="16">
        <f>IFERROR(__xludf.DUMMYFUNCTION("""COMPUTED_VALUE"""),63.0)</f>
        <v>63</v>
      </c>
      <c r="F4015" s="19" t="str">
        <f>IFERROR(__xludf.DUMMYFUNCTION("""COMPUTED_VALUE"""),"BLUE")</f>
        <v>BLUE</v>
      </c>
      <c r="G4015" s="20" t="str">
        <f>IFERROR(__xludf.DUMMYFUNCTION("""COMPUTED_VALUE"""),"Uncle Sams Cider (11/12/2021) (Blue)")</f>
        <v>Uncle Sams Cider (11/12/2021) (Blue)</v>
      </c>
      <c r="H4015" s="19"/>
    </row>
    <row r="4016">
      <c r="A4016" s="9"/>
      <c r="B4016" s="15"/>
      <c r="C4016" s="9">
        <f>IFERROR(__xludf.DUMMYFUNCTION("""COMPUTED_VALUE"""),44563.6703857175)</f>
        <v>44563.67039</v>
      </c>
      <c r="D4016" s="15">
        <f>IFERROR(__xludf.DUMMYFUNCTION("""COMPUTED_VALUE"""),1.007)</f>
        <v>1.007</v>
      </c>
      <c r="E4016" s="16">
        <f>IFERROR(__xludf.DUMMYFUNCTION("""COMPUTED_VALUE"""),63.0)</f>
        <v>63</v>
      </c>
      <c r="F4016" s="19" t="str">
        <f>IFERROR(__xludf.DUMMYFUNCTION("""COMPUTED_VALUE"""),"BLUE")</f>
        <v>BLUE</v>
      </c>
      <c r="G4016" s="20" t="str">
        <f>IFERROR(__xludf.DUMMYFUNCTION("""COMPUTED_VALUE"""),"Uncle Sams Cider (11/12/2021) (Blue)")</f>
        <v>Uncle Sams Cider (11/12/2021) (Blue)</v>
      </c>
      <c r="H4016" s="19"/>
    </row>
    <row r="4017">
      <c r="A4017" s="9"/>
      <c r="B4017" s="15"/>
      <c r="C4017" s="9">
        <f>IFERROR(__xludf.DUMMYFUNCTION("""COMPUTED_VALUE"""),44563.6599632986)</f>
        <v>44563.65996</v>
      </c>
      <c r="D4017" s="15">
        <f>IFERROR(__xludf.DUMMYFUNCTION("""COMPUTED_VALUE"""),1.007)</f>
        <v>1.007</v>
      </c>
      <c r="E4017" s="16">
        <f>IFERROR(__xludf.DUMMYFUNCTION("""COMPUTED_VALUE"""),63.0)</f>
        <v>63</v>
      </c>
      <c r="F4017" s="19" t="str">
        <f>IFERROR(__xludf.DUMMYFUNCTION("""COMPUTED_VALUE"""),"BLUE")</f>
        <v>BLUE</v>
      </c>
      <c r="G4017" s="20" t="str">
        <f>IFERROR(__xludf.DUMMYFUNCTION("""COMPUTED_VALUE"""),"Uncle Sams Cider (11/12/2021) (Blue)")</f>
        <v>Uncle Sams Cider (11/12/2021) (Blue)</v>
      </c>
      <c r="H4017" s="19"/>
    </row>
    <row r="4018">
      <c r="A4018" s="9"/>
      <c r="B4018" s="15"/>
      <c r="C4018" s="9">
        <f>IFERROR(__xludf.DUMMYFUNCTION("""COMPUTED_VALUE"""),44563.6495429513)</f>
        <v>44563.64954</v>
      </c>
      <c r="D4018" s="15">
        <f>IFERROR(__xludf.DUMMYFUNCTION("""COMPUTED_VALUE"""),1.006)</f>
        <v>1.006</v>
      </c>
      <c r="E4018" s="16">
        <f>IFERROR(__xludf.DUMMYFUNCTION("""COMPUTED_VALUE"""),63.0)</f>
        <v>63</v>
      </c>
      <c r="F4018" s="19" t="str">
        <f>IFERROR(__xludf.DUMMYFUNCTION("""COMPUTED_VALUE"""),"BLUE")</f>
        <v>BLUE</v>
      </c>
      <c r="G4018" s="20" t="str">
        <f>IFERROR(__xludf.DUMMYFUNCTION("""COMPUTED_VALUE"""),"Uncle Sams Cider (11/12/2021) (Blue)")</f>
        <v>Uncle Sams Cider (11/12/2021) (Blue)</v>
      </c>
      <c r="H4018" s="19"/>
    </row>
    <row r="4019">
      <c r="A4019" s="9"/>
      <c r="B4019" s="15"/>
      <c r="C4019" s="9">
        <f>IFERROR(__xludf.DUMMYFUNCTION("""COMPUTED_VALUE"""),44563.639110324)</f>
        <v>44563.63911</v>
      </c>
      <c r="D4019" s="15">
        <f>IFERROR(__xludf.DUMMYFUNCTION("""COMPUTED_VALUE"""),1.007)</f>
        <v>1.007</v>
      </c>
      <c r="E4019" s="16">
        <f>IFERROR(__xludf.DUMMYFUNCTION("""COMPUTED_VALUE"""),63.0)</f>
        <v>63</v>
      </c>
      <c r="F4019" s="19" t="str">
        <f>IFERROR(__xludf.DUMMYFUNCTION("""COMPUTED_VALUE"""),"BLUE")</f>
        <v>BLUE</v>
      </c>
      <c r="G4019" s="20" t="str">
        <f>IFERROR(__xludf.DUMMYFUNCTION("""COMPUTED_VALUE"""),"Uncle Sams Cider (11/12/2021) (Blue)")</f>
        <v>Uncle Sams Cider (11/12/2021) (Blue)</v>
      </c>
      <c r="H4019" s="19"/>
    </row>
    <row r="4020">
      <c r="A4020" s="9"/>
      <c r="B4020" s="15"/>
      <c r="C4020" s="9">
        <f>IFERROR(__xludf.DUMMYFUNCTION("""COMPUTED_VALUE"""),44563.6286870717)</f>
        <v>44563.62869</v>
      </c>
      <c r="D4020" s="15">
        <f>IFERROR(__xludf.DUMMYFUNCTION("""COMPUTED_VALUE"""),1.007)</f>
        <v>1.007</v>
      </c>
      <c r="E4020" s="16">
        <f>IFERROR(__xludf.DUMMYFUNCTION("""COMPUTED_VALUE"""),63.0)</f>
        <v>63</v>
      </c>
      <c r="F4020" s="19" t="str">
        <f>IFERROR(__xludf.DUMMYFUNCTION("""COMPUTED_VALUE"""),"BLUE")</f>
        <v>BLUE</v>
      </c>
      <c r="G4020" s="20" t="str">
        <f>IFERROR(__xludf.DUMMYFUNCTION("""COMPUTED_VALUE"""),"Uncle Sams Cider (11/12/2021) (Blue)")</f>
        <v>Uncle Sams Cider (11/12/2021) (Blue)</v>
      </c>
      <c r="H4020" s="19"/>
    </row>
    <row r="4021">
      <c r="A4021" s="9"/>
      <c r="B4021" s="15"/>
      <c r="C4021" s="9">
        <f>IFERROR(__xludf.DUMMYFUNCTION("""COMPUTED_VALUE"""),44563.6182674305)</f>
        <v>44563.61827</v>
      </c>
      <c r="D4021" s="15">
        <f>IFERROR(__xludf.DUMMYFUNCTION("""COMPUTED_VALUE"""),1.007)</f>
        <v>1.007</v>
      </c>
      <c r="E4021" s="16">
        <f>IFERROR(__xludf.DUMMYFUNCTION("""COMPUTED_VALUE"""),63.0)</f>
        <v>63</v>
      </c>
      <c r="F4021" s="19" t="str">
        <f>IFERROR(__xludf.DUMMYFUNCTION("""COMPUTED_VALUE"""),"BLUE")</f>
        <v>BLUE</v>
      </c>
      <c r="G4021" s="20" t="str">
        <f>IFERROR(__xludf.DUMMYFUNCTION("""COMPUTED_VALUE"""),"Uncle Sams Cider (11/12/2021) (Blue)")</f>
        <v>Uncle Sams Cider (11/12/2021) (Blue)</v>
      </c>
      <c r="H4021" s="19"/>
    </row>
    <row r="4022">
      <c r="A4022" s="9"/>
      <c r="B4022" s="15"/>
      <c r="C4022" s="9">
        <f>IFERROR(__xludf.DUMMYFUNCTION("""COMPUTED_VALUE"""),44563.6078455555)</f>
        <v>44563.60785</v>
      </c>
      <c r="D4022" s="15">
        <f>IFERROR(__xludf.DUMMYFUNCTION("""COMPUTED_VALUE"""),1.007)</f>
        <v>1.007</v>
      </c>
      <c r="E4022" s="16">
        <f>IFERROR(__xludf.DUMMYFUNCTION("""COMPUTED_VALUE"""),63.0)</f>
        <v>63</v>
      </c>
      <c r="F4022" s="19" t="str">
        <f>IFERROR(__xludf.DUMMYFUNCTION("""COMPUTED_VALUE"""),"BLUE")</f>
        <v>BLUE</v>
      </c>
      <c r="G4022" s="20" t="str">
        <f>IFERROR(__xludf.DUMMYFUNCTION("""COMPUTED_VALUE"""),"Uncle Sams Cider (11/12/2021) (Blue)")</f>
        <v>Uncle Sams Cider (11/12/2021) (Blue)</v>
      </c>
      <c r="H4022" s="19"/>
    </row>
    <row r="4023">
      <c r="A4023" s="9"/>
      <c r="B4023" s="15"/>
      <c r="C4023" s="9">
        <f>IFERROR(__xludf.DUMMYFUNCTION("""COMPUTED_VALUE"""),44563.5974238425)</f>
        <v>44563.59742</v>
      </c>
      <c r="D4023" s="15">
        <f>IFERROR(__xludf.DUMMYFUNCTION("""COMPUTED_VALUE"""),1.007)</f>
        <v>1.007</v>
      </c>
      <c r="E4023" s="16">
        <f>IFERROR(__xludf.DUMMYFUNCTION("""COMPUTED_VALUE"""),63.0)</f>
        <v>63</v>
      </c>
      <c r="F4023" s="19" t="str">
        <f>IFERROR(__xludf.DUMMYFUNCTION("""COMPUTED_VALUE"""),"BLUE")</f>
        <v>BLUE</v>
      </c>
      <c r="G4023" s="20" t="str">
        <f>IFERROR(__xludf.DUMMYFUNCTION("""COMPUTED_VALUE"""),"Uncle Sams Cider (11/12/2021) (Blue)")</f>
        <v>Uncle Sams Cider (11/12/2021) (Blue)</v>
      </c>
      <c r="H4023" s="19"/>
    </row>
    <row r="4024">
      <c r="A4024" s="9"/>
      <c r="B4024" s="15"/>
      <c r="C4024" s="9">
        <f>IFERROR(__xludf.DUMMYFUNCTION("""COMPUTED_VALUE"""),44563.5870013657)</f>
        <v>44563.587</v>
      </c>
      <c r="D4024" s="15">
        <f>IFERROR(__xludf.DUMMYFUNCTION("""COMPUTED_VALUE"""),1.007)</f>
        <v>1.007</v>
      </c>
      <c r="E4024" s="16">
        <f>IFERROR(__xludf.DUMMYFUNCTION("""COMPUTED_VALUE"""),63.0)</f>
        <v>63</v>
      </c>
      <c r="F4024" s="19" t="str">
        <f>IFERROR(__xludf.DUMMYFUNCTION("""COMPUTED_VALUE"""),"BLUE")</f>
        <v>BLUE</v>
      </c>
      <c r="G4024" s="20" t="str">
        <f>IFERROR(__xludf.DUMMYFUNCTION("""COMPUTED_VALUE"""),"Uncle Sams Cider (11/12/2021) (Blue)")</f>
        <v>Uncle Sams Cider (11/12/2021) (Blue)</v>
      </c>
      <c r="H4024" s="19"/>
    </row>
    <row r="4025">
      <c r="A4025" s="9"/>
      <c r="B4025" s="15"/>
      <c r="C4025" s="9">
        <f>IFERROR(__xludf.DUMMYFUNCTION("""COMPUTED_VALUE"""),44563.5765801041)</f>
        <v>44563.57658</v>
      </c>
      <c r="D4025" s="15">
        <f>IFERROR(__xludf.DUMMYFUNCTION("""COMPUTED_VALUE"""),1.007)</f>
        <v>1.007</v>
      </c>
      <c r="E4025" s="16">
        <f>IFERROR(__xludf.DUMMYFUNCTION("""COMPUTED_VALUE"""),63.0)</f>
        <v>63</v>
      </c>
      <c r="F4025" s="19" t="str">
        <f>IFERROR(__xludf.DUMMYFUNCTION("""COMPUTED_VALUE"""),"BLUE")</f>
        <v>BLUE</v>
      </c>
      <c r="G4025" s="20" t="str">
        <f>IFERROR(__xludf.DUMMYFUNCTION("""COMPUTED_VALUE"""),"Uncle Sams Cider (11/12/2021) (Blue)")</f>
        <v>Uncle Sams Cider (11/12/2021) (Blue)</v>
      </c>
      <c r="H4025" s="19"/>
    </row>
    <row r="4026">
      <c r="A4026" s="9"/>
      <c r="B4026" s="15"/>
      <c r="C4026" s="9">
        <f>IFERROR(__xludf.DUMMYFUNCTION("""COMPUTED_VALUE"""),44563.5661592245)</f>
        <v>44563.56616</v>
      </c>
      <c r="D4026" s="15">
        <f>IFERROR(__xludf.DUMMYFUNCTION("""COMPUTED_VALUE"""),1.007)</f>
        <v>1.007</v>
      </c>
      <c r="E4026" s="16">
        <f>IFERROR(__xludf.DUMMYFUNCTION("""COMPUTED_VALUE"""),63.0)</f>
        <v>63</v>
      </c>
      <c r="F4026" s="19" t="str">
        <f>IFERROR(__xludf.DUMMYFUNCTION("""COMPUTED_VALUE"""),"BLUE")</f>
        <v>BLUE</v>
      </c>
      <c r="G4026" s="20" t="str">
        <f>IFERROR(__xludf.DUMMYFUNCTION("""COMPUTED_VALUE"""),"Uncle Sams Cider (11/12/2021) (Blue)")</f>
        <v>Uncle Sams Cider (11/12/2021) (Blue)</v>
      </c>
      <c r="H4026" s="19"/>
    </row>
    <row r="4027">
      <c r="A4027" s="9"/>
      <c r="B4027" s="15"/>
      <c r="C4027" s="9">
        <f>IFERROR(__xludf.DUMMYFUNCTION("""COMPUTED_VALUE"""),44563.5557242824)</f>
        <v>44563.55572</v>
      </c>
      <c r="D4027" s="15">
        <f>IFERROR(__xludf.DUMMYFUNCTION("""COMPUTED_VALUE"""),1.007)</f>
        <v>1.007</v>
      </c>
      <c r="E4027" s="16">
        <f>IFERROR(__xludf.DUMMYFUNCTION("""COMPUTED_VALUE"""),63.0)</f>
        <v>63</v>
      </c>
      <c r="F4027" s="19" t="str">
        <f>IFERROR(__xludf.DUMMYFUNCTION("""COMPUTED_VALUE"""),"BLUE")</f>
        <v>BLUE</v>
      </c>
      <c r="G4027" s="20" t="str">
        <f>IFERROR(__xludf.DUMMYFUNCTION("""COMPUTED_VALUE"""),"Uncle Sams Cider (11/12/2021) (Blue)")</f>
        <v>Uncle Sams Cider (11/12/2021) (Blue)</v>
      </c>
      <c r="H4027" s="19"/>
    </row>
    <row r="4028">
      <c r="A4028" s="9"/>
      <c r="B4028" s="15"/>
      <c r="C4028" s="9">
        <f>IFERROR(__xludf.DUMMYFUNCTION("""COMPUTED_VALUE"""),44563.5453032754)</f>
        <v>44563.5453</v>
      </c>
      <c r="D4028" s="15">
        <f>IFERROR(__xludf.DUMMYFUNCTION("""COMPUTED_VALUE"""),1.007)</f>
        <v>1.007</v>
      </c>
      <c r="E4028" s="16">
        <f>IFERROR(__xludf.DUMMYFUNCTION("""COMPUTED_VALUE"""),63.0)</f>
        <v>63</v>
      </c>
      <c r="F4028" s="19" t="str">
        <f>IFERROR(__xludf.DUMMYFUNCTION("""COMPUTED_VALUE"""),"BLUE")</f>
        <v>BLUE</v>
      </c>
      <c r="G4028" s="20" t="str">
        <f>IFERROR(__xludf.DUMMYFUNCTION("""COMPUTED_VALUE"""),"Uncle Sams Cider (11/12/2021) (Blue)")</f>
        <v>Uncle Sams Cider (11/12/2021) (Blue)</v>
      </c>
      <c r="H4028" s="19"/>
    </row>
    <row r="4029">
      <c r="A4029" s="9"/>
      <c r="B4029" s="15"/>
      <c r="C4029" s="9">
        <f>IFERROR(__xludf.DUMMYFUNCTION("""COMPUTED_VALUE"""),44563.534880949)</f>
        <v>44563.53488</v>
      </c>
      <c r="D4029" s="15">
        <f>IFERROR(__xludf.DUMMYFUNCTION("""COMPUTED_VALUE"""),1.007)</f>
        <v>1.007</v>
      </c>
      <c r="E4029" s="16">
        <f>IFERROR(__xludf.DUMMYFUNCTION("""COMPUTED_VALUE"""),63.0)</f>
        <v>63</v>
      </c>
      <c r="F4029" s="19" t="str">
        <f>IFERROR(__xludf.DUMMYFUNCTION("""COMPUTED_VALUE"""),"BLUE")</f>
        <v>BLUE</v>
      </c>
      <c r="G4029" s="20" t="str">
        <f>IFERROR(__xludf.DUMMYFUNCTION("""COMPUTED_VALUE"""),"Uncle Sams Cider (11/12/2021) (Blue)")</f>
        <v>Uncle Sams Cider (11/12/2021) (Blue)</v>
      </c>
      <c r="H4029" s="19"/>
    </row>
    <row r="4030">
      <c r="A4030" s="9"/>
      <c r="B4030" s="15"/>
      <c r="C4030" s="9">
        <f>IFERROR(__xludf.DUMMYFUNCTION("""COMPUTED_VALUE"""),44563.5244615856)</f>
        <v>44563.52446</v>
      </c>
      <c r="D4030" s="15">
        <f>IFERROR(__xludf.DUMMYFUNCTION("""COMPUTED_VALUE"""),1.007)</f>
        <v>1.007</v>
      </c>
      <c r="E4030" s="16">
        <f>IFERROR(__xludf.DUMMYFUNCTION("""COMPUTED_VALUE"""),63.0)</f>
        <v>63</v>
      </c>
      <c r="F4030" s="19" t="str">
        <f>IFERROR(__xludf.DUMMYFUNCTION("""COMPUTED_VALUE"""),"BLUE")</f>
        <v>BLUE</v>
      </c>
      <c r="G4030" s="20" t="str">
        <f>IFERROR(__xludf.DUMMYFUNCTION("""COMPUTED_VALUE"""),"Uncle Sams Cider (11/12/2021) (Blue)")</f>
        <v>Uncle Sams Cider (11/12/2021) (Blue)</v>
      </c>
      <c r="H4030" s="19"/>
    </row>
    <row r="4031">
      <c r="A4031" s="9"/>
      <c r="B4031" s="15"/>
      <c r="C4031" s="9">
        <f>IFERROR(__xludf.DUMMYFUNCTION("""COMPUTED_VALUE"""),44563.514038912)</f>
        <v>44563.51404</v>
      </c>
      <c r="D4031" s="15">
        <f>IFERROR(__xludf.DUMMYFUNCTION("""COMPUTED_VALUE"""),1.007)</f>
        <v>1.007</v>
      </c>
      <c r="E4031" s="16">
        <f>IFERROR(__xludf.DUMMYFUNCTION("""COMPUTED_VALUE"""),63.0)</f>
        <v>63</v>
      </c>
      <c r="F4031" s="19" t="str">
        <f>IFERROR(__xludf.DUMMYFUNCTION("""COMPUTED_VALUE"""),"BLUE")</f>
        <v>BLUE</v>
      </c>
      <c r="G4031" s="20" t="str">
        <f>IFERROR(__xludf.DUMMYFUNCTION("""COMPUTED_VALUE"""),"Uncle Sams Cider (11/12/2021) (Blue)")</f>
        <v>Uncle Sams Cider (11/12/2021) (Blue)</v>
      </c>
      <c r="H4031" s="19"/>
    </row>
    <row r="4032">
      <c r="A4032" s="9"/>
      <c r="B4032" s="15"/>
      <c r="C4032" s="9">
        <f>IFERROR(__xludf.DUMMYFUNCTION("""COMPUTED_VALUE"""),44563.5036185416)</f>
        <v>44563.50362</v>
      </c>
      <c r="D4032" s="15">
        <f>IFERROR(__xludf.DUMMYFUNCTION("""COMPUTED_VALUE"""),1.007)</f>
        <v>1.007</v>
      </c>
      <c r="E4032" s="16">
        <f>IFERROR(__xludf.DUMMYFUNCTION("""COMPUTED_VALUE"""),63.0)</f>
        <v>63</v>
      </c>
      <c r="F4032" s="19" t="str">
        <f>IFERROR(__xludf.DUMMYFUNCTION("""COMPUTED_VALUE"""),"BLUE")</f>
        <v>BLUE</v>
      </c>
      <c r="G4032" s="20" t="str">
        <f>IFERROR(__xludf.DUMMYFUNCTION("""COMPUTED_VALUE"""),"Uncle Sams Cider (11/12/2021) (Blue)")</f>
        <v>Uncle Sams Cider (11/12/2021) (Blue)</v>
      </c>
      <c r="H4032" s="19"/>
    </row>
    <row r="4033">
      <c r="A4033" s="9"/>
      <c r="B4033" s="15"/>
      <c r="C4033" s="9">
        <f>IFERROR(__xludf.DUMMYFUNCTION("""COMPUTED_VALUE"""),44563.493196574)</f>
        <v>44563.4932</v>
      </c>
      <c r="D4033" s="15">
        <f>IFERROR(__xludf.DUMMYFUNCTION("""COMPUTED_VALUE"""),1.007)</f>
        <v>1.007</v>
      </c>
      <c r="E4033" s="16">
        <f>IFERROR(__xludf.DUMMYFUNCTION("""COMPUTED_VALUE"""),63.0)</f>
        <v>63</v>
      </c>
      <c r="F4033" s="19" t="str">
        <f>IFERROR(__xludf.DUMMYFUNCTION("""COMPUTED_VALUE"""),"BLUE")</f>
        <v>BLUE</v>
      </c>
      <c r="G4033" s="20" t="str">
        <f>IFERROR(__xludf.DUMMYFUNCTION("""COMPUTED_VALUE"""),"Uncle Sams Cider (11/12/2021) (Blue)")</f>
        <v>Uncle Sams Cider (11/12/2021) (Blue)</v>
      </c>
      <c r="H4033" s="19"/>
    </row>
    <row r="4034">
      <c r="A4034" s="9"/>
      <c r="B4034" s="15"/>
      <c r="C4034" s="9">
        <f>IFERROR(__xludf.DUMMYFUNCTION("""COMPUTED_VALUE"""),44563.482764456)</f>
        <v>44563.48276</v>
      </c>
      <c r="D4034" s="15">
        <f>IFERROR(__xludf.DUMMYFUNCTION("""COMPUTED_VALUE"""),1.007)</f>
        <v>1.007</v>
      </c>
      <c r="E4034" s="16">
        <f>IFERROR(__xludf.DUMMYFUNCTION("""COMPUTED_VALUE"""),63.0)</f>
        <v>63</v>
      </c>
      <c r="F4034" s="19" t="str">
        <f>IFERROR(__xludf.DUMMYFUNCTION("""COMPUTED_VALUE"""),"BLUE")</f>
        <v>BLUE</v>
      </c>
      <c r="G4034" s="20" t="str">
        <f>IFERROR(__xludf.DUMMYFUNCTION("""COMPUTED_VALUE"""),"Uncle Sams Cider (11/12/2021) (Blue)")</f>
        <v>Uncle Sams Cider (11/12/2021) (Blue)</v>
      </c>
      <c r="H4034" s="19"/>
    </row>
    <row r="4035">
      <c r="A4035" s="9"/>
      <c r="B4035" s="15"/>
      <c r="C4035" s="9">
        <f>IFERROR(__xludf.DUMMYFUNCTION("""COMPUTED_VALUE"""),44563.4723427314)</f>
        <v>44563.47234</v>
      </c>
      <c r="D4035" s="15">
        <f>IFERROR(__xludf.DUMMYFUNCTION("""COMPUTED_VALUE"""),1.007)</f>
        <v>1.007</v>
      </c>
      <c r="E4035" s="16">
        <f>IFERROR(__xludf.DUMMYFUNCTION("""COMPUTED_VALUE"""),63.0)</f>
        <v>63</v>
      </c>
      <c r="F4035" s="19" t="str">
        <f>IFERROR(__xludf.DUMMYFUNCTION("""COMPUTED_VALUE"""),"BLUE")</f>
        <v>BLUE</v>
      </c>
      <c r="G4035" s="20" t="str">
        <f>IFERROR(__xludf.DUMMYFUNCTION("""COMPUTED_VALUE"""),"Uncle Sams Cider (11/12/2021) (Blue)")</f>
        <v>Uncle Sams Cider (11/12/2021) (Blue)</v>
      </c>
      <c r="H4035" s="19"/>
    </row>
    <row r="4036">
      <c r="A4036" s="9"/>
      <c r="B4036" s="15"/>
      <c r="C4036" s="9">
        <f>IFERROR(__xludf.DUMMYFUNCTION("""COMPUTED_VALUE"""),44563.46192103)</f>
        <v>44563.46192</v>
      </c>
      <c r="D4036" s="15">
        <f>IFERROR(__xludf.DUMMYFUNCTION("""COMPUTED_VALUE"""),1.007)</f>
        <v>1.007</v>
      </c>
      <c r="E4036" s="16">
        <f>IFERROR(__xludf.DUMMYFUNCTION("""COMPUTED_VALUE"""),63.0)</f>
        <v>63</v>
      </c>
      <c r="F4036" s="19" t="str">
        <f>IFERROR(__xludf.DUMMYFUNCTION("""COMPUTED_VALUE"""),"BLUE")</f>
        <v>BLUE</v>
      </c>
      <c r="G4036" s="20" t="str">
        <f>IFERROR(__xludf.DUMMYFUNCTION("""COMPUTED_VALUE"""),"Uncle Sams Cider (11/12/2021) (Blue)")</f>
        <v>Uncle Sams Cider (11/12/2021) (Blue)</v>
      </c>
      <c r="H4036" s="19"/>
    </row>
    <row r="4037">
      <c r="A4037" s="9"/>
      <c r="B4037" s="15"/>
      <c r="C4037" s="9">
        <f>IFERROR(__xludf.DUMMYFUNCTION("""COMPUTED_VALUE"""),44563.4514997569)</f>
        <v>44563.4515</v>
      </c>
      <c r="D4037" s="15">
        <f>IFERROR(__xludf.DUMMYFUNCTION("""COMPUTED_VALUE"""),1.007)</f>
        <v>1.007</v>
      </c>
      <c r="E4037" s="16">
        <f>IFERROR(__xludf.DUMMYFUNCTION("""COMPUTED_VALUE"""),63.0)</f>
        <v>63</v>
      </c>
      <c r="F4037" s="19" t="str">
        <f>IFERROR(__xludf.DUMMYFUNCTION("""COMPUTED_VALUE"""),"BLUE")</f>
        <v>BLUE</v>
      </c>
      <c r="G4037" s="20" t="str">
        <f>IFERROR(__xludf.DUMMYFUNCTION("""COMPUTED_VALUE"""),"Uncle Sams Cider (11/12/2021) (Blue)")</f>
        <v>Uncle Sams Cider (11/12/2021) (Blue)</v>
      </c>
      <c r="H4037" s="19"/>
    </row>
    <row r="4038">
      <c r="A4038" s="9"/>
      <c r="B4038" s="15"/>
      <c r="C4038" s="9">
        <f>IFERROR(__xludf.DUMMYFUNCTION("""COMPUTED_VALUE"""),44563.4410671643)</f>
        <v>44563.44107</v>
      </c>
      <c r="D4038" s="15">
        <f>IFERROR(__xludf.DUMMYFUNCTION("""COMPUTED_VALUE"""),1.007)</f>
        <v>1.007</v>
      </c>
      <c r="E4038" s="16">
        <f>IFERROR(__xludf.DUMMYFUNCTION("""COMPUTED_VALUE"""),63.0)</f>
        <v>63</v>
      </c>
      <c r="F4038" s="19" t="str">
        <f>IFERROR(__xludf.DUMMYFUNCTION("""COMPUTED_VALUE"""),"BLUE")</f>
        <v>BLUE</v>
      </c>
      <c r="G4038" s="20" t="str">
        <f>IFERROR(__xludf.DUMMYFUNCTION("""COMPUTED_VALUE"""),"Uncle Sams Cider (11/12/2021) (Blue)")</f>
        <v>Uncle Sams Cider (11/12/2021) (Blue)</v>
      </c>
      <c r="H4038" s="19"/>
    </row>
    <row r="4039">
      <c r="A4039" s="9"/>
      <c r="B4039" s="15"/>
      <c r="C4039" s="9">
        <f>IFERROR(__xludf.DUMMYFUNCTION("""COMPUTED_VALUE"""),44563.4306436805)</f>
        <v>44563.43064</v>
      </c>
      <c r="D4039" s="15">
        <f>IFERROR(__xludf.DUMMYFUNCTION("""COMPUTED_VALUE"""),1.007)</f>
        <v>1.007</v>
      </c>
      <c r="E4039" s="16">
        <f>IFERROR(__xludf.DUMMYFUNCTION("""COMPUTED_VALUE"""),63.0)</f>
        <v>63</v>
      </c>
      <c r="F4039" s="19" t="str">
        <f>IFERROR(__xludf.DUMMYFUNCTION("""COMPUTED_VALUE"""),"BLUE")</f>
        <v>BLUE</v>
      </c>
      <c r="G4039" s="20" t="str">
        <f>IFERROR(__xludf.DUMMYFUNCTION("""COMPUTED_VALUE"""),"Uncle Sams Cider (11/12/2021) (Blue)")</f>
        <v>Uncle Sams Cider (11/12/2021) (Blue)</v>
      </c>
      <c r="H4039" s="19"/>
    </row>
    <row r="4040">
      <c r="A4040" s="9"/>
      <c r="B4040" s="15"/>
      <c r="C4040" s="9">
        <f>IFERROR(__xludf.DUMMYFUNCTION("""COMPUTED_VALUE"""),44563.4202242245)</f>
        <v>44563.42022</v>
      </c>
      <c r="D4040" s="15">
        <f>IFERROR(__xludf.DUMMYFUNCTION("""COMPUTED_VALUE"""),1.007)</f>
        <v>1.007</v>
      </c>
      <c r="E4040" s="16">
        <f>IFERROR(__xludf.DUMMYFUNCTION("""COMPUTED_VALUE"""),63.0)</f>
        <v>63</v>
      </c>
      <c r="F4040" s="19" t="str">
        <f>IFERROR(__xludf.DUMMYFUNCTION("""COMPUTED_VALUE"""),"BLUE")</f>
        <v>BLUE</v>
      </c>
      <c r="G4040" s="20" t="str">
        <f>IFERROR(__xludf.DUMMYFUNCTION("""COMPUTED_VALUE"""),"Uncle Sams Cider (11/12/2021) (Blue)")</f>
        <v>Uncle Sams Cider (11/12/2021) (Blue)</v>
      </c>
      <c r="H4040" s="19"/>
    </row>
    <row r="4041">
      <c r="A4041" s="9"/>
      <c r="B4041" s="15"/>
      <c r="C4041" s="9">
        <f>IFERROR(__xludf.DUMMYFUNCTION("""COMPUTED_VALUE"""),44563.40979228)</f>
        <v>44563.40979</v>
      </c>
      <c r="D4041" s="15">
        <f>IFERROR(__xludf.DUMMYFUNCTION("""COMPUTED_VALUE"""),1.007)</f>
        <v>1.007</v>
      </c>
      <c r="E4041" s="16">
        <f>IFERROR(__xludf.DUMMYFUNCTION("""COMPUTED_VALUE"""),63.0)</f>
        <v>63</v>
      </c>
      <c r="F4041" s="19" t="str">
        <f>IFERROR(__xludf.DUMMYFUNCTION("""COMPUTED_VALUE"""),"BLUE")</f>
        <v>BLUE</v>
      </c>
      <c r="G4041" s="20" t="str">
        <f>IFERROR(__xludf.DUMMYFUNCTION("""COMPUTED_VALUE"""),"Uncle Sams Cider (11/12/2021) (Blue)")</f>
        <v>Uncle Sams Cider (11/12/2021) (Blue)</v>
      </c>
      <c r="H4041" s="19"/>
    </row>
    <row r="4042">
      <c r="A4042" s="9"/>
      <c r="B4042" s="15"/>
      <c r="C4042" s="9">
        <f>IFERROR(__xludf.DUMMYFUNCTION("""COMPUTED_VALUE"""),44563.3993718634)</f>
        <v>44563.39937</v>
      </c>
      <c r="D4042" s="15">
        <f>IFERROR(__xludf.DUMMYFUNCTION("""COMPUTED_VALUE"""),1.007)</f>
        <v>1.007</v>
      </c>
      <c r="E4042" s="16">
        <f>IFERROR(__xludf.DUMMYFUNCTION("""COMPUTED_VALUE"""),63.0)</f>
        <v>63</v>
      </c>
      <c r="F4042" s="19" t="str">
        <f>IFERROR(__xludf.DUMMYFUNCTION("""COMPUTED_VALUE"""),"BLUE")</f>
        <v>BLUE</v>
      </c>
      <c r="G4042" s="20" t="str">
        <f>IFERROR(__xludf.DUMMYFUNCTION("""COMPUTED_VALUE"""),"Uncle Sams Cider (11/12/2021) (Blue)")</f>
        <v>Uncle Sams Cider (11/12/2021) (Blue)</v>
      </c>
      <c r="H4042" s="19"/>
    </row>
    <row r="4043">
      <c r="A4043" s="9"/>
      <c r="B4043" s="15"/>
      <c r="C4043" s="9">
        <f>IFERROR(__xludf.DUMMYFUNCTION("""COMPUTED_VALUE"""),44563.3889499305)</f>
        <v>44563.38895</v>
      </c>
      <c r="D4043" s="15">
        <f>IFERROR(__xludf.DUMMYFUNCTION("""COMPUTED_VALUE"""),1.007)</f>
        <v>1.007</v>
      </c>
      <c r="E4043" s="16">
        <f>IFERROR(__xludf.DUMMYFUNCTION("""COMPUTED_VALUE"""),63.0)</f>
        <v>63</v>
      </c>
      <c r="F4043" s="19" t="str">
        <f>IFERROR(__xludf.DUMMYFUNCTION("""COMPUTED_VALUE"""),"BLUE")</f>
        <v>BLUE</v>
      </c>
      <c r="G4043" s="20" t="str">
        <f>IFERROR(__xludf.DUMMYFUNCTION("""COMPUTED_VALUE"""),"Uncle Sams Cider (11/12/2021) (Blue)")</f>
        <v>Uncle Sams Cider (11/12/2021) (Blue)</v>
      </c>
      <c r="H4043" s="19"/>
    </row>
    <row r="4044">
      <c r="A4044" s="9"/>
      <c r="B4044" s="15"/>
      <c r="C4044" s="9">
        <f>IFERROR(__xludf.DUMMYFUNCTION("""COMPUTED_VALUE"""),44563.3785293865)</f>
        <v>44563.37853</v>
      </c>
      <c r="D4044" s="15">
        <f>IFERROR(__xludf.DUMMYFUNCTION("""COMPUTED_VALUE"""),1.007)</f>
        <v>1.007</v>
      </c>
      <c r="E4044" s="16">
        <f>IFERROR(__xludf.DUMMYFUNCTION("""COMPUTED_VALUE"""),63.0)</f>
        <v>63</v>
      </c>
      <c r="F4044" s="19" t="str">
        <f>IFERROR(__xludf.DUMMYFUNCTION("""COMPUTED_VALUE"""),"BLUE")</f>
        <v>BLUE</v>
      </c>
      <c r="G4044" s="20" t="str">
        <f>IFERROR(__xludf.DUMMYFUNCTION("""COMPUTED_VALUE"""),"Uncle Sams Cider (11/12/2021) (Blue)")</f>
        <v>Uncle Sams Cider (11/12/2021) (Blue)</v>
      </c>
      <c r="H4044" s="19"/>
    </row>
    <row r="4045">
      <c r="A4045" s="9"/>
      <c r="B4045" s="15"/>
      <c r="C4045" s="9">
        <f>IFERROR(__xludf.DUMMYFUNCTION("""COMPUTED_VALUE"""),44563.3681085995)</f>
        <v>44563.36811</v>
      </c>
      <c r="D4045" s="15">
        <f>IFERROR(__xludf.DUMMYFUNCTION("""COMPUTED_VALUE"""),1.007)</f>
        <v>1.007</v>
      </c>
      <c r="E4045" s="16">
        <f>IFERROR(__xludf.DUMMYFUNCTION("""COMPUTED_VALUE"""),63.0)</f>
        <v>63</v>
      </c>
      <c r="F4045" s="19" t="str">
        <f>IFERROR(__xludf.DUMMYFUNCTION("""COMPUTED_VALUE"""),"BLUE")</f>
        <v>BLUE</v>
      </c>
      <c r="G4045" s="20" t="str">
        <f>IFERROR(__xludf.DUMMYFUNCTION("""COMPUTED_VALUE"""),"Uncle Sams Cider (11/12/2021) (Blue)")</f>
        <v>Uncle Sams Cider (11/12/2021) (Blue)</v>
      </c>
      <c r="H4045" s="19"/>
    </row>
    <row r="4046">
      <c r="A4046" s="9"/>
      <c r="B4046" s="15"/>
      <c r="C4046" s="9">
        <f>IFERROR(__xludf.DUMMYFUNCTION("""COMPUTED_VALUE"""),44563.3576865625)</f>
        <v>44563.35769</v>
      </c>
      <c r="D4046" s="15">
        <f>IFERROR(__xludf.DUMMYFUNCTION("""COMPUTED_VALUE"""),1.006)</f>
        <v>1.006</v>
      </c>
      <c r="E4046" s="16">
        <f>IFERROR(__xludf.DUMMYFUNCTION("""COMPUTED_VALUE"""),63.0)</f>
        <v>63</v>
      </c>
      <c r="F4046" s="19" t="str">
        <f>IFERROR(__xludf.DUMMYFUNCTION("""COMPUTED_VALUE"""),"BLUE")</f>
        <v>BLUE</v>
      </c>
      <c r="G4046" s="20" t="str">
        <f>IFERROR(__xludf.DUMMYFUNCTION("""COMPUTED_VALUE"""),"Uncle Sams Cider (11/12/2021) (Blue)")</f>
        <v>Uncle Sams Cider (11/12/2021) (Blue)</v>
      </c>
      <c r="H4046" s="19"/>
    </row>
    <row r="4047">
      <c r="A4047" s="9"/>
      <c r="B4047" s="15"/>
      <c r="C4047" s="9">
        <f>IFERROR(__xludf.DUMMYFUNCTION("""COMPUTED_VALUE"""),44563.3472624074)</f>
        <v>44563.34726</v>
      </c>
      <c r="D4047" s="15">
        <f>IFERROR(__xludf.DUMMYFUNCTION("""COMPUTED_VALUE"""),1.007)</f>
        <v>1.007</v>
      </c>
      <c r="E4047" s="16">
        <f>IFERROR(__xludf.DUMMYFUNCTION("""COMPUTED_VALUE"""),63.0)</f>
        <v>63</v>
      </c>
      <c r="F4047" s="19" t="str">
        <f>IFERROR(__xludf.DUMMYFUNCTION("""COMPUTED_VALUE"""),"BLUE")</f>
        <v>BLUE</v>
      </c>
      <c r="G4047" s="20" t="str">
        <f>IFERROR(__xludf.DUMMYFUNCTION("""COMPUTED_VALUE"""),"Uncle Sams Cider (11/12/2021) (Blue)")</f>
        <v>Uncle Sams Cider (11/12/2021) (Blue)</v>
      </c>
      <c r="H4047" s="19"/>
    </row>
    <row r="4048">
      <c r="A4048" s="9"/>
      <c r="B4048" s="15"/>
      <c r="C4048" s="9">
        <f>IFERROR(__xludf.DUMMYFUNCTION("""COMPUTED_VALUE"""),44563.3368420254)</f>
        <v>44563.33684</v>
      </c>
      <c r="D4048" s="15">
        <f>IFERROR(__xludf.DUMMYFUNCTION("""COMPUTED_VALUE"""),1.007)</f>
        <v>1.007</v>
      </c>
      <c r="E4048" s="16">
        <f>IFERROR(__xludf.DUMMYFUNCTION("""COMPUTED_VALUE"""),63.0)</f>
        <v>63</v>
      </c>
      <c r="F4048" s="19" t="str">
        <f>IFERROR(__xludf.DUMMYFUNCTION("""COMPUTED_VALUE"""),"BLUE")</f>
        <v>BLUE</v>
      </c>
      <c r="G4048" s="20" t="str">
        <f>IFERROR(__xludf.DUMMYFUNCTION("""COMPUTED_VALUE"""),"Uncle Sams Cider (11/12/2021) (Blue)")</f>
        <v>Uncle Sams Cider (11/12/2021) (Blue)</v>
      </c>
      <c r="H4048" s="19"/>
    </row>
    <row r="4049">
      <c r="A4049" s="9"/>
      <c r="B4049" s="15"/>
      <c r="C4049" s="9">
        <f>IFERROR(__xludf.DUMMYFUNCTION("""COMPUTED_VALUE"""),44563.3264214467)</f>
        <v>44563.32642</v>
      </c>
      <c r="D4049" s="15">
        <f>IFERROR(__xludf.DUMMYFUNCTION("""COMPUTED_VALUE"""),1.007)</f>
        <v>1.007</v>
      </c>
      <c r="E4049" s="16">
        <f>IFERROR(__xludf.DUMMYFUNCTION("""COMPUTED_VALUE"""),63.0)</f>
        <v>63</v>
      </c>
      <c r="F4049" s="19" t="str">
        <f>IFERROR(__xludf.DUMMYFUNCTION("""COMPUTED_VALUE"""),"BLUE")</f>
        <v>BLUE</v>
      </c>
      <c r="G4049" s="20" t="str">
        <f>IFERROR(__xludf.DUMMYFUNCTION("""COMPUTED_VALUE"""),"Uncle Sams Cider (11/12/2021) (Blue)")</f>
        <v>Uncle Sams Cider (11/12/2021) (Blue)</v>
      </c>
      <c r="H4049" s="19"/>
    </row>
    <row r="4050">
      <c r="A4050" s="9"/>
      <c r="B4050" s="15"/>
      <c r="C4050" s="9">
        <f>IFERROR(__xludf.DUMMYFUNCTION("""COMPUTED_VALUE"""),44563.3160004976)</f>
        <v>44563.316</v>
      </c>
      <c r="D4050" s="15">
        <f>IFERROR(__xludf.DUMMYFUNCTION("""COMPUTED_VALUE"""),1.007)</f>
        <v>1.007</v>
      </c>
      <c r="E4050" s="16">
        <f>IFERROR(__xludf.DUMMYFUNCTION("""COMPUTED_VALUE"""),63.0)</f>
        <v>63</v>
      </c>
      <c r="F4050" s="19" t="str">
        <f>IFERROR(__xludf.DUMMYFUNCTION("""COMPUTED_VALUE"""),"BLUE")</f>
        <v>BLUE</v>
      </c>
      <c r="G4050" s="20" t="str">
        <f>IFERROR(__xludf.DUMMYFUNCTION("""COMPUTED_VALUE"""),"Uncle Sams Cider (11/12/2021) (Blue)")</f>
        <v>Uncle Sams Cider (11/12/2021) (Blue)</v>
      </c>
      <c r="H4050" s="19"/>
    </row>
    <row r="4051">
      <c r="A4051" s="9"/>
      <c r="B4051" s="15"/>
      <c r="C4051" s="9">
        <f>IFERROR(__xludf.DUMMYFUNCTION("""COMPUTED_VALUE"""),44563.3055791666)</f>
        <v>44563.30558</v>
      </c>
      <c r="D4051" s="15">
        <f>IFERROR(__xludf.DUMMYFUNCTION("""COMPUTED_VALUE"""),1.007)</f>
        <v>1.007</v>
      </c>
      <c r="E4051" s="16">
        <f>IFERROR(__xludf.DUMMYFUNCTION("""COMPUTED_VALUE"""),63.0)</f>
        <v>63</v>
      </c>
      <c r="F4051" s="19" t="str">
        <f>IFERROR(__xludf.DUMMYFUNCTION("""COMPUTED_VALUE"""),"BLUE")</f>
        <v>BLUE</v>
      </c>
      <c r="G4051" s="20" t="str">
        <f>IFERROR(__xludf.DUMMYFUNCTION("""COMPUTED_VALUE"""),"Uncle Sams Cider (11/12/2021) (Blue)")</f>
        <v>Uncle Sams Cider (11/12/2021) (Blue)</v>
      </c>
      <c r="H4051" s="19"/>
    </row>
    <row r="4052">
      <c r="A4052" s="9"/>
      <c r="B4052" s="15"/>
      <c r="C4052" s="9">
        <f>IFERROR(__xludf.DUMMYFUNCTION("""COMPUTED_VALUE"""),44563.2951577546)</f>
        <v>44563.29516</v>
      </c>
      <c r="D4052" s="15">
        <f>IFERROR(__xludf.DUMMYFUNCTION("""COMPUTED_VALUE"""),1.007)</f>
        <v>1.007</v>
      </c>
      <c r="E4052" s="16">
        <f>IFERROR(__xludf.DUMMYFUNCTION("""COMPUTED_VALUE"""),63.0)</f>
        <v>63</v>
      </c>
      <c r="F4052" s="19" t="str">
        <f>IFERROR(__xludf.DUMMYFUNCTION("""COMPUTED_VALUE"""),"BLUE")</f>
        <v>BLUE</v>
      </c>
      <c r="G4052" s="20" t="str">
        <f>IFERROR(__xludf.DUMMYFUNCTION("""COMPUTED_VALUE"""),"Uncle Sams Cider (11/12/2021) (Blue)")</f>
        <v>Uncle Sams Cider (11/12/2021) (Blue)</v>
      </c>
      <c r="H4052" s="19"/>
    </row>
    <row r="4053">
      <c r="A4053" s="9"/>
      <c r="B4053" s="15"/>
      <c r="C4053" s="9">
        <f>IFERROR(__xludf.DUMMYFUNCTION("""COMPUTED_VALUE"""),44563.284736655)</f>
        <v>44563.28474</v>
      </c>
      <c r="D4053" s="15">
        <f>IFERROR(__xludf.DUMMYFUNCTION("""COMPUTED_VALUE"""),1.007)</f>
        <v>1.007</v>
      </c>
      <c r="E4053" s="16">
        <f>IFERROR(__xludf.DUMMYFUNCTION("""COMPUTED_VALUE"""),63.0)</f>
        <v>63</v>
      </c>
      <c r="F4053" s="19" t="str">
        <f>IFERROR(__xludf.DUMMYFUNCTION("""COMPUTED_VALUE"""),"BLUE")</f>
        <v>BLUE</v>
      </c>
      <c r="G4053" s="20" t="str">
        <f>IFERROR(__xludf.DUMMYFUNCTION("""COMPUTED_VALUE"""),"Uncle Sams Cider (11/12/2021) (Blue)")</f>
        <v>Uncle Sams Cider (11/12/2021) (Blue)</v>
      </c>
      <c r="H4053" s="19"/>
    </row>
    <row r="4054">
      <c r="A4054" s="9"/>
      <c r="B4054" s="15"/>
      <c r="C4054" s="9">
        <f>IFERROR(__xludf.DUMMYFUNCTION("""COMPUTED_VALUE"""),44563.2743161574)</f>
        <v>44563.27432</v>
      </c>
      <c r="D4054" s="15">
        <f>IFERROR(__xludf.DUMMYFUNCTION("""COMPUTED_VALUE"""),1.007)</f>
        <v>1.007</v>
      </c>
      <c r="E4054" s="16">
        <f>IFERROR(__xludf.DUMMYFUNCTION("""COMPUTED_VALUE"""),63.0)</f>
        <v>63</v>
      </c>
      <c r="F4054" s="19" t="str">
        <f>IFERROR(__xludf.DUMMYFUNCTION("""COMPUTED_VALUE"""),"BLUE")</f>
        <v>BLUE</v>
      </c>
      <c r="G4054" s="20" t="str">
        <f>IFERROR(__xludf.DUMMYFUNCTION("""COMPUTED_VALUE"""),"Uncle Sams Cider (11/12/2021) (Blue)")</f>
        <v>Uncle Sams Cider (11/12/2021) (Blue)</v>
      </c>
      <c r="H4054" s="19"/>
    </row>
    <row r="4055">
      <c r="A4055" s="9"/>
      <c r="B4055" s="15"/>
      <c r="C4055" s="9">
        <f>IFERROR(__xludf.DUMMYFUNCTION("""COMPUTED_VALUE"""),44563.2638941203)</f>
        <v>44563.26389</v>
      </c>
      <c r="D4055" s="15">
        <f>IFERROR(__xludf.DUMMYFUNCTION("""COMPUTED_VALUE"""),1.007)</f>
        <v>1.007</v>
      </c>
      <c r="E4055" s="16">
        <f>IFERROR(__xludf.DUMMYFUNCTION("""COMPUTED_VALUE"""),63.0)</f>
        <v>63</v>
      </c>
      <c r="F4055" s="19" t="str">
        <f>IFERROR(__xludf.DUMMYFUNCTION("""COMPUTED_VALUE"""),"BLUE")</f>
        <v>BLUE</v>
      </c>
      <c r="G4055" s="20" t="str">
        <f>IFERROR(__xludf.DUMMYFUNCTION("""COMPUTED_VALUE"""),"Uncle Sams Cider (11/12/2021) (Blue)")</f>
        <v>Uncle Sams Cider (11/12/2021) (Blue)</v>
      </c>
      <c r="H4055" s="19"/>
    </row>
    <row r="4056">
      <c r="A4056" s="9"/>
      <c r="B4056" s="15"/>
      <c r="C4056" s="9">
        <f>IFERROR(__xludf.DUMMYFUNCTION("""COMPUTED_VALUE"""),44563.2534718055)</f>
        <v>44563.25347</v>
      </c>
      <c r="D4056" s="15">
        <f>IFERROR(__xludf.DUMMYFUNCTION("""COMPUTED_VALUE"""),1.007)</f>
        <v>1.007</v>
      </c>
      <c r="E4056" s="16">
        <f>IFERROR(__xludf.DUMMYFUNCTION("""COMPUTED_VALUE"""),63.0)</f>
        <v>63</v>
      </c>
      <c r="F4056" s="19" t="str">
        <f>IFERROR(__xludf.DUMMYFUNCTION("""COMPUTED_VALUE"""),"BLUE")</f>
        <v>BLUE</v>
      </c>
      <c r="G4056" s="20" t="str">
        <f>IFERROR(__xludf.DUMMYFUNCTION("""COMPUTED_VALUE"""),"Uncle Sams Cider (11/12/2021) (Blue)")</f>
        <v>Uncle Sams Cider (11/12/2021) (Blue)</v>
      </c>
      <c r="H4056" s="19"/>
    </row>
    <row r="4057">
      <c r="A4057" s="9"/>
      <c r="B4057" s="15"/>
      <c r="C4057" s="9">
        <f>IFERROR(__xludf.DUMMYFUNCTION("""COMPUTED_VALUE"""),44563.2430495023)</f>
        <v>44563.24305</v>
      </c>
      <c r="D4057" s="15">
        <f>IFERROR(__xludf.DUMMYFUNCTION("""COMPUTED_VALUE"""),1.007)</f>
        <v>1.007</v>
      </c>
      <c r="E4057" s="16">
        <f>IFERROR(__xludf.DUMMYFUNCTION("""COMPUTED_VALUE"""),63.0)</f>
        <v>63</v>
      </c>
      <c r="F4057" s="19" t="str">
        <f>IFERROR(__xludf.DUMMYFUNCTION("""COMPUTED_VALUE"""),"BLUE")</f>
        <v>BLUE</v>
      </c>
      <c r="G4057" s="20" t="str">
        <f>IFERROR(__xludf.DUMMYFUNCTION("""COMPUTED_VALUE"""),"Uncle Sams Cider (11/12/2021) (Blue)")</f>
        <v>Uncle Sams Cider (11/12/2021) (Blue)</v>
      </c>
      <c r="H4057" s="19"/>
    </row>
    <row r="4058">
      <c r="A4058" s="9"/>
      <c r="B4058" s="15"/>
      <c r="C4058" s="9">
        <f>IFERROR(__xludf.DUMMYFUNCTION("""COMPUTED_VALUE"""),44563.2326291319)</f>
        <v>44563.23263</v>
      </c>
      <c r="D4058" s="15">
        <f>IFERROR(__xludf.DUMMYFUNCTION("""COMPUTED_VALUE"""),1.007)</f>
        <v>1.007</v>
      </c>
      <c r="E4058" s="16">
        <f>IFERROR(__xludf.DUMMYFUNCTION("""COMPUTED_VALUE"""),63.0)</f>
        <v>63</v>
      </c>
      <c r="F4058" s="19" t="str">
        <f>IFERROR(__xludf.DUMMYFUNCTION("""COMPUTED_VALUE"""),"BLUE")</f>
        <v>BLUE</v>
      </c>
      <c r="G4058" s="20" t="str">
        <f>IFERROR(__xludf.DUMMYFUNCTION("""COMPUTED_VALUE"""),"Uncle Sams Cider (11/12/2021) (Blue)")</f>
        <v>Uncle Sams Cider (11/12/2021) (Blue)</v>
      </c>
      <c r="H4058" s="19"/>
    </row>
    <row r="4059">
      <c r="A4059" s="9"/>
      <c r="B4059" s="15"/>
      <c r="C4059" s="9">
        <f>IFERROR(__xludf.DUMMYFUNCTION("""COMPUTED_VALUE"""),44563.2222076157)</f>
        <v>44563.22221</v>
      </c>
      <c r="D4059" s="15">
        <f>IFERROR(__xludf.DUMMYFUNCTION("""COMPUTED_VALUE"""),1.007)</f>
        <v>1.007</v>
      </c>
      <c r="E4059" s="16">
        <f>IFERROR(__xludf.DUMMYFUNCTION("""COMPUTED_VALUE"""),63.0)</f>
        <v>63</v>
      </c>
      <c r="F4059" s="19" t="str">
        <f>IFERROR(__xludf.DUMMYFUNCTION("""COMPUTED_VALUE"""),"BLUE")</f>
        <v>BLUE</v>
      </c>
      <c r="G4059" s="20" t="str">
        <f>IFERROR(__xludf.DUMMYFUNCTION("""COMPUTED_VALUE"""),"Uncle Sams Cider (11/12/2021) (Blue)")</f>
        <v>Uncle Sams Cider (11/12/2021) (Blue)</v>
      </c>
      <c r="H4059" s="19"/>
    </row>
    <row r="4060">
      <c r="A4060" s="9"/>
      <c r="B4060" s="15"/>
      <c r="C4060" s="9">
        <f>IFERROR(__xludf.DUMMYFUNCTION("""COMPUTED_VALUE"""),44563.2117875347)</f>
        <v>44563.21179</v>
      </c>
      <c r="D4060" s="15">
        <f>IFERROR(__xludf.DUMMYFUNCTION("""COMPUTED_VALUE"""),1.007)</f>
        <v>1.007</v>
      </c>
      <c r="E4060" s="16">
        <f>IFERROR(__xludf.DUMMYFUNCTION("""COMPUTED_VALUE"""),63.0)</f>
        <v>63</v>
      </c>
      <c r="F4060" s="19" t="str">
        <f>IFERROR(__xludf.DUMMYFUNCTION("""COMPUTED_VALUE"""),"BLUE")</f>
        <v>BLUE</v>
      </c>
      <c r="G4060" s="20" t="str">
        <f>IFERROR(__xludf.DUMMYFUNCTION("""COMPUTED_VALUE"""),"Uncle Sams Cider (11/12/2021) (Blue)")</f>
        <v>Uncle Sams Cider (11/12/2021) (Blue)</v>
      </c>
      <c r="H4060" s="19"/>
    </row>
    <row r="4061">
      <c r="A4061" s="9"/>
      <c r="B4061" s="15"/>
      <c r="C4061" s="9">
        <f>IFERROR(__xludf.DUMMYFUNCTION("""COMPUTED_VALUE"""),44563.2013678472)</f>
        <v>44563.20137</v>
      </c>
      <c r="D4061" s="15">
        <f>IFERROR(__xludf.DUMMYFUNCTION("""COMPUTED_VALUE"""),1.007)</f>
        <v>1.007</v>
      </c>
      <c r="E4061" s="16">
        <f>IFERROR(__xludf.DUMMYFUNCTION("""COMPUTED_VALUE"""),63.0)</f>
        <v>63</v>
      </c>
      <c r="F4061" s="19" t="str">
        <f>IFERROR(__xludf.DUMMYFUNCTION("""COMPUTED_VALUE"""),"BLUE")</f>
        <v>BLUE</v>
      </c>
      <c r="G4061" s="20" t="str">
        <f>IFERROR(__xludf.DUMMYFUNCTION("""COMPUTED_VALUE"""),"Uncle Sams Cider (11/12/2021) (Blue)")</f>
        <v>Uncle Sams Cider (11/12/2021) (Blue)</v>
      </c>
      <c r="H4061" s="19"/>
    </row>
    <row r="4062">
      <c r="A4062" s="9"/>
      <c r="B4062" s="15"/>
      <c r="C4062" s="9">
        <f>IFERROR(__xludf.DUMMYFUNCTION("""COMPUTED_VALUE"""),44563.1909461921)</f>
        <v>44563.19095</v>
      </c>
      <c r="D4062" s="15">
        <f>IFERROR(__xludf.DUMMYFUNCTION("""COMPUTED_VALUE"""),1.007)</f>
        <v>1.007</v>
      </c>
      <c r="E4062" s="16">
        <f>IFERROR(__xludf.DUMMYFUNCTION("""COMPUTED_VALUE"""),63.0)</f>
        <v>63</v>
      </c>
      <c r="F4062" s="19" t="str">
        <f>IFERROR(__xludf.DUMMYFUNCTION("""COMPUTED_VALUE"""),"BLUE")</f>
        <v>BLUE</v>
      </c>
      <c r="G4062" s="20" t="str">
        <f>IFERROR(__xludf.DUMMYFUNCTION("""COMPUTED_VALUE"""),"Uncle Sams Cider (11/12/2021) (Blue)")</f>
        <v>Uncle Sams Cider (11/12/2021) (Blue)</v>
      </c>
      <c r="H4062" s="19"/>
    </row>
    <row r="4063">
      <c r="A4063" s="9"/>
      <c r="B4063" s="15"/>
      <c r="C4063" s="9">
        <f>IFERROR(__xludf.DUMMYFUNCTION("""COMPUTED_VALUE"""),44563.1805237962)</f>
        <v>44563.18052</v>
      </c>
      <c r="D4063" s="15">
        <f>IFERROR(__xludf.DUMMYFUNCTION("""COMPUTED_VALUE"""),1.007)</f>
        <v>1.007</v>
      </c>
      <c r="E4063" s="16">
        <f>IFERROR(__xludf.DUMMYFUNCTION("""COMPUTED_VALUE"""),63.0)</f>
        <v>63</v>
      </c>
      <c r="F4063" s="19" t="str">
        <f>IFERROR(__xludf.DUMMYFUNCTION("""COMPUTED_VALUE"""),"BLUE")</f>
        <v>BLUE</v>
      </c>
      <c r="G4063" s="20" t="str">
        <f>IFERROR(__xludf.DUMMYFUNCTION("""COMPUTED_VALUE"""),"Uncle Sams Cider (11/12/2021) (Blue)")</f>
        <v>Uncle Sams Cider (11/12/2021) (Blue)</v>
      </c>
      <c r="H4063" s="19"/>
    </row>
    <row r="4064">
      <c r="A4064" s="9"/>
      <c r="B4064" s="15"/>
      <c r="C4064" s="9">
        <f>IFERROR(__xludf.DUMMYFUNCTION("""COMPUTED_VALUE"""),44563.1700926273)</f>
        <v>44563.17009</v>
      </c>
      <c r="D4064" s="15">
        <f>IFERROR(__xludf.DUMMYFUNCTION("""COMPUTED_VALUE"""),1.007)</f>
        <v>1.007</v>
      </c>
      <c r="E4064" s="16">
        <f>IFERROR(__xludf.DUMMYFUNCTION("""COMPUTED_VALUE"""),63.0)</f>
        <v>63</v>
      </c>
      <c r="F4064" s="19" t="str">
        <f>IFERROR(__xludf.DUMMYFUNCTION("""COMPUTED_VALUE"""),"BLUE")</f>
        <v>BLUE</v>
      </c>
      <c r="G4064" s="20" t="str">
        <f>IFERROR(__xludf.DUMMYFUNCTION("""COMPUTED_VALUE"""),"Uncle Sams Cider (11/12/2021) (Blue)")</f>
        <v>Uncle Sams Cider (11/12/2021) (Blue)</v>
      </c>
      <c r="H4064" s="19"/>
    </row>
    <row r="4065">
      <c r="A4065" s="9"/>
      <c r="B4065" s="15"/>
      <c r="C4065" s="9">
        <f>IFERROR(__xludf.DUMMYFUNCTION("""COMPUTED_VALUE"""),44563.1596713657)</f>
        <v>44563.15967</v>
      </c>
      <c r="D4065" s="15">
        <f>IFERROR(__xludf.DUMMYFUNCTION("""COMPUTED_VALUE"""),1.007)</f>
        <v>1.007</v>
      </c>
      <c r="E4065" s="16">
        <f>IFERROR(__xludf.DUMMYFUNCTION("""COMPUTED_VALUE"""),63.0)</f>
        <v>63</v>
      </c>
      <c r="F4065" s="19" t="str">
        <f>IFERROR(__xludf.DUMMYFUNCTION("""COMPUTED_VALUE"""),"BLUE")</f>
        <v>BLUE</v>
      </c>
      <c r="G4065" s="20" t="str">
        <f>IFERROR(__xludf.DUMMYFUNCTION("""COMPUTED_VALUE"""),"Uncle Sams Cider (11/12/2021) (Blue)")</f>
        <v>Uncle Sams Cider (11/12/2021) (Blue)</v>
      </c>
      <c r="H4065" s="19"/>
    </row>
    <row r="4066">
      <c r="A4066" s="9"/>
      <c r="B4066" s="15"/>
      <c r="C4066" s="9">
        <f>IFERROR(__xludf.DUMMYFUNCTION("""COMPUTED_VALUE"""),44563.1492508796)</f>
        <v>44563.14925</v>
      </c>
      <c r="D4066" s="15">
        <f>IFERROR(__xludf.DUMMYFUNCTION("""COMPUTED_VALUE"""),1.007)</f>
        <v>1.007</v>
      </c>
      <c r="E4066" s="16">
        <f>IFERROR(__xludf.DUMMYFUNCTION("""COMPUTED_VALUE"""),63.0)</f>
        <v>63</v>
      </c>
      <c r="F4066" s="19" t="str">
        <f>IFERROR(__xludf.DUMMYFUNCTION("""COMPUTED_VALUE"""),"BLUE")</f>
        <v>BLUE</v>
      </c>
      <c r="G4066" s="20" t="str">
        <f>IFERROR(__xludf.DUMMYFUNCTION("""COMPUTED_VALUE"""),"Uncle Sams Cider (11/12/2021) (Blue)")</f>
        <v>Uncle Sams Cider (11/12/2021) (Blue)</v>
      </c>
      <c r="H4066" s="19"/>
    </row>
    <row r="4067">
      <c r="A4067" s="9"/>
      <c r="B4067" s="15"/>
      <c r="C4067" s="9">
        <f>IFERROR(__xludf.DUMMYFUNCTION("""COMPUTED_VALUE"""),44563.1388309837)</f>
        <v>44563.13883</v>
      </c>
      <c r="D4067" s="15">
        <f>IFERROR(__xludf.DUMMYFUNCTION("""COMPUTED_VALUE"""),1.007)</f>
        <v>1.007</v>
      </c>
      <c r="E4067" s="16">
        <f>IFERROR(__xludf.DUMMYFUNCTION("""COMPUTED_VALUE"""),63.0)</f>
        <v>63</v>
      </c>
      <c r="F4067" s="19" t="str">
        <f>IFERROR(__xludf.DUMMYFUNCTION("""COMPUTED_VALUE"""),"BLUE")</f>
        <v>BLUE</v>
      </c>
      <c r="G4067" s="20" t="str">
        <f>IFERROR(__xludf.DUMMYFUNCTION("""COMPUTED_VALUE"""),"Uncle Sams Cider (11/12/2021) (Blue)")</f>
        <v>Uncle Sams Cider (11/12/2021) (Blue)</v>
      </c>
      <c r="H4067" s="19"/>
    </row>
    <row r="4068">
      <c r="A4068" s="9"/>
      <c r="B4068" s="15"/>
      <c r="C4068" s="9">
        <f>IFERROR(__xludf.DUMMYFUNCTION("""COMPUTED_VALUE"""),44563.128411574)</f>
        <v>44563.12841</v>
      </c>
      <c r="D4068" s="15">
        <f>IFERROR(__xludf.DUMMYFUNCTION("""COMPUTED_VALUE"""),1.007)</f>
        <v>1.007</v>
      </c>
      <c r="E4068" s="16">
        <f>IFERROR(__xludf.DUMMYFUNCTION("""COMPUTED_VALUE"""),63.0)</f>
        <v>63</v>
      </c>
      <c r="F4068" s="19" t="str">
        <f>IFERROR(__xludf.DUMMYFUNCTION("""COMPUTED_VALUE"""),"BLUE")</f>
        <v>BLUE</v>
      </c>
      <c r="G4068" s="20" t="str">
        <f>IFERROR(__xludf.DUMMYFUNCTION("""COMPUTED_VALUE"""),"Uncle Sams Cider (11/12/2021) (Blue)")</f>
        <v>Uncle Sams Cider (11/12/2021) (Blue)</v>
      </c>
      <c r="H4068" s="19"/>
    </row>
    <row r="4069">
      <c r="A4069" s="9"/>
      <c r="B4069" s="15"/>
      <c r="C4069" s="9">
        <f>IFERROR(__xludf.DUMMYFUNCTION("""COMPUTED_VALUE"""),44563.1179896759)</f>
        <v>44563.11799</v>
      </c>
      <c r="D4069" s="15">
        <f>IFERROR(__xludf.DUMMYFUNCTION("""COMPUTED_VALUE"""),1.007)</f>
        <v>1.007</v>
      </c>
      <c r="E4069" s="16">
        <f>IFERROR(__xludf.DUMMYFUNCTION("""COMPUTED_VALUE"""),63.0)</f>
        <v>63</v>
      </c>
      <c r="F4069" s="19" t="str">
        <f>IFERROR(__xludf.DUMMYFUNCTION("""COMPUTED_VALUE"""),"BLUE")</f>
        <v>BLUE</v>
      </c>
      <c r="G4069" s="20" t="str">
        <f>IFERROR(__xludf.DUMMYFUNCTION("""COMPUTED_VALUE"""),"Uncle Sams Cider (11/12/2021) (Blue)")</f>
        <v>Uncle Sams Cider (11/12/2021) (Blue)</v>
      </c>
      <c r="H4069" s="19"/>
    </row>
    <row r="4070">
      <c r="A4070" s="9"/>
      <c r="B4070" s="15"/>
      <c r="C4070" s="9">
        <f>IFERROR(__xludf.DUMMYFUNCTION("""COMPUTED_VALUE"""),44563.1075464351)</f>
        <v>44563.10755</v>
      </c>
      <c r="D4070" s="15">
        <f>IFERROR(__xludf.DUMMYFUNCTION("""COMPUTED_VALUE"""),1.007)</f>
        <v>1.007</v>
      </c>
      <c r="E4070" s="16">
        <f>IFERROR(__xludf.DUMMYFUNCTION("""COMPUTED_VALUE"""),63.0)</f>
        <v>63</v>
      </c>
      <c r="F4070" s="19" t="str">
        <f>IFERROR(__xludf.DUMMYFUNCTION("""COMPUTED_VALUE"""),"BLUE")</f>
        <v>BLUE</v>
      </c>
      <c r="G4070" s="20" t="str">
        <f>IFERROR(__xludf.DUMMYFUNCTION("""COMPUTED_VALUE"""),"Uncle Sams Cider (11/12/2021) (Blue)")</f>
        <v>Uncle Sams Cider (11/12/2021) (Blue)</v>
      </c>
      <c r="H4070" s="19"/>
    </row>
    <row r="4071">
      <c r="A4071" s="9"/>
      <c r="B4071" s="15"/>
      <c r="C4071" s="9">
        <f>IFERROR(__xludf.DUMMYFUNCTION("""COMPUTED_VALUE"""),44563.097125162)</f>
        <v>44563.09713</v>
      </c>
      <c r="D4071" s="15">
        <f>IFERROR(__xludf.DUMMYFUNCTION("""COMPUTED_VALUE"""),1.007)</f>
        <v>1.007</v>
      </c>
      <c r="E4071" s="16">
        <f>IFERROR(__xludf.DUMMYFUNCTION("""COMPUTED_VALUE"""),63.0)</f>
        <v>63</v>
      </c>
      <c r="F4071" s="19" t="str">
        <f>IFERROR(__xludf.DUMMYFUNCTION("""COMPUTED_VALUE"""),"BLUE")</f>
        <v>BLUE</v>
      </c>
      <c r="G4071" s="20" t="str">
        <f>IFERROR(__xludf.DUMMYFUNCTION("""COMPUTED_VALUE"""),"Uncle Sams Cider (11/12/2021) (Blue)")</f>
        <v>Uncle Sams Cider (11/12/2021) (Blue)</v>
      </c>
      <c r="H4071" s="19"/>
    </row>
    <row r="4072">
      <c r="A4072" s="9"/>
      <c r="B4072" s="15"/>
      <c r="C4072" s="9">
        <f>IFERROR(__xludf.DUMMYFUNCTION("""COMPUTED_VALUE"""),44563.086703912)</f>
        <v>44563.0867</v>
      </c>
      <c r="D4072" s="15">
        <f>IFERROR(__xludf.DUMMYFUNCTION("""COMPUTED_VALUE"""),1.007)</f>
        <v>1.007</v>
      </c>
      <c r="E4072" s="16">
        <f>IFERROR(__xludf.DUMMYFUNCTION("""COMPUTED_VALUE"""),63.0)</f>
        <v>63</v>
      </c>
      <c r="F4072" s="19" t="str">
        <f>IFERROR(__xludf.DUMMYFUNCTION("""COMPUTED_VALUE"""),"BLUE")</f>
        <v>BLUE</v>
      </c>
      <c r="G4072" s="20" t="str">
        <f>IFERROR(__xludf.DUMMYFUNCTION("""COMPUTED_VALUE"""),"Uncle Sams Cider (11/12/2021) (Blue)")</f>
        <v>Uncle Sams Cider (11/12/2021) (Blue)</v>
      </c>
      <c r="H4072" s="19"/>
    </row>
    <row r="4073">
      <c r="A4073" s="9"/>
      <c r="B4073" s="15"/>
      <c r="C4073" s="9">
        <f>IFERROR(__xludf.DUMMYFUNCTION("""COMPUTED_VALUE"""),44563.0762707986)</f>
        <v>44563.07627</v>
      </c>
      <c r="D4073" s="15">
        <f>IFERROR(__xludf.DUMMYFUNCTION("""COMPUTED_VALUE"""),1.007)</f>
        <v>1.007</v>
      </c>
      <c r="E4073" s="16">
        <f>IFERROR(__xludf.DUMMYFUNCTION("""COMPUTED_VALUE"""),63.0)</f>
        <v>63</v>
      </c>
      <c r="F4073" s="19" t="str">
        <f>IFERROR(__xludf.DUMMYFUNCTION("""COMPUTED_VALUE"""),"BLUE")</f>
        <v>BLUE</v>
      </c>
      <c r="G4073" s="20" t="str">
        <f>IFERROR(__xludf.DUMMYFUNCTION("""COMPUTED_VALUE"""),"Uncle Sams Cider (11/12/2021) (Blue)")</f>
        <v>Uncle Sams Cider (11/12/2021) (Blue)</v>
      </c>
      <c r="H4073" s="19"/>
    </row>
    <row r="4074">
      <c r="A4074" s="9"/>
      <c r="B4074" s="15"/>
      <c r="C4074" s="9">
        <f>IFERROR(__xludf.DUMMYFUNCTION("""COMPUTED_VALUE"""),44563.0658490509)</f>
        <v>44563.06585</v>
      </c>
      <c r="D4074" s="15">
        <f>IFERROR(__xludf.DUMMYFUNCTION("""COMPUTED_VALUE"""),1.007)</f>
        <v>1.007</v>
      </c>
      <c r="E4074" s="16">
        <f>IFERROR(__xludf.DUMMYFUNCTION("""COMPUTED_VALUE"""),63.0)</f>
        <v>63</v>
      </c>
      <c r="F4074" s="19" t="str">
        <f>IFERROR(__xludf.DUMMYFUNCTION("""COMPUTED_VALUE"""),"BLUE")</f>
        <v>BLUE</v>
      </c>
      <c r="G4074" s="20" t="str">
        <f>IFERROR(__xludf.DUMMYFUNCTION("""COMPUTED_VALUE"""),"Uncle Sams Cider (11/12/2021) (Blue)")</f>
        <v>Uncle Sams Cider (11/12/2021) (Blue)</v>
      </c>
      <c r="H4074" s="19"/>
    </row>
    <row r="4075">
      <c r="A4075" s="9"/>
      <c r="B4075" s="15"/>
      <c r="C4075" s="9">
        <f>IFERROR(__xludf.DUMMYFUNCTION("""COMPUTED_VALUE"""),44563.0554274189)</f>
        <v>44563.05543</v>
      </c>
      <c r="D4075" s="15">
        <f>IFERROR(__xludf.DUMMYFUNCTION("""COMPUTED_VALUE"""),1.007)</f>
        <v>1.007</v>
      </c>
      <c r="E4075" s="16">
        <f>IFERROR(__xludf.DUMMYFUNCTION("""COMPUTED_VALUE"""),63.0)</f>
        <v>63</v>
      </c>
      <c r="F4075" s="19" t="str">
        <f>IFERROR(__xludf.DUMMYFUNCTION("""COMPUTED_VALUE"""),"BLUE")</f>
        <v>BLUE</v>
      </c>
      <c r="G4075" s="20" t="str">
        <f>IFERROR(__xludf.DUMMYFUNCTION("""COMPUTED_VALUE"""),"Uncle Sams Cider (11/12/2021) (Blue)")</f>
        <v>Uncle Sams Cider (11/12/2021) (Blue)</v>
      </c>
      <c r="H4075" s="19"/>
    </row>
    <row r="4076">
      <c r="A4076" s="9"/>
      <c r="B4076" s="15"/>
      <c r="C4076" s="9">
        <f>IFERROR(__xludf.DUMMYFUNCTION("""COMPUTED_VALUE"""),44563.0450064004)</f>
        <v>44563.04501</v>
      </c>
      <c r="D4076" s="15">
        <f>IFERROR(__xludf.DUMMYFUNCTION("""COMPUTED_VALUE"""),1.007)</f>
        <v>1.007</v>
      </c>
      <c r="E4076" s="16">
        <f>IFERROR(__xludf.DUMMYFUNCTION("""COMPUTED_VALUE"""),63.0)</f>
        <v>63</v>
      </c>
      <c r="F4076" s="19" t="str">
        <f>IFERROR(__xludf.DUMMYFUNCTION("""COMPUTED_VALUE"""),"BLUE")</f>
        <v>BLUE</v>
      </c>
      <c r="G4076" s="20" t="str">
        <f>IFERROR(__xludf.DUMMYFUNCTION("""COMPUTED_VALUE"""),"Uncle Sams Cider (11/12/2021) (Blue)")</f>
        <v>Uncle Sams Cider (11/12/2021) (Blue)</v>
      </c>
      <c r="H4076" s="19"/>
    </row>
    <row r="4077">
      <c r="A4077" s="9"/>
      <c r="B4077" s="15"/>
      <c r="C4077" s="9">
        <f>IFERROR(__xludf.DUMMYFUNCTION("""COMPUTED_VALUE"""),44563.0345856481)</f>
        <v>44563.03459</v>
      </c>
      <c r="D4077" s="15">
        <f>IFERROR(__xludf.DUMMYFUNCTION("""COMPUTED_VALUE"""),1.007)</f>
        <v>1.007</v>
      </c>
      <c r="E4077" s="16">
        <f>IFERROR(__xludf.DUMMYFUNCTION("""COMPUTED_VALUE"""),63.0)</f>
        <v>63</v>
      </c>
      <c r="F4077" s="19" t="str">
        <f>IFERROR(__xludf.DUMMYFUNCTION("""COMPUTED_VALUE"""),"BLUE")</f>
        <v>BLUE</v>
      </c>
      <c r="G4077" s="20" t="str">
        <f>IFERROR(__xludf.DUMMYFUNCTION("""COMPUTED_VALUE"""),"Uncle Sams Cider (11/12/2021) (Blue)")</f>
        <v>Uncle Sams Cider (11/12/2021) (Blue)</v>
      </c>
      <c r="H4077" s="19"/>
    </row>
    <row r="4078">
      <c r="A4078" s="9"/>
      <c r="B4078" s="15"/>
      <c r="C4078" s="9">
        <f>IFERROR(__xludf.DUMMYFUNCTION("""COMPUTED_VALUE"""),44563.0241649189)</f>
        <v>44563.02416</v>
      </c>
      <c r="D4078" s="15">
        <f>IFERROR(__xludf.DUMMYFUNCTION("""COMPUTED_VALUE"""),1.007)</f>
        <v>1.007</v>
      </c>
      <c r="E4078" s="16">
        <f>IFERROR(__xludf.DUMMYFUNCTION("""COMPUTED_VALUE"""),63.0)</f>
        <v>63</v>
      </c>
      <c r="F4078" s="19" t="str">
        <f>IFERROR(__xludf.DUMMYFUNCTION("""COMPUTED_VALUE"""),"BLUE")</f>
        <v>BLUE</v>
      </c>
      <c r="G4078" s="20" t="str">
        <f>IFERROR(__xludf.DUMMYFUNCTION("""COMPUTED_VALUE"""),"Uncle Sams Cider (11/12/2021) (Blue)")</f>
        <v>Uncle Sams Cider (11/12/2021) (Blue)</v>
      </c>
      <c r="H4078" s="19"/>
    </row>
    <row r="4079">
      <c r="A4079" s="9"/>
      <c r="B4079" s="15"/>
      <c r="C4079" s="9">
        <f>IFERROR(__xludf.DUMMYFUNCTION("""COMPUTED_VALUE"""),44563.0137461111)</f>
        <v>44563.01375</v>
      </c>
      <c r="D4079" s="15">
        <f>IFERROR(__xludf.DUMMYFUNCTION("""COMPUTED_VALUE"""),1.007)</f>
        <v>1.007</v>
      </c>
      <c r="E4079" s="16">
        <f>IFERROR(__xludf.DUMMYFUNCTION("""COMPUTED_VALUE"""),63.0)</f>
        <v>63</v>
      </c>
      <c r="F4079" s="19" t="str">
        <f>IFERROR(__xludf.DUMMYFUNCTION("""COMPUTED_VALUE"""),"BLUE")</f>
        <v>BLUE</v>
      </c>
      <c r="G4079" s="20" t="str">
        <f>IFERROR(__xludf.DUMMYFUNCTION("""COMPUTED_VALUE"""),"Uncle Sams Cider (11/12/2021) (Blue)")</f>
        <v>Uncle Sams Cider (11/12/2021) (Blue)</v>
      </c>
      <c r="H4079" s="19"/>
    </row>
    <row r="4080">
      <c r="A4080" s="9"/>
      <c r="B4080" s="15"/>
      <c r="C4080" s="9">
        <f>IFERROR(__xludf.DUMMYFUNCTION("""COMPUTED_VALUE"""),44563.0033259259)</f>
        <v>44563.00333</v>
      </c>
      <c r="D4080" s="15">
        <f>IFERROR(__xludf.DUMMYFUNCTION("""COMPUTED_VALUE"""),1.007)</f>
        <v>1.007</v>
      </c>
      <c r="E4080" s="16">
        <f>IFERROR(__xludf.DUMMYFUNCTION("""COMPUTED_VALUE"""),63.0)</f>
        <v>63</v>
      </c>
      <c r="F4080" s="19" t="str">
        <f>IFERROR(__xludf.DUMMYFUNCTION("""COMPUTED_VALUE"""),"BLUE")</f>
        <v>BLUE</v>
      </c>
      <c r="G4080" s="20" t="str">
        <f>IFERROR(__xludf.DUMMYFUNCTION("""COMPUTED_VALUE"""),"Uncle Sams Cider (11/12/2021) (Blue)")</f>
        <v>Uncle Sams Cider (11/12/2021) (Blue)</v>
      </c>
      <c r="H4080" s="19"/>
    </row>
    <row r="4081">
      <c r="A4081" s="9"/>
      <c r="B4081" s="15"/>
      <c r="C4081" s="9">
        <f>IFERROR(__xludf.DUMMYFUNCTION("""COMPUTED_VALUE"""),44562.9928934606)</f>
        <v>44562.99289</v>
      </c>
      <c r="D4081" s="15">
        <f>IFERROR(__xludf.DUMMYFUNCTION("""COMPUTED_VALUE"""),1.007)</f>
        <v>1.007</v>
      </c>
      <c r="E4081" s="16">
        <f>IFERROR(__xludf.DUMMYFUNCTION("""COMPUTED_VALUE"""),63.0)</f>
        <v>63</v>
      </c>
      <c r="F4081" s="19" t="str">
        <f>IFERROR(__xludf.DUMMYFUNCTION("""COMPUTED_VALUE"""),"BLUE")</f>
        <v>BLUE</v>
      </c>
      <c r="G4081" s="20" t="str">
        <f>IFERROR(__xludf.DUMMYFUNCTION("""COMPUTED_VALUE"""),"Uncle Sams Cider (11/12/2021) (Blue)")</f>
        <v>Uncle Sams Cider (11/12/2021) (Blue)</v>
      </c>
      <c r="H4081" s="19"/>
    </row>
    <row r="4082">
      <c r="A4082" s="9"/>
      <c r="B4082" s="15"/>
      <c r="C4082" s="9">
        <f>IFERROR(__xludf.DUMMYFUNCTION("""COMPUTED_VALUE"""),44562.982473125)</f>
        <v>44562.98247</v>
      </c>
      <c r="D4082" s="15">
        <f>IFERROR(__xludf.DUMMYFUNCTION("""COMPUTED_VALUE"""),1.007)</f>
        <v>1.007</v>
      </c>
      <c r="E4082" s="16">
        <f>IFERROR(__xludf.DUMMYFUNCTION("""COMPUTED_VALUE"""),63.0)</f>
        <v>63</v>
      </c>
      <c r="F4082" s="19" t="str">
        <f>IFERROR(__xludf.DUMMYFUNCTION("""COMPUTED_VALUE"""),"BLUE")</f>
        <v>BLUE</v>
      </c>
      <c r="G4082" s="20" t="str">
        <f>IFERROR(__xludf.DUMMYFUNCTION("""COMPUTED_VALUE"""),"Uncle Sams Cider (11/12/2021) (Blue)")</f>
        <v>Uncle Sams Cider (11/12/2021) (Blue)</v>
      </c>
      <c r="H4082" s="19"/>
    </row>
    <row r="4083">
      <c r="A4083" s="9"/>
      <c r="B4083" s="15"/>
      <c r="C4083" s="9">
        <f>IFERROR(__xludf.DUMMYFUNCTION("""COMPUTED_VALUE"""),44562.9616306481)</f>
        <v>44562.96163</v>
      </c>
      <c r="D4083" s="15">
        <f>IFERROR(__xludf.DUMMYFUNCTION("""COMPUTED_VALUE"""),1.007)</f>
        <v>1.007</v>
      </c>
      <c r="E4083" s="16">
        <f>IFERROR(__xludf.DUMMYFUNCTION("""COMPUTED_VALUE"""),63.0)</f>
        <v>63</v>
      </c>
      <c r="F4083" s="19" t="str">
        <f>IFERROR(__xludf.DUMMYFUNCTION("""COMPUTED_VALUE"""),"BLUE")</f>
        <v>BLUE</v>
      </c>
      <c r="G4083" s="20" t="str">
        <f>IFERROR(__xludf.DUMMYFUNCTION("""COMPUTED_VALUE"""),"Uncle Sams Cider (11/12/2021) (Blue)")</f>
        <v>Uncle Sams Cider (11/12/2021) (Blue)</v>
      </c>
      <c r="H4083" s="19"/>
    </row>
    <row r="4084">
      <c r="A4084" s="9"/>
      <c r="B4084" s="15"/>
      <c r="C4084" s="9">
        <f>IFERROR(__xludf.DUMMYFUNCTION("""COMPUTED_VALUE"""),44562.9512105555)</f>
        <v>44562.95121</v>
      </c>
      <c r="D4084" s="15">
        <f>IFERROR(__xludf.DUMMYFUNCTION("""COMPUTED_VALUE"""),1.007)</f>
        <v>1.007</v>
      </c>
      <c r="E4084" s="16">
        <f>IFERROR(__xludf.DUMMYFUNCTION("""COMPUTED_VALUE"""),63.0)</f>
        <v>63</v>
      </c>
      <c r="F4084" s="19" t="str">
        <f>IFERROR(__xludf.DUMMYFUNCTION("""COMPUTED_VALUE"""),"BLUE")</f>
        <v>BLUE</v>
      </c>
      <c r="G4084" s="20" t="str">
        <f>IFERROR(__xludf.DUMMYFUNCTION("""COMPUTED_VALUE"""),"Uncle Sams Cider (11/12/2021) (Blue)")</f>
        <v>Uncle Sams Cider (11/12/2021) (Blue)</v>
      </c>
      <c r="H4084" s="19"/>
    </row>
    <row r="4085">
      <c r="A4085" s="9"/>
      <c r="B4085" s="15"/>
      <c r="C4085" s="9">
        <f>IFERROR(__xludf.DUMMYFUNCTION("""COMPUTED_VALUE"""),44562.9407877662)</f>
        <v>44562.94079</v>
      </c>
      <c r="D4085" s="15">
        <f>IFERROR(__xludf.DUMMYFUNCTION("""COMPUTED_VALUE"""),1.007)</f>
        <v>1.007</v>
      </c>
      <c r="E4085" s="16">
        <f>IFERROR(__xludf.DUMMYFUNCTION("""COMPUTED_VALUE"""),63.0)</f>
        <v>63</v>
      </c>
      <c r="F4085" s="19" t="str">
        <f>IFERROR(__xludf.DUMMYFUNCTION("""COMPUTED_VALUE"""),"BLUE")</f>
        <v>BLUE</v>
      </c>
      <c r="G4085" s="20" t="str">
        <f>IFERROR(__xludf.DUMMYFUNCTION("""COMPUTED_VALUE"""),"Uncle Sams Cider (11/12/2021) (Blue)")</f>
        <v>Uncle Sams Cider (11/12/2021) (Blue)</v>
      </c>
      <c r="H4085" s="19"/>
    </row>
    <row r="4086">
      <c r="A4086" s="9"/>
      <c r="B4086" s="15"/>
      <c r="C4086" s="9">
        <f>IFERROR(__xludf.DUMMYFUNCTION("""COMPUTED_VALUE"""),44562.9303557291)</f>
        <v>44562.93036</v>
      </c>
      <c r="D4086" s="15">
        <f>IFERROR(__xludf.DUMMYFUNCTION("""COMPUTED_VALUE"""),1.007)</f>
        <v>1.007</v>
      </c>
      <c r="E4086" s="16">
        <f>IFERROR(__xludf.DUMMYFUNCTION("""COMPUTED_VALUE"""),63.0)</f>
        <v>63</v>
      </c>
      <c r="F4086" s="19" t="str">
        <f>IFERROR(__xludf.DUMMYFUNCTION("""COMPUTED_VALUE"""),"BLUE")</f>
        <v>BLUE</v>
      </c>
      <c r="G4086" s="20" t="str">
        <f>IFERROR(__xludf.DUMMYFUNCTION("""COMPUTED_VALUE"""),"Uncle Sams Cider (11/12/2021) (Blue)")</f>
        <v>Uncle Sams Cider (11/12/2021) (Blue)</v>
      </c>
      <c r="H4086" s="19"/>
    </row>
    <row r="4087">
      <c r="A4087" s="9"/>
      <c r="B4087" s="15"/>
      <c r="C4087" s="9">
        <f>IFERROR(__xludf.DUMMYFUNCTION("""COMPUTED_VALUE"""),44562.9199213194)</f>
        <v>44562.91992</v>
      </c>
      <c r="D4087" s="15">
        <f>IFERROR(__xludf.DUMMYFUNCTION("""COMPUTED_VALUE"""),1.007)</f>
        <v>1.007</v>
      </c>
      <c r="E4087" s="16">
        <f>IFERROR(__xludf.DUMMYFUNCTION("""COMPUTED_VALUE"""),63.0)</f>
        <v>63</v>
      </c>
      <c r="F4087" s="19" t="str">
        <f>IFERROR(__xludf.DUMMYFUNCTION("""COMPUTED_VALUE"""),"BLUE")</f>
        <v>BLUE</v>
      </c>
      <c r="G4087" s="20" t="str">
        <f>IFERROR(__xludf.DUMMYFUNCTION("""COMPUTED_VALUE"""),"Uncle Sams Cider (11/12/2021) (Blue)")</f>
        <v>Uncle Sams Cider (11/12/2021) (Blue)</v>
      </c>
      <c r="H4087" s="19"/>
    </row>
    <row r="4088">
      <c r="A4088" s="9"/>
      <c r="B4088" s="15"/>
      <c r="C4088" s="9">
        <f>IFERROR(__xludf.DUMMYFUNCTION("""COMPUTED_VALUE"""),44562.9094981828)</f>
        <v>44562.9095</v>
      </c>
      <c r="D4088" s="15">
        <f>IFERROR(__xludf.DUMMYFUNCTION("""COMPUTED_VALUE"""),1.007)</f>
        <v>1.007</v>
      </c>
      <c r="E4088" s="16">
        <f>IFERROR(__xludf.DUMMYFUNCTION("""COMPUTED_VALUE"""),63.0)</f>
        <v>63</v>
      </c>
      <c r="F4088" s="19" t="str">
        <f>IFERROR(__xludf.DUMMYFUNCTION("""COMPUTED_VALUE"""),"BLUE")</f>
        <v>BLUE</v>
      </c>
      <c r="G4088" s="20" t="str">
        <f>IFERROR(__xludf.DUMMYFUNCTION("""COMPUTED_VALUE"""),"Uncle Sams Cider (11/12/2021) (Blue)")</f>
        <v>Uncle Sams Cider (11/12/2021) (Blue)</v>
      </c>
      <c r="H4088" s="19"/>
    </row>
    <row r="4089">
      <c r="A4089" s="9"/>
      <c r="B4089" s="15"/>
      <c r="C4089" s="9">
        <f>IFERROR(__xludf.DUMMYFUNCTION("""COMPUTED_VALUE"""),44562.8990680208)</f>
        <v>44562.89907</v>
      </c>
      <c r="D4089" s="15">
        <f>IFERROR(__xludf.DUMMYFUNCTION("""COMPUTED_VALUE"""),1.007)</f>
        <v>1.007</v>
      </c>
      <c r="E4089" s="16">
        <f>IFERROR(__xludf.DUMMYFUNCTION("""COMPUTED_VALUE"""),63.0)</f>
        <v>63</v>
      </c>
      <c r="F4089" s="19" t="str">
        <f>IFERROR(__xludf.DUMMYFUNCTION("""COMPUTED_VALUE"""),"BLUE")</f>
        <v>BLUE</v>
      </c>
      <c r="G4089" s="20" t="str">
        <f>IFERROR(__xludf.DUMMYFUNCTION("""COMPUTED_VALUE"""),"Uncle Sams Cider (11/12/2021) (Blue)")</f>
        <v>Uncle Sams Cider (11/12/2021) (Blue)</v>
      </c>
      <c r="H4089" s="19"/>
    </row>
    <row r="4090">
      <c r="A4090" s="9"/>
      <c r="B4090" s="15"/>
      <c r="C4090" s="9">
        <f>IFERROR(__xludf.DUMMYFUNCTION("""COMPUTED_VALUE"""),44562.8886474884)</f>
        <v>44562.88865</v>
      </c>
      <c r="D4090" s="15">
        <f>IFERROR(__xludf.DUMMYFUNCTION("""COMPUTED_VALUE"""),1.007)</f>
        <v>1.007</v>
      </c>
      <c r="E4090" s="16">
        <f>IFERROR(__xludf.DUMMYFUNCTION("""COMPUTED_VALUE"""),63.0)</f>
        <v>63</v>
      </c>
      <c r="F4090" s="19" t="str">
        <f>IFERROR(__xludf.DUMMYFUNCTION("""COMPUTED_VALUE"""),"BLUE")</f>
        <v>BLUE</v>
      </c>
      <c r="G4090" s="20" t="str">
        <f>IFERROR(__xludf.DUMMYFUNCTION("""COMPUTED_VALUE"""),"Uncle Sams Cider (11/12/2021) (Blue)")</f>
        <v>Uncle Sams Cider (11/12/2021) (Blue)</v>
      </c>
      <c r="H4090" s="19"/>
    </row>
    <row r="4091">
      <c r="A4091" s="9"/>
      <c r="B4091" s="15"/>
      <c r="C4091" s="9">
        <f>IFERROR(__xludf.DUMMYFUNCTION("""COMPUTED_VALUE"""),44562.8782264236)</f>
        <v>44562.87823</v>
      </c>
      <c r="D4091" s="15">
        <f>IFERROR(__xludf.DUMMYFUNCTION("""COMPUTED_VALUE"""),1.007)</f>
        <v>1.007</v>
      </c>
      <c r="E4091" s="16">
        <f>IFERROR(__xludf.DUMMYFUNCTION("""COMPUTED_VALUE"""),63.0)</f>
        <v>63</v>
      </c>
      <c r="F4091" s="19" t="str">
        <f>IFERROR(__xludf.DUMMYFUNCTION("""COMPUTED_VALUE"""),"BLUE")</f>
        <v>BLUE</v>
      </c>
      <c r="G4091" s="20" t="str">
        <f>IFERROR(__xludf.DUMMYFUNCTION("""COMPUTED_VALUE"""),"Uncle Sams Cider (11/12/2021) (Blue)")</f>
        <v>Uncle Sams Cider (11/12/2021) (Blue)</v>
      </c>
      <c r="H4091" s="19"/>
    </row>
    <row r="4092">
      <c r="A4092" s="9"/>
      <c r="B4092" s="15"/>
      <c r="C4092" s="9">
        <f>IFERROR(__xludf.DUMMYFUNCTION("""COMPUTED_VALUE"""),44562.867791956)</f>
        <v>44562.86779</v>
      </c>
      <c r="D4092" s="15">
        <f>IFERROR(__xludf.DUMMYFUNCTION("""COMPUTED_VALUE"""),1.007)</f>
        <v>1.007</v>
      </c>
      <c r="E4092" s="16">
        <f>IFERROR(__xludf.DUMMYFUNCTION("""COMPUTED_VALUE"""),63.0)</f>
        <v>63</v>
      </c>
      <c r="F4092" s="19" t="str">
        <f>IFERROR(__xludf.DUMMYFUNCTION("""COMPUTED_VALUE"""),"BLUE")</f>
        <v>BLUE</v>
      </c>
      <c r="G4092" s="20" t="str">
        <f>IFERROR(__xludf.DUMMYFUNCTION("""COMPUTED_VALUE"""),"Uncle Sams Cider (11/12/2021) (Blue)")</f>
        <v>Uncle Sams Cider (11/12/2021) (Blue)</v>
      </c>
      <c r="H4092" s="19"/>
    </row>
    <row r="4093">
      <c r="A4093" s="9"/>
      <c r="B4093" s="15"/>
      <c r="C4093" s="9">
        <f>IFERROR(__xludf.DUMMYFUNCTION("""COMPUTED_VALUE"""),44562.8573690625)</f>
        <v>44562.85737</v>
      </c>
      <c r="D4093" s="15">
        <f>IFERROR(__xludf.DUMMYFUNCTION("""COMPUTED_VALUE"""),1.007)</f>
        <v>1.007</v>
      </c>
      <c r="E4093" s="16">
        <f>IFERROR(__xludf.DUMMYFUNCTION("""COMPUTED_VALUE"""),63.0)</f>
        <v>63</v>
      </c>
      <c r="F4093" s="19" t="str">
        <f>IFERROR(__xludf.DUMMYFUNCTION("""COMPUTED_VALUE"""),"BLUE")</f>
        <v>BLUE</v>
      </c>
      <c r="G4093" s="20" t="str">
        <f>IFERROR(__xludf.DUMMYFUNCTION("""COMPUTED_VALUE"""),"Uncle Sams Cider (11/12/2021) (Blue)")</f>
        <v>Uncle Sams Cider (11/12/2021) (Blue)</v>
      </c>
      <c r="H4093" s="19"/>
    </row>
    <row r="4094">
      <c r="A4094" s="9"/>
      <c r="B4094" s="15"/>
      <c r="C4094" s="9">
        <f>IFERROR(__xludf.DUMMYFUNCTION("""COMPUTED_VALUE"""),44562.8469474305)</f>
        <v>44562.84695</v>
      </c>
      <c r="D4094" s="15">
        <f>IFERROR(__xludf.DUMMYFUNCTION("""COMPUTED_VALUE"""),1.007)</f>
        <v>1.007</v>
      </c>
      <c r="E4094" s="16">
        <f>IFERROR(__xludf.DUMMYFUNCTION("""COMPUTED_VALUE"""),63.0)</f>
        <v>63</v>
      </c>
      <c r="F4094" s="19" t="str">
        <f>IFERROR(__xludf.DUMMYFUNCTION("""COMPUTED_VALUE"""),"BLUE")</f>
        <v>BLUE</v>
      </c>
      <c r="G4094" s="20" t="str">
        <f>IFERROR(__xludf.DUMMYFUNCTION("""COMPUTED_VALUE"""),"Uncle Sams Cider (11/12/2021) (Blue)")</f>
        <v>Uncle Sams Cider (11/12/2021) (Blue)</v>
      </c>
      <c r="H4094" s="19"/>
    </row>
    <row r="4095">
      <c r="A4095" s="9"/>
      <c r="B4095" s="15"/>
      <c r="C4095" s="9">
        <f>IFERROR(__xludf.DUMMYFUNCTION("""COMPUTED_VALUE"""),44562.8365134375)</f>
        <v>44562.83651</v>
      </c>
      <c r="D4095" s="15">
        <f>IFERROR(__xludf.DUMMYFUNCTION("""COMPUTED_VALUE"""),1.007)</f>
        <v>1.007</v>
      </c>
      <c r="E4095" s="16">
        <f>IFERROR(__xludf.DUMMYFUNCTION("""COMPUTED_VALUE"""),63.0)</f>
        <v>63</v>
      </c>
      <c r="F4095" s="19" t="str">
        <f>IFERROR(__xludf.DUMMYFUNCTION("""COMPUTED_VALUE"""),"BLUE")</f>
        <v>BLUE</v>
      </c>
      <c r="G4095" s="20" t="str">
        <f>IFERROR(__xludf.DUMMYFUNCTION("""COMPUTED_VALUE"""),"Uncle Sams Cider (11/12/2021) (Blue)")</f>
        <v>Uncle Sams Cider (11/12/2021) (Blue)</v>
      </c>
      <c r="H4095" s="19"/>
    </row>
    <row r="4096">
      <c r="A4096" s="9"/>
      <c r="B4096" s="15"/>
      <c r="C4096" s="9">
        <f>IFERROR(__xludf.DUMMYFUNCTION("""COMPUTED_VALUE"""),44562.8260687037)</f>
        <v>44562.82607</v>
      </c>
      <c r="D4096" s="15">
        <f>IFERROR(__xludf.DUMMYFUNCTION("""COMPUTED_VALUE"""),1.007)</f>
        <v>1.007</v>
      </c>
      <c r="E4096" s="16">
        <f>IFERROR(__xludf.DUMMYFUNCTION("""COMPUTED_VALUE"""),63.0)</f>
        <v>63</v>
      </c>
      <c r="F4096" s="19" t="str">
        <f>IFERROR(__xludf.DUMMYFUNCTION("""COMPUTED_VALUE"""),"BLUE")</f>
        <v>BLUE</v>
      </c>
      <c r="G4096" s="20" t="str">
        <f>IFERROR(__xludf.DUMMYFUNCTION("""COMPUTED_VALUE"""),"Uncle Sams Cider (11/12/2021) (Blue)")</f>
        <v>Uncle Sams Cider (11/12/2021) (Blue)</v>
      </c>
      <c r="H4096" s="19"/>
    </row>
    <row r="4097">
      <c r="A4097" s="9"/>
      <c r="B4097" s="15"/>
      <c r="C4097" s="9">
        <f>IFERROR(__xludf.DUMMYFUNCTION("""COMPUTED_VALUE"""),44562.8156371527)</f>
        <v>44562.81564</v>
      </c>
      <c r="D4097" s="15">
        <f>IFERROR(__xludf.DUMMYFUNCTION("""COMPUTED_VALUE"""),1.007)</f>
        <v>1.007</v>
      </c>
      <c r="E4097" s="16">
        <f>IFERROR(__xludf.DUMMYFUNCTION("""COMPUTED_VALUE"""),63.0)</f>
        <v>63</v>
      </c>
      <c r="F4097" s="19" t="str">
        <f>IFERROR(__xludf.DUMMYFUNCTION("""COMPUTED_VALUE"""),"BLUE")</f>
        <v>BLUE</v>
      </c>
      <c r="G4097" s="20" t="str">
        <f>IFERROR(__xludf.DUMMYFUNCTION("""COMPUTED_VALUE"""),"Uncle Sams Cider (11/12/2021) (Blue)")</f>
        <v>Uncle Sams Cider (11/12/2021) (Blue)</v>
      </c>
      <c r="H4097" s="19"/>
    </row>
    <row r="4098">
      <c r="A4098" s="9"/>
      <c r="B4098" s="15"/>
      <c r="C4098" s="9">
        <f>IFERROR(__xludf.DUMMYFUNCTION("""COMPUTED_VALUE"""),44562.805216412)</f>
        <v>44562.80522</v>
      </c>
      <c r="D4098" s="15">
        <f>IFERROR(__xludf.DUMMYFUNCTION("""COMPUTED_VALUE"""),1.007)</f>
        <v>1.007</v>
      </c>
      <c r="E4098" s="16">
        <f>IFERROR(__xludf.DUMMYFUNCTION("""COMPUTED_VALUE"""),63.0)</f>
        <v>63</v>
      </c>
      <c r="F4098" s="19" t="str">
        <f>IFERROR(__xludf.DUMMYFUNCTION("""COMPUTED_VALUE"""),"BLUE")</f>
        <v>BLUE</v>
      </c>
      <c r="G4098" s="20" t="str">
        <f>IFERROR(__xludf.DUMMYFUNCTION("""COMPUTED_VALUE"""),"Uncle Sams Cider (11/12/2021) (Blue)")</f>
        <v>Uncle Sams Cider (11/12/2021) (Blue)</v>
      </c>
      <c r="H4098" s="19"/>
    </row>
    <row r="4099">
      <c r="A4099" s="9"/>
      <c r="B4099" s="15"/>
      <c r="C4099" s="9">
        <f>IFERROR(__xludf.DUMMYFUNCTION("""COMPUTED_VALUE"""),44562.7947956944)</f>
        <v>44562.7948</v>
      </c>
      <c r="D4099" s="15">
        <f>IFERROR(__xludf.DUMMYFUNCTION("""COMPUTED_VALUE"""),1.007)</f>
        <v>1.007</v>
      </c>
      <c r="E4099" s="16">
        <f>IFERROR(__xludf.DUMMYFUNCTION("""COMPUTED_VALUE"""),63.0)</f>
        <v>63</v>
      </c>
      <c r="F4099" s="19" t="str">
        <f>IFERROR(__xludf.DUMMYFUNCTION("""COMPUTED_VALUE"""),"BLUE")</f>
        <v>BLUE</v>
      </c>
      <c r="G4099" s="20" t="str">
        <f>IFERROR(__xludf.DUMMYFUNCTION("""COMPUTED_VALUE"""),"Uncle Sams Cider (11/12/2021) (Blue)")</f>
        <v>Uncle Sams Cider (11/12/2021) (Blue)</v>
      </c>
      <c r="H4099" s="19"/>
    </row>
    <row r="4100">
      <c r="A4100" s="9"/>
      <c r="B4100" s="15"/>
      <c r="C4100" s="9">
        <f>IFERROR(__xludf.DUMMYFUNCTION("""COMPUTED_VALUE"""),44562.78437375)</f>
        <v>44562.78437</v>
      </c>
      <c r="D4100" s="15">
        <f>IFERROR(__xludf.DUMMYFUNCTION("""COMPUTED_VALUE"""),1.007)</f>
        <v>1.007</v>
      </c>
      <c r="E4100" s="16">
        <f>IFERROR(__xludf.DUMMYFUNCTION("""COMPUTED_VALUE"""),63.0)</f>
        <v>63</v>
      </c>
      <c r="F4100" s="19" t="str">
        <f>IFERROR(__xludf.DUMMYFUNCTION("""COMPUTED_VALUE"""),"BLUE")</f>
        <v>BLUE</v>
      </c>
      <c r="G4100" s="20" t="str">
        <f>IFERROR(__xludf.DUMMYFUNCTION("""COMPUTED_VALUE"""),"Uncle Sams Cider (11/12/2021) (Blue)")</f>
        <v>Uncle Sams Cider (11/12/2021) (Blue)</v>
      </c>
      <c r="H4100" s="19"/>
    </row>
    <row r="4101">
      <c r="A4101" s="9"/>
      <c r="B4101" s="15"/>
      <c r="C4101" s="9">
        <f>IFERROR(__xludf.DUMMYFUNCTION("""COMPUTED_VALUE"""),44562.7739513773)</f>
        <v>44562.77395</v>
      </c>
      <c r="D4101" s="15">
        <f>IFERROR(__xludf.DUMMYFUNCTION("""COMPUTED_VALUE"""),1.007)</f>
        <v>1.007</v>
      </c>
      <c r="E4101" s="16">
        <f>IFERROR(__xludf.DUMMYFUNCTION("""COMPUTED_VALUE"""),63.0)</f>
        <v>63</v>
      </c>
      <c r="F4101" s="19" t="str">
        <f>IFERROR(__xludf.DUMMYFUNCTION("""COMPUTED_VALUE"""),"BLUE")</f>
        <v>BLUE</v>
      </c>
      <c r="G4101" s="20" t="str">
        <f>IFERROR(__xludf.DUMMYFUNCTION("""COMPUTED_VALUE"""),"Uncle Sams Cider (11/12/2021) (Blue)")</f>
        <v>Uncle Sams Cider (11/12/2021) (Blue)</v>
      </c>
      <c r="H4101" s="19"/>
    </row>
    <row r="4102">
      <c r="A4102" s="9"/>
      <c r="B4102" s="15"/>
      <c r="C4102" s="9">
        <f>IFERROR(__xludf.DUMMYFUNCTION("""COMPUTED_VALUE"""),44562.7635194328)</f>
        <v>44562.76352</v>
      </c>
      <c r="D4102" s="15">
        <f>IFERROR(__xludf.DUMMYFUNCTION("""COMPUTED_VALUE"""),1.007)</f>
        <v>1.007</v>
      </c>
      <c r="E4102" s="16">
        <f>IFERROR(__xludf.DUMMYFUNCTION("""COMPUTED_VALUE"""),63.0)</f>
        <v>63</v>
      </c>
      <c r="F4102" s="19" t="str">
        <f>IFERROR(__xludf.DUMMYFUNCTION("""COMPUTED_VALUE"""),"BLUE")</f>
        <v>BLUE</v>
      </c>
      <c r="G4102" s="20" t="str">
        <f>IFERROR(__xludf.DUMMYFUNCTION("""COMPUTED_VALUE"""),"Uncle Sams Cider (11/12/2021) (Blue)")</f>
        <v>Uncle Sams Cider (11/12/2021) (Blue)</v>
      </c>
      <c r="H4102" s="19"/>
    </row>
    <row r="4103">
      <c r="A4103" s="9"/>
      <c r="B4103" s="15"/>
      <c r="C4103" s="9">
        <f>IFERROR(__xludf.DUMMYFUNCTION("""COMPUTED_VALUE"""),44562.7530873842)</f>
        <v>44562.75309</v>
      </c>
      <c r="D4103" s="15">
        <f>IFERROR(__xludf.DUMMYFUNCTION("""COMPUTED_VALUE"""),1.007)</f>
        <v>1.007</v>
      </c>
      <c r="E4103" s="16">
        <f>IFERROR(__xludf.DUMMYFUNCTION("""COMPUTED_VALUE"""),63.0)</f>
        <v>63</v>
      </c>
      <c r="F4103" s="19" t="str">
        <f>IFERROR(__xludf.DUMMYFUNCTION("""COMPUTED_VALUE"""),"BLUE")</f>
        <v>BLUE</v>
      </c>
      <c r="G4103" s="20" t="str">
        <f>IFERROR(__xludf.DUMMYFUNCTION("""COMPUTED_VALUE"""),"Uncle Sams Cider (11/12/2021) (Blue)")</f>
        <v>Uncle Sams Cider (11/12/2021) (Blue)</v>
      </c>
      <c r="H4103" s="19"/>
    </row>
    <row r="4104">
      <c r="A4104" s="9"/>
      <c r="B4104" s="15"/>
      <c r="C4104" s="9">
        <f>IFERROR(__xludf.DUMMYFUNCTION("""COMPUTED_VALUE"""),44562.7426668865)</f>
        <v>44562.74267</v>
      </c>
      <c r="D4104" s="15">
        <f>IFERROR(__xludf.DUMMYFUNCTION("""COMPUTED_VALUE"""),1.007)</f>
        <v>1.007</v>
      </c>
      <c r="E4104" s="16">
        <f>IFERROR(__xludf.DUMMYFUNCTION("""COMPUTED_VALUE"""),63.0)</f>
        <v>63</v>
      </c>
      <c r="F4104" s="19" t="str">
        <f>IFERROR(__xludf.DUMMYFUNCTION("""COMPUTED_VALUE"""),"BLUE")</f>
        <v>BLUE</v>
      </c>
      <c r="G4104" s="20" t="str">
        <f>IFERROR(__xludf.DUMMYFUNCTION("""COMPUTED_VALUE"""),"Uncle Sams Cider (11/12/2021) (Blue)")</f>
        <v>Uncle Sams Cider (11/12/2021) (Blue)</v>
      </c>
      <c r="H4104" s="19"/>
    </row>
    <row r="4105">
      <c r="A4105" s="9"/>
      <c r="B4105" s="15"/>
      <c r="C4105" s="9">
        <f>IFERROR(__xludf.DUMMYFUNCTION("""COMPUTED_VALUE"""),44562.7322355671)</f>
        <v>44562.73224</v>
      </c>
      <c r="D4105" s="15">
        <f>IFERROR(__xludf.DUMMYFUNCTION("""COMPUTED_VALUE"""),1.007)</f>
        <v>1.007</v>
      </c>
      <c r="E4105" s="16">
        <f>IFERROR(__xludf.DUMMYFUNCTION("""COMPUTED_VALUE"""),63.0)</f>
        <v>63</v>
      </c>
      <c r="F4105" s="19" t="str">
        <f>IFERROR(__xludf.DUMMYFUNCTION("""COMPUTED_VALUE"""),"BLUE")</f>
        <v>BLUE</v>
      </c>
      <c r="G4105" s="20" t="str">
        <f>IFERROR(__xludf.DUMMYFUNCTION("""COMPUTED_VALUE"""),"Uncle Sams Cider (11/12/2021) (Blue)")</f>
        <v>Uncle Sams Cider (11/12/2021) (Blue)</v>
      </c>
      <c r="H4105" s="19"/>
    </row>
    <row r="4106">
      <c r="A4106" s="9"/>
      <c r="B4106" s="15"/>
      <c r="C4106" s="9">
        <f>IFERROR(__xludf.DUMMYFUNCTION("""COMPUTED_VALUE"""),44562.7218134027)</f>
        <v>44562.72181</v>
      </c>
      <c r="D4106" s="15">
        <f>IFERROR(__xludf.DUMMYFUNCTION("""COMPUTED_VALUE"""),1.007)</f>
        <v>1.007</v>
      </c>
      <c r="E4106" s="16">
        <f>IFERROR(__xludf.DUMMYFUNCTION("""COMPUTED_VALUE"""),63.0)</f>
        <v>63</v>
      </c>
      <c r="F4106" s="19" t="str">
        <f>IFERROR(__xludf.DUMMYFUNCTION("""COMPUTED_VALUE"""),"BLUE")</f>
        <v>BLUE</v>
      </c>
      <c r="G4106" s="20" t="str">
        <f>IFERROR(__xludf.DUMMYFUNCTION("""COMPUTED_VALUE"""),"Uncle Sams Cider (11/12/2021) (Blue)")</f>
        <v>Uncle Sams Cider (11/12/2021) (Blue)</v>
      </c>
      <c r="H4106" s="19"/>
    </row>
    <row r="4107">
      <c r="A4107" s="9"/>
      <c r="B4107" s="15"/>
      <c r="C4107" s="9">
        <f>IFERROR(__xludf.DUMMYFUNCTION("""COMPUTED_VALUE"""),44562.7113930671)</f>
        <v>44562.71139</v>
      </c>
      <c r="D4107" s="15">
        <f>IFERROR(__xludf.DUMMYFUNCTION("""COMPUTED_VALUE"""),1.007)</f>
        <v>1.007</v>
      </c>
      <c r="E4107" s="16">
        <f>IFERROR(__xludf.DUMMYFUNCTION("""COMPUTED_VALUE"""),63.0)</f>
        <v>63</v>
      </c>
      <c r="F4107" s="19" t="str">
        <f>IFERROR(__xludf.DUMMYFUNCTION("""COMPUTED_VALUE"""),"BLUE")</f>
        <v>BLUE</v>
      </c>
      <c r="G4107" s="20" t="str">
        <f>IFERROR(__xludf.DUMMYFUNCTION("""COMPUTED_VALUE"""),"Uncle Sams Cider (11/12/2021) (Blue)")</f>
        <v>Uncle Sams Cider (11/12/2021) (Blue)</v>
      </c>
      <c r="H4107" s="19"/>
    </row>
    <row r="4108">
      <c r="A4108" s="9"/>
      <c r="B4108" s="15"/>
      <c r="C4108" s="9">
        <f>IFERROR(__xludf.DUMMYFUNCTION("""COMPUTED_VALUE"""),44562.700974537)</f>
        <v>44562.70097</v>
      </c>
      <c r="D4108" s="15">
        <f>IFERROR(__xludf.DUMMYFUNCTION("""COMPUTED_VALUE"""),1.007)</f>
        <v>1.007</v>
      </c>
      <c r="E4108" s="16">
        <f>IFERROR(__xludf.DUMMYFUNCTION("""COMPUTED_VALUE"""),63.0)</f>
        <v>63</v>
      </c>
      <c r="F4108" s="19" t="str">
        <f>IFERROR(__xludf.DUMMYFUNCTION("""COMPUTED_VALUE"""),"BLUE")</f>
        <v>BLUE</v>
      </c>
      <c r="G4108" s="20" t="str">
        <f>IFERROR(__xludf.DUMMYFUNCTION("""COMPUTED_VALUE"""),"Uncle Sams Cider (11/12/2021) (Blue)")</f>
        <v>Uncle Sams Cider (11/12/2021) (Blue)</v>
      </c>
      <c r="H4108" s="19"/>
    </row>
    <row r="4109">
      <c r="A4109" s="9"/>
      <c r="B4109" s="15"/>
      <c r="C4109" s="9">
        <f>IFERROR(__xludf.DUMMYFUNCTION("""COMPUTED_VALUE"""),44562.6905431365)</f>
        <v>44562.69054</v>
      </c>
      <c r="D4109" s="15">
        <f>IFERROR(__xludf.DUMMYFUNCTION("""COMPUTED_VALUE"""),1.007)</f>
        <v>1.007</v>
      </c>
      <c r="E4109" s="16">
        <f>IFERROR(__xludf.DUMMYFUNCTION("""COMPUTED_VALUE"""),63.0)</f>
        <v>63</v>
      </c>
      <c r="F4109" s="19" t="str">
        <f>IFERROR(__xludf.DUMMYFUNCTION("""COMPUTED_VALUE"""),"BLUE")</f>
        <v>BLUE</v>
      </c>
      <c r="G4109" s="20" t="str">
        <f>IFERROR(__xludf.DUMMYFUNCTION("""COMPUTED_VALUE"""),"Uncle Sams Cider (11/12/2021) (Blue)")</f>
        <v>Uncle Sams Cider (11/12/2021) (Blue)</v>
      </c>
      <c r="H4109" s="19"/>
    </row>
    <row r="4110">
      <c r="A4110" s="9"/>
      <c r="B4110" s="15"/>
      <c r="C4110" s="9">
        <f>IFERROR(__xludf.DUMMYFUNCTION("""COMPUTED_VALUE"""),44562.6801232523)</f>
        <v>44562.68012</v>
      </c>
      <c r="D4110" s="15">
        <f>IFERROR(__xludf.DUMMYFUNCTION("""COMPUTED_VALUE"""),1.007)</f>
        <v>1.007</v>
      </c>
      <c r="E4110" s="16">
        <f>IFERROR(__xludf.DUMMYFUNCTION("""COMPUTED_VALUE"""),63.0)</f>
        <v>63</v>
      </c>
      <c r="F4110" s="19" t="str">
        <f>IFERROR(__xludf.DUMMYFUNCTION("""COMPUTED_VALUE"""),"BLUE")</f>
        <v>BLUE</v>
      </c>
      <c r="G4110" s="20" t="str">
        <f>IFERROR(__xludf.DUMMYFUNCTION("""COMPUTED_VALUE"""),"Uncle Sams Cider (11/12/2021) (Blue)")</f>
        <v>Uncle Sams Cider (11/12/2021) (Blue)</v>
      </c>
      <c r="H4110" s="19"/>
    </row>
    <row r="4111">
      <c r="A4111" s="9"/>
      <c r="B4111" s="15"/>
      <c r="C4111" s="9">
        <f>IFERROR(__xludf.DUMMYFUNCTION("""COMPUTED_VALUE"""),44562.6697002314)</f>
        <v>44562.6697</v>
      </c>
      <c r="D4111" s="15">
        <f>IFERROR(__xludf.DUMMYFUNCTION("""COMPUTED_VALUE"""),1.007)</f>
        <v>1.007</v>
      </c>
      <c r="E4111" s="16">
        <f>IFERROR(__xludf.DUMMYFUNCTION("""COMPUTED_VALUE"""),63.0)</f>
        <v>63</v>
      </c>
      <c r="F4111" s="19" t="str">
        <f>IFERROR(__xludf.DUMMYFUNCTION("""COMPUTED_VALUE"""),"BLUE")</f>
        <v>BLUE</v>
      </c>
      <c r="G4111" s="20" t="str">
        <f>IFERROR(__xludf.DUMMYFUNCTION("""COMPUTED_VALUE"""),"Uncle Sams Cider (11/12/2021) (Blue)")</f>
        <v>Uncle Sams Cider (11/12/2021) (Blue)</v>
      </c>
      <c r="H4111" s="19"/>
    </row>
    <row r="4112">
      <c r="A4112" s="9"/>
      <c r="B4112" s="15"/>
      <c r="C4112" s="9">
        <f>IFERROR(__xludf.DUMMYFUNCTION("""COMPUTED_VALUE"""),44562.6592783912)</f>
        <v>44562.65928</v>
      </c>
      <c r="D4112" s="15">
        <f>IFERROR(__xludf.DUMMYFUNCTION("""COMPUTED_VALUE"""),1.007)</f>
        <v>1.007</v>
      </c>
      <c r="E4112" s="16">
        <f>IFERROR(__xludf.DUMMYFUNCTION("""COMPUTED_VALUE"""),63.0)</f>
        <v>63</v>
      </c>
      <c r="F4112" s="19" t="str">
        <f>IFERROR(__xludf.DUMMYFUNCTION("""COMPUTED_VALUE"""),"BLUE")</f>
        <v>BLUE</v>
      </c>
      <c r="G4112" s="20" t="str">
        <f>IFERROR(__xludf.DUMMYFUNCTION("""COMPUTED_VALUE"""),"Uncle Sams Cider (11/12/2021) (Blue)")</f>
        <v>Uncle Sams Cider (11/12/2021) (Blue)</v>
      </c>
      <c r="H4112" s="19"/>
    </row>
    <row r="4113">
      <c r="A4113" s="9"/>
      <c r="B4113" s="15"/>
      <c r="C4113" s="9">
        <f>IFERROR(__xludf.DUMMYFUNCTION("""COMPUTED_VALUE"""),44562.6488591319)</f>
        <v>44562.64886</v>
      </c>
      <c r="D4113" s="15">
        <f>IFERROR(__xludf.DUMMYFUNCTION("""COMPUTED_VALUE"""),1.007)</f>
        <v>1.007</v>
      </c>
      <c r="E4113" s="16">
        <f>IFERROR(__xludf.DUMMYFUNCTION("""COMPUTED_VALUE"""),63.0)</f>
        <v>63</v>
      </c>
      <c r="F4113" s="19" t="str">
        <f>IFERROR(__xludf.DUMMYFUNCTION("""COMPUTED_VALUE"""),"BLUE")</f>
        <v>BLUE</v>
      </c>
      <c r="G4113" s="20" t="str">
        <f>IFERROR(__xludf.DUMMYFUNCTION("""COMPUTED_VALUE"""),"Uncle Sams Cider (11/12/2021) (Blue)")</f>
        <v>Uncle Sams Cider (11/12/2021) (Blue)</v>
      </c>
      <c r="H4113" s="19"/>
    </row>
    <row r="4114">
      <c r="A4114" s="9"/>
      <c r="B4114" s="15"/>
      <c r="C4114" s="9">
        <f>IFERROR(__xludf.DUMMYFUNCTION("""COMPUTED_VALUE"""),44562.6384380671)</f>
        <v>44562.63844</v>
      </c>
      <c r="D4114" s="15">
        <f>IFERROR(__xludf.DUMMYFUNCTION("""COMPUTED_VALUE"""),1.007)</f>
        <v>1.007</v>
      </c>
      <c r="E4114" s="16">
        <f>IFERROR(__xludf.DUMMYFUNCTION("""COMPUTED_VALUE"""),63.0)</f>
        <v>63</v>
      </c>
      <c r="F4114" s="19" t="str">
        <f>IFERROR(__xludf.DUMMYFUNCTION("""COMPUTED_VALUE"""),"BLUE")</f>
        <v>BLUE</v>
      </c>
      <c r="G4114" s="20" t="str">
        <f>IFERROR(__xludf.DUMMYFUNCTION("""COMPUTED_VALUE"""),"Uncle Sams Cider (11/12/2021) (Blue)")</f>
        <v>Uncle Sams Cider (11/12/2021) (Blue)</v>
      </c>
      <c r="H4114" s="19"/>
    </row>
    <row r="4115">
      <c r="A4115" s="9"/>
      <c r="B4115" s="15"/>
      <c r="C4115" s="9">
        <f>IFERROR(__xludf.DUMMYFUNCTION("""COMPUTED_VALUE"""),44562.6280162268)</f>
        <v>44562.62802</v>
      </c>
      <c r="D4115" s="15">
        <f>IFERROR(__xludf.DUMMYFUNCTION("""COMPUTED_VALUE"""),1.007)</f>
        <v>1.007</v>
      </c>
      <c r="E4115" s="16">
        <f>IFERROR(__xludf.DUMMYFUNCTION("""COMPUTED_VALUE"""),63.0)</f>
        <v>63</v>
      </c>
      <c r="F4115" s="19" t="str">
        <f>IFERROR(__xludf.DUMMYFUNCTION("""COMPUTED_VALUE"""),"BLUE")</f>
        <v>BLUE</v>
      </c>
      <c r="G4115" s="20" t="str">
        <f>IFERROR(__xludf.DUMMYFUNCTION("""COMPUTED_VALUE"""),"Uncle Sams Cider (11/12/2021) (Blue)")</f>
        <v>Uncle Sams Cider (11/12/2021) (Blue)</v>
      </c>
      <c r="H4115" s="19"/>
    </row>
    <row r="4116">
      <c r="A4116" s="9"/>
      <c r="B4116" s="15"/>
      <c r="C4116" s="9">
        <f>IFERROR(__xludf.DUMMYFUNCTION("""COMPUTED_VALUE"""),44562.6175967939)</f>
        <v>44562.6176</v>
      </c>
      <c r="D4116" s="15">
        <f>IFERROR(__xludf.DUMMYFUNCTION("""COMPUTED_VALUE"""),1.007)</f>
        <v>1.007</v>
      </c>
      <c r="E4116" s="16">
        <f>IFERROR(__xludf.DUMMYFUNCTION("""COMPUTED_VALUE"""),63.0)</f>
        <v>63</v>
      </c>
      <c r="F4116" s="19" t="str">
        <f>IFERROR(__xludf.DUMMYFUNCTION("""COMPUTED_VALUE"""),"BLUE")</f>
        <v>BLUE</v>
      </c>
      <c r="G4116" s="20" t="str">
        <f>IFERROR(__xludf.DUMMYFUNCTION("""COMPUTED_VALUE"""),"Uncle Sams Cider (11/12/2021) (Blue)")</f>
        <v>Uncle Sams Cider (11/12/2021) (Blue)</v>
      </c>
      <c r="H4116" s="19"/>
    </row>
    <row r="4117">
      <c r="A4117" s="9"/>
      <c r="B4117" s="15"/>
      <c r="C4117" s="9">
        <f>IFERROR(__xludf.DUMMYFUNCTION("""COMPUTED_VALUE"""),44562.6071765046)</f>
        <v>44562.60718</v>
      </c>
      <c r="D4117" s="15">
        <f>IFERROR(__xludf.DUMMYFUNCTION("""COMPUTED_VALUE"""),1.007)</f>
        <v>1.007</v>
      </c>
      <c r="E4117" s="16">
        <f>IFERROR(__xludf.DUMMYFUNCTION("""COMPUTED_VALUE"""),63.0)</f>
        <v>63</v>
      </c>
      <c r="F4117" s="19" t="str">
        <f>IFERROR(__xludf.DUMMYFUNCTION("""COMPUTED_VALUE"""),"BLUE")</f>
        <v>BLUE</v>
      </c>
      <c r="G4117" s="20" t="str">
        <f>IFERROR(__xludf.DUMMYFUNCTION("""COMPUTED_VALUE"""),"Uncle Sams Cider (11/12/2021) (Blue)")</f>
        <v>Uncle Sams Cider (11/12/2021) (Blue)</v>
      </c>
      <c r="H4117" s="19"/>
    </row>
    <row r="4118">
      <c r="A4118" s="9"/>
      <c r="B4118" s="15"/>
      <c r="C4118" s="9">
        <f>IFERROR(__xludf.DUMMYFUNCTION("""COMPUTED_VALUE"""),44562.5967544097)</f>
        <v>44562.59675</v>
      </c>
      <c r="D4118" s="15">
        <f>IFERROR(__xludf.DUMMYFUNCTION("""COMPUTED_VALUE"""),1.007)</f>
        <v>1.007</v>
      </c>
      <c r="E4118" s="16">
        <f>IFERROR(__xludf.DUMMYFUNCTION("""COMPUTED_VALUE"""),63.0)</f>
        <v>63</v>
      </c>
      <c r="F4118" s="19" t="str">
        <f>IFERROR(__xludf.DUMMYFUNCTION("""COMPUTED_VALUE"""),"BLUE")</f>
        <v>BLUE</v>
      </c>
      <c r="G4118" s="20" t="str">
        <f>IFERROR(__xludf.DUMMYFUNCTION("""COMPUTED_VALUE"""),"Uncle Sams Cider (11/12/2021) (Blue)")</f>
        <v>Uncle Sams Cider (11/12/2021) (Blue)</v>
      </c>
      <c r="H4118" s="19"/>
    </row>
    <row r="4119">
      <c r="A4119" s="9"/>
      <c r="B4119" s="15"/>
      <c r="C4119" s="9">
        <f>IFERROR(__xludf.DUMMYFUNCTION("""COMPUTED_VALUE"""),44562.5863339814)</f>
        <v>44562.58633</v>
      </c>
      <c r="D4119" s="15">
        <f>IFERROR(__xludf.DUMMYFUNCTION("""COMPUTED_VALUE"""),1.007)</f>
        <v>1.007</v>
      </c>
      <c r="E4119" s="16">
        <f>IFERROR(__xludf.DUMMYFUNCTION("""COMPUTED_VALUE"""),63.0)</f>
        <v>63</v>
      </c>
      <c r="F4119" s="19" t="str">
        <f>IFERROR(__xludf.DUMMYFUNCTION("""COMPUTED_VALUE"""),"BLUE")</f>
        <v>BLUE</v>
      </c>
      <c r="G4119" s="20" t="str">
        <f>IFERROR(__xludf.DUMMYFUNCTION("""COMPUTED_VALUE"""),"Uncle Sams Cider (11/12/2021) (Blue)")</f>
        <v>Uncle Sams Cider (11/12/2021) (Blue)</v>
      </c>
      <c r="H4119" s="19"/>
    </row>
    <row r="4120">
      <c r="A4120" s="9"/>
      <c r="B4120" s="15"/>
      <c r="C4120" s="9">
        <f>IFERROR(__xludf.DUMMYFUNCTION("""COMPUTED_VALUE"""),44562.5759124074)</f>
        <v>44562.57591</v>
      </c>
      <c r="D4120" s="15">
        <f>IFERROR(__xludf.DUMMYFUNCTION("""COMPUTED_VALUE"""),1.007)</f>
        <v>1.007</v>
      </c>
      <c r="E4120" s="16">
        <f>IFERROR(__xludf.DUMMYFUNCTION("""COMPUTED_VALUE"""),63.0)</f>
        <v>63</v>
      </c>
      <c r="F4120" s="19" t="str">
        <f>IFERROR(__xludf.DUMMYFUNCTION("""COMPUTED_VALUE"""),"BLUE")</f>
        <v>BLUE</v>
      </c>
      <c r="G4120" s="20" t="str">
        <f>IFERROR(__xludf.DUMMYFUNCTION("""COMPUTED_VALUE"""),"Uncle Sams Cider (11/12/2021) (Blue)")</f>
        <v>Uncle Sams Cider (11/12/2021) (Blue)</v>
      </c>
      <c r="H4120" s="19"/>
    </row>
    <row r="4121">
      <c r="A4121" s="9"/>
      <c r="B4121" s="15"/>
      <c r="C4121" s="9">
        <f>IFERROR(__xludf.DUMMYFUNCTION("""COMPUTED_VALUE"""),44562.5654918055)</f>
        <v>44562.56549</v>
      </c>
      <c r="D4121" s="15">
        <f>IFERROR(__xludf.DUMMYFUNCTION("""COMPUTED_VALUE"""),1.007)</f>
        <v>1.007</v>
      </c>
      <c r="E4121" s="16">
        <f>IFERROR(__xludf.DUMMYFUNCTION("""COMPUTED_VALUE"""),63.0)</f>
        <v>63</v>
      </c>
      <c r="F4121" s="19" t="str">
        <f>IFERROR(__xludf.DUMMYFUNCTION("""COMPUTED_VALUE"""),"BLUE")</f>
        <v>BLUE</v>
      </c>
      <c r="G4121" s="20" t="str">
        <f>IFERROR(__xludf.DUMMYFUNCTION("""COMPUTED_VALUE"""),"Uncle Sams Cider (11/12/2021) (Blue)")</f>
        <v>Uncle Sams Cider (11/12/2021) (Blue)</v>
      </c>
      <c r="H4121" s="19"/>
    </row>
    <row r="4122">
      <c r="A4122" s="9"/>
      <c r="B4122" s="15"/>
      <c r="C4122" s="9">
        <f>IFERROR(__xludf.DUMMYFUNCTION("""COMPUTED_VALUE"""),44562.5550715509)</f>
        <v>44562.55507</v>
      </c>
      <c r="D4122" s="15">
        <f>IFERROR(__xludf.DUMMYFUNCTION("""COMPUTED_VALUE"""),1.007)</f>
        <v>1.007</v>
      </c>
      <c r="E4122" s="16">
        <f>IFERROR(__xludf.DUMMYFUNCTION("""COMPUTED_VALUE"""),63.0)</f>
        <v>63</v>
      </c>
      <c r="F4122" s="19" t="str">
        <f>IFERROR(__xludf.DUMMYFUNCTION("""COMPUTED_VALUE"""),"BLUE")</f>
        <v>BLUE</v>
      </c>
      <c r="G4122" s="20" t="str">
        <f>IFERROR(__xludf.DUMMYFUNCTION("""COMPUTED_VALUE"""),"Uncle Sams Cider (11/12/2021) (Blue)")</f>
        <v>Uncle Sams Cider (11/12/2021) (Blue)</v>
      </c>
      <c r="H4122" s="19"/>
    </row>
    <row r="4123">
      <c r="A4123" s="9"/>
      <c r="B4123" s="15"/>
      <c r="C4123" s="9">
        <f>IFERROR(__xludf.DUMMYFUNCTION("""COMPUTED_VALUE"""),44562.5446509027)</f>
        <v>44562.54465</v>
      </c>
      <c r="D4123" s="15">
        <f>IFERROR(__xludf.DUMMYFUNCTION("""COMPUTED_VALUE"""),1.007)</f>
        <v>1.007</v>
      </c>
      <c r="E4123" s="16">
        <f>IFERROR(__xludf.DUMMYFUNCTION("""COMPUTED_VALUE"""),63.0)</f>
        <v>63</v>
      </c>
      <c r="F4123" s="19" t="str">
        <f>IFERROR(__xludf.DUMMYFUNCTION("""COMPUTED_VALUE"""),"BLUE")</f>
        <v>BLUE</v>
      </c>
      <c r="G4123" s="20" t="str">
        <f>IFERROR(__xludf.DUMMYFUNCTION("""COMPUTED_VALUE"""),"Uncle Sams Cider (11/12/2021) (Blue)")</f>
        <v>Uncle Sams Cider (11/12/2021) (Blue)</v>
      </c>
      <c r="H4123" s="19"/>
    </row>
    <row r="4124">
      <c r="A4124" s="9"/>
      <c r="B4124" s="15"/>
      <c r="C4124" s="9">
        <f>IFERROR(__xludf.DUMMYFUNCTION("""COMPUTED_VALUE"""),44562.534228206)</f>
        <v>44562.53423</v>
      </c>
      <c r="D4124" s="15">
        <f>IFERROR(__xludf.DUMMYFUNCTION("""COMPUTED_VALUE"""),1.007)</f>
        <v>1.007</v>
      </c>
      <c r="E4124" s="16">
        <f>IFERROR(__xludf.DUMMYFUNCTION("""COMPUTED_VALUE"""),63.0)</f>
        <v>63</v>
      </c>
      <c r="F4124" s="19" t="str">
        <f>IFERROR(__xludf.DUMMYFUNCTION("""COMPUTED_VALUE"""),"BLUE")</f>
        <v>BLUE</v>
      </c>
      <c r="G4124" s="20" t="str">
        <f>IFERROR(__xludf.DUMMYFUNCTION("""COMPUTED_VALUE"""),"Uncle Sams Cider (11/12/2021) (Blue)")</f>
        <v>Uncle Sams Cider (11/12/2021) (Blue)</v>
      </c>
      <c r="H4124" s="19"/>
    </row>
    <row r="4125">
      <c r="A4125" s="9"/>
      <c r="B4125" s="15"/>
      <c r="C4125" s="9">
        <f>IFERROR(__xludf.DUMMYFUNCTION("""COMPUTED_VALUE"""),44562.5238070833)</f>
        <v>44562.52381</v>
      </c>
      <c r="D4125" s="15">
        <f>IFERROR(__xludf.DUMMYFUNCTION("""COMPUTED_VALUE"""),1.007)</f>
        <v>1.007</v>
      </c>
      <c r="E4125" s="16">
        <f>IFERROR(__xludf.DUMMYFUNCTION("""COMPUTED_VALUE"""),63.0)</f>
        <v>63</v>
      </c>
      <c r="F4125" s="19" t="str">
        <f>IFERROR(__xludf.DUMMYFUNCTION("""COMPUTED_VALUE"""),"BLUE")</f>
        <v>BLUE</v>
      </c>
      <c r="G4125" s="20" t="str">
        <f>IFERROR(__xludf.DUMMYFUNCTION("""COMPUTED_VALUE"""),"Uncle Sams Cider (11/12/2021) (Blue)")</f>
        <v>Uncle Sams Cider (11/12/2021) (Blue)</v>
      </c>
      <c r="H4125" s="19"/>
    </row>
    <row r="4126">
      <c r="A4126" s="9"/>
      <c r="B4126" s="15"/>
      <c r="C4126" s="9">
        <f>IFERROR(__xludf.DUMMYFUNCTION("""COMPUTED_VALUE"""),44562.5133851273)</f>
        <v>44562.51339</v>
      </c>
      <c r="D4126" s="15">
        <f>IFERROR(__xludf.DUMMYFUNCTION("""COMPUTED_VALUE"""),1.007)</f>
        <v>1.007</v>
      </c>
      <c r="E4126" s="16">
        <f>IFERROR(__xludf.DUMMYFUNCTION("""COMPUTED_VALUE"""),63.0)</f>
        <v>63</v>
      </c>
      <c r="F4126" s="19" t="str">
        <f>IFERROR(__xludf.DUMMYFUNCTION("""COMPUTED_VALUE"""),"BLUE")</f>
        <v>BLUE</v>
      </c>
      <c r="G4126" s="20" t="str">
        <f>IFERROR(__xludf.DUMMYFUNCTION("""COMPUTED_VALUE"""),"Uncle Sams Cider (11/12/2021) (Blue)")</f>
        <v>Uncle Sams Cider (11/12/2021) (Blue)</v>
      </c>
      <c r="H4126" s="19"/>
    </row>
    <row r="4127">
      <c r="A4127" s="9"/>
      <c r="B4127" s="15"/>
      <c r="C4127" s="9">
        <f>IFERROR(__xludf.DUMMYFUNCTION("""COMPUTED_VALUE"""),44562.5029527546)</f>
        <v>44562.50295</v>
      </c>
      <c r="D4127" s="15">
        <f>IFERROR(__xludf.DUMMYFUNCTION("""COMPUTED_VALUE"""),1.007)</f>
        <v>1.007</v>
      </c>
      <c r="E4127" s="16">
        <f>IFERROR(__xludf.DUMMYFUNCTION("""COMPUTED_VALUE"""),63.0)</f>
        <v>63</v>
      </c>
      <c r="F4127" s="19" t="str">
        <f>IFERROR(__xludf.DUMMYFUNCTION("""COMPUTED_VALUE"""),"BLUE")</f>
        <v>BLUE</v>
      </c>
      <c r="G4127" s="20" t="str">
        <f>IFERROR(__xludf.DUMMYFUNCTION("""COMPUTED_VALUE"""),"Uncle Sams Cider (11/12/2021) (Blue)")</f>
        <v>Uncle Sams Cider (11/12/2021) (Blue)</v>
      </c>
      <c r="H4127" s="19"/>
    </row>
    <row r="4128">
      <c r="A4128" s="9"/>
      <c r="B4128" s="15"/>
      <c r="C4128" s="9">
        <f>IFERROR(__xludf.DUMMYFUNCTION("""COMPUTED_VALUE"""),44562.4925298611)</f>
        <v>44562.49253</v>
      </c>
      <c r="D4128" s="15">
        <f>IFERROR(__xludf.DUMMYFUNCTION("""COMPUTED_VALUE"""),1.007)</f>
        <v>1.007</v>
      </c>
      <c r="E4128" s="16">
        <f>IFERROR(__xludf.DUMMYFUNCTION("""COMPUTED_VALUE"""),63.0)</f>
        <v>63</v>
      </c>
      <c r="F4128" s="19" t="str">
        <f>IFERROR(__xludf.DUMMYFUNCTION("""COMPUTED_VALUE"""),"BLUE")</f>
        <v>BLUE</v>
      </c>
      <c r="G4128" s="20" t="str">
        <f>IFERROR(__xludf.DUMMYFUNCTION("""COMPUTED_VALUE"""),"Uncle Sams Cider (11/12/2021) (Blue)")</f>
        <v>Uncle Sams Cider (11/12/2021) (Blue)</v>
      </c>
      <c r="H4128" s="19"/>
    </row>
    <row r="4129">
      <c r="A4129" s="9"/>
      <c r="B4129" s="15"/>
      <c r="C4129" s="9">
        <f>IFERROR(__xludf.DUMMYFUNCTION("""COMPUTED_VALUE"""),44562.4821091435)</f>
        <v>44562.48211</v>
      </c>
      <c r="D4129" s="15">
        <f>IFERROR(__xludf.DUMMYFUNCTION("""COMPUTED_VALUE"""),1.007)</f>
        <v>1.007</v>
      </c>
      <c r="E4129" s="16">
        <f>IFERROR(__xludf.DUMMYFUNCTION("""COMPUTED_VALUE"""),63.0)</f>
        <v>63</v>
      </c>
      <c r="F4129" s="19" t="str">
        <f>IFERROR(__xludf.DUMMYFUNCTION("""COMPUTED_VALUE"""),"BLUE")</f>
        <v>BLUE</v>
      </c>
      <c r="G4129" s="20" t="str">
        <f>IFERROR(__xludf.DUMMYFUNCTION("""COMPUTED_VALUE"""),"Uncle Sams Cider (11/12/2021) (Blue)")</f>
        <v>Uncle Sams Cider (11/12/2021) (Blue)</v>
      </c>
      <c r="H4129" s="19"/>
    </row>
    <row r="4130">
      <c r="A4130" s="9"/>
      <c r="B4130" s="15"/>
      <c r="C4130" s="9">
        <f>IFERROR(__xludf.DUMMYFUNCTION("""COMPUTED_VALUE"""),44562.4716529166)</f>
        <v>44562.47165</v>
      </c>
      <c r="D4130" s="15">
        <f>IFERROR(__xludf.DUMMYFUNCTION("""COMPUTED_VALUE"""),1.007)</f>
        <v>1.007</v>
      </c>
      <c r="E4130" s="16">
        <f>IFERROR(__xludf.DUMMYFUNCTION("""COMPUTED_VALUE"""),63.0)</f>
        <v>63</v>
      </c>
      <c r="F4130" s="19" t="str">
        <f>IFERROR(__xludf.DUMMYFUNCTION("""COMPUTED_VALUE"""),"BLUE")</f>
        <v>BLUE</v>
      </c>
      <c r="G4130" s="20" t="str">
        <f>IFERROR(__xludf.DUMMYFUNCTION("""COMPUTED_VALUE"""),"Uncle Sams Cider (11/12/2021) (Blue)")</f>
        <v>Uncle Sams Cider (11/12/2021) (Blue)</v>
      </c>
      <c r="H4130" s="19"/>
    </row>
    <row r="4131">
      <c r="A4131" s="9"/>
      <c r="B4131" s="15"/>
      <c r="C4131" s="9">
        <f>IFERROR(__xludf.DUMMYFUNCTION("""COMPUTED_VALUE"""),44562.4612323263)</f>
        <v>44562.46123</v>
      </c>
      <c r="D4131" s="15">
        <f>IFERROR(__xludf.DUMMYFUNCTION("""COMPUTED_VALUE"""),1.007)</f>
        <v>1.007</v>
      </c>
      <c r="E4131" s="16">
        <f>IFERROR(__xludf.DUMMYFUNCTION("""COMPUTED_VALUE"""),63.0)</f>
        <v>63</v>
      </c>
      <c r="F4131" s="19" t="str">
        <f>IFERROR(__xludf.DUMMYFUNCTION("""COMPUTED_VALUE"""),"BLUE")</f>
        <v>BLUE</v>
      </c>
      <c r="G4131" s="20" t="str">
        <f>IFERROR(__xludf.DUMMYFUNCTION("""COMPUTED_VALUE"""),"Uncle Sams Cider (11/12/2021) (Blue)")</f>
        <v>Uncle Sams Cider (11/12/2021) (Blue)</v>
      </c>
      <c r="H4131" s="19"/>
    </row>
    <row r="4132">
      <c r="A4132" s="9"/>
      <c r="B4132" s="15"/>
      <c r="C4132" s="9">
        <f>IFERROR(__xludf.DUMMYFUNCTION("""COMPUTED_VALUE"""),44562.4508105208)</f>
        <v>44562.45081</v>
      </c>
      <c r="D4132" s="15">
        <f>IFERROR(__xludf.DUMMYFUNCTION("""COMPUTED_VALUE"""),1.007)</f>
        <v>1.007</v>
      </c>
      <c r="E4132" s="16">
        <f>IFERROR(__xludf.DUMMYFUNCTION("""COMPUTED_VALUE"""),63.0)</f>
        <v>63</v>
      </c>
      <c r="F4132" s="19" t="str">
        <f>IFERROR(__xludf.DUMMYFUNCTION("""COMPUTED_VALUE"""),"BLUE")</f>
        <v>BLUE</v>
      </c>
      <c r="G4132" s="20" t="str">
        <f>IFERROR(__xludf.DUMMYFUNCTION("""COMPUTED_VALUE"""),"Uncle Sams Cider (11/12/2021) (Blue)")</f>
        <v>Uncle Sams Cider (11/12/2021) (Blue)</v>
      </c>
      <c r="H4132" s="19"/>
    </row>
    <row r="4133">
      <c r="A4133" s="9"/>
      <c r="B4133" s="15"/>
      <c r="C4133" s="9">
        <f>IFERROR(__xludf.DUMMYFUNCTION("""COMPUTED_VALUE"""),44562.4403885185)</f>
        <v>44562.44039</v>
      </c>
      <c r="D4133" s="15">
        <f>IFERROR(__xludf.DUMMYFUNCTION("""COMPUTED_VALUE"""),1.007)</f>
        <v>1.007</v>
      </c>
      <c r="E4133" s="16">
        <f>IFERROR(__xludf.DUMMYFUNCTION("""COMPUTED_VALUE"""),63.0)</f>
        <v>63</v>
      </c>
      <c r="F4133" s="19" t="str">
        <f>IFERROR(__xludf.DUMMYFUNCTION("""COMPUTED_VALUE"""),"BLUE")</f>
        <v>BLUE</v>
      </c>
      <c r="G4133" s="20" t="str">
        <f>IFERROR(__xludf.DUMMYFUNCTION("""COMPUTED_VALUE"""),"Uncle Sams Cider (11/12/2021) (Blue)")</f>
        <v>Uncle Sams Cider (11/12/2021) (Blue)</v>
      </c>
      <c r="H4133" s="19"/>
    </row>
    <row r="4134">
      <c r="A4134" s="9"/>
      <c r="B4134" s="15"/>
      <c r="C4134" s="9">
        <f>IFERROR(__xludf.DUMMYFUNCTION("""COMPUTED_VALUE"""),44562.4299669907)</f>
        <v>44562.42997</v>
      </c>
      <c r="D4134" s="15">
        <f>IFERROR(__xludf.DUMMYFUNCTION("""COMPUTED_VALUE"""),1.007)</f>
        <v>1.007</v>
      </c>
      <c r="E4134" s="16">
        <f>IFERROR(__xludf.DUMMYFUNCTION("""COMPUTED_VALUE"""),63.0)</f>
        <v>63</v>
      </c>
      <c r="F4134" s="19" t="str">
        <f>IFERROR(__xludf.DUMMYFUNCTION("""COMPUTED_VALUE"""),"BLUE")</f>
        <v>BLUE</v>
      </c>
      <c r="G4134" s="20" t="str">
        <f>IFERROR(__xludf.DUMMYFUNCTION("""COMPUTED_VALUE"""),"Uncle Sams Cider (11/12/2021) (Blue)")</f>
        <v>Uncle Sams Cider (11/12/2021) (Blue)</v>
      </c>
      <c r="H4134" s="19"/>
    </row>
    <row r="4135">
      <c r="A4135" s="9"/>
      <c r="B4135" s="15"/>
      <c r="C4135" s="9">
        <f>IFERROR(__xludf.DUMMYFUNCTION("""COMPUTED_VALUE"""),44562.4195456828)</f>
        <v>44562.41955</v>
      </c>
      <c r="D4135" s="15">
        <f>IFERROR(__xludf.DUMMYFUNCTION("""COMPUTED_VALUE"""),1.007)</f>
        <v>1.007</v>
      </c>
      <c r="E4135" s="16">
        <f>IFERROR(__xludf.DUMMYFUNCTION("""COMPUTED_VALUE"""),63.0)</f>
        <v>63</v>
      </c>
      <c r="F4135" s="19" t="str">
        <f>IFERROR(__xludf.DUMMYFUNCTION("""COMPUTED_VALUE"""),"BLUE")</f>
        <v>BLUE</v>
      </c>
      <c r="G4135" s="20" t="str">
        <f>IFERROR(__xludf.DUMMYFUNCTION("""COMPUTED_VALUE"""),"Uncle Sams Cider (11/12/2021) (Blue)")</f>
        <v>Uncle Sams Cider (11/12/2021) (Blue)</v>
      </c>
      <c r="H4135" s="19"/>
    </row>
    <row r="4136">
      <c r="A4136" s="9"/>
      <c r="B4136" s="15"/>
      <c r="C4136" s="9">
        <f>IFERROR(__xludf.DUMMYFUNCTION("""COMPUTED_VALUE"""),44562.4091226967)</f>
        <v>44562.40912</v>
      </c>
      <c r="D4136" s="15">
        <f>IFERROR(__xludf.DUMMYFUNCTION("""COMPUTED_VALUE"""),1.007)</f>
        <v>1.007</v>
      </c>
      <c r="E4136" s="16">
        <f>IFERROR(__xludf.DUMMYFUNCTION("""COMPUTED_VALUE"""),63.0)</f>
        <v>63</v>
      </c>
      <c r="F4136" s="19" t="str">
        <f>IFERROR(__xludf.DUMMYFUNCTION("""COMPUTED_VALUE"""),"BLUE")</f>
        <v>BLUE</v>
      </c>
      <c r="G4136" s="20" t="str">
        <f>IFERROR(__xludf.DUMMYFUNCTION("""COMPUTED_VALUE"""),"Uncle Sams Cider (11/12/2021) (Blue)")</f>
        <v>Uncle Sams Cider (11/12/2021) (Blue)</v>
      </c>
      <c r="H4136" s="19"/>
    </row>
    <row r="4137">
      <c r="A4137" s="9"/>
      <c r="B4137" s="15"/>
      <c r="C4137" s="9">
        <f>IFERROR(__xludf.DUMMYFUNCTION("""COMPUTED_VALUE"""),44562.3987016088)</f>
        <v>44562.3987</v>
      </c>
      <c r="D4137" s="15">
        <f>IFERROR(__xludf.DUMMYFUNCTION("""COMPUTED_VALUE"""),1.007)</f>
        <v>1.007</v>
      </c>
      <c r="E4137" s="16">
        <f>IFERROR(__xludf.DUMMYFUNCTION("""COMPUTED_VALUE"""),63.0)</f>
        <v>63</v>
      </c>
      <c r="F4137" s="19" t="str">
        <f>IFERROR(__xludf.DUMMYFUNCTION("""COMPUTED_VALUE"""),"BLUE")</f>
        <v>BLUE</v>
      </c>
      <c r="G4137" s="20" t="str">
        <f>IFERROR(__xludf.DUMMYFUNCTION("""COMPUTED_VALUE"""),"Uncle Sams Cider (11/12/2021) (Blue)")</f>
        <v>Uncle Sams Cider (11/12/2021) (Blue)</v>
      </c>
      <c r="H4137" s="19"/>
    </row>
    <row r="4138">
      <c r="A4138" s="9"/>
      <c r="B4138" s="15"/>
      <c r="C4138" s="9">
        <f>IFERROR(__xludf.DUMMYFUNCTION("""COMPUTED_VALUE"""),44562.3882788888)</f>
        <v>44562.38828</v>
      </c>
      <c r="D4138" s="15">
        <f>IFERROR(__xludf.DUMMYFUNCTION("""COMPUTED_VALUE"""),1.007)</f>
        <v>1.007</v>
      </c>
      <c r="E4138" s="16">
        <f>IFERROR(__xludf.DUMMYFUNCTION("""COMPUTED_VALUE"""),63.0)</f>
        <v>63</v>
      </c>
      <c r="F4138" s="19" t="str">
        <f>IFERROR(__xludf.DUMMYFUNCTION("""COMPUTED_VALUE"""),"BLUE")</f>
        <v>BLUE</v>
      </c>
      <c r="G4138" s="20" t="str">
        <f>IFERROR(__xludf.DUMMYFUNCTION("""COMPUTED_VALUE"""),"Uncle Sams Cider (11/12/2021) (Blue)")</f>
        <v>Uncle Sams Cider (11/12/2021) (Blue)</v>
      </c>
      <c r="H4138" s="19"/>
    </row>
    <row r="4139">
      <c r="A4139" s="9"/>
      <c r="B4139" s="15"/>
      <c r="C4139" s="9">
        <f>IFERROR(__xludf.DUMMYFUNCTION("""COMPUTED_VALUE"""),44562.3778584027)</f>
        <v>44562.37786</v>
      </c>
      <c r="D4139" s="15">
        <f>IFERROR(__xludf.DUMMYFUNCTION("""COMPUTED_VALUE"""),1.007)</f>
        <v>1.007</v>
      </c>
      <c r="E4139" s="16">
        <f>IFERROR(__xludf.DUMMYFUNCTION("""COMPUTED_VALUE"""),63.0)</f>
        <v>63</v>
      </c>
      <c r="F4139" s="19" t="str">
        <f>IFERROR(__xludf.DUMMYFUNCTION("""COMPUTED_VALUE"""),"BLUE")</f>
        <v>BLUE</v>
      </c>
      <c r="G4139" s="20" t="str">
        <f>IFERROR(__xludf.DUMMYFUNCTION("""COMPUTED_VALUE"""),"Uncle Sams Cider (11/12/2021) (Blue)")</f>
        <v>Uncle Sams Cider (11/12/2021) (Blue)</v>
      </c>
      <c r="H4139" s="19"/>
    </row>
    <row r="4140">
      <c r="A4140" s="9"/>
      <c r="B4140" s="15"/>
      <c r="C4140" s="9">
        <f>IFERROR(__xludf.DUMMYFUNCTION("""COMPUTED_VALUE"""),44562.3674385532)</f>
        <v>44562.36744</v>
      </c>
      <c r="D4140" s="15">
        <f>IFERROR(__xludf.DUMMYFUNCTION("""COMPUTED_VALUE"""),1.007)</f>
        <v>1.007</v>
      </c>
      <c r="E4140" s="16">
        <f>IFERROR(__xludf.DUMMYFUNCTION("""COMPUTED_VALUE"""),62.0)</f>
        <v>62</v>
      </c>
      <c r="F4140" s="19" t="str">
        <f>IFERROR(__xludf.DUMMYFUNCTION("""COMPUTED_VALUE"""),"BLUE")</f>
        <v>BLUE</v>
      </c>
      <c r="G4140" s="20" t="str">
        <f>IFERROR(__xludf.DUMMYFUNCTION("""COMPUTED_VALUE"""),"Uncle Sams Cider (11/12/2021) (Blue)")</f>
        <v>Uncle Sams Cider (11/12/2021) (Blue)</v>
      </c>
      <c r="H4140" s="19"/>
    </row>
    <row r="4141">
      <c r="A4141" s="9"/>
      <c r="B4141" s="15"/>
      <c r="C4141" s="9">
        <f>IFERROR(__xludf.DUMMYFUNCTION("""COMPUTED_VALUE"""),44562.3570173495)</f>
        <v>44562.35702</v>
      </c>
      <c r="D4141" s="15">
        <f>IFERROR(__xludf.DUMMYFUNCTION("""COMPUTED_VALUE"""),1.007)</f>
        <v>1.007</v>
      </c>
      <c r="E4141" s="16">
        <f>IFERROR(__xludf.DUMMYFUNCTION("""COMPUTED_VALUE"""),63.0)</f>
        <v>63</v>
      </c>
      <c r="F4141" s="19" t="str">
        <f>IFERROR(__xludf.DUMMYFUNCTION("""COMPUTED_VALUE"""),"BLUE")</f>
        <v>BLUE</v>
      </c>
      <c r="G4141" s="20" t="str">
        <f>IFERROR(__xludf.DUMMYFUNCTION("""COMPUTED_VALUE"""),"Uncle Sams Cider (11/12/2021) (Blue)")</f>
        <v>Uncle Sams Cider (11/12/2021) (Blue)</v>
      </c>
      <c r="H4141" s="19"/>
    </row>
    <row r="4142">
      <c r="A4142" s="9"/>
      <c r="B4142" s="15"/>
      <c r="C4142" s="9">
        <f>IFERROR(__xludf.DUMMYFUNCTION("""COMPUTED_VALUE"""),44562.3465968287)</f>
        <v>44562.3466</v>
      </c>
      <c r="D4142" s="15">
        <f>IFERROR(__xludf.DUMMYFUNCTION("""COMPUTED_VALUE"""),1.007)</f>
        <v>1.007</v>
      </c>
      <c r="E4142" s="16">
        <f>IFERROR(__xludf.DUMMYFUNCTION("""COMPUTED_VALUE"""),63.0)</f>
        <v>63</v>
      </c>
      <c r="F4142" s="19" t="str">
        <f>IFERROR(__xludf.DUMMYFUNCTION("""COMPUTED_VALUE"""),"BLUE")</f>
        <v>BLUE</v>
      </c>
      <c r="G4142" s="20" t="str">
        <f>IFERROR(__xludf.DUMMYFUNCTION("""COMPUTED_VALUE"""),"Uncle Sams Cider (11/12/2021) (Blue)")</f>
        <v>Uncle Sams Cider (11/12/2021) (Blue)</v>
      </c>
      <c r="H4142" s="19"/>
    </row>
    <row r="4143">
      <c r="A4143" s="9"/>
      <c r="B4143" s="15"/>
      <c r="C4143" s="9">
        <f>IFERROR(__xludf.DUMMYFUNCTION("""COMPUTED_VALUE"""),44562.3361757638)</f>
        <v>44562.33618</v>
      </c>
      <c r="D4143" s="15">
        <f>IFERROR(__xludf.DUMMYFUNCTION("""COMPUTED_VALUE"""),1.007)</f>
        <v>1.007</v>
      </c>
      <c r="E4143" s="16">
        <f>IFERROR(__xludf.DUMMYFUNCTION("""COMPUTED_VALUE"""),63.0)</f>
        <v>63</v>
      </c>
      <c r="F4143" s="19" t="str">
        <f>IFERROR(__xludf.DUMMYFUNCTION("""COMPUTED_VALUE"""),"BLUE")</f>
        <v>BLUE</v>
      </c>
      <c r="G4143" s="20" t="str">
        <f>IFERROR(__xludf.DUMMYFUNCTION("""COMPUTED_VALUE"""),"Uncle Sams Cider (11/12/2021) (Blue)")</f>
        <v>Uncle Sams Cider (11/12/2021) (Blue)</v>
      </c>
      <c r="H4143" s="19"/>
    </row>
    <row r="4144">
      <c r="A4144" s="9"/>
      <c r="B4144" s="15"/>
      <c r="C4144" s="9">
        <f>IFERROR(__xludf.DUMMYFUNCTION("""COMPUTED_VALUE"""),44562.3257562847)</f>
        <v>44562.32576</v>
      </c>
      <c r="D4144" s="15">
        <f>IFERROR(__xludf.DUMMYFUNCTION("""COMPUTED_VALUE"""),1.007)</f>
        <v>1.007</v>
      </c>
      <c r="E4144" s="16">
        <f>IFERROR(__xludf.DUMMYFUNCTION("""COMPUTED_VALUE"""),63.0)</f>
        <v>63</v>
      </c>
      <c r="F4144" s="19" t="str">
        <f>IFERROR(__xludf.DUMMYFUNCTION("""COMPUTED_VALUE"""),"BLUE")</f>
        <v>BLUE</v>
      </c>
      <c r="G4144" s="20" t="str">
        <f>IFERROR(__xludf.DUMMYFUNCTION("""COMPUTED_VALUE"""),"Uncle Sams Cider (11/12/2021) (Blue)")</f>
        <v>Uncle Sams Cider (11/12/2021) (Blue)</v>
      </c>
      <c r="H4144" s="19"/>
    </row>
    <row r="4145">
      <c r="A4145" s="9"/>
      <c r="B4145" s="15"/>
      <c r="C4145" s="9">
        <f>IFERROR(__xludf.DUMMYFUNCTION("""COMPUTED_VALUE"""),44562.3153129166)</f>
        <v>44562.31531</v>
      </c>
      <c r="D4145" s="15">
        <f>IFERROR(__xludf.DUMMYFUNCTION("""COMPUTED_VALUE"""),1.007)</f>
        <v>1.007</v>
      </c>
      <c r="E4145" s="16">
        <f>IFERROR(__xludf.DUMMYFUNCTION("""COMPUTED_VALUE"""),63.0)</f>
        <v>63</v>
      </c>
      <c r="F4145" s="19" t="str">
        <f>IFERROR(__xludf.DUMMYFUNCTION("""COMPUTED_VALUE"""),"BLUE")</f>
        <v>BLUE</v>
      </c>
      <c r="G4145" s="20" t="str">
        <f>IFERROR(__xludf.DUMMYFUNCTION("""COMPUTED_VALUE"""),"Uncle Sams Cider (11/12/2021) (Blue)")</f>
        <v>Uncle Sams Cider (11/12/2021) (Blue)</v>
      </c>
      <c r="H4145" s="19"/>
    </row>
    <row r="4146">
      <c r="A4146" s="9"/>
      <c r="B4146" s="15"/>
      <c r="C4146" s="9">
        <f>IFERROR(__xludf.DUMMYFUNCTION("""COMPUTED_VALUE"""),44562.3048930671)</f>
        <v>44562.30489</v>
      </c>
      <c r="D4146" s="15">
        <f>IFERROR(__xludf.DUMMYFUNCTION("""COMPUTED_VALUE"""),1.007)</f>
        <v>1.007</v>
      </c>
      <c r="E4146" s="16">
        <f>IFERROR(__xludf.DUMMYFUNCTION("""COMPUTED_VALUE"""),62.0)</f>
        <v>62</v>
      </c>
      <c r="F4146" s="19" t="str">
        <f>IFERROR(__xludf.DUMMYFUNCTION("""COMPUTED_VALUE"""),"BLUE")</f>
        <v>BLUE</v>
      </c>
      <c r="G4146" s="20" t="str">
        <f>IFERROR(__xludf.DUMMYFUNCTION("""COMPUTED_VALUE"""),"Uncle Sams Cider (11/12/2021) (Blue)")</f>
        <v>Uncle Sams Cider (11/12/2021) (Blue)</v>
      </c>
      <c r="H4146" s="19"/>
    </row>
    <row r="4147">
      <c r="A4147" s="9"/>
      <c r="B4147" s="15"/>
      <c r="C4147" s="9">
        <f>IFERROR(__xludf.DUMMYFUNCTION("""COMPUTED_VALUE"""),44562.2944722916)</f>
        <v>44562.29447</v>
      </c>
      <c r="D4147" s="15">
        <f>IFERROR(__xludf.DUMMYFUNCTION("""COMPUTED_VALUE"""),1.007)</f>
        <v>1.007</v>
      </c>
      <c r="E4147" s="16">
        <f>IFERROR(__xludf.DUMMYFUNCTION("""COMPUTED_VALUE"""),63.0)</f>
        <v>63</v>
      </c>
      <c r="F4147" s="19" t="str">
        <f>IFERROR(__xludf.DUMMYFUNCTION("""COMPUTED_VALUE"""),"BLUE")</f>
        <v>BLUE</v>
      </c>
      <c r="G4147" s="20" t="str">
        <f>IFERROR(__xludf.DUMMYFUNCTION("""COMPUTED_VALUE"""),"Uncle Sams Cider (11/12/2021) (Blue)")</f>
        <v>Uncle Sams Cider (11/12/2021) (Blue)</v>
      </c>
      <c r="H4147" s="19"/>
    </row>
    <row r="4148">
      <c r="A4148" s="9"/>
      <c r="B4148" s="15"/>
      <c r="C4148" s="9">
        <f>IFERROR(__xludf.DUMMYFUNCTION("""COMPUTED_VALUE"""),44562.2840512037)</f>
        <v>44562.28405</v>
      </c>
      <c r="D4148" s="15">
        <f>IFERROR(__xludf.DUMMYFUNCTION("""COMPUTED_VALUE"""),1.007)</f>
        <v>1.007</v>
      </c>
      <c r="E4148" s="16">
        <f>IFERROR(__xludf.DUMMYFUNCTION("""COMPUTED_VALUE"""),62.0)</f>
        <v>62</v>
      </c>
      <c r="F4148" s="19" t="str">
        <f>IFERROR(__xludf.DUMMYFUNCTION("""COMPUTED_VALUE"""),"BLUE")</f>
        <v>BLUE</v>
      </c>
      <c r="G4148" s="20" t="str">
        <f>IFERROR(__xludf.DUMMYFUNCTION("""COMPUTED_VALUE"""),"Uncle Sams Cider (11/12/2021) (Blue)")</f>
        <v>Uncle Sams Cider (11/12/2021) (Blue)</v>
      </c>
      <c r="H4148" s="19"/>
    </row>
    <row r="4149">
      <c r="A4149" s="9"/>
      <c r="B4149" s="15"/>
      <c r="C4149" s="9">
        <f>IFERROR(__xludf.DUMMYFUNCTION("""COMPUTED_VALUE"""),44562.2736304398)</f>
        <v>44562.27363</v>
      </c>
      <c r="D4149" s="15">
        <f>IFERROR(__xludf.DUMMYFUNCTION("""COMPUTED_VALUE"""),1.007)</f>
        <v>1.007</v>
      </c>
      <c r="E4149" s="16">
        <f>IFERROR(__xludf.DUMMYFUNCTION("""COMPUTED_VALUE"""),62.0)</f>
        <v>62</v>
      </c>
      <c r="F4149" s="19" t="str">
        <f>IFERROR(__xludf.DUMMYFUNCTION("""COMPUTED_VALUE"""),"BLUE")</f>
        <v>BLUE</v>
      </c>
      <c r="G4149" s="20" t="str">
        <f>IFERROR(__xludf.DUMMYFUNCTION("""COMPUTED_VALUE"""),"Uncle Sams Cider (11/12/2021) (Blue)")</f>
        <v>Uncle Sams Cider (11/12/2021) (Blue)</v>
      </c>
      <c r="H4149" s="19"/>
    </row>
    <row r="4150">
      <c r="A4150" s="9"/>
      <c r="B4150" s="15"/>
      <c r="C4150" s="9">
        <f>IFERROR(__xludf.DUMMYFUNCTION("""COMPUTED_VALUE"""),44562.2632091666)</f>
        <v>44562.26321</v>
      </c>
      <c r="D4150" s="15">
        <f>IFERROR(__xludf.DUMMYFUNCTION("""COMPUTED_VALUE"""),1.007)</f>
        <v>1.007</v>
      </c>
      <c r="E4150" s="16">
        <f>IFERROR(__xludf.DUMMYFUNCTION("""COMPUTED_VALUE"""),63.0)</f>
        <v>63</v>
      </c>
      <c r="F4150" s="19" t="str">
        <f>IFERROR(__xludf.DUMMYFUNCTION("""COMPUTED_VALUE"""),"BLUE")</f>
        <v>BLUE</v>
      </c>
      <c r="G4150" s="20" t="str">
        <f>IFERROR(__xludf.DUMMYFUNCTION("""COMPUTED_VALUE"""),"Uncle Sams Cider (11/12/2021) (Blue)")</f>
        <v>Uncle Sams Cider (11/12/2021) (Blue)</v>
      </c>
      <c r="H4150" s="19"/>
    </row>
    <row r="4151">
      <c r="A4151" s="9"/>
      <c r="B4151" s="15"/>
      <c r="C4151" s="9">
        <f>IFERROR(__xludf.DUMMYFUNCTION("""COMPUTED_VALUE"""),44562.2527864699)</f>
        <v>44562.25279</v>
      </c>
      <c r="D4151" s="15">
        <f>IFERROR(__xludf.DUMMYFUNCTION("""COMPUTED_VALUE"""),1.007)</f>
        <v>1.007</v>
      </c>
      <c r="E4151" s="16">
        <f>IFERROR(__xludf.DUMMYFUNCTION("""COMPUTED_VALUE"""),62.0)</f>
        <v>62</v>
      </c>
      <c r="F4151" s="19" t="str">
        <f>IFERROR(__xludf.DUMMYFUNCTION("""COMPUTED_VALUE"""),"BLUE")</f>
        <v>BLUE</v>
      </c>
      <c r="G4151" s="20" t="str">
        <f>IFERROR(__xludf.DUMMYFUNCTION("""COMPUTED_VALUE"""),"Uncle Sams Cider (11/12/2021) (Blue)")</f>
        <v>Uncle Sams Cider (11/12/2021) (Blue)</v>
      </c>
      <c r="H4151" s="19"/>
    </row>
    <row r="4152">
      <c r="A4152" s="9"/>
      <c r="B4152" s="15"/>
      <c r="C4152" s="9">
        <f>IFERROR(__xludf.DUMMYFUNCTION("""COMPUTED_VALUE"""),44562.2423661111)</f>
        <v>44562.24237</v>
      </c>
      <c r="D4152" s="15">
        <f>IFERROR(__xludf.DUMMYFUNCTION("""COMPUTED_VALUE"""),1.007)</f>
        <v>1.007</v>
      </c>
      <c r="E4152" s="16">
        <f>IFERROR(__xludf.DUMMYFUNCTION("""COMPUTED_VALUE"""),62.0)</f>
        <v>62</v>
      </c>
      <c r="F4152" s="19" t="str">
        <f>IFERROR(__xludf.DUMMYFUNCTION("""COMPUTED_VALUE"""),"BLUE")</f>
        <v>BLUE</v>
      </c>
      <c r="G4152" s="20" t="str">
        <f>IFERROR(__xludf.DUMMYFUNCTION("""COMPUTED_VALUE"""),"Uncle Sams Cider (11/12/2021) (Blue)")</f>
        <v>Uncle Sams Cider (11/12/2021) (Blue)</v>
      </c>
      <c r="H4152" s="19"/>
    </row>
    <row r="4153">
      <c r="A4153" s="9"/>
      <c r="B4153" s="15"/>
      <c r="C4153" s="9">
        <f>IFERROR(__xludf.DUMMYFUNCTION("""COMPUTED_VALUE"""),44562.231945081)</f>
        <v>44562.23195</v>
      </c>
      <c r="D4153" s="15">
        <f>IFERROR(__xludf.DUMMYFUNCTION("""COMPUTED_VALUE"""),1.007)</f>
        <v>1.007</v>
      </c>
      <c r="E4153" s="16">
        <f>IFERROR(__xludf.DUMMYFUNCTION("""COMPUTED_VALUE"""),62.0)</f>
        <v>62</v>
      </c>
      <c r="F4153" s="19" t="str">
        <f>IFERROR(__xludf.DUMMYFUNCTION("""COMPUTED_VALUE"""),"BLUE")</f>
        <v>BLUE</v>
      </c>
      <c r="G4153" s="20" t="str">
        <f>IFERROR(__xludf.DUMMYFUNCTION("""COMPUTED_VALUE"""),"Uncle Sams Cider (11/12/2021) (Blue)")</f>
        <v>Uncle Sams Cider (11/12/2021) (Blue)</v>
      </c>
      <c r="H4153" s="19"/>
    </row>
    <row r="4154">
      <c r="A4154" s="9"/>
      <c r="B4154" s="15"/>
      <c r="C4154" s="9">
        <f>IFERROR(__xludf.DUMMYFUNCTION("""COMPUTED_VALUE"""),44562.2215117476)</f>
        <v>44562.22151</v>
      </c>
      <c r="D4154" s="15">
        <f>IFERROR(__xludf.DUMMYFUNCTION("""COMPUTED_VALUE"""),1.007)</f>
        <v>1.007</v>
      </c>
      <c r="E4154" s="16">
        <f>IFERROR(__xludf.DUMMYFUNCTION("""COMPUTED_VALUE"""),63.0)</f>
        <v>63</v>
      </c>
      <c r="F4154" s="19" t="str">
        <f>IFERROR(__xludf.DUMMYFUNCTION("""COMPUTED_VALUE"""),"BLUE")</f>
        <v>BLUE</v>
      </c>
      <c r="G4154" s="20" t="str">
        <f>IFERROR(__xludf.DUMMYFUNCTION("""COMPUTED_VALUE"""),"Uncle Sams Cider (11/12/2021) (Blue)")</f>
        <v>Uncle Sams Cider (11/12/2021) (Blue)</v>
      </c>
      <c r="H4154" s="19"/>
    </row>
    <row r="4155">
      <c r="A4155" s="9"/>
      <c r="B4155" s="15"/>
      <c r="C4155" s="9">
        <f>IFERROR(__xludf.DUMMYFUNCTION("""COMPUTED_VALUE"""),44562.2110790393)</f>
        <v>44562.21108</v>
      </c>
      <c r="D4155" s="15">
        <f>IFERROR(__xludf.DUMMYFUNCTION("""COMPUTED_VALUE"""),1.007)</f>
        <v>1.007</v>
      </c>
      <c r="E4155" s="16">
        <f>IFERROR(__xludf.DUMMYFUNCTION("""COMPUTED_VALUE"""),63.0)</f>
        <v>63</v>
      </c>
      <c r="F4155" s="19" t="str">
        <f>IFERROR(__xludf.DUMMYFUNCTION("""COMPUTED_VALUE"""),"BLUE")</f>
        <v>BLUE</v>
      </c>
      <c r="G4155" s="20" t="str">
        <f>IFERROR(__xludf.DUMMYFUNCTION("""COMPUTED_VALUE"""),"Uncle Sams Cider (11/12/2021) (Blue)")</f>
        <v>Uncle Sams Cider (11/12/2021) (Blue)</v>
      </c>
      <c r="H4155" s="19"/>
    </row>
    <row r="4156">
      <c r="A4156" s="9"/>
      <c r="B4156" s="15"/>
      <c r="C4156" s="9">
        <f>IFERROR(__xludf.DUMMYFUNCTION("""COMPUTED_VALUE"""),44562.2006587615)</f>
        <v>44562.20066</v>
      </c>
      <c r="D4156" s="15">
        <f>IFERROR(__xludf.DUMMYFUNCTION("""COMPUTED_VALUE"""),1.007)</f>
        <v>1.007</v>
      </c>
      <c r="E4156" s="16">
        <f>IFERROR(__xludf.DUMMYFUNCTION("""COMPUTED_VALUE"""),62.0)</f>
        <v>62</v>
      </c>
      <c r="F4156" s="19" t="str">
        <f>IFERROR(__xludf.DUMMYFUNCTION("""COMPUTED_VALUE"""),"BLUE")</f>
        <v>BLUE</v>
      </c>
      <c r="G4156" s="20" t="str">
        <f>IFERROR(__xludf.DUMMYFUNCTION("""COMPUTED_VALUE"""),"Uncle Sams Cider (11/12/2021) (Blue)")</f>
        <v>Uncle Sams Cider (11/12/2021) (Blue)</v>
      </c>
      <c r="H4156" s="19"/>
    </row>
    <row r="4157">
      <c r="A4157" s="9"/>
      <c r="B4157" s="15"/>
      <c r="C4157" s="9">
        <f>IFERROR(__xludf.DUMMYFUNCTION("""COMPUTED_VALUE"""),44562.1902142476)</f>
        <v>44562.19021</v>
      </c>
      <c r="D4157" s="15">
        <f>IFERROR(__xludf.DUMMYFUNCTION("""COMPUTED_VALUE"""),1.007)</f>
        <v>1.007</v>
      </c>
      <c r="E4157" s="16">
        <f>IFERROR(__xludf.DUMMYFUNCTION("""COMPUTED_VALUE"""),63.0)</f>
        <v>63</v>
      </c>
      <c r="F4157" s="19" t="str">
        <f>IFERROR(__xludf.DUMMYFUNCTION("""COMPUTED_VALUE"""),"BLUE")</f>
        <v>BLUE</v>
      </c>
      <c r="G4157" s="20" t="str">
        <f>IFERROR(__xludf.DUMMYFUNCTION("""COMPUTED_VALUE"""),"Uncle Sams Cider (11/12/2021) (Blue)")</f>
        <v>Uncle Sams Cider (11/12/2021) (Blue)</v>
      </c>
      <c r="H4157" s="19"/>
    </row>
    <row r="4158">
      <c r="A4158" s="9"/>
      <c r="B4158" s="15"/>
      <c r="C4158" s="9">
        <f>IFERROR(__xludf.DUMMYFUNCTION("""COMPUTED_VALUE"""),44562.179782199)</f>
        <v>44562.17978</v>
      </c>
      <c r="D4158" s="15">
        <f>IFERROR(__xludf.DUMMYFUNCTION("""COMPUTED_VALUE"""),1.007)</f>
        <v>1.007</v>
      </c>
      <c r="E4158" s="16">
        <f>IFERROR(__xludf.DUMMYFUNCTION("""COMPUTED_VALUE"""),63.0)</f>
        <v>63</v>
      </c>
      <c r="F4158" s="19" t="str">
        <f>IFERROR(__xludf.DUMMYFUNCTION("""COMPUTED_VALUE"""),"BLUE")</f>
        <v>BLUE</v>
      </c>
      <c r="G4158" s="20" t="str">
        <f>IFERROR(__xludf.DUMMYFUNCTION("""COMPUTED_VALUE"""),"Uncle Sams Cider (11/12/2021) (Blue)")</f>
        <v>Uncle Sams Cider (11/12/2021) (Blue)</v>
      </c>
      <c r="H4158" s="19"/>
    </row>
    <row r="4159">
      <c r="A4159" s="9"/>
      <c r="B4159" s="15"/>
      <c r="C4159" s="9">
        <f>IFERROR(__xludf.DUMMYFUNCTION("""COMPUTED_VALUE"""),44562.1693625462)</f>
        <v>44562.16936</v>
      </c>
      <c r="D4159" s="15">
        <f>IFERROR(__xludf.DUMMYFUNCTION("""COMPUTED_VALUE"""),1.007)</f>
        <v>1.007</v>
      </c>
      <c r="E4159" s="16">
        <f>IFERROR(__xludf.DUMMYFUNCTION("""COMPUTED_VALUE"""),63.0)</f>
        <v>63</v>
      </c>
      <c r="F4159" s="19" t="str">
        <f>IFERROR(__xludf.DUMMYFUNCTION("""COMPUTED_VALUE"""),"BLUE")</f>
        <v>BLUE</v>
      </c>
      <c r="G4159" s="20" t="str">
        <f>IFERROR(__xludf.DUMMYFUNCTION("""COMPUTED_VALUE"""),"Uncle Sams Cider (11/12/2021) (Blue)")</f>
        <v>Uncle Sams Cider (11/12/2021) (Blue)</v>
      </c>
      <c r="H4159" s="19"/>
    </row>
    <row r="4160">
      <c r="A4160" s="9"/>
      <c r="B4160" s="15"/>
      <c r="C4160" s="9">
        <f>IFERROR(__xludf.DUMMYFUNCTION("""COMPUTED_VALUE"""),44562.1589415625)</f>
        <v>44562.15894</v>
      </c>
      <c r="D4160" s="15">
        <f>IFERROR(__xludf.DUMMYFUNCTION("""COMPUTED_VALUE"""),1.007)</f>
        <v>1.007</v>
      </c>
      <c r="E4160" s="16">
        <f>IFERROR(__xludf.DUMMYFUNCTION("""COMPUTED_VALUE"""),63.0)</f>
        <v>63</v>
      </c>
      <c r="F4160" s="19" t="str">
        <f>IFERROR(__xludf.DUMMYFUNCTION("""COMPUTED_VALUE"""),"BLUE")</f>
        <v>BLUE</v>
      </c>
      <c r="G4160" s="20" t="str">
        <f>IFERROR(__xludf.DUMMYFUNCTION("""COMPUTED_VALUE"""),"Uncle Sams Cider (11/12/2021) (Blue)")</f>
        <v>Uncle Sams Cider (11/12/2021) (Blue)</v>
      </c>
      <c r="H4160" s="19"/>
    </row>
    <row r="4161">
      <c r="A4161" s="9"/>
      <c r="B4161" s="15"/>
      <c r="C4161" s="9">
        <f>IFERROR(__xludf.DUMMYFUNCTION("""COMPUTED_VALUE"""),44562.1485216666)</f>
        <v>44562.14852</v>
      </c>
      <c r="D4161" s="15">
        <f>IFERROR(__xludf.DUMMYFUNCTION("""COMPUTED_VALUE"""),1.007)</f>
        <v>1.007</v>
      </c>
      <c r="E4161" s="16">
        <f>IFERROR(__xludf.DUMMYFUNCTION("""COMPUTED_VALUE"""),62.0)</f>
        <v>62</v>
      </c>
      <c r="F4161" s="19" t="str">
        <f>IFERROR(__xludf.DUMMYFUNCTION("""COMPUTED_VALUE"""),"BLUE")</f>
        <v>BLUE</v>
      </c>
      <c r="G4161" s="20" t="str">
        <f>IFERROR(__xludf.DUMMYFUNCTION("""COMPUTED_VALUE"""),"Uncle Sams Cider (11/12/2021) (Blue)")</f>
        <v>Uncle Sams Cider (11/12/2021) (Blue)</v>
      </c>
      <c r="H4161" s="19"/>
    </row>
    <row r="4162">
      <c r="A4162" s="9"/>
      <c r="B4162" s="15"/>
      <c r="C4162" s="9">
        <f>IFERROR(__xludf.DUMMYFUNCTION("""COMPUTED_VALUE"""),44562.1381016666)</f>
        <v>44562.1381</v>
      </c>
      <c r="D4162" s="15">
        <f>IFERROR(__xludf.DUMMYFUNCTION("""COMPUTED_VALUE"""),1.007)</f>
        <v>1.007</v>
      </c>
      <c r="E4162" s="16">
        <f>IFERROR(__xludf.DUMMYFUNCTION("""COMPUTED_VALUE"""),63.0)</f>
        <v>63</v>
      </c>
      <c r="F4162" s="19" t="str">
        <f>IFERROR(__xludf.DUMMYFUNCTION("""COMPUTED_VALUE"""),"BLUE")</f>
        <v>BLUE</v>
      </c>
      <c r="G4162" s="20" t="str">
        <f>IFERROR(__xludf.DUMMYFUNCTION("""COMPUTED_VALUE"""),"Uncle Sams Cider (11/12/2021) (Blue)")</f>
        <v>Uncle Sams Cider (11/12/2021) (Blue)</v>
      </c>
      <c r="H4162" s="19"/>
    </row>
    <row r="4163">
      <c r="A4163" s="9"/>
      <c r="B4163" s="15"/>
      <c r="C4163" s="9">
        <f>IFERROR(__xludf.DUMMYFUNCTION("""COMPUTED_VALUE"""),44562.1276807407)</f>
        <v>44562.12768</v>
      </c>
      <c r="D4163" s="15">
        <f>IFERROR(__xludf.DUMMYFUNCTION("""COMPUTED_VALUE"""),1.007)</f>
        <v>1.007</v>
      </c>
      <c r="E4163" s="16">
        <f>IFERROR(__xludf.DUMMYFUNCTION("""COMPUTED_VALUE"""),63.0)</f>
        <v>63</v>
      </c>
      <c r="F4163" s="19" t="str">
        <f>IFERROR(__xludf.DUMMYFUNCTION("""COMPUTED_VALUE"""),"BLUE")</f>
        <v>BLUE</v>
      </c>
      <c r="G4163" s="20" t="str">
        <f>IFERROR(__xludf.DUMMYFUNCTION("""COMPUTED_VALUE"""),"Uncle Sams Cider (11/12/2021) (Blue)")</f>
        <v>Uncle Sams Cider (11/12/2021) (Blue)</v>
      </c>
      <c r="H4163" s="19"/>
    </row>
    <row r="4164">
      <c r="A4164" s="9"/>
      <c r="B4164" s="15"/>
      <c r="C4164" s="9">
        <f>IFERROR(__xludf.DUMMYFUNCTION("""COMPUTED_VALUE"""),44562.1172610763)</f>
        <v>44562.11726</v>
      </c>
      <c r="D4164" s="15">
        <f>IFERROR(__xludf.DUMMYFUNCTION("""COMPUTED_VALUE"""),1.007)</f>
        <v>1.007</v>
      </c>
      <c r="E4164" s="16">
        <f>IFERROR(__xludf.DUMMYFUNCTION("""COMPUTED_VALUE"""),63.0)</f>
        <v>63</v>
      </c>
      <c r="F4164" s="19" t="str">
        <f>IFERROR(__xludf.DUMMYFUNCTION("""COMPUTED_VALUE"""),"BLUE")</f>
        <v>BLUE</v>
      </c>
      <c r="G4164" s="20" t="str">
        <f>IFERROR(__xludf.DUMMYFUNCTION("""COMPUTED_VALUE"""),"Uncle Sams Cider (11/12/2021) (Blue)")</f>
        <v>Uncle Sams Cider (11/12/2021) (Blue)</v>
      </c>
      <c r="H4164" s="19"/>
    </row>
    <row r="4165">
      <c r="A4165" s="9"/>
      <c r="B4165" s="15"/>
      <c r="C4165" s="9">
        <f>IFERROR(__xludf.DUMMYFUNCTION("""COMPUTED_VALUE"""),44562.1068271064)</f>
        <v>44562.10683</v>
      </c>
      <c r="D4165" s="15">
        <f>IFERROR(__xludf.DUMMYFUNCTION("""COMPUTED_VALUE"""),1.007)</f>
        <v>1.007</v>
      </c>
      <c r="E4165" s="16">
        <f>IFERROR(__xludf.DUMMYFUNCTION("""COMPUTED_VALUE"""),63.0)</f>
        <v>63</v>
      </c>
      <c r="F4165" s="19" t="str">
        <f>IFERROR(__xludf.DUMMYFUNCTION("""COMPUTED_VALUE"""),"BLUE")</f>
        <v>BLUE</v>
      </c>
      <c r="G4165" s="20" t="str">
        <f>IFERROR(__xludf.DUMMYFUNCTION("""COMPUTED_VALUE"""),"Uncle Sams Cider (11/12/2021) (Blue)")</f>
        <v>Uncle Sams Cider (11/12/2021) (Blue)</v>
      </c>
      <c r="H4165" s="19"/>
    </row>
    <row r="4166">
      <c r="A4166" s="9"/>
      <c r="B4166" s="15"/>
      <c r="C4166" s="9">
        <f>IFERROR(__xludf.DUMMYFUNCTION("""COMPUTED_VALUE"""),44562.0963946064)</f>
        <v>44562.09639</v>
      </c>
      <c r="D4166" s="15">
        <f>IFERROR(__xludf.DUMMYFUNCTION("""COMPUTED_VALUE"""),1.007)</f>
        <v>1.007</v>
      </c>
      <c r="E4166" s="16">
        <f>IFERROR(__xludf.DUMMYFUNCTION("""COMPUTED_VALUE"""),63.0)</f>
        <v>63</v>
      </c>
      <c r="F4166" s="19" t="str">
        <f>IFERROR(__xludf.DUMMYFUNCTION("""COMPUTED_VALUE"""),"BLUE")</f>
        <v>BLUE</v>
      </c>
      <c r="G4166" s="20" t="str">
        <f>IFERROR(__xludf.DUMMYFUNCTION("""COMPUTED_VALUE"""),"Uncle Sams Cider (11/12/2021) (Blue)")</f>
        <v>Uncle Sams Cider (11/12/2021) (Blue)</v>
      </c>
      <c r="H4166" s="19"/>
    </row>
    <row r="4167">
      <c r="A4167" s="9"/>
      <c r="B4167" s="15"/>
      <c r="C4167" s="9">
        <f>IFERROR(__xludf.DUMMYFUNCTION("""COMPUTED_VALUE"""),44562.0859730324)</f>
        <v>44562.08597</v>
      </c>
      <c r="D4167" s="15">
        <f>IFERROR(__xludf.DUMMYFUNCTION("""COMPUTED_VALUE"""),1.007)</f>
        <v>1.007</v>
      </c>
      <c r="E4167" s="16">
        <f>IFERROR(__xludf.DUMMYFUNCTION("""COMPUTED_VALUE"""),63.0)</f>
        <v>63</v>
      </c>
      <c r="F4167" s="19" t="str">
        <f>IFERROR(__xludf.DUMMYFUNCTION("""COMPUTED_VALUE"""),"BLUE")</f>
        <v>BLUE</v>
      </c>
      <c r="G4167" s="20" t="str">
        <f>IFERROR(__xludf.DUMMYFUNCTION("""COMPUTED_VALUE"""),"Uncle Sams Cider (11/12/2021) (Blue)")</f>
        <v>Uncle Sams Cider (11/12/2021) (Blue)</v>
      </c>
      <c r="H4167" s="19"/>
    </row>
    <row r="4168">
      <c r="A4168" s="9"/>
      <c r="B4168" s="15"/>
      <c r="C4168" s="9">
        <f>IFERROR(__xludf.DUMMYFUNCTION("""COMPUTED_VALUE"""),44562.0755504976)</f>
        <v>44562.07555</v>
      </c>
      <c r="D4168" s="15">
        <f>IFERROR(__xludf.DUMMYFUNCTION("""COMPUTED_VALUE"""),1.007)</f>
        <v>1.007</v>
      </c>
      <c r="E4168" s="16">
        <f>IFERROR(__xludf.DUMMYFUNCTION("""COMPUTED_VALUE"""),63.0)</f>
        <v>63</v>
      </c>
      <c r="F4168" s="19" t="str">
        <f>IFERROR(__xludf.DUMMYFUNCTION("""COMPUTED_VALUE"""),"BLUE")</f>
        <v>BLUE</v>
      </c>
      <c r="G4168" s="20" t="str">
        <f>IFERROR(__xludf.DUMMYFUNCTION("""COMPUTED_VALUE"""),"Uncle Sams Cider (11/12/2021) (Blue)")</f>
        <v>Uncle Sams Cider (11/12/2021) (Blue)</v>
      </c>
      <c r="H4168" s="19"/>
    </row>
    <row r="4169">
      <c r="A4169" s="9"/>
      <c r="B4169" s="15"/>
      <c r="C4169" s="9">
        <f>IFERROR(__xludf.DUMMYFUNCTION("""COMPUTED_VALUE"""),44562.0651297338)</f>
        <v>44562.06513</v>
      </c>
      <c r="D4169" s="15">
        <f>IFERROR(__xludf.DUMMYFUNCTION("""COMPUTED_VALUE"""),1.007)</f>
        <v>1.007</v>
      </c>
      <c r="E4169" s="16">
        <f>IFERROR(__xludf.DUMMYFUNCTION("""COMPUTED_VALUE"""),63.0)</f>
        <v>63</v>
      </c>
      <c r="F4169" s="19" t="str">
        <f>IFERROR(__xludf.DUMMYFUNCTION("""COMPUTED_VALUE"""),"BLUE")</f>
        <v>BLUE</v>
      </c>
      <c r="G4169" s="20" t="str">
        <f>IFERROR(__xludf.DUMMYFUNCTION("""COMPUTED_VALUE"""),"Uncle Sams Cider (11/12/2021) (Blue)")</f>
        <v>Uncle Sams Cider (11/12/2021) (Blue)</v>
      </c>
      <c r="H4169" s="19"/>
    </row>
    <row r="4170">
      <c r="A4170" s="9"/>
      <c r="B4170" s="15"/>
      <c r="C4170" s="9">
        <f>IFERROR(__xludf.DUMMYFUNCTION("""COMPUTED_VALUE"""),44562.0546969791)</f>
        <v>44562.0547</v>
      </c>
      <c r="D4170" s="15">
        <f>IFERROR(__xludf.DUMMYFUNCTION("""COMPUTED_VALUE"""),1.007)</f>
        <v>1.007</v>
      </c>
      <c r="E4170" s="16">
        <f>IFERROR(__xludf.DUMMYFUNCTION("""COMPUTED_VALUE"""),63.0)</f>
        <v>63</v>
      </c>
      <c r="F4170" s="19" t="str">
        <f>IFERROR(__xludf.DUMMYFUNCTION("""COMPUTED_VALUE"""),"BLUE")</f>
        <v>BLUE</v>
      </c>
      <c r="G4170" s="20" t="str">
        <f>IFERROR(__xludf.DUMMYFUNCTION("""COMPUTED_VALUE"""),"Uncle Sams Cider (11/12/2021) (Blue)")</f>
        <v>Uncle Sams Cider (11/12/2021) (Blue)</v>
      </c>
      <c r="H4170" s="19"/>
    </row>
    <row r="4171">
      <c r="A4171" s="9"/>
      <c r="B4171" s="15"/>
      <c r="C4171" s="9">
        <f>IFERROR(__xludf.DUMMYFUNCTION("""COMPUTED_VALUE"""),44562.0442768055)</f>
        <v>44562.04428</v>
      </c>
      <c r="D4171" s="15">
        <f>IFERROR(__xludf.DUMMYFUNCTION("""COMPUTED_VALUE"""),1.007)</f>
        <v>1.007</v>
      </c>
      <c r="E4171" s="16">
        <f>IFERROR(__xludf.DUMMYFUNCTION("""COMPUTED_VALUE"""),63.0)</f>
        <v>63</v>
      </c>
      <c r="F4171" s="19" t="str">
        <f>IFERROR(__xludf.DUMMYFUNCTION("""COMPUTED_VALUE"""),"BLUE")</f>
        <v>BLUE</v>
      </c>
      <c r="G4171" s="20" t="str">
        <f>IFERROR(__xludf.DUMMYFUNCTION("""COMPUTED_VALUE"""),"Uncle Sams Cider (11/12/2021) (Blue)")</f>
        <v>Uncle Sams Cider (11/12/2021) (Blue)</v>
      </c>
      <c r="H4171" s="19"/>
    </row>
    <row r="4172">
      <c r="A4172" s="9"/>
      <c r="B4172" s="15"/>
      <c r="C4172" s="9">
        <f>IFERROR(__xludf.DUMMYFUNCTION("""COMPUTED_VALUE"""),44562.0338570601)</f>
        <v>44562.03386</v>
      </c>
      <c r="D4172" s="15">
        <f>IFERROR(__xludf.DUMMYFUNCTION("""COMPUTED_VALUE"""),1.007)</f>
        <v>1.007</v>
      </c>
      <c r="E4172" s="16">
        <f>IFERROR(__xludf.DUMMYFUNCTION("""COMPUTED_VALUE"""),63.0)</f>
        <v>63</v>
      </c>
      <c r="F4172" s="19" t="str">
        <f>IFERROR(__xludf.DUMMYFUNCTION("""COMPUTED_VALUE"""),"BLUE")</f>
        <v>BLUE</v>
      </c>
      <c r="G4172" s="20" t="str">
        <f>IFERROR(__xludf.DUMMYFUNCTION("""COMPUTED_VALUE"""),"Uncle Sams Cider (11/12/2021) (Blue)")</f>
        <v>Uncle Sams Cider (11/12/2021) (Blue)</v>
      </c>
      <c r="H4172" s="19"/>
    </row>
    <row r="4173">
      <c r="A4173" s="9"/>
      <c r="B4173" s="15"/>
      <c r="C4173" s="9">
        <f>IFERROR(__xludf.DUMMYFUNCTION("""COMPUTED_VALUE"""),44562.0234362152)</f>
        <v>44562.02344</v>
      </c>
      <c r="D4173" s="15">
        <f>IFERROR(__xludf.DUMMYFUNCTION("""COMPUTED_VALUE"""),1.007)</f>
        <v>1.007</v>
      </c>
      <c r="E4173" s="16">
        <f>IFERROR(__xludf.DUMMYFUNCTION("""COMPUTED_VALUE"""),63.0)</f>
        <v>63</v>
      </c>
      <c r="F4173" s="19" t="str">
        <f>IFERROR(__xludf.DUMMYFUNCTION("""COMPUTED_VALUE"""),"BLUE")</f>
        <v>BLUE</v>
      </c>
      <c r="G4173" s="20" t="str">
        <f>IFERROR(__xludf.DUMMYFUNCTION("""COMPUTED_VALUE"""),"Uncle Sams Cider (11/12/2021) (Blue)")</f>
        <v>Uncle Sams Cider (11/12/2021) (Blue)</v>
      </c>
      <c r="H4173" s="19"/>
    </row>
    <row r="4174">
      <c r="A4174" s="9"/>
      <c r="B4174" s="15"/>
      <c r="C4174" s="9">
        <f>IFERROR(__xludf.DUMMYFUNCTION("""COMPUTED_VALUE"""),44562.013015706)</f>
        <v>44562.01302</v>
      </c>
      <c r="D4174" s="15">
        <f>IFERROR(__xludf.DUMMYFUNCTION("""COMPUTED_VALUE"""),1.007)</f>
        <v>1.007</v>
      </c>
      <c r="E4174" s="16">
        <f>IFERROR(__xludf.DUMMYFUNCTION("""COMPUTED_VALUE"""),63.0)</f>
        <v>63</v>
      </c>
      <c r="F4174" s="19" t="str">
        <f>IFERROR(__xludf.DUMMYFUNCTION("""COMPUTED_VALUE"""),"BLUE")</f>
        <v>BLUE</v>
      </c>
      <c r="G4174" s="20" t="str">
        <f>IFERROR(__xludf.DUMMYFUNCTION("""COMPUTED_VALUE"""),"Uncle Sams Cider (11/12/2021) (Blue)")</f>
        <v>Uncle Sams Cider (11/12/2021) (Blue)</v>
      </c>
      <c r="H4174" s="19"/>
    </row>
    <row r="4175">
      <c r="A4175" s="9"/>
      <c r="B4175" s="15"/>
      <c r="C4175" s="9">
        <f>IFERROR(__xludf.DUMMYFUNCTION("""COMPUTED_VALUE"""),44562.0025937731)</f>
        <v>44562.00259</v>
      </c>
      <c r="D4175" s="15">
        <f>IFERROR(__xludf.DUMMYFUNCTION("""COMPUTED_VALUE"""),1.007)</f>
        <v>1.007</v>
      </c>
      <c r="E4175" s="16">
        <f>IFERROR(__xludf.DUMMYFUNCTION("""COMPUTED_VALUE"""),63.0)</f>
        <v>63</v>
      </c>
      <c r="F4175" s="19" t="str">
        <f>IFERROR(__xludf.DUMMYFUNCTION("""COMPUTED_VALUE"""),"BLUE")</f>
        <v>BLUE</v>
      </c>
      <c r="G4175" s="20" t="str">
        <f>IFERROR(__xludf.DUMMYFUNCTION("""COMPUTED_VALUE"""),"Uncle Sams Cider (11/12/2021) (Blue)")</f>
        <v>Uncle Sams Cider (11/12/2021) (Blue)</v>
      </c>
      <c r="H4175" s="19"/>
    </row>
    <row r="4176">
      <c r="A4176" s="9"/>
      <c r="B4176" s="15"/>
      <c r="C4176" s="9">
        <f>IFERROR(__xludf.DUMMYFUNCTION("""COMPUTED_VALUE"""),44561.9921745486)</f>
        <v>44561.99217</v>
      </c>
      <c r="D4176" s="15">
        <f>IFERROR(__xludf.DUMMYFUNCTION("""COMPUTED_VALUE"""),1.007)</f>
        <v>1.007</v>
      </c>
      <c r="E4176" s="16">
        <f>IFERROR(__xludf.DUMMYFUNCTION("""COMPUTED_VALUE"""),63.0)</f>
        <v>63</v>
      </c>
      <c r="F4176" s="19" t="str">
        <f>IFERROR(__xludf.DUMMYFUNCTION("""COMPUTED_VALUE"""),"BLUE")</f>
        <v>BLUE</v>
      </c>
      <c r="G4176" s="20" t="str">
        <f>IFERROR(__xludf.DUMMYFUNCTION("""COMPUTED_VALUE"""),"Uncle Sams Cider (11/12/2021) (Blue)")</f>
        <v>Uncle Sams Cider (11/12/2021) (Blue)</v>
      </c>
      <c r="H4176" s="19"/>
    </row>
    <row r="4177">
      <c r="A4177" s="9"/>
      <c r="B4177" s="15"/>
      <c r="C4177" s="9">
        <f>IFERROR(__xludf.DUMMYFUNCTION("""COMPUTED_VALUE"""),44561.9817427662)</f>
        <v>44561.98174</v>
      </c>
      <c r="D4177" s="15">
        <f>IFERROR(__xludf.DUMMYFUNCTION("""COMPUTED_VALUE"""),1.007)</f>
        <v>1.007</v>
      </c>
      <c r="E4177" s="16">
        <f>IFERROR(__xludf.DUMMYFUNCTION("""COMPUTED_VALUE"""),63.0)</f>
        <v>63</v>
      </c>
      <c r="F4177" s="19" t="str">
        <f>IFERROR(__xludf.DUMMYFUNCTION("""COMPUTED_VALUE"""),"BLUE")</f>
        <v>BLUE</v>
      </c>
      <c r="G4177" s="20" t="str">
        <f>IFERROR(__xludf.DUMMYFUNCTION("""COMPUTED_VALUE"""),"Uncle Sams Cider (11/12/2021) (Blue)")</f>
        <v>Uncle Sams Cider (11/12/2021) (Blue)</v>
      </c>
      <c r="H4177" s="19"/>
    </row>
    <row r="4178">
      <c r="A4178" s="9"/>
      <c r="B4178" s="15"/>
      <c r="C4178" s="9">
        <f>IFERROR(__xludf.DUMMYFUNCTION("""COMPUTED_VALUE"""),44561.9712971064)</f>
        <v>44561.9713</v>
      </c>
      <c r="D4178" s="15">
        <f>IFERROR(__xludf.DUMMYFUNCTION("""COMPUTED_VALUE"""),1.007)</f>
        <v>1.007</v>
      </c>
      <c r="E4178" s="16">
        <f>IFERROR(__xludf.DUMMYFUNCTION("""COMPUTED_VALUE"""),63.0)</f>
        <v>63</v>
      </c>
      <c r="F4178" s="19" t="str">
        <f>IFERROR(__xludf.DUMMYFUNCTION("""COMPUTED_VALUE"""),"BLUE")</f>
        <v>BLUE</v>
      </c>
      <c r="G4178" s="20" t="str">
        <f>IFERROR(__xludf.DUMMYFUNCTION("""COMPUTED_VALUE"""),"Uncle Sams Cider (11/12/2021) (Blue)")</f>
        <v>Uncle Sams Cider (11/12/2021) (Blue)</v>
      </c>
      <c r="H4178" s="19"/>
    </row>
    <row r="4179">
      <c r="A4179" s="9"/>
      <c r="B4179" s="15"/>
      <c r="C4179" s="9">
        <f>IFERROR(__xludf.DUMMYFUNCTION("""COMPUTED_VALUE"""),44561.9608764004)</f>
        <v>44561.96088</v>
      </c>
      <c r="D4179" s="15">
        <f>IFERROR(__xludf.DUMMYFUNCTION("""COMPUTED_VALUE"""),1.007)</f>
        <v>1.007</v>
      </c>
      <c r="E4179" s="16">
        <f>IFERROR(__xludf.DUMMYFUNCTION("""COMPUTED_VALUE"""),63.0)</f>
        <v>63</v>
      </c>
      <c r="F4179" s="19" t="str">
        <f>IFERROR(__xludf.DUMMYFUNCTION("""COMPUTED_VALUE"""),"BLUE")</f>
        <v>BLUE</v>
      </c>
      <c r="G4179" s="20" t="str">
        <f>IFERROR(__xludf.DUMMYFUNCTION("""COMPUTED_VALUE"""),"Uncle Sams Cider (11/12/2021) (Blue)")</f>
        <v>Uncle Sams Cider (11/12/2021) (Blue)</v>
      </c>
      <c r="H4179" s="19"/>
    </row>
    <row r="4180">
      <c r="A4180" s="9"/>
      <c r="B4180" s="15"/>
      <c r="C4180" s="9">
        <f>IFERROR(__xludf.DUMMYFUNCTION("""COMPUTED_VALUE"""),44561.9504545486)</f>
        <v>44561.95045</v>
      </c>
      <c r="D4180" s="15">
        <f>IFERROR(__xludf.DUMMYFUNCTION("""COMPUTED_VALUE"""),1.007)</f>
        <v>1.007</v>
      </c>
      <c r="E4180" s="16">
        <f>IFERROR(__xludf.DUMMYFUNCTION("""COMPUTED_VALUE"""),63.0)</f>
        <v>63</v>
      </c>
      <c r="F4180" s="19" t="str">
        <f>IFERROR(__xludf.DUMMYFUNCTION("""COMPUTED_VALUE"""),"BLUE")</f>
        <v>BLUE</v>
      </c>
      <c r="G4180" s="20" t="str">
        <f>IFERROR(__xludf.DUMMYFUNCTION("""COMPUTED_VALUE"""),"Uncle Sams Cider (11/12/2021) (Blue)")</f>
        <v>Uncle Sams Cider (11/12/2021) (Blue)</v>
      </c>
      <c r="H4180" s="19"/>
    </row>
    <row r="4181">
      <c r="A4181" s="9"/>
      <c r="B4181" s="15"/>
      <c r="C4181" s="9">
        <f>IFERROR(__xludf.DUMMYFUNCTION("""COMPUTED_VALUE"""),44561.9400111921)</f>
        <v>44561.94001</v>
      </c>
      <c r="D4181" s="15">
        <f>IFERROR(__xludf.DUMMYFUNCTION("""COMPUTED_VALUE"""),1.007)</f>
        <v>1.007</v>
      </c>
      <c r="E4181" s="16">
        <f>IFERROR(__xludf.DUMMYFUNCTION("""COMPUTED_VALUE"""),63.0)</f>
        <v>63</v>
      </c>
      <c r="F4181" s="19" t="str">
        <f>IFERROR(__xludf.DUMMYFUNCTION("""COMPUTED_VALUE"""),"BLUE")</f>
        <v>BLUE</v>
      </c>
      <c r="G4181" s="20" t="str">
        <f>IFERROR(__xludf.DUMMYFUNCTION("""COMPUTED_VALUE"""),"Uncle Sams Cider (11/12/2021) (Blue)")</f>
        <v>Uncle Sams Cider (11/12/2021) (Blue)</v>
      </c>
      <c r="H4181" s="19"/>
    </row>
    <row r="4182">
      <c r="A4182" s="9"/>
      <c r="B4182" s="15"/>
      <c r="C4182" s="9">
        <f>IFERROR(__xludf.DUMMYFUNCTION("""COMPUTED_VALUE"""),44561.929591331)</f>
        <v>44561.92959</v>
      </c>
      <c r="D4182" s="15">
        <f>IFERROR(__xludf.DUMMYFUNCTION("""COMPUTED_VALUE"""),1.007)</f>
        <v>1.007</v>
      </c>
      <c r="E4182" s="16">
        <f>IFERROR(__xludf.DUMMYFUNCTION("""COMPUTED_VALUE"""),63.0)</f>
        <v>63</v>
      </c>
      <c r="F4182" s="19" t="str">
        <f>IFERROR(__xludf.DUMMYFUNCTION("""COMPUTED_VALUE"""),"BLUE")</f>
        <v>BLUE</v>
      </c>
      <c r="G4182" s="20" t="str">
        <f>IFERROR(__xludf.DUMMYFUNCTION("""COMPUTED_VALUE"""),"Uncle Sams Cider (11/12/2021) (Blue)")</f>
        <v>Uncle Sams Cider (11/12/2021) (Blue)</v>
      </c>
      <c r="H4182" s="19"/>
    </row>
    <row r="4183">
      <c r="A4183" s="9"/>
      <c r="B4183" s="15"/>
      <c r="C4183" s="9">
        <f>IFERROR(__xludf.DUMMYFUNCTION("""COMPUTED_VALUE"""),44561.9191701851)</f>
        <v>44561.91917</v>
      </c>
      <c r="D4183" s="15">
        <f>IFERROR(__xludf.DUMMYFUNCTION("""COMPUTED_VALUE"""),1.007)</f>
        <v>1.007</v>
      </c>
      <c r="E4183" s="16">
        <f>IFERROR(__xludf.DUMMYFUNCTION("""COMPUTED_VALUE"""),62.0)</f>
        <v>62</v>
      </c>
      <c r="F4183" s="19" t="str">
        <f>IFERROR(__xludf.DUMMYFUNCTION("""COMPUTED_VALUE"""),"BLUE")</f>
        <v>BLUE</v>
      </c>
      <c r="G4183" s="20" t="str">
        <f>IFERROR(__xludf.DUMMYFUNCTION("""COMPUTED_VALUE"""),"Uncle Sams Cider (11/12/2021) (Blue)")</f>
        <v>Uncle Sams Cider (11/12/2021) (Blue)</v>
      </c>
      <c r="H4183" s="19"/>
    </row>
    <row r="4184">
      <c r="A4184" s="9"/>
      <c r="B4184" s="15"/>
      <c r="C4184" s="9">
        <f>IFERROR(__xludf.DUMMYFUNCTION("""COMPUTED_VALUE"""),44561.90874875)</f>
        <v>44561.90875</v>
      </c>
      <c r="D4184" s="15">
        <f>IFERROR(__xludf.DUMMYFUNCTION("""COMPUTED_VALUE"""),1.007)</f>
        <v>1.007</v>
      </c>
      <c r="E4184" s="16">
        <f>IFERROR(__xludf.DUMMYFUNCTION("""COMPUTED_VALUE"""),63.0)</f>
        <v>63</v>
      </c>
      <c r="F4184" s="19" t="str">
        <f>IFERROR(__xludf.DUMMYFUNCTION("""COMPUTED_VALUE"""),"BLUE")</f>
        <v>BLUE</v>
      </c>
      <c r="G4184" s="20" t="str">
        <f>IFERROR(__xludf.DUMMYFUNCTION("""COMPUTED_VALUE"""),"Uncle Sams Cider (11/12/2021) (Blue)")</f>
        <v>Uncle Sams Cider (11/12/2021) (Blue)</v>
      </c>
      <c r="H4184" s="19"/>
    </row>
    <row r="4185">
      <c r="A4185" s="9"/>
      <c r="B4185" s="15"/>
      <c r="C4185" s="9">
        <f>IFERROR(__xludf.DUMMYFUNCTION("""COMPUTED_VALUE"""),44561.8983291782)</f>
        <v>44561.89833</v>
      </c>
      <c r="D4185" s="15">
        <f>IFERROR(__xludf.DUMMYFUNCTION("""COMPUTED_VALUE"""),1.007)</f>
        <v>1.007</v>
      </c>
      <c r="E4185" s="16">
        <f>IFERROR(__xludf.DUMMYFUNCTION("""COMPUTED_VALUE"""),63.0)</f>
        <v>63</v>
      </c>
      <c r="F4185" s="19" t="str">
        <f>IFERROR(__xludf.DUMMYFUNCTION("""COMPUTED_VALUE"""),"BLUE")</f>
        <v>BLUE</v>
      </c>
      <c r="G4185" s="20" t="str">
        <f>IFERROR(__xludf.DUMMYFUNCTION("""COMPUTED_VALUE"""),"Uncle Sams Cider (11/12/2021) (Blue)")</f>
        <v>Uncle Sams Cider (11/12/2021) (Blue)</v>
      </c>
      <c r="H4185" s="19"/>
    </row>
    <row r="4186">
      <c r="A4186" s="9"/>
      <c r="B4186" s="15"/>
      <c r="C4186" s="9">
        <f>IFERROR(__xludf.DUMMYFUNCTION("""COMPUTED_VALUE"""),44561.887908125)</f>
        <v>44561.88791</v>
      </c>
      <c r="D4186" s="15">
        <f>IFERROR(__xludf.DUMMYFUNCTION("""COMPUTED_VALUE"""),1.007)</f>
        <v>1.007</v>
      </c>
      <c r="E4186" s="16">
        <f>IFERROR(__xludf.DUMMYFUNCTION("""COMPUTED_VALUE"""),63.0)</f>
        <v>63</v>
      </c>
      <c r="F4186" s="19" t="str">
        <f>IFERROR(__xludf.DUMMYFUNCTION("""COMPUTED_VALUE"""),"BLUE")</f>
        <v>BLUE</v>
      </c>
      <c r="G4186" s="20" t="str">
        <f>IFERROR(__xludf.DUMMYFUNCTION("""COMPUTED_VALUE"""),"Uncle Sams Cider (11/12/2021) (Blue)")</f>
        <v>Uncle Sams Cider (11/12/2021) (Blue)</v>
      </c>
      <c r="H4186" s="19"/>
    </row>
    <row r="4187">
      <c r="A4187" s="9"/>
      <c r="B4187" s="15"/>
      <c r="C4187" s="9">
        <f>IFERROR(__xludf.DUMMYFUNCTION("""COMPUTED_VALUE"""),44561.8774867361)</f>
        <v>44561.87749</v>
      </c>
      <c r="D4187" s="15">
        <f>IFERROR(__xludf.DUMMYFUNCTION("""COMPUTED_VALUE"""),1.007)</f>
        <v>1.007</v>
      </c>
      <c r="E4187" s="16">
        <f>IFERROR(__xludf.DUMMYFUNCTION("""COMPUTED_VALUE"""),63.0)</f>
        <v>63</v>
      </c>
      <c r="F4187" s="19" t="str">
        <f>IFERROR(__xludf.DUMMYFUNCTION("""COMPUTED_VALUE"""),"BLUE")</f>
        <v>BLUE</v>
      </c>
      <c r="G4187" s="20" t="str">
        <f>IFERROR(__xludf.DUMMYFUNCTION("""COMPUTED_VALUE"""),"Uncle Sams Cider (11/12/2021) (Blue)")</f>
        <v>Uncle Sams Cider (11/12/2021) (Blue)</v>
      </c>
      <c r="H4187" s="19"/>
    </row>
    <row r="4188">
      <c r="A4188" s="9"/>
      <c r="B4188" s="15"/>
      <c r="C4188" s="9">
        <f>IFERROR(__xludf.DUMMYFUNCTION("""COMPUTED_VALUE"""),44561.8670532638)</f>
        <v>44561.86705</v>
      </c>
      <c r="D4188" s="15">
        <f>IFERROR(__xludf.DUMMYFUNCTION("""COMPUTED_VALUE"""),1.007)</f>
        <v>1.007</v>
      </c>
      <c r="E4188" s="16">
        <f>IFERROR(__xludf.DUMMYFUNCTION("""COMPUTED_VALUE"""),63.0)</f>
        <v>63</v>
      </c>
      <c r="F4188" s="19" t="str">
        <f>IFERROR(__xludf.DUMMYFUNCTION("""COMPUTED_VALUE"""),"BLUE")</f>
        <v>BLUE</v>
      </c>
      <c r="G4188" s="20" t="str">
        <f>IFERROR(__xludf.DUMMYFUNCTION("""COMPUTED_VALUE"""),"Uncle Sams Cider (11/12/2021) (Blue)")</f>
        <v>Uncle Sams Cider (11/12/2021) (Blue)</v>
      </c>
      <c r="H4188" s="19"/>
    </row>
    <row r="4189">
      <c r="A4189" s="9"/>
      <c r="B4189" s="15"/>
      <c r="C4189" s="9">
        <f>IFERROR(__xludf.DUMMYFUNCTION("""COMPUTED_VALUE"""),44561.8566072337)</f>
        <v>44561.85661</v>
      </c>
      <c r="D4189" s="15">
        <f>IFERROR(__xludf.DUMMYFUNCTION("""COMPUTED_VALUE"""),1.007)</f>
        <v>1.007</v>
      </c>
      <c r="E4189" s="16">
        <f>IFERROR(__xludf.DUMMYFUNCTION("""COMPUTED_VALUE"""),63.0)</f>
        <v>63</v>
      </c>
      <c r="F4189" s="19" t="str">
        <f>IFERROR(__xludf.DUMMYFUNCTION("""COMPUTED_VALUE"""),"BLUE")</f>
        <v>BLUE</v>
      </c>
      <c r="G4189" s="20" t="str">
        <f>IFERROR(__xludf.DUMMYFUNCTION("""COMPUTED_VALUE"""),"Uncle Sams Cider (11/12/2021) (Blue)")</f>
        <v>Uncle Sams Cider (11/12/2021) (Blue)</v>
      </c>
      <c r="H4189" s="19"/>
    </row>
    <row r="4190">
      <c r="A4190" s="9"/>
      <c r="B4190" s="15"/>
      <c r="C4190" s="9">
        <f>IFERROR(__xludf.DUMMYFUNCTION("""COMPUTED_VALUE"""),44561.8461869097)</f>
        <v>44561.84619</v>
      </c>
      <c r="D4190" s="15">
        <f>IFERROR(__xludf.DUMMYFUNCTION("""COMPUTED_VALUE"""),1.007)</f>
        <v>1.007</v>
      </c>
      <c r="E4190" s="16">
        <f>IFERROR(__xludf.DUMMYFUNCTION("""COMPUTED_VALUE"""),63.0)</f>
        <v>63</v>
      </c>
      <c r="F4190" s="19" t="str">
        <f>IFERROR(__xludf.DUMMYFUNCTION("""COMPUTED_VALUE"""),"BLUE")</f>
        <v>BLUE</v>
      </c>
      <c r="G4190" s="20" t="str">
        <f>IFERROR(__xludf.DUMMYFUNCTION("""COMPUTED_VALUE"""),"Uncle Sams Cider (11/12/2021) (Blue)")</f>
        <v>Uncle Sams Cider (11/12/2021) (Blue)</v>
      </c>
      <c r="H4190" s="19"/>
    </row>
    <row r="4191">
      <c r="A4191" s="9"/>
      <c r="B4191" s="15"/>
      <c r="C4191" s="9">
        <f>IFERROR(__xludf.DUMMYFUNCTION("""COMPUTED_VALUE"""),44561.8357539351)</f>
        <v>44561.83575</v>
      </c>
      <c r="D4191" s="15">
        <f>IFERROR(__xludf.DUMMYFUNCTION("""COMPUTED_VALUE"""),1.007)</f>
        <v>1.007</v>
      </c>
      <c r="E4191" s="16">
        <f>IFERROR(__xludf.DUMMYFUNCTION("""COMPUTED_VALUE"""),62.0)</f>
        <v>62</v>
      </c>
      <c r="F4191" s="19" t="str">
        <f>IFERROR(__xludf.DUMMYFUNCTION("""COMPUTED_VALUE"""),"BLUE")</f>
        <v>BLUE</v>
      </c>
      <c r="G4191" s="20" t="str">
        <f>IFERROR(__xludf.DUMMYFUNCTION("""COMPUTED_VALUE"""),"Uncle Sams Cider (11/12/2021) (Blue)")</f>
        <v>Uncle Sams Cider (11/12/2021) (Blue)</v>
      </c>
      <c r="H4191" s="19"/>
    </row>
    <row r="4192">
      <c r="A4192" s="9"/>
      <c r="B4192" s="15"/>
      <c r="C4192" s="9">
        <f>IFERROR(__xludf.DUMMYFUNCTION("""COMPUTED_VALUE"""),44561.8253327314)</f>
        <v>44561.82533</v>
      </c>
      <c r="D4192" s="15">
        <f>IFERROR(__xludf.DUMMYFUNCTION("""COMPUTED_VALUE"""),1.007)</f>
        <v>1.007</v>
      </c>
      <c r="E4192" s="16">
        <f>IFERROR(__xludf.DUMMYFUNCTION("""COMPUTED_VALUE"""),63.0)</f>
        <v>63</v>
      </c>
      <c r="F4192" s="19" t="str">
        <f>IFERROR(__xludf.DUMMYFUNCTION("""COMPUTED_VALUE"""),"BLUE")</f>
        <v>BLUE</v>
      </c>
      <c r="G4192" s="20" t="str">
        <f>IFERROR(__xludf.DUMMYFUNCTION("""COMPUTED_VALUE"""),"Uncle Sams Cider (11/12/2021) (Blue)")</f>
        <v>Uncle Sams Cider (11/12/2021) (Blue)</v>
      </c>
      <c r="H4192" s="19"/>
    </row>
    <row r="4193">
      <c r="A4193" s="9"/>
      <c r="B4193" s="15"/>
      <c r="C4193" s="9">
        <f>IFERROR(__xludf.DUMMYFUNCTION("""COMPUTED_VALUE"""),44561.8148995717)</f>
        <v>44561.8149</v>
      </c>
      <c r="D4193" s="15">
        <f>IFERROR(__xludf.DUMMYFUNCTION("""COMPUTED_VALUE"""),1.007)</f>
        <v>1.007</v>
      </c>
      <c r="E4193" s="16">
        <f>IFERROR(__xludf.DUMMYFUNCTION("""COMPUTED_VALUE"""),63.0)</f>
        <v>63</v>
      </c>
      <c r="F4193" s="19" t="str">
        <f>IFERROR(__xludf.DUMMYFUNCTION("""COMPUTED_VALUE"""),"BLUE")</f>
        <v>BLUE</v>
      </c>
      <c r="G4193" s="20" t="str">
        <f>IFERROR(__xludf.DUMMYFUNCTION("""COMPUTED_VALUE"""),"Uncle Sams Cider (11/12/2021) (Blue)")</f>
        <v>Uncle Sams Cider (11/12/2021) (Blue)</v>
      </c>
      <c r="H4193" s="19"/>
    </row>
    <row r="4194">
      <c r="A4194" s="9"/>
      <c r="B4194" s="15"/>
      <c r="C4194" s="9">
        <f>IFERROR(__xludf.DUMMYFUNCTION("""COMPUTED_VALUE"""),44561.8044783333)</f>
        <v>44561.80448</v>
      </c>
      <c r="D4194" s="15">
        <f>IFERROR(__xludf.DUMMYFUNCTION("""COMPUTED_VALUE"""),1.007)</f>
        <v>1.007</v>
      </c>
      <c r="E4194" s="16">
        <f>IFERROR(__xludf.DUMMYFUNCTION("""COMPUTED_VALUE"""),63.0)</f>
        <v>63</v>
      </c>
      <c r="F4194" s="19" t="str">
        <f>IFERROR(__xludf.DUMMYFUNCTION("""COMPUTED_VALUE"""),"BLUE")</f>
        <v>BLUE</v>
      </c>
      <c r="G4194" s="20" t="str">
        <f>IFERROR(__xludf.DUMMYFUNCTION("""COMPUTED_VALUE"""),"Uncle Sams Cider (11/12/2021) (Blue)")</f>
        <v>Uncle Sams Cider (11/12/2021) (Blue)</v>
      </c>
      <c r="H4194" s="19"/>
    </row>
    <row r="4195">
      <c r="A4195" s="9"/>
      <c r="B4195" s="15"/>
      <c r="C4195" s="9">
        <f>IFERROR(__xludf.DUMMYFUNCTION("""COMPUTED_VALUE"""),44561.7940567592)</f>
        <v>44561.79406</v>
      </c>
      <c r="D4195" s="15">
        <f>IFERROR(__xludf.DUMMYFUNCTION("""COMPUTED_VALUE"""),1.007)</f>
        <v>1.007</v>
      </c>
      <c r="E4195" s="16">
        <f>IFERROR(__xludf.DUMMYFUNCTION("""COMPUTED_VALUE"""),63.0)</f>
        <v>63</v>
      </c>
      <c r="F4195" s="19" t="str">
        <f>IFERROR(__xludf.DUMMYFUNCTION("""COMPUTED_VALUE"""),"BLUE")</f>
        <v>BLUE</v>
      </c>
      <c r="G4195" s="20" t="str">
        <f>IFERROR(__xludf.DUMMYFUNCTION("""COMPUTED_VALUE"""),"Uncle Sams Cider (11/12/2021) (Blue)")</f>
        <v>Uncle Sams Cider (11/12/2021) (Blue)</v>
      </c>
      <c r="H4195" s="19"/>
    </row>
    <row r="4196">
      <c r="A4196" s="9"/>
      <c r="B4196" s="15"/>
      <c r="C4196" s="9">
        <f>IFERROR(__xludf.DUMMYFUNCTION("""COMPUTED_VALUE"""),44561.7836371643)</f>
        <v>44561.78364</v>
      </c>
      <c r="D4196" s="15">
        <f>IFERROR(__xludf.DUMMYFUNCTION("""COMPUTED_VALUE"""),1.007)</f>
        <v>1.007</v>
      </c>
      <c r="E4196" s="16">
        <f>IFERROR(__xludf.DUMMYFUNCTION("""COMPUTED_VALUE"""),63.0)</f>
        <v>63</v>
      </c>
      <c r="F4196" s="19" t="str">
        <f>IFERROR(__xludf.DUMMYFUNCTION("""COMPUTED_VALUE"""),"BLUE")</f>
        <v>BLUE</v>
      </c>
      <c r="G4196" s="20" t="str">
        <f>IFERROR(__xludf.DUMMYFUNCTION("""COMPUTED_VALUE"""),"Uncle Sams Cider (11/12/2021) (Blue)")</f>
        <v>Uncle Sams Cider (11/12/2021) (Blue)</v>
      </c>
      <c r="H4196" s="19"/>
    </row>
    <row r="4197">
      <c r="A4197" s="9"/>
      <c r="B4197" s="15"/>
      <c r="C4197" s="9">
        <f>IFERROR(__xludf.DUMMYFUNCTION("""COMPUTED_VALUE"""),44561.773215868)</f>
        <v>44561.77322</v>
      </c>
      <c r="D4197" s="15">
        <f>IFERROR(__xludf.DUMMYFUNCTION("""COMPUTED_VALUE"""),1.007)</f>
        <v>1.007</v>
      </c>
      <c r="E4197" s="16">
        <f>IFERROR(__xludf.DUMMYFUNCTION("""COMPUTED_VALUE"""),63.0)</f>
        <v>63</v>
      </c>
      <c r="F4197" s="19" t="str">
        <f>IFERROR(__xludf.DUMMYFUNCTION("""COMPUTED_VALUE"""),"BLUE")</f>
        <v>BLUE</v>
      </c>
      <c r="G4197" s="20" t="str">
        <f>IFERROR(__xludf.DUMMYFUNCTION("""COMPUTED_VALUE"""),"Uncle Sams Cider (11/12/2021) (Blue)")</f>
        <v>Uncle Sams Cider (11/12/2021) (Blue)</v>
      </c>
      <c r="H4197" s="19"/>
    </row>
    <row r="4198">
      <c r="A4198" s="9"/>
      <c r="B4198" s="15"/>
      <c r="C4198" s="9">
        <f>IFERROR(__xludf.DUMMYFUNCTION("""COMPUTED_VALUE"""),44561.7627958101)</f>
        <v>44561.7628</v>
      </c>
      <c r="D4198" s="15">
        <f>IFERROR(__xludf.DUMMYFUNCTION("""COMPUTED_VALUE"""),1.007)</f>
        <v>1.007</v>
      </c>
      <c r="E4198" s="16">
        <f>IFERROR(__xludf.DUMMYFUNCTION("""COMPUTED_VALUE"""),62.0)</f>
        <v>62</v>
      </c>
      <c r="F4198" s="19" t="str">
        <f>IFERROR(__xludf.DUMMYFUNCTION("""COMPUTED_VALUE"""),"BLUE")</f>
        <v>BLUE</v>
      </c>
      <c r="G4198" s="20" t="str">
        <f>IFERROR(__xludf.DUMMYFUNCTION("""COMPUTED_VALUE"""),"Uncle Sams Cider (11/12/2021) (Blue)")</f>
        <v>Uncle Sams Cider (11/12/2021) (Blue)</v>
      </c>
      <c r="H4198" s="19"/>
    </row>
    <row r="4199">
      <c r="A4199" s="9"/>
      <c r="B4199" s="15"/>
      <c r="C4199" s="9">
        <f>IFERROR(__xludf.DUMMYFUNCTION("""COMPUTED_VALUE"""),44561.7523750231)</f>
        <v>44561.75238</v>
      </c>
      <c r="D4199" s="15">
        <f>IFERROR(__xludf.DUMMYFUNCTION("""COMPUTED_VALUE"""),1.007)</f>
        <v>1.007</v>
      </c>
      <c r="E4199" s="16">
        <f>IFERROR(__xludf.DUMMYFUNCTION("""COMPUTED_VALUE"""),63.0)</f>
        <v>63</v>
      </c>
      <c r="F4199" s="19" t="str">
        <f>IFERROR(__xludf.DUMMYFUNCTION("""COMPUTED_VALUE"""),"BLUE")</f>
        <v>BLUE</v>
      </c>
      <c r="G4199" s="20" t="str">
        <f>IFERROR(__xludf.DUMMYFUNCTION("""COMPUTED_VALUE"""),"Uncle Sams Cider (11/12/2021) (Blue)")</f>
        <v>Uncle Sams Cider (11/12/2021) (Blue)</v>
      </c>
      <c r="H4199" s="19"/>
    </row>
    <row r="4200">
      <c r="A4200" s="9"/>
      <c r="B4200" s="15"/>
      <c r="C4200" s="9">
        <f>IFERROR(__xludf.DUMMYFUNCTION("""COMPUTED_VALUE"""),44561.7419433217)</f>
        <v>44561.74194</v>
      </c>
      <c r="D4200" s="15">
        <f>IFERROR(__xludf.DUMMYFUNCTION("""COMPUTED_VALUE"""),1.007)</f>
        <v>1.007</v>
      </c>
      <c r="E4200" s="16">
        <f>IFERROR(__xludf.DUMMYFUNCTION("""COMPUTED_VALUE"""),63.0)</f>
        <v>63</v>
      </c>
      <c r="F4200" s="19" t="str">
        <f>IFERROR(__xludf.DUMMYFUNCTION("""COMPUTED_VALUE"""),"BLUE")</f>
        <v>BLUE</v>
      </c>
      <c r="G4200" s="20" t="str">
        <f>IFERROR(__xludf.DUMMYFUNCTION("""COMPUTED_VALUE"""),"Uncle Sams Cider (11/12/2021) (Blue)")</f>
        <v>Uncle Sams Cider (11/12/2021) (Blue)</v>
      </c>
      <c r="H4200" s="19"/>
    </row>
    <row r="4201">
      <c r="A4201" s="9"/>
      <c r="B4201" s="15"/>
      <c r="C4201" s="9">
        <f>IFERROR(__xludf.DUMMYFUNCTION("""COMPUTED_VALUE"""),44561.7315205324)</f>
        <v>44561.73152</v>
      </c>
      <c r="D4201" s="15">
        <f>IFERROR(__xludf.DUMMYFUNCTION("""COMPUTED_VALUE"""),1.007)</f>
        <v>1.007</v>
      </c>
      <c r="E4201" s="16">
        <f>IFERROR(__xludf.DUMMYFUNCTION("""COMPUTED_VALUE"""),63.0)</f>
        <v>63</v>
      </c>
      <c r="F4201" s="19" t="str">
        <f>IFERROR(__xludf.DUMMYFUNCTION("""COMPUTED_VALUE"""),"BLUE")</f>
        <v>BLUE</v>
      </c>
      <c r="G4201" s="20" t="str">
        <f>IFERROR(__xludf.DUMMYFUNCTION("""COMPUTED_VALUE"""),"Uncle Sams Cider (11/12/2021) (Blue)")</f>
        <v>Uncle Sams Cider (11/12/2021) (Blue)</v>
      </c>
      <c r="H4201" s="19"/>
    </row>
    <row r="4202">
      <c r="A4202" s="9"/>
      <c r="B4202" s="15"/>
      <c r="C4202" s="9">
        <f>IFERROR(__xludf.DUMMYFUNCTION("""COMPUTED_VALUE"""),44561.721100162)</f>
        <v>44561.7211</v>
      </c>
      <c r="D4202" s="15">
        <f>IFERROR(__xludf.DUMMYFUNCTION("""COMPUTED_VALUE"""),1.007)</f>
        <v>1.007</v>
      </c>
      <c r="E4202" s="16">
        <f>IFERROR(__xludf.DUMMYFUNCTION("""COMPUTED_VALUE"""),63.0)</f>
        <v>63</v>
      </c>
      <c r="F4202" s="19" t="str">
        <f>IFERROR(__xludf.DUMMYFUNCTION("""COMPUTED_VALUE"""),"BLUE")</f>
        <v>BLUE</v>
      </c>
      <c r="G4202" s="20" t="str">
        <f>IFERROR(__xludf.DUMMYFUNCTION("""COMPUTED_VALUE"""),"Uncle Sams Cider (11/12/2021) (Blue)")</f>
        <v>Uncle Sams Cider (11/12/2021) (Blue)</v>
      </c>
      <c r="H4202" s="19"/>
    </row>
    <row r="4203">
      <c r="A4203" s="9"/>
      <c r="B4203" s="15"/>
      <c r="C4203" s="9">
        <f>IFERROR(__xludf.DUMMYFUNCTION("""COMPUTED_VALUE"""),44561.7106806134)</f>
        <v>44561.71068</v>
      </c>
      <c r="D4203" s="15">
        <f>IFERROR(__xludf.DUMMYFUNCTION("""COMPUTED_VALUE"""),1.007)</f>
        <v>1.007</v>
      </c>
      <c r="E4203" s="16">
        <f>IFERROR(__xludf.DUMMYFUNCTION("""COMPUTED_VALUE"""),63.0)</f>
        <v>63</v>
      </c>
      <c r="F4203" s="19" t="str">
        <f>IFERROR(__xludf.DUMMYFUNCTION("""COMPUTED_VALUE"""),"BLUE")</f>
        <v>BLUE</v>
      </c>
      <c r="G4203" s="20" t="str">
        <f>IFERROR(__xludf.DUMMYFUNCTION("""COMPUTED_VALUE"""),"Uncle Sams Cider (11/12/2021) (Blue)")</f>
        <v>Uncle Sams Cider (11/12/2021) (Blue)</v>
      </c>
      <c r="H4203" s="19"/>
    </row>
    <row r="4204">
      <c r="A4204" s="9"/>
      <c r="B4204" s="15"/>
      <c r="C4204" s="9">
        <f>IFERROR(__xludf.DUMMYFUNCTION("""COMPUTED_VALUE"""),44561.700260405)</f>
        <v>44561.70026</v>
      </c>
      <c r="D4204" s="15">
        <f>IFERROR(__xludf.DUMMYFUNCTION("""COMPUTED_VALUE"""),1.007)</f>
        <v>1.007</v>
      </c>
      <c r="E4204" s="16">
        <f>IFERROR(__xludf.DUMMYFUNCTION("""COMPUTED_VALUE"""),63.0)</f>
        <v>63</v>
      </c>
      <c r="F4204" s="19" t="str">
        <f>IFERROR(__xludf.DUMMYFUNCTION("""COMPUTED_VALUE"""),"BLUE")</f>
        <v>BLUE</v>
      </c>
      <c r="G4204" s="20" t="str">
        <f>IFERROR(__xludf.DUMMYFUNCTION("""COMPUTED_VALUE"""),"Uncle Sams Cider (11/12/2021) (Blue)")</f>
        <v>Uncle Sams Cider (11/12/2021) (Blue)</v>
      </c>
      <c r="H4204" s="19"/>
    </row>
    <row r="4205">
      <c r="A4205" s="9"/>
      <c r="B4205" s="15"/>
      <c r="C4205" s="9">
        <f>IFERROR(__xludf.DUMMYFUNCTION("""COMPUTED_VALUE"""),44561.6898279861)</f>
        <v>44561.68983</v>
      </c>
      <c r="D4205" s="15">
        <f>IFERROR(__xludf.DUMMYFUNCTION("""COMPUTED_VALUE"""),1.007)</f>
        <v>1.007</v>
      </c>
      <c r="E4205" s="16">
        <f>IFERROR(__xludf.DUMMYFUNCTION("""COMPUTED_VALUE"""),62.0)</f>
        <v>62</v>
      </c>
      <c r="F4205" s="19" t="str">
        <f>IFERROR(__xludf.DUMMYFUNCTION("""COMPUTED_VALUE"""),"BLUE")</f>
        <v>BLUE</v>
      </c>
      <c r="G4205" s="20" t="str">
        <f>IFERROR(__xludf.DUMMYFUNCTION("""COMPUTED_VALUE"""),"Uncle Sams Cider (11/12/2021) (Blue)")</f>
        <v>Uncle Sams Cider (11/12/2021) (Blue)</v>
      </c>
      <c r="H4205" s="19"/>
    </row>
    <row r="4206">
      <c r="A4206" s="9"/>
      <c r="B4206" s="15"/>
      <c r="C4206" s="9">
        <f>IFERROR(__xludf.DUMMYFUNCTION("""COMPUTED_VALUE"""),44561.6794059259)</f>
        <v>44561.67941</v>
      </c>
      <c r="D4206" s="15">
        <f>IFERROR(__xludf.DUMMYFUNCTION("""COMPUTED_VALUE"""),1.008)</f>
        <v>1.008</v>
      </c>
      <c r="E4206" s="16">
        <f>IFERROR(__xludf.DUMMYFUNCTION("""COMPUTED_VALUE"""),63.0)</f>
        <v>63</v>
      </c>
      <c r="F4206" s="19" t="str">
        <f>IFERROR(__xludf.DUMMYFUNCTION("""COMPUTED_VALUE"""),"BLUE")</f>
        <v>BLUE</v>
      </c>
      <c r="G4206" s="20" t="str">
        <f>IFERROR(__xludf.DUMMYFUNCTION("""COMPUTED_VALUE"""),"Uncle Sams Cider (11/12/2021) (Blue)")</f>
        <v>Uncle Sams Cider (11/12/2021) (Blue)</v>
      </c>
      <c r="H4206" s="19"/>
    </row>
    <row r="4207">
      <c r="A4207" s="9"/>
      <c r="B4207" s="15"/>
      <c r="C4207" s="9">
        <f>IFERROR(__xludf.DUMMYFUNCTION("""COMPUTED_VALUE"""),44561.668985324)</f>
        <v>44561.66899</v>
      </c>
      <c r="D4207" s="15">
        <f>IFERROR(__xludf.DUMMYFUNCTION("""COMPUTED_VALUE"""),1.007)</f>
        <v>1.007</v>
      </c>
      <c r="E4207" s="16">
        <f>IFERROR(__xludf.DUMMYFUNCTION("""COMPUTED_VALUE"""),63.0)</f>
        <v>63</v>
      </c>
      <c r="F4207" s="19" t="str">
        <f>IFERROR(__xludf.DUMMYFUNCTION("""COMPUTED_VALUE"""),"BLUE")</f>
        <v>BLUE</v>
      </c>
      <c r="G4207" s="20" t="str">
        <f>IFERROR(__xludf.DUMMYFUNCTION("""COMPUTED_VALUE"""),"Uncle Sams Cider (11/12/2021) (Blue)")</f>
        <v>Uncle Sams Cider (11/12/2021) (Blue)</v>
      </c>
      <c r="H4207" s="19"/>
    </row>
    <row r="4208">
      <c r="A4208" s="9"/>
      <c r="B4208" s="15"/>
      <c r="C4208" s="9">
        <f>IFERROR(__xludf.DUMMYFUNCTION("""COMPUTED_VALUE"""),44561.6585652314)</f>
        <v>44561.65857</v>
      </c>
      <c r="D4208" s="15">
        <f>IFERROR(__xludf.DUMMYFUNCTION("""COMPUTED_VALUE"""),1.007)</f>
        <v>1.007</v>
      </c>
      <c r="E4208" s="16">
        <f>IFERROR(__xludf.DUMMYFUNCTION("""COMPUTED_VALUE"""),62.0)</f>
        <v>62</v>
      </c>
      <c r="F4208" s="19" t="str">
        <f>IFERROR(__xludf.DUMMYFUNCTION("""COMPUTED_VALUE"""),"BLUE")</f>
        <v>BLUE</v>
      </c>
      <c r="G4208" s="20" t="str">
        <f>IFERROR(__xludf.DUMMYFUNCTION("""COMPUTED_VALUE"""),"Uncle Sams Cider (11/12/2021) (Blue)")</f>
        <v>Uncle Sams Cider (11/12/2021) (Blue)</v>
      </c>
      <c r="H4208" s="19"/>
    </row>
    <row r="4209">
      <c r="A4209" s="9"/>
      <c r="B4209" s="15"/>
      <c r="C4209" s="9">
        <f>IFERROR(__xludf.DUMMYFUNCTION("""COMPUTED_VALUE"""),44561.6481431597)</f>
        <v>44561.64814</v>
      </c>
      <c r="D4209" s="15">
        <f>IFERROR(__xludf.DUMMYFUNCTION("""COMPUTED_VALUE"""),1.007)</f>
        <v>1.007</v>
      </c>
      <c r="E4209" s="16">
        <f>IFERROR(__xludf.DUMMYFUNCTION("""COMPUTED_VALUE"""),62.0)</f>
        <v>62</v>
      </c>
      <c r="F4209" s="19" t="str">
        <f>IFERROR(__xludf.DUMMYFUNCTION("""COMPUTED_VALUE"""),"BLUE")</f>
        <v>BLUE</v>
      </c>
      <c r="G4209" s="20" t="str">
        <f>IFERROR(__xludf.DUMMYFUNCTION("""COMPUTED_VALUE"""),"Uncle Sams Cider (11/12/2021) (Blue)")</f>
        <v>Uncle Sams Cider (11/12/2021) (Blue)</v>
      </c>
      <c r="H4209" s="19"/>
    </row>
    <row r="4210">
      <c r="A4210" s="9"/>
      <c r="B4210" s="15"/>
      <c r="C4210" s="9">
        <f>IFERROR(__xludf.DUMMYFUNCTION("""COMPUTED_VALUE"""),44561.6377228125)</f>
        <v>44561.63772</v>
      </c>
      <c r="D4210" s="15">
        <f>IFERROR(__xludf.DUMMYFUNCTION("""COMPUTED_VALUE"""),1.007)</f>
        <v>1.007</v>
      </c>
      <c r="E4210" s="16">
        <f>IFERROR(__xludf.DUMMYFUNCTION("""COMPUTED_VALUE"""),63.0)</f>
        <v>63</v>
      </c>
      <c r="F4210" s="19" t="str">
        <f>IFERROR(__xludf.DUMMYFUNCTION("""COMPUTED_VALUE"""),"BLUE")</f>
        <v>BLUE</v>
      </c>
      <c r="G4210" s="20" t="str">
        <f>IFERROR(__xludf.DUMMYFUNCTION("""COMPUTED_VALUE"""),"Uncle Sams Cider (11/12/2021) (Blue)")</f>
        <v>Uncle Sams Cider (11/12/2021) (Blue)</v>
      </c>
      <c r="H4210" s="19"/>
    </row>
    <row r="4211">
      <c r="A4211" s="9"/>
      <c r="B4211" s="15"/>
      <c r="C4211" s="9">
        <f>IFERROR(__xludf.DUMMYFUNCTION("""COMPUTED_VALUE"""),44561.6273013194)</f>
        <v>44561.6273</v>
      </c>
      <c r="D4211" s="15">
        <f>IFERROR(__xludf.DUMMYFUNCTION("""COMPUTED_VALUE"""),1.007)</f>
        <v>1.007</v>
      </c>
      <c r="E4211" s="16">
        <f>IFERROR(__xludf.DUMMYFUNCTION("""COMPUTED_VALUE"""),62.0)</f>
        <v>62</v>
      </c>
      <c r="F4211" s="19" t="str">
        <f>IFERROR(__xludf.DUMMYFUNCTION("""COMPUTED_VALUE"""),"BLUE")</f>
        <v>BLUE</v>
      </c>
      <c r="G4211" s="20" t="str">
        <f>IFERROR(__xludf.DUMMYFUNCTION("""COMPUTED_VALUE"""),"Uncle Sams Cider (11/12/2021) (Blue)")</f>
        <v>Uncle Sams Cider (11/12/2021) (Blue)</v>
      </c>
      <c r="H4211" s="19"/>
    </row>
    <row r="4212">
      <c r="A4212" s="9"/>
      <c r="B4212" s="15"/>
      <c r="C4212" s="9">
        <f>IFERROR(__xludf.DUMMYFUNCTION("""COMPUTED_VALUE"""),44561.6168799884)</f>
        <v>44561.61688</v>
      </c>
      <c r="D4212" s="15">
        <f>IFERROR(__xludf.DUMMYFUNCTION("""COMPUTED_VALUE"""),1.007)</f>
        <v>1.007</v>
      </c>
      <c r="E4212" s="16">
        <f>IFERROR(__xludf.DUMMYFUNCTION("""COMPUTED_VALUE"""),62.0)</f>
        <v>62</v>
      </c>
      <c r="F4212" s="19" t="str">
        <f>IFERROR(__xludf.DUMMYFUNCTION("""COMPUTED_VALUE"""),"BLUE")</f>
        <v>BLUE</v>
      </c>
      <c r="G4212" s="20" t="str">
        <f>IFERROR(__xludf.DUMMYFUNCTION("""COMPUTED_VALUE"""),"Uncle Sams Cider (11/12/2021) (Blue)")</f>
        <v>Uncle Sams Cider (11/12/2021) (Blue)</v>
      </c>
      <c r="H4212" s="19"/>
    </row>
    <row r="4213">
      <c r="A4213" s="9"/>
      <c r="B4213" s="15"/>
      <c r="C4213" s="9">
        <f>IFERROR(__xludf.DUMMYFUNCTION("""COMPUTED_VALUE"""),44561.6064472685)</f>
        <v>44561.60645</v>
      </c>
      <c r="D4213" s="15">
        <f>IFERROR(__xludf.DUMMYFUNCTION("""COMPUTED_VALUE"""),1.007)</f>
        <v>1.007</v>
      </c>
      <c r="E4213" s="16">
        <f>IFERROR(__xludf.DUMMYFUNCTION("""COMPUTED_VALUE"""),63.0)</f>
        <v>63</v>
      </c>
      <c r="F4213" s="19" t="str">
        <f>IFERROR(__xludf.DUMMYFUNCTION("""COMPUTED_VALUE"""),"BLUE")</f>
        <v>BLUE</v>
      </c>
      <c r="G4213" s="20" t="str">
        <f>IFERROR(__xludf.DUMMYFUNCTION("""COMPUTED_VALUE"""),"Uncle Sams Cider (11/12/2021) (Blue)")</f>
        <v>Uncle Sams Cider (11/12/2021) (Blue)</v>
      </c>
      <c r="H4213" s="19"/>
    </row>
    <row r="4214">
      <c r="A4214" s="9"/>
      <c r="B4214" s="15"/>
      <c r="C4214" s="9">
        <f>IFERROR(__xludf.DUMMYFUNCTION("""COMPUTED_VALUE"""),44561.5960263425)</f>
        <v>44561.59603</v>
      </c>
      <c r="D4214" s="15">
        <f>IFERROR(__xludf.DUMMYFUNCTION("""COMPUTED_VALUE"""),1.007)</f>
        <v>1.007</v>
      </c>
      <c r="E4214" s="16">
        <f>IFERROR(__xludf.DUMMYFUNCTION("""COMPUTED_VALUE"""),63.0)</f>
        <v>63</v>
      </c>
      <c r="F4214" s="19" t="str">
        <f>IFERROR(__xludf.DUMMYFUNCTION("""COMPUTED_VALUE"""),"BLUE")</f>
        <v>BLUE</v>
      </c>
      <c r="G4214" s="20" t="str">
        <f>IFERROR(__xludf.DUMMYFUNCTION("""COMPUTED_VALUE"""),"Uncle Sams Cider (11/12/2021) (Blue)")</f>
        <v>Uncle Sams Cider (11/12/2021) (Blue)</v>
      </c>
      <c r="H4214" s="19"/>
    </row>
    <row r="4215">
      <c r="A4215" s="9"/>
      <c r="B4215" s="15"/>
      <c r="C4215" s="9">
        <f>IFERROR(__xludf.DUMMYFUNCTION("""COMPUTED_VALUE"""),44561.5856043287)</f>
        <v>44561.5856</v>
      </c>
      <c r="D4215" s="15">
        <f>IFERROR(__xludf.DUMMYFUNCTION("""COMPUTED_VALUE"""),1.007)</f>
        <v>1.007</v>
      </c>
      <c r="E4215" s="16">
        <f>IFERROR(__xludf.DUMMYFUNCTION("""COMPUTED_VALUE"""),63.0)</f>
        <v>63</v>
      </c>
      <c r="F4215" s="19" t="str">
        <f>IFERROR(__xludf.DUMMYFUNCTION("""COMPUTED_VALUE"""),"BLUE")</f>
        <v>BLUE</v>
      </c>
      <c r="G4215" s="20" t="str">
        <f>IFERROR(__xludf.DUMMYFUNCTION("""COMPUTED_VALUE"""),"Uncle Sams Cider (11/12/2021) (Blue)")</f>
        <v>Uncle Sams Cider (11/12/2021) (Blue)</v>
      </c>
      <c r="H4215" s="19"/>
    </row>
    <row r="4216">
      <c r="A4216" s="9"/>
      <c r="B4216" s="15"/>
      <c r="C4216" s="9">
        <f>IFERROR(__xludf.DUMMYFUNCTION("""COMPUTED_VALUE"""),44561.5751826157)</f>
        <v>44561.57518</v>
      </c>
      <c r="D4216" s="15">
        <f>IFERROR(__xludf.DUMMYFUNCTION("""COMPUTED_VALUE"""),1.007)</f>
        <v>1.007</v>
      </c>
      <c r="E4216" s="16">
        <f>IFERROR(__xludf.DUMMYFUNCTION("""COMPUTED_VALUE"""),62.0)</f>
        <v>62</v>
      </c>
      <c r="F4216" s="19" t="str">
        <f>IFERROR(__xludf.DUMMYFUNCTION("""COMPUTED_VALUE"""),"BLUE")</f>
        <v>BLUE</v>
      </c>
      <c r="G4216" s="20" t="str">
        <f>IFERROR(__xludf.DUMMYFUNCTION("""COMPUTED_VALUE"""),"Uncle Sams Cider (11/12/2021) (Blue)")</f>
        <v>Uncle Sams Cider (11/12/2021) (Blue)</v>
      </c>
      <c r="H4216" s="19"/>
    </row>
    <row r="4217">
      <c r="A4217" s="9"/>
      <c r="B4217" s="15"/>
      <c r="C4217" s="9">
        <f>IFERROR(__xludf.DUMMYFUNCTION("""COMPUTED_VALUE"""),44561.5647625347)</f>
        <v>44561.56476</v>
      </c>
      <c r="D4217" s="15">
        <f>IFERROR(__xludf.DUMMYFUNCTION("""COMPUTED_VALUE"""),1.008)</f>
        <v>1.008</v>
      </c>
      <c r="E4217" s="16">
        <f>IFERROR(__xludf.DUMMYFUNCTION("""COMPUTED_VALUE"""),62.0)</f>
        <v>62</v>
      </c>
      <c r="F4217" s="19" t="str">
        <f>IFERROR(__xludf.DUMMYFUNCTION("""COMPUTED_VALUE"""),"BLUE")</f>
        <v>BLUE</v>
      </c>
      <c r="G4217" s="20" t="str">
        <f>IFERROR(__xludf.DUMMYFUNCTION("""COMPUTED_VALUE"""),"Uncle Sams Cider (11/12/2021) (Blue)")</f>
        <v>Uncle Sams Cider (11/12/2021) (Blue)</v>
      </c>
      <c r="H4217" s="19"/>
    </row>
    <row r="4218">
      <c r="A4218" s="9"/>
      <c r="B4218" s="15"/>
      <c r="C4218" s="9">
        <f>IFERROR(__xludf.DUMMYFUNCTION("""COMPUTED_VALUE"""),44561.5543301041)</f>
        <v>44561.55433</v>
      </c>
      <c r="D4218" s="15">
        <f>IFERROR(__xludf.DUMMYFUNCTION("""COMPUTED_VALUE"""),1.007)</f>
        <v>1.007</v>
      </c>
      <c r="E4218" s="16">
        <f>IFERROR(__xludf.DUMMYFUNCTION("""COMPUTED_VALUE"""),63.0)</f>
        <v>63</v>
      </c>
      <c r="F4218" s="19" t="str">
        <f>IFERROR(__xludf.DUMMYFUNCTION("""COMPUTED_VALUE"""),"BLUE")</f>
        <v>BLUE</v>
      </c>
      <c r="G4218" s="20" t="str">
        <f>IFERROR(__xludf.DUMMYFUNCTION("""COMPUTED_VALUE"""),"Uncle Sams Cider (11/12/2021) (Blue)")</f>
        <v>Uncle Sams Cider (11/12/2021) (Blue)</v>
      </c>
      <c r="H4218" s="19"/>
    </row>
    <row r="4219">
      <c r="A4219" s="9"/>
      <c r="B4219" s="15"/>
      <c r="C4219" s="9">
        <f>IFERROR(__xludf.DUMMYFUNCTION("""COMPUTED_VALUE"""),44561.5438977893)</f>
        <v>44561.5439</v>
      </c>
      <c r="D4219" s="15">
        <f>IFERROR(__xludf.DUMMYFUNCTION("""COMPUTED_VALUE"""),1.008)</f>
        <v>1.008</v>
      </c>
      <c r="E4219" s="16">
        <f>IFERROR(__xludf.DUMMYFUNCTION("""COMPUTED_VALUE"""),63.0)</f>
        <v>63</v>
      </c>
      <c r="F4219" s="19" t="str">
        <f>IFERROR(__xludf.DUMMYFUNCTION("""COMPUTED_VALUE"""),"BLUE")</f>
        <v>BLUE</v>
      </c>
      <c r="G4219" s="20" t="str">
        <f>IFERROR(__xludf.DUMMYFUNCTION("""COMPUTED_VALUE"""),"Uncle Sams Cider (11/12/2021) (Blue)")</f>
        <v>Uncle Sams Cider (11/12/2021) (Blue)</v>
      </c>
      <c r="H4219" s="19"/>
    </row>
    <row r="4220">
      <c r="A4220" s="9"/>
      <c r="B4220" s="15"/>
      <c r="C4220" s="9">
        <f>IFERROR(__xludf.DUMMYFUNCTION("""COMPUTED_VALUE"""),44561.5334777314)</f>
        <v>44561.53348</v>
      </c>
      <c r="D4220" s="15">
        <f>IFERROR(__xludf.DUMMYFUNCTION("""COMPUTED_VALUE"""),1.007)</f>
        <v>1.007</v>
      </c>
      <c r="E4220" s="16">
        <f>IFERROR(__xludf.DUMMYFUNCTION("""COMPUTED_VALUE"""),63.0)</f>
        <v>63</v>
      </c>
      <c r="F4220" s="19" t="str">
        <f>IFERROR(__xludf.DUMMYFUNCTION("""COMPUTED_VALUE"""),"BLUE")</f>
        <v>BLUE</v>
      </c>
      <c r="G4220" s="20" t="str">
        <f>IFERROR(__xludf.DUMMYFUNCTION("""COMPUTED_VALUE"""),"Uncle Sams Cider (11/12/2021) (Blue)")</f>
        <v>Uncle Sams Cider (11/12/2021) (Blue)</v>
      </c>
      <c r="H4220" s="19"/>
    </row>
    <row r="4221">
      <c r="A4221" s="9"/>
      <c r="B4221" s="15"/>
      <c r="C4221" s="9">
        <f>IFERROR(__xludf.DUMMYFUNCTION("""COMPUTED_VALUE"""),44561.5230569212)</f>
        <v>44561.52306</v>
      </c>
      <c r="D4221" s="15">
        <f>IFERROR(__xludf.DUMMYFUNCTION("""COMPUTED_VALUE"""),1.007)</f>
        <v>1.007</v>
      </c>
      <c r="E4221" s="16">
        <f>IFERROR(__xludf.DUMMYFUNCTION("""COMPUTED_VALUE"""),63.0)</f>
        <v>63</v>
      </c>
      <c r="F4221" s="19" t="str">
        <f>IFERROR(__xludf.DUMMYFUNCTION("""COMPUTED_VALUE"""),"BLUE")</f>
        <v>BLUE</v>
      </c>
      <c r="G4221" s="20" t="str">
        <f>IFERROR(__xludf.DUMMYFUNCTION("""COMPUTED_VALUE"""),"Uncle Sams Cider (11/12/2021) (Blue)")</f>
        <v>Uncle Sams Cider (11/12/2021) (Blue)</v>
      </c>
      <c r="H4221" s="19"/>
    </row>
    <row r="4222">
      <c r="A4222" s="9"/>
      <c r="B4222" s="15"/>
      <c r="C4222" s="9">
        <f>IFERROR(__xludf.DUMMYFUNCTION("""COMPUTED_VALUE"""),44561.5126346643)</f>
        <v>44561.51263</v>
      </c>
      <c r="D4222" s="15">
        <f>IFERROR(__xludf.DUMMYFUNCTION("""COMPUTED_VALUE"""),1.007)</f>
        <v>1.007</v>
      </c>
      <c r="E4222" s="16">
        <f>IFERROR(__xludf.DUMMYFUNCTION("""COMPUTED_VALUE"""),63.0)</f>
        <v>63</v>
      </c>
      <c r="F4222" s="19" t="str">
        <f>IFERROR(__xludf.DUMMYFUNCTION("""COMPUTED_VALUE"""),"BLUE")</f>
        <v>BLUE</v>
      </c>
      <c r="G4222" s="20" t="str">
        <f>IFERROR(__xludf.DUMMYFUNCTION("""COMPUTED_VALUE"""),"Uncle Sams Cider (11/12/2021) (Blue)")</f>
        <v>Uncle Sams Cider (11/12/2021) (Blue)</v>
      </c>
      <c r="H4222" s="19"/>
    </row>
    <row r="4223">
      <c r="A4223" s="9"/>
      <c r="B4223" s="15"/>
      <c r="C4223" s="9">
        <f>IFERROR(__xludf.DUMMYFUNCTION("""COMPUTED_VALUE"""),44561.5022138657)</f>
        <v>44561.50221</v>
      </c>
      <c r="D4223" s="15">
        <f>IFERROR(__xludf.DUMMYFUNCTION("""COMPUTED_VALUE"""),1.008)</f>
        <v>1.008</v>
      </c>
      <c r="E4223" s="16">
        <f>IFERROR(__xludf.DUMMYFUNCTION("""COMPUTED_VALUE"""),63.0)</f>
        <v>63</v>
      </c>
      <c r="F4223" s="19" t="str">
        <f>IFERROR(__xludf.DUMMYFUNCTION("""COMPUTED_VALUE"""),"BLUE")</f>
        <v>BLUE</v>
      </c>
      <c r="G4223" s="20" t="str">
        <f>IFERROR(__xludf.DUMMYFUNCTION("""COMPUTED_VALUE"""),"Uncle Sams Cider (11/12/2021) (Blue)")</f>
        <v>Uncle Sams Cider (11/12/2021) (Blue)</v>
      </c>
      <c r="H4223" s="19"/>
    </row>
    <row r="4224">
      <c r="A4224" s="9"/>
      <c r="B4224" s="15"/>
      <c r="C4224" s="9">
        <f>IFERROR(__xludf.DUMMYFUNCTION("""COMPUTED_VALUE"""),44561.4917929976)</f>
        <v>44561.49179</v>
      </c>
      <c r="D4224" s="15">
        <f>IFERROR(__xludf.DUMMYFUNCTION("""COMPUTED_VALUE"""),1.007)</f>
        <v>1.007</v>
      </c>
      <c r="E4224" s="16">
        <f>IFERROR(__xludf.DUMMYFUNCTION("""COMPUTED_VALUE"""),62.0)</f>
        <v>62</v>
      </c>
      <c r="F4224" s="19" t="str">
        <f>IFERROR(__xludf.DUMMYFUNCTION("""COMPUTED_VALUE"""),"BLUE")</f>
        <v>BLUE</v>
      </c>
      <c r="G4224" s="20" t="str">
        <f>IFERROR(__xludf.DUMMYFUNCTION("""COMPUTED_VALUE"""),"Uncle Sams Cider (11/12/2021) (Blue)")</f>
        <v>Uncle Sams Cider (11/12/2021) (Blue)</v>
      </c>
      <c r="H4224" s="19"/>
    </row>
    <row r="4225">
      <c r="A4225" s="9"/>
      <c r="B4225" s="15"/>
      <c r="C4225" s="9">
        <f>IFERROR(__xludf.DUMMYFUNCTION("""COMPUTED_VALUE"""),44561.4813704861)</f>
        <v>44561.48137</v>
      </c>
      <c r="D4225" s="15">
        <f>IFERROR(__xludf.DUMMYFUNCTION("""COMPUTED_VALUE"""),1.008)</f>
        <v>1.008</v>
      </c>
      <c r="E4225" s="16">
        <f>IFERROR(__xludf.DUMMYFUNCTION("""COMPUTED_VALUE"""),63.0)</f>
        <v>63</v>
      </c>
      <c r="F4225" s="19" t="str">
        <f>IFERROR(__xludf.DUMMYFUNCTION("""COMPUTED_VALUE"""),"BLUE")</f>
        <v>BLUE</v>
      </c>
      <c r="G4225" s="20" t="str">
        <f>IFERROR(__xludf.DUMMYFUNCTION("""COMPUTED_VALUE"""),"Uncle Sams Cider (11/12/2021) (Blue)")</f>
        <v>Uncle Sams Cider (11/12/2021) (Blue)</v>
      </c>
      <c r="H4225" s="19"/>
    </row>
    <row r="4226">
      <c r="A4226" s="9"/>
      <c r="B4226" s="15"/>
      <c r="C4226" s="9">
        <f>IFERROR(__xludf.DUMMYFUNCTION("""COMPUTED_VALUE"""),44561.4709486226)</f>
        <v>44561.47095</v>
      </c>
      <c r="D4226" s="15">
        <f>IFERROR(__xludf.DUMMYFUNCTION("""COMPUTED_VALUE"""),1.007)</f>
        <v>1.007</v>
      </c>
      <c r="E4226" s="16">
        <f>IFERROR(__xludf.DUMMYFUNCTION("""COMPUTED_VALUE"""),63.0)</f>
        <v>63</v>
      </c>
      <c r="F4226" s="19" t="str">
        <f>IFERROR(__xludf.DUMMYFUNCTION("""COMPUTED_VALUE"""),"BLUE")</f>
        <v>BLUE</v>
      </c>
      <c r="G4226" s="20" t="str">
        <f>IFERROR(__xludf.DUMMYFUNCTION("""COMPUTED_VALUE"""),"Uncle Sams Cider (11/12/2021) (Blue)")</f>
        <v>Uncle Sams Cider (11/12/2021) (Blue)</v>
      </c>
      <c r="H4226" s="19"/>
    </row>
    <row r="4227">
      <c r="A4227" s="9"/>
      <c r="B4227" s="15"/>
      <c r="C4227" s="9">
        <f>IFERROR(__xludf.DUMMYFUNCTION("""COMPUTED_VALUE"""),44561.4605285995)</f>
        <v>44561.46053</v>
      </c>
      <c r="D4227" s="15">
        <f>IFERROR(__xludf.DUMMYFUNCTION("""COMPUTED_VALUE"""),1.008)</f>
        <v>1.008</v>
      </c>
      <c r="E4227" s="16">
        <f>IFERROR(__xludf.DUMMYFUNCTION("""COMPUTED_VALUE"""),63.0)</f>
        <v>63</v>
      </c>
      <c r="F4227" s="19" t="str">
        <f>IFERROR(__xludf.DUMMYFUNCTION("""COMPUTED_VALUE"""),"BLUE")</f>
        <v>BLUE</v>
      </c>
      <c r="G4227" s="20" t="str">
        <f>IFERROR(__xludf.DUMMYFUNCTION("""COMPUTED_VALUE"""),"Uncle Sams Cider (11/12/2021) (Blue)")</f>
        <v>Uncle Sams Cider (11/12/2021) (Blue)</v>
      </c>
      <c r="H4227" s="19"/>
    </row>
    <row r="4228">
      <c r="A4228" s="9"/>
      <c r="B4228" s="15"/>
      <c r="C4228" s="9">
        <f>IFERROR(__xludf.DUMMYFUNCTION("""COMPUTED_VALUE"""),44561.4501085416)</f>
        <v>44561.45011</v>
      </c>
      <c r="D4228" s="15">
        <f>IFERROR(__xludf.DUMMYFUNCTION("""COMPUTED_VALUE"""),1.007)</f>
        <v>1.007</v>
      </c>
      <c r="E4228" s="16">
        <f>IFERROR(__xludf.DUMMYFUNCTION("""COMPUTED_VALUE"""),62.0)</f>
        <v>62</v>
      </c>
      <c r="F4228" s="19" t="str">
        <f>IFERROR(__xludf.DUMMYFUNCTION("""COMPUTED_VALUE"""),"BLUE")</f>
        <v>BLUE</v>
      </c>
      <c r="G4228" s="20" t="str">
        <f>IFERROR(__xludf.DUMMYFUNCTION("""COMPUTED_VALUE"""),"Uncle Sams Cider (11/12/2021) (Blue)")</f>
        <v>Uncle Sams Cider (11/12/2021) (Blue)</v>
      </c>
      <c r="H4228" s="19"/>
    </row>
    <row r="4229">
      <c r="A4229" s="9"/>
      <c r="B4229" s="15"/>
      <c r="C4229" s="9">
        <f>IFERROR(__xludf.DUMMYFUNCTION("""COMPUTED_VALUE"""),44561.4396861921)</f>
        <v>44561.43969</v>
      </c>
      <c r="D4229" s="15">
        <f>IFERROR(__xludf.DUMMYFUNCTION("""COMPUTED_VALUE"""),1.008)</f>
        <v>1.008</v>
      </c>
      <c r="E4229" s="16">
        <f>IFERROR(__xludf.DUMMYFUNCTION("""COMPUTED_VALUE"""),63.0)</f>
        <v>63</v>
      </c>
      <c r="F4229" s="19" t="str">
        <f>IFERROR(__xludf.DUMMYFUNCTION("""COMPUTED_VALUE"""),"BLUE")</f>
        <v>BLUE</v>
      </c>
      <c r="G4229" s="20" t="str">
        <f>IFERROR(__xludf.DUMMYFUNCTION("""COMPUTED_VALUE"""),"Uncle Sams Cider (11/12/2021) (Blue)")</f>
        <v>Uncle Sams Cider (11/12/2021) (Blue)</v>
      </c>
      <c r="H4229" s="19"/>
    </row>
    <row r="4230">
      <c r="A4230" s="9"/>
      <c r="B4230" s="15"/>
      <c r="C4230" s="9">
        <f>IFERROR(__xludf.DUMMYFUNCTION("""COMPUTED_VALUE"""),44561.4292652777)</f>
        <v>44561.42927</v>
      </c>
      <c r="D4230" s="15">
        <f>IFERROR(__xludf.DUMMYFUNCTION("""COMPUTED_VALUE"""),1.007)</f>
        <v>1.007</v>
      </c>
      <c r="E4230" s="16">
        <f>IFERROR(__xludf.DUMMYFUNCTION("""COMPUTED_VALUE"""),63.0)</f>
        <v>63</v>
      </c>
      <c r="F4230" s="19" t="str">
        <f>IFERROR(__xludf.DUMMYFUNCTION("""COMPUTED_VALUE"""),"BLUE")</f>
        <v>BLUE</v>
      </c>
      <c r="G4230" s="20" t="str">
        <f>IFERROR(__xludf.DUMMYFUNCTION("""COMPUTED_VALUE"""),"Uncle Sams Cider (11/12/2021) (Blue)")</f>
        <v>Uncle Sams Cider (11/12/2021) (Blue)</v>
      </c>
      <c r="H4230" s="19"/>
    </row>
    <row r="4231">
      <c r="A4231" s="9"/>
      <c r="B4231" s="15"/>
      <c r="C4231" s="9">
        <f>IFERROR(__xludf.DUMMYFUNCTION("""COMPUTED_VALUE"""),44561.4188446064)</f>
        <v>44561.41884</v>
      </c>
      <c r="D4231" s="15">
        <f>IFERROR(__xludf.DUMMYFUNCTION("""COMPUTED_VALUE"""),1.008)</f>
        <v>1.008</v>
      </c>
      <c r="E4231" s="16">
        <f>IFERROR(__xludf.DUMMYFUNCTION("""COMPUTED_VALUE"""),62.0)</f>
        <v>62</v>
      </c>
      <c r="F4231" s="19" t="str">
        <f>IFERROR(__xludf.DUMMYFUNCTION("""COMPUTED_VALUE"""),"BLUE")</f>
        <v>BLUE</v>
      </c>
      <c r="G4231" s="20" t="str">
        <f>IFERROR(__xludf.DUMMYFUNCTION("""COMPUTED_VALUE"""),"Uncle Sams Cider (11/12/2021) (Blue)")</f>
        <v>Uncle Sams Cider (11/12/2021) (Blue)</v>
      </c>
      <c r="H4231" s="19"/>
    </row>
    <row r="4232">
      <c r="A4232" s="9"/>
      <c r="B4232" s="15"/>
      <c r="C4232" s="9">
        <f>IFERROR(__xludf.DUMMYFUNCTION("""COMPUTED_VALUE"""),44561.4084230787)</f>
        <v>44561.40842</v>
      </c>
      <c r="D4232" s="15">
        <f>IFERROR(__xludf.DUMMYFUNCTION("""COMPUTED_VALUE"""),1.007)</f>
        <v>1.007</v>
      </c>
      <c r="E4232" s="16">
        <f>IFERROR(__xludf.DUMMYFUNCTION("""COMPUTED_VALUE"""),63.0)</f>
        <v>63</v>
      </c>
      <c r="F4232" s="19" t="str">
        <f>IFERROR(__xludf.DUMMYFUNCTION("""COMPUTED_VALUE"""),"BLUE")</f>
        <v>BLUE</v>
      </c>
      <c r="G4232" s="20" t="str">
        <f>IFERROR(__xludf.DUMMYFUNCTION("""COMPUTED_VALUE"""),"Uncle Sams Cider (11/12/2021) (Blue)")</f>
        <v>Uncle Sams Cider (11/12/2021) (Blue)</v>
      </c>
      <c r="H4232" s="19"/>
    </row>
    <row r="4233">
      <c r="A4233" s="9"/>
      <c r="B4233" s="15"/>
      <c r="C4233" s="9">
        <f>IFERROR(__xludf.DUMMYFUNCTION("""COMPUTED_VALUE"""),44561.3979900694)</f>
        <v>44561.39799</v>
      </c>
      <c r="D4233" s="15">
        <f>IFERROR(__xludf.DUMMYFUNCTION("""COMPUTED_VALUE"""),1.007)</f>
        <v>1.007</v>
      </c>
      <c r="E4233" s="16">
        <f>IFERROR(__xludf.DUMMYFUNCTION("""COMPUTED_VALUE"""),62.0)</f>
        <v>62</v>
      </c>
      <c r="F4233" s="19" t="str">
        <f>IFERROR(__xludf.DUMMYFUNCTION("""COMPUTED_VALUE"""),"BLUE")</f>
        <v>BLUE</v>
      </c>
      <c r="G4233" s="20" t="str">
        <f>IFERROR(__xludf.DUMMYFUNCTION("""COMPUTED_VALUE"""),"Uncle Sams Cider (11/12/2021) (Blue)")</f>
        <v>Uncle Sams Cider (11/12/2021) (Blue)</v>
      </c>
      <c r="H4233" s="19"/>
    </row>
    <row r="4234">
      <c r="A4234" s="9"/>
      <c r="B4234" s="15"/>
      <c r="C4234" s="9">
        <f>IFERROR(__xludf.DUMMYFUNCTION("""COMPUTED_VALUE"""),44561.387536655)</f>
        <v>44561.38754</v>
      </c>
      <c r="D4234" s="15">
        <f>IFERROR(__xludf.DUMMYFUNCTION("""COMPUTED_VALUE"""),1.008)</f>
        <v>1.008</v>
      </c>
      <c r="E4234" s="16">
        <f>IFERROR(__xludf.DUMMYFUNCTION("""COMPUTED_VALUE"""),63.0)</f>
        <v>63</v>
      </c>
      <c r="F4234" s="19" t="str">
        <f>IFERROR(__xludf.DUMMYFUNCTION("""COMPUTED_VALUE"""),"BLUE")</f>
        <v>BLUE</v>
      </c>
      <c r="G4234" s="20" t="str">
        <f>IFERROR(__xludf.DUMMYFUNCTION("""COMPUTED_VALUE"""),"Uncle Sams Cider (11/12/2021) (Blue)")</f>
        <v>Uncle Sams Cider (11/12/2021) (Blue)</v>
      </c>
      <c r="H4234" s="19"/>
    </row>
    <row r="4235">
      <c r="A4235" s="9"/>
      <c r="B4235" s="15"/>
      <c r="C4235" s="9">
        <f>IFERROR(__xludf.DUMMYFUNCTION("""COMPUTED_VALUE"""),44561.3771167939)</f>
        <v>44561.37712</v>
      </c>
      <c r="D4235" s="15">
        <f>IFERROR(__xludf.DUMMYFUNCTION("""COMPUTED_VALUE"""),1.008)</f>
        <v>1.008</v>
      </c>
      <c r="E4235" s="16">
        <f>IFERROR(__xludf.DUMMYFUNCTION("""COMPUTED_VALUE"""),62.0)</f>
        <v>62</v>
      </c>
      <c r="F4235" s="19" t="str">
        <f>IFERROR(__xludf.DUMMYFUNCTION("""COMPUTED_VALUE"""),"BLUE")</f>
        <v>BLUE</v>
      </c>
      <c r="G4235" s="20" t="str">
        <f>IFERROR(__xludf.DUMMYFUNCTION("""COMPUTED_VALUE"""),"Uncle Sams Cider (11/12/2021) (Blue)")</f>
        <v>Uncle Sams Cider (11/12/2021) (Blue)</v>
      </c>
      <c r="H4235" s="19"/>
    </row>
    <row r="4236">
      <c r="A4236" s="9"/>
      <c r="B4236" s="15"/>
      <c r="C4236" s="9">
        <f>IFERROR(__xludf.DUMMYFUNCTION("""COMPUTED_VALUE"""),44561.3666956365)</f>
        <v>44561.3667</v>
      </c>
      <c r="D4236" s="15">
        <f>IFERROR(__xludf.DUMMYFUNCTION("""COMPUTED_VALUE"""),1.007)</f>
        <v>1.007</v>
      </c>
      <c r="E4236" s="16">
        <f>IFERROR(__xludf.DUMMYFUNCTION("""COMPUTED_VALUE"""),62.0)</f>
        <v>62</v>
      </c>
      <c r="F4236" s="19" t="str">
        <f>IFERROR(__xludf.DUMMYFUNCTION("""COMPUTED_VALUE"""),"BLUE")</f>
        <v>BLUE</v>
      </c>
      <c r="G4236" s="20" t="str">
        <f>IFERROR(__xludf.DUMMYFUNCTION("""COMPUTED_VALUE"""),"Uncle Sams Cider (11/12/2021) (Blue)")</f>
        <v>Uncle Sams Cider (11/12/2021) (Blue)</v>
      </c>
      <c r="H4236" s="19"/>
    </row>
    <row r="4237">
      <c r="A4237" s="9"/>
      <c r="B4237" s="15"/>
      <c r="C4237" s="9">
        <f>IFERROR(__xludf.DUMMYFUNCTION("""COMPUTED_VALUE"""),44561.3562747222)</f>
        <v>44561.35627</v>
      </c>
      <c r="D4237" s="15">
        <f>IFERROR(__xludf.DUMMYFUNCTION("""COMPUTED_VALUE"""),1.007)</f>
        <v>1.007</v>
      </c>
      <c r="E4237" s="16">
        <f>IFERROR(__xludf.DUMMYFUNCTION("""COMPUTED_VALUE"""),62.0)</f>
        <v>62</v>
      </c>
      <c r="F4237" s="19" t="str">
        <f>IFERROR(__xludf.DUMMYFUNCTION("""COMPUTED_VALUE"""),"BLUE")</f>
        <v>BLUE</v>
      </c>
      <c r="G4237" s="20" t="str">
        <f>IFERROR(__xludf.DUMMYFUNCTION("""COMPUTED_VALUE"""),"Uncle Sams Cider (11/12/2021) (Blue)")</f>
        <v>Uncle Sams Cider (11/12/2021) (Blue)</v>
      </c>
      <c r="H4237" s="19"/>
    </row>
    <row r="4238">
      <c r="A4238" s="9"/>
      <c r="B4238" s="15"/>
      <c r="C4238" s="9">
        <f>IFERROR(__xludf.DUMMYFUNCTION("""COMPUTED_VALUE"""),44561.3458535416)</f>
        <v>44561.34585</v>
      </c>
      <c r="D4238" s="15">
        <f>IFERROR(__xludf.DUMMYFUNCTION("""COMPUTED_VALUE"""),1.007)</f>
        <v>1.007</v>
      </c>
      <c r="E4238" s="16">
        <f>IFERROR(__xludf.DUMMYFUNCTION("""COMPUTED_VALUE"""),63.0)</f>
        <v>63</v>
      </c>
      <c r="F4238" s="19" t="str">
        <f>IFERROR(__xludf.DUMMYFUNCTION("""COMPUTED_VALUE"""),"BLUE")</f>
        <v>BLUE</v>
      </c>
      <c r="G4238" s="20" t="str">
        <f>IFERROR(__xludf.DUMMYFUNCTION("""COMPUTED_VALUE"""),"Uncle Sams Cider (11/12/2021) (Blue)")</f>
        <v>Uncle Sams Cider (11/12/2021) (Blue)</v>
      </c>
      <c r="H4238" s="19"/>
    </row>
    <row r="4239">
      <c r="A4239" s="9"/>
      <c r="B4239" s="15"/>
      <c r="C4239" s="9">
        <f>IFERROR(__xludf.DUMMYFUNCTION("""COMPUTED_VALUE"""),44561.3354328935)</f>
        <v>44561.33543</v>
      </c>
      <c r="D4239" s="15">
        <f>IFERROR(__xludf.DUMMYFUNCTION("""COMPUTED_VALUE"""),1.007)</f>
        <v>1.007</v>
      </c>
      <c r="E4239" s="16">
        <f>IFERROR(__xludf.DUMMYFUNCTION("""COMPUTED_VALUE"""),62.0)</f>
        <v>62</v>
      </c>
      <c r="F4239" s="19" t="str">
        <f>IFERROR(__xludf.DUMMYFUNCTION("""COMPUTED_VALUE"""),"BLUE")</f>
        <v>BLUE</v>
      </c>
      <c r="G4239" s="20" t="str">
        <f>IFERROR(__xludf.DUMMYFUNCTION("""COMPUTED_VALUE"""),"Uncle Sams Cider (11/12/2021) (Blue)")</f>
        <v>Uncle Sams Cider (11/12/2021) (Blue)</v>
      </c>
      <c r="H4239" s="19"/>
    </row>
    <row r="4240">
      <c r="A4240" s="9"/>
      <c r="B4240" s="15"/>
      <c r="C4240" s="9">
        <f>IFERROR(__xludf.DUMMYFUNCTION("""COMPUTED_VALUE"""),44561.3250131597)</f>
        <v>44561.32501</v>
      </c>
      <c r="D4240" s="15">
        <f>IFERROR(__xludf.DUMMYFUNCTION("""COMPUTED_VALUE"""),1.007)</f>
        <v>1.007</v>
      </c>
      <c r="E4240" s="16">
        <f>IFERROR(__xludf.DUMMYFUNCTION("""COMPUTED_VALUE"""),62.0)</f>
        <v>62</v>
      </c>
      <c r="F4240" s="19" t="str">
        <f>IFERROR(__xludf.DUMMYFUNCTION("""COMPUTED_VALUE"""),"BLUE")</f>
        <v>BLUE</v>
      </c>
      <c r="G4240" s="20" t="str">
        <f>IFERROR(__xludf.DUMMYFUNCTION("""COMPUTED_VALUE"""),"Uncle Sams Cider (11/12/2021) (Blue)")</f>
        <v>Uncle Sams Cider (11/12/2021) (Blue)</v>
      </c>
      <c r="H4240" s="19"/>
    </row>
    <row r="4241">
      <c r="A4241" s="9"/>
      <c r="B4241" s="15"/>
      <c r="C4241" s="9">
        <f>IFERROR(__xludf.DUMMYFUNCTION("""COMPUTED_VALUE"""),44561.3145805324)</f>
        <v>44561.31458</v>
      </c>
      <c r="D4241" s="15">
        <f>IFERROR(__xludf.DUMMYFUNCTION("""COMPUTED_VALUE"""),1.008)</f>
        <v>1.008</v>
      </c>
      <c r="E4241" s="16">
        <f>IFERROR(__xludf.DUMMYFUNCTION("""COMPUTED_VALUE"""),63.0)</f>
        <v>63</v>
      </c>
      <c r="F4241" s="19" t="str">
        <f>IFERROR(__xludf.DUMMYFUNCTION("""COMPUTED_VALUE"""),"BLUE")</f>
        <v>BLUE</v>
      </c>
      <c r="G4241" s="20" t="str">
        <f>IFERROR(__xludf.DUMMYFUNCTION("""COMPUTED_VALUE"""),"Uncle Sams Cider (11/12/2021) (Blue)")</f>
        <v>Uncle Sams Cider (11/12/2021) (Blue)</v>
      </c>
      <c r="H4241" s="19"/>
    </row>
    <row r="4242">
      <c r="A4242" s="9"/>
      <c r="B4242" s="15"/>
      <c r="C4242" s="9">
        <f>IFERROR(__xludf.DUMMYFUNCTION("""COMPUTED_VALUE"""),44561.3041601273)</f>
        <v>44561.30416</v>
      </c>
      <c r="D4242" s="15">
        <f>IFERROR(__xludf.DUMMYFUNCTION("""COMPUTED_VALUE"""),1.007)</f>
        <v>1.007</v>
      </c>
      <c r="E4242" s="16">
        <f>IFERROR(__xludf.DUMMYFUNCTION("""COMPUTED_VALUE"""),62.0)</f>
        <v>62</v>
      </c>
      <c r="F4242" s="19" t="str">
        <f>IFERROR(__xludf.DUMMYFUNCTION("""COMPUTED_VALUE"""),"BLUE")</f>
        <v>BLUE</v>
      </c>
      <c r="G4242" s="20" t="str">
        <f>IFERROR(__xludf.DUMMYFUNCTION("""COMPUTED_VALUE"""),"Uncle Sams Cider (11/12/2021) (Blue)")</f>
        <v>Uncle Sams Cider (11/12/2021) (Blue)</v>
      </c>
      <c r="H4242" s="19"/>
    </row>
    <row r="4243">
      <c r="A4243" s="9"/>
      <c r="B4243" s="15"/>
      <c r="C4243" s="9">
        <f>IFERROR(__xludf.DUMMYFUNCTION("""COMPUTED_VALUE"""),44561.2937379629)</f>
        <v>44561.29374</v>
      </c>
      <c r="D4243" s="15">
        <f>IFERROR(__xludf.DUMMYFUNCTION("""COMPUTED_VALUE"""),1.007)</f>
        <v>1.007</v>
      </c>
      <c r="E4243" s="16">
        <f>IFERROR(__xludf.DUMMYFUNCTION("""COMPUTED_VALUE"""),63.0)</f>
        <v>63</v>
      </c>
      <c r="F4243" s="19" t="str">
        <f>IFERROR(__xludf.DUMMYFUNCTION("""COMPUTED_VALUE"""),"BLUE")</f>
        <v>BLUE</v>
      </c>
      <c r="G4243" s="20" t="str">
        <f>IFERROR(__xludf.DUMMYFUNCTION("""COMPUTED_VALUE"""),"Uncle Sams Cider (11/12/2021) (Blue)")</f>
        <v>Uncle Sams Cider (11/12/2021) (Blue)</v>
      </c>
      <c r="H4243" s="19"/>
    </row>
    <row r="4244">
      <c r="A4244" s="9"/>
      <c r="B4244" s="15"/>
      <c r="C4244" s="9">
        <f>IFERROR(__xludf.DUMMYFUNCTION("""COMPUTED_VALUE"""),44561.2833168402)</f>
        <v>44561.28332</v>
      </c>
      <c r="D4244" s="15">
        <f>IFERROR(__xludf.DUMMYFUNCTION("""COMPUTED_VALUE"""),1.008)</f>
        <v>1.008</v>
      </c>
      <c r="E4244" s="16">
        <f>IFERROR(__xludf.DUMMYFUNCTION("""COMPUTED_VALUE"""),62.0)</f>
        <v>62</v>
      </c>
      <c r="F4244" s="19" t="str">
        <f>IFERROR(__xludf.DUMMYFUNCTION("""COMPUTED_VALUE"""),"BLUE")</f>
        <v>BLUE</v>
      </c>
      <c r="G4244" s="20" t="str">
        <f>IFERROR(__xludf.DUMMYFUNCTION("""COMPUTED_VALUE"""),"Uncle Sams Cider (11/12/2021) (Blue)")</f>
        <v>Uncle Sams Cider (11/12/2021) (Blue)</v>
      </c>
      <c r="H4244" s="19"/>
    </row>
    <row r="4245">
      <c r="A4245" s="9"/>
      <c r="B4245" s="15"/>
      <c r="C4245" s="9">
        <f>IFERROR(__xludf.DUMMYFUNCTION("""COMPUTED_VALUE"""),44561.2728947222)</f>
        <v>44561.27289</v>
      </c>
      <c r="D4245" s="15">
        <f>IFERROR(__xludf.DUMMYFUNCTION("""COMPUTED_VALUE"""),1.007)</f>
        <v>1.007</v>
      </c>
      <c r="E4245" s="16">
        <f>IFERROR(__xludf.DUMMYFUNCTION("""COMPUTED_VALUE"""),62.0)</f>
        <v>62</v>
      </c>
      <c r="F4245" s="19" t="str">
        <f>IFERROR(__xludf.DUMMYFUNCTION("""COMPUTED_VALUE"""),"BLUE")</f>
        <v>BLUE</v>
      </c>
      <c r="G4245" s="20" t="str">
        <f>IFERROR(__xludf.DUMMYFUNCTION("""COMPUTED_VALUE"""),"Uncle Sams Cider (11/12/2021) (Blue)")</f>
        <v>Uncle Sams Cider (11/12/2021) (Blue)</v>
      </c>
      <c r="H4245" s="19"/>
    </row>
    <row r="4246">
      <c r="A4246" s="9"/>
      <c r="B4246" s="15"/>
      <c r="C4246" s="9">
        <f>IFERROR(__xludf.DUMMYFUNCTION("""COMPUTED_VALUE"""),44561.2624492824)</f>
        <v>44561.26245</v>
      </c>
      <c r="D4246" s="15">
        <f>IFERROR(__xludf.DUMMYFUNCTION("""COMPUTED_VALUE"""),1.008)</f>
        <v>1.008</v>
      </c>
      <c r="E4246" s="16">
        <f>IFERROR(__xludf.DUMMYFUNCTION("""COMPUTED_VALUE"""),62.0)</f>
        <v>62</v>
      </c>
      <c r="F4246" s="19" t="str">
        <f>IFERROR(__xludf.DUMMYFUNCTION("""COMPUTED_VALUE"""),"BLUE")</f>
        <v>BLUE</v>
      </c>
      <c r="G4246" s="20" t="str">
        <f>IFERROR(__xludf.DUMMYFUNCTION("""COMPUTED_VALUE"""),"Uncle Sams Cider (11/12/2021) (Blue)")</f>
        <v>Uncle Sams Cider (11/12/2021) (Blue)</v>
      </c>
      <c r="H4246" s="19"/>
    </row>
    <row r="4247">
      <c r="A4247" s="9"/>
      <c r="B4247" s="15"/>
      <c r="C4247" s="9">
        <f>IFERROR(__xludf.DUMMYFUNCTION("""COMPUTED_VALUE"""),44561.2520270138)</f>
        <v>44561.25203</v>
      </c>
      <c r="D4247" s="15">
        <f>IFERROR(__xludf.DUMMYFUNCTION("""COMPUTED_VALUE"""),1.008)</f>
        <v>1.008</v>
      </c>
      <c r="E4247" s="16">
        <f>IFERROR(__xludf.DUMMYFUNCTION("""COMPUTED_VALUE"""),62.0)</f>
        <v>62</v>
      </c>
      <c r="F4247" s="19" t="str">
        <f>IFERROR(__xludf.DUMMYFUNCTION("""COMPUTED_VALUE"""),"BLUE")</f>
        <v>BLUE</v>
      </c>
      <c r="G4247" s="20" t="str">
        <f>IFERROR(__xludf.DUMMYFUNCTION("""COMPUTED_VALUE"""),"Uncle Sams Cider (11/12/2021) (Blue)")</f>
        <v>Uncle Sams Cider (11/12/2021) (Blue)</v>
      </c>
      <c r="H4247" s="19"/>
    </row>
    <row r="4248">
      <c r="A4248" s="9"/>
      <c r="B4248" s="15"/>
      <c r="C4248" s="9">
        <f>IFERROR(__xludf.DUMMYFUNCTION("""COMPUTED_VALUE"""),44561.2416063425)</f>
        <v>44561.24161</v>
      </c>
      <c r="D4248" s="15">
        <f>IFERROR(__xludf.DUMMYFUNCTION("""COMPUTED_VALUE"""),1.007)</f>
        <v>1.007</v>
      </c>
      <c r="E4248" s="16">
        <f>IFERROR(__xludf.DUMMYFUNCTION("""COMPUTED_VALUE"""),62.0)</f>
        <v>62</v>
      </c>
      <c r="F4248" s="19" t="str">
        <f>IFERROR(__xludf.DUMMYFUNCTION("""COMPUTED_VALUE"""),"BLUE")</f>
        <v>BLUE</v>
      </c>
      <c r="G4248" s="20" t="str">
        <f>IFERROR(__xludf.DUMMYFUNCTION("""COMPUTED_VALUE"""),"Uncle Sams Cider (11/12/2021) (Blue)")</f>
        <v>Uncle Sams Cider (11/12/2021) (Blue)</v>
      </c>
      <c r="H4248" s="19"/>
    </row>
    <row r="4249">
      <c r="A4249" s="9"/>
      <c r="B4249" s="15"/>
      <c r="C4249" s="9">
        <f>IFERROR(__xludf.DUMMYFUNCTION("""COMPUTED_VALUE"""),44561.2311864814)</f>
        <v>44561.23119</v>
      </c>
      <c r="D4249" s="15">
        <f>IFERROR(__xludf.DUMMYFUNCTION("""COMPUTED_VALUE"""),1.007)</f>
        <v>1.007</v>
      </c>
      <c r="E4249" s="16">
        <f>IFERROR(__xludf.DUMMYFUNCTION("""COMPUTED_VALUE"""),62.0)</f>
        <v>62</v>
      </c>
      <c r="F4249" s="19" t="str">
        <f>IFERROR(__xludf.DUMMYFUNCTION("""COMPUTED_VALUE"""),"BLUE")</f>
        <v>BLUE</v>
      </c>
      <c r="G4249" s="20" t="str">
        <f>IFERROR(__xludf.DUMMYFUNCTION("""COMPUTED_VALUE"""),"Uncle Sams Cider (11/12/2021) (Blue)")</f>
        <v>Uncle Sams Cider (11/12/2021) (Blue)</v>
      </c>
      <c r="H4249" s="19"/>
    </row>
    <row r="4250">
      <c r="A4250" s="9"/>
      <c r="B4250" s="15"/>
      <c r="C4250" s="9">
        <f>IFERROR(__xludf.DUMMYFUNCTION("""COMPUTED_VALUE"""),44561.2207667361)</f>
        <v>44561.22077</v>
      </c>
      <c r="D4250" s="15">
        <f>IFERROR(__xludf.DUMMYFUNCTION("""COMPUTED_VALUE"""),1.008)</f>
        <v>1.008</v>
      </c>
      <c r="E4250" s="16">
        <f>IFERROR(__xludf.DUMMYFUNCTION("""COMPUTED_VALUE"""),62.0)</f>
        <v>62</v>
      </c>
      <c r="F4250" s="19" t="str">
        <f>IFERROR(__xludf.DUMMYFUNCTION("""COMPUTED_VALUE"""),"BLUE")</f>
        <v>BLUE</v>
      </c>
      <c r="G4250" s="20" t="str">
        <f>IFERROR(__xludf.DUMMYFUNCTION("""COMPUTED_VALUE"""),"Uncle Sams Cider (11/12/2021) (Blue)")</f>
        <v>Uncle Sams Cider (11/12/2021) (Blue)</v>
      </c>
      <c r="H4250" s="19"/>
    </row>
    <row r="4251">
      <c r="A4251" s="9"/>
      <c r="B4251" s="15"/>
      <c r="C4251" s="9">
        <f>IFERROR(__xludf.DUMMYFUNCTION("""COMPUTED_VALUE"""),44561.2103460069)</f>
        <v>44561.21035</v>
      </c>
      <c r="D4251" s="15">
        <f>IFERROR(__xludf.DUMMYFUNCTION("""COMPUTED_VALUE"""),1.008)</f>
        <v>1.008</v>
      </c>
      <c r="E4251" s="16">
        <f>IFERROR(__xludf.DUMMYFUNCTION("""COMPUTED_VALUE"""),62.0)</f>
        <v>62</v>
      </c>
      <c r="F4251" s="19" t="str">
        <f>IFERROR(__xludf.DUMMYFUNCTION("""COMPUTED_VALUE"""),"BLUE")</f>
        <v>BLUE</v>
      </c>
      <c r="G4251" s="20" t="str">
        <f>IFERROR(__xludf.DUMMYFUNCTION("""COMPUTED_VALUE"""),"Uncle Sams Cider (11/12/2021) (Blue)")</f>
        <v>Uncle Sams Cider (11/12/2021) (Blue)</v>
      </c>
      <c r="H4251" s="19"/>
    </row>
    <row r="4252">
      <c r="A4252" s="9"/>
      <c r="B4252" s="15"/>
      <c r="C4252" s="9">
        <f>IFERROR(__xludf.DUMMYFUNCTION("""COMPUTED_VALUE"""),44561.1999243287)</f>
        <v>44561.19992</v>
      </c>
      <c r="D4252" s="15">
        <f>IFERROR(__xludf.DUMMYFUNCTION("""COMPUTED_VALUE"""),1.007)</f>
        <v>1.007</v>
      </c>
      <c r="E4252" s="16">
        <f>IFERROR(__xludf.DUMMYFUNCTION("""COMPUTED_VALUE"""),62.0)</f>
        <v>62</v>
      </c>
      <c r="F4252" s="19" t="str">
        <f>IFERROR(__xludf.DUMMYFUNCTION("""COMPUTED_VALUE"""),"BLUE")</f>
        <v>BLUE</v>
      </c>
      <c r="G4252" s="20" t="str">
        <f>IFERROR(__xludf.DUMMYFUNCTION("""COMPUTED_VALUE"""),"Uncle Sams Cider (11/12/2021) (Blue)")</f>
        <v>Uncle Sams Cider (11/12/2021) (Blue)</v>
      </c>
      <c r="H4252" s="19"/>
    </row>
    <row r="4253">
      <c r="A4253" s="9"/>
      <c r="B4253" s="15"/>
      <c r="C4253" s="9">
        <f>IFERROR(__xludf.DUMMYFUNCTION("""COMPUTED_VALUE"""),44561.1895043634)</f>
        <v>44561.1895</v>
      </c>
      <c r="D4253" s="15">
        <f>IFERROR(__xludf.DUMMYFUNCTION("""COMPUTED_VALUE"""),1.008)</f>
        <v>1.008</v>
      </c>
      <c r="E4253" s="16">
        <f>IFERROR(__xludf.DUMMYFUNCTION("""COMPUTED_VALUE"""),62.0)</f>
        <v>62</v>
      </c>
      <c r="F4253" s="19" t="str">
        <f>IFERROR(__xludf.DUMMYFUNCTION("""COMPUTED_VALUE"""),"BLUE")</f>
        <v>BLUE</v>
      </c>
      <c r="G4253" s="20" t="str">
        <f>IFERROR(__xludf.DUMMYFUNCTION("""COMPUTED_VALUE"""),"Uncle Sams Cider (11/12/2021) (Blue)")</f>
        <v>Uncle Sams Cider (11/12/2021) (Blue)</v>
      </c>
      <c r="H4253" s="19"/>
    </row>
    <row r="4254">
      <c r="A4254" s="9"/>
      <c r="B4254" s="15"/>
      <c r="C4254" s="9">
        <f>IFERROR(__xludf.DUMMYFUNCTION("""COMPUTED_VALUE"""),44561.1790837152)</f>
        <v>44561.17908</v>
      </c>
      <c r="D4254" s="15">
        <f>IFERROR(__xludf.DUMMYFUNCTION("""COMPUTED_VALUE"""),1.008)</f>
        <v>1.008</v>
      </c>
      <c r="E4254" s="16">
        <f>IFERROR(__xludf.DUMMYFUNCTION("""COMPUTED_VALUE"""),62.0)</f>
        <v>62</v>
      </c>
      <c r="F4254" s="19" t="str">
        <f>IFERROR(__xludf.DUMMYFUNCTION("""COMPUTED_VALUE"""),"BLUE")</f>
        <v>BLUE</v>
      </c>
      <c r="G4254" s="20" t="str">
        <f>IFERROR(__xludf.DUMMYFUNCTION("""COMPUTED_VALUE"""),"Uncle Sams Cider (11/12/2021) (Blue)")</f>
        <v>Uncle Sams Cider (11/12/2021) (Blue)</v>
      </c>
      <c r="H4254" s="19"/>
    </row>
    <row r="4255">
      <c r="A4255" s="9"/>
      <c r="B4255" s="15"/>
      <c r="C4255" s="9">
        <f>IFERROR(__xludf.DUMMYFUNCTION("""COMPUTED_VALUE"""),44561.1686175)</f>
        <v>44561.16862</v>
      </c>
      <c r="D4255" s="15">
        <f>IFERROR(__xludf.DUMMYFUNCTION("""COMPUTED_VALUE"""),1.007)</f>
        <v>1.007</v>
      </c>
      <c r="E4255" s="16">
        <f>IFERROR(__xludf.DUMMYFUNCTION("""COMPUTED_VALUE"""),62.0)</f>
        <v>62</v>
      </c>
      <c r="F4255" s="19" t="str">
        <f>IFERROR(__xludf.DUMMYFUNCTION("""COMPUTED_VALUE"""),"BLUE")</f>
        <v>BLUE</v>
      </c>
      <c r="G4255" s="20" t="str">
        <f>IFERROR(__xludf.DUMMYFUNCTION("""COMPUTED_VALUE"""),"Uncle Sams Cider (11/12/2021) (Blue)")</f>
        <v>Uncle Sams Cider (11/12/2021) (Blue)</v>
      </c>
      <c r="H4255" s="19"/>
    </row>
    <row r="4256">
      <c r="A4256" s="9"/>
      <c r="B4256" s="15"/>
      <c r="C4256" s="9">
        <f>IFERROR(__xludf.DUMMYFUNCTION("""COMPUTED_VALUE"""),44561.1581958449)</f>
        <v>44561.1582</v>
      </c>
      <c r="D4256" s="15">
        <f>IFERROR(__xludf.DUMMYFUNCTION("""COMPUTED_VALUE"""),1.007)</f>
        <v>1.007</v>
      </c>
      <c r="E4256" s="16">
        <f>IFERROR(__xludf.DUMMYFUNCTION("""COMPUTED_VALUE"""),62.0)</f>
        <v>62</v>
      </c>
      <c r="F4256" s="19" t="str">
        <f>IFERROR(__xludf.DUMMYFUNCTION("""COMPUTED_VALUE"""),"BLUE")</f>
        <v>BLUE</v>
      </c>
      <c r="G4256" s="20" t="str">
        <f>IFERROR(__xludf.DUMMYFUNCTION("""COMPUTED_VALUE"""),"Uncle Sams Cider (11/12/2021) (Blue)")</f>
        <v>Uncle Sams Cider (11/12/2021) (Blue)</v>
      </c>
      <c r="H4256" s="19"/>
    </row>
    <row r="4257">
      <c r="A4257" s="9"/>
      <c r="B4257" s="15"/>
      <c r="C4257" s="9">
        <f>IFERROR(__xludf.DUMMYFUNCTION("""COMPUTED_VALUE"""),44561.147773449)</f>
        <v>44561.14777</v>
      </c>
      <c r="D4257" s="15">
        <f>IFERROR(__xludf.DUMMYFUNCTION("""COMPUTED_VALUE"""),1.008)</f>
        <v>1.008</v>
      </c>
      <c r="E4257" s="16">
        <f>IFERROR(__xludf.DUMMYFUNCTION("""COMPUTED_VALUE"""),62.0)</f>
        <v>62</v>
      </c>
      <c r="F4257" s="19" t="str">
        <f>IFERROR(__xludf.DUMMYFUNCTION("""COMPUTED_VALUE"""),"BLUE")</f>
        <v>BLUE</v>
      </c>
      <c r="G4257" s="20" t="str">
        <f>IFERROR(__xludf.DUMMYFUNCTION("""COMPUTED_VALUE"""),"Uncle Sams Cider (11/12/2021) (Blue)")</f>
        <v>Uncle Sams Cider (11/12/2021) (Blue)</v>
      </c>
      <c r="H4257" s="19"/>
    </row>
    <row r="4258">
      <c r="A4258" s="9"/>
      <c r="B4258" s="15"/>
      <c r="C4258" s="9">
        <f>IFERROR(__xludf.DUMMYFUNCTION("""COMPUTED_VALUE"""),44561.1373522916)</f>
        <v>44561.13735</v>
      </c>
      <c r="D4258" s="15">
        <f>IFERROR(__xludf.DUMMYFUNCTION("""COMPUTED_VALUE"""),1.008)</f>
        <v>1.008</v>
      </c>
      <c r="E4258" s="16">
        <f>IFERROR(__xludf.DUMMYFUNCTION("""COMPUTED_VALUE"""),63.0)</f>
        <v>63</v>
      </c>
      <c r="F4258" s="19" t="str">
        <f>IFERROR(__xludf.DUMMYFUNCTION("""COMPUTED_VALUE"""),"BLUE")</f>
        <v>BLUE</v>
      </c>
      <c r="G4258" s="20" t="str">
        <f>IFERROR(__xludf.DUMMYFUNCTION("""COMPUTED_VALUE"""),"Uncle Sams Cider (11/12/2021) (Blue)")</f>
        <v>Uncle Sams Cider (11/12/2021) (Blue)</v>
      </c>
      <c r="H4258" s="19"/>
    </row>
    <row r="4259">
      <c r="A4259" s="9"/>
      <c r="B4259" s="15"/>
      <c r="C4259" s="9">
        <f>IFERROR(__xludf.DUMMYFUNCTION("""COMPUTED_VALUE"""),44561.1269313888)</f>
        <v>44561.12693</v>
      </c>
      <c r="D4259" s="15">
        <f>IFERROR(__xludf.DUMMYFUNCTION("""COMPUTED_VALUE"""),1.007)</f>
        <v>1.007</v>
      </c>
      <c r="E4259" s="16">
        <f>IFERROR(__xludf.DUMMYFUNCTION("""COMPUTED_VALUE"""),63.0)</f>
        <v>63</v>
      </c>
      <c r="F4259" s="19" t="str">
        <f>IFERROR(__xludf.DUMMYFUNCTION("""COMPUTED_VALUE"""),"BLUE")</f>
        <v>BLUE</v>
      </c>
      <c r="G4259" s="20" t="str">
        <f>IFERROR(__xludf.DUMMYFUNCTION("""COMPUTED_VALUE"""),"Uncle Sams Cider (11/12/2021) (Blue)")</f>
        <v>Uncle Sams Cider (11/12/2021) (Blue)</v>
      </c>
      <c r="H4259" s="19"/>
    </row>
    <row r="4260">
      <c r="A4260" s="9"/>
      <c r="B4260" s="15"/>
      <c r="C4260" s="9">
        <f>IFERROR(__xludf.DUMMYFUNCTION("""COMPUTED_VALUE"""),44561.1164750231)</f>
        <v>44561.11648</v>
      </c>
      <c r="D4260" s="15">
        <f>IFERROR(__xludf.DUMMYFUNCTION("""COMPUTED_VALUE"""),1.008)</f>
        <v>1.008</v>
      </c>
      <c r="E4260" s="16">
        <f>IFERROR(__xludf.DUMMYFUNCTION("""COMPUTED_VALUE"""),62.0)</f>
        <v>62</v>
      </c>
      <c r="F4260" s="19" t="str">
        <f>IFERROR(__xludf.DUMMYFUNCTION("""COMPUTED_VALUE"""),"BLUE")</f>
        <v>BLUE</v>
      </c>
      <c r="G4260" s="20" t="str">
        <f>IFERROR(__xludf.DUMMYFUNCTION("""COMPUTED_VALUE"""),"Uncle Sams Cider (11/12/2021) (Blue)")</f>
        <v>Uncle Sams Cider (11/12/2021) (Blue)</v>
      </c>
      <c r="H4260" s="19"/>
    </row>
    <row r="4261">
      <c r="A4261" s="9"/>
      <c r="B4261" s="15"/>
      <c r="C4261" s="9">
        <f>IFERROR(__xludf.DUMMYFUNCTION("""COMPUTED_VALUE"""),44561.1060433217)</f>
        <v>44561.10604</v>
      </c>
      <c r="D4261" s="15">
        <f>IFERROR(__xludf.DUMMYFUNCTION("""COMPUTED_VALUE"""),1.008)</f>
        <v>1.008</v>
      </c>
      <c r="E4261" s="16">
        <f>IFERROR(__xludf.DUMMYFUNCTION("""COMPUTED_VALUE"""),62.0)</f>
        <v>62</v>
      </c>
      <c r="F4261" s="19" t="str">
        <f>IFERROR(__xludf.DUMMYFUNCTION("""COMPUTED_VALUE"""),"BLUE")</f>
        <v>BLUE</v>
      </c>
      <c r="G4261" s="20" t="str">
        <f>IFERROR(__xludf.DUMMYFUNCTION("""COMPUTED_VALUE"""),"Uncle Sams Cider (11/12/2021) (Blue)")</f>
        <v>Uncle Sams Cider (11/12/2021) (Blue)</v>
      </c>
      <c r="H4261" s="19"/>
    </row>
    <row r="4262">
      <c r="A4262" s="9"/>
      <c r="B4262" s="15"/>
      <c r="C4262" s="9">
        <f>IFERROR(__xludf.DUMMYFUNCTION("""COMPUTED_VALUE"""),44561.0956226504)</f>
        <v>44561.09562</v>
      </c>
      <c r="D4262" s="15">
        <f>IFERROR(__xludf.DUMMYFUNCTION("""COMPUTED_VALUE"""),1.008)</f>
        <v>1.008</v>
      </c>
      <c r="E4262" s="16">
        <f>IFERROR(__xludf.DUMMYFUNCTION("""COMPUTED_VALUE"""),63.0)</f>
        <v>63</v>
      </c>
      <c r="F4262" s="19" t="str">
        <f>IFERROR(__xludf.DUMMYFUNCTION("""COMPUTED_VALUE"""),"BLUE")</f>
        <v>BLUE</v>
      </c>
      <c r="G4262" s="20" t="str">
        <f>IFERROR(__xludf.DUMMYFUNCTION("""COMPUTED_VALUE"""),"Uncle Sams Cider (11/12/2021) (Blue)")</f>
        <v>Uncle Sams Cider (11/12/2021) (Blue)</v>
      </c>
      <c r="H4262" s="19"/>
    </row>
    <row r="4263">
      <c r="A4263" s="9"/>
      <c r="B4263" s="15"/>
      <c r="C4263" s="9">
        <f>IFERROR(__xludf.DUMMYFUNCTION("""COMPUTED_VALUE"""),44561.0852028009)</f>
        <v>44561.0852</v>
      </c>
      <c r="D4263" s="15">
        <f>IFERROR(__xludf.DUMMYFUNCTION("""COMPUTED_VALUE"""),1.008)</f>
        <v>1.008</v>
      </c>
      <c r="E4263" s="16">
        <f>IFERROR(__xludf.DUMMYFUNCTION("""COMPUTED_VALUE"""),63.0)</f>
        <v>63</v>
      </c>
      <c r="F4263" s="19" t="str">
        <f>IFERROR(__xludf.DUMMYFUNCTION("""COMPUTED_VALUE"""),"BLUE")</f>
        <v>BLUE</v>
      </c>
      <c r="G4263" s="20" t="str">
        <f>IFERROR(__xludf.DUMMYFUNCTION("""COMPUTED_VALUE"""),"Uncle Sams Cider (11/12/2021) (Blue)")</f>
        <v>Uncle Sams Cider (11/12/2021) (Blue)</v>
      </c>
      <c r="H4263" s="19"/>
    </row>
    <row r="4264">
      <c r="A4264" s="9"/>
      <c r="B4264" s="15"/>
      <c r="C4264" s="9">
        <f>IFERROR(__xludf.DUMMYFUNCTION("""COMPUTED_VALUE"""),44561.0747821527)</f>
        <v>44561.07478</v>
      </c>
      <c r="D4264" s="15">
        <f>IFERROR(__xludf.DUMMYFUNCTION("""COMPUTED_VALUE"""),1.008)</f>
        <v>1.008</v>
      </c>
      <c r="E4264" s="16">
        <f>IFERROR(__xludf.DUMMYFUNCTION("""COMPUTED_VALUE"""),63.0)</f>
        <v>63</v>
      </c>
      <c r="F4264" s="19" t="str">
        <f>IFERROR(__xludf.DUMMYFUNCTION("""COMPUTED_VALUE"""),"BLUE")</f>
        <v>BLUE</v>
      </c>
      <c r="G4264" s="20" t="str">
        <f>IFERROR(__xludf.DUMMYFUNCTION("""COMPUTED_VALUE"""),"Uncle Sams Cider (11/12/2021) (Blue)")</f>
        <v>Uncle Sams Cider (11/12/2021) (Blue)</v>
      </c>
      <c r="H4264" s="19"/>
    </row>
    <row r="4265">
      <c r="A4265" s="9"/>
      <c r="B4265" s="15"/>
      <c r="C4265" s="9">
        <f>IFERROR(__xludf.DUMMYFUNCTION("""COMPUTED_VALUE"""),44561.0643609606)</f>
        <v>44561.06436</v>
      </c>
      <c r="D4265" s="15">
        <f>IFERROR(__xludf.DUMMYFUNCTION("""COMPUTED_VALUE"""),1.007)</f>
        <v>1.007</v>
      </c>
      <c r="E4265" s="16">
        <f>IFERROR(__xludf.DUMMYFUNCTION("""COMPUTED_VALUE"""),63.0)</f>
        <v>63</v>
      </c>
      <c r="F4265" s="19" t="str">
        <f>IFERROR(__xludf.DUMMYFUNCTION("""COMPUTED_VALUE"""),"BLUE")</f>
        <v>BLUE</v>
      </c>
      <c r="G4265" s="20" t="str">
        <f>IFERROR(__xludf.DUMMYFUNCTION("""COMPUTED_VALUE"""),"Uncle Sams Cider (11/12/2021) (Blue)")</f>
        <v>Uncle Sams Cider (11/12/2021) (Blue)</v>
      </c>
      <c r="H4265" s="19"/>
    </row>
    <row r="4266">
      <c r="A4266" s="9"/>
      <c r="B4266" s="15"/>
      <c r="C4266" s="9">
        <f>IFERROR(__xludf.DUMMYFUNCTION("""COMPUTED_VALUE"""),44561.0539402546)</f>
        <v>44561.05394</v>
      </c>
      <c r="D4266" s="15">
        <f>IFERROR(__xludf.DUMMYFUNCTION("""COMPUTED_VALUE"""),1.008)</f>
        <v>1.008</v>
      </c>
      <c r="E4266" s="16">
        <f>IFERROR(__xludf.DUMMYFUNCTION("""COMPUTED_VALUE"""),62.0)</f>
        <v>62</v>
      </c>
      <c r="F4266" s="19" t="str">
        <f>IFERROR(__xludf.DUMMYFUNCTION("""COMPUTED_VALUE"""),"BLUE")</f>
        <v>BLUE</v>
      </c>
      <c r="G4266" s="20" t="str">
        <f>IFERROR(__xludf.DUMMYFUNCTION("""COMPUTED_VALUE"""),"Uncle Sams Cider (11/12/2021) (Blue)")</f>
        <v>Uncle Sams Cider (11/12/2021) (Blue)</v>
      </c>
      <c r="H4266" s="19"/>
    </row>
    <row r="4267">
      <c r="A4267" s="9"/>
      <c r="B4267" s="15"/>
      <c r="C4267" s="9">
        <f>IFERROR(__xludf.DUMMYFUNCTION("""COMPUTED_VALUE"""),44561.0435178587)</f>
        <v>44561.04352</v>
      </c>
      <c r="D4267" s="15">
        <f>IFERROR(__xludf.DUMMYFUNCTION("""COMPUTED_VALUE"""),1.008)</f>
        <v>1.008</v>
      </c>
      <c r="E4267" s="16">
        <f>IFERROR(__xludf.DUMMYFUNCTION("""COMPUTED_VALUE"""),63.0)</f>
        <v>63</v>
      </c>
      <c r="F4267" s="19" t="str">
        <f>IFERROR(__xludf.DUMMYFUNCTION("""COMPUTED_VALUE"""),"BLUE")</f>
        <v>BLUE</v>
      </c>
      <c r="G4267" s="20" t="str">
        <f>IFERROR(__xludf.DUMMYFUNCTION("""COMPUTED_VALUE"""),"Uncle Sams Cider (11/12/2021) (Blue)")</f>
        <v>Uncle Sams Cider (11/12/2021) (Blue)</v>
      </c>
      <c r="H4267" s="19"/>
    </row>
    <row r="4268">
      <c r="A4268" s="9"/>
      <c r="B4268" s="15"/>
      <c r="C4268" s="9">
        <f>IFERROR(__xludf.DUMMYFUNCTION("""COMPUTED_VALUE"""),44561.0330961805)</f>
        <v>44561.0331</v>
      </c>
      <c r="D4268" s="15">
        <f>IFERROR(__xludf.DUMMYFUNCTION("""COMPUTED_VALUE"""),1.008)</f>
        <v>1.008</v>
      </c>
      <c r="E4268" s="16">
        <f>IFERROR(__xludf.DUMMYFUNCTION("""COMPUTED_VALUE"""),63.0)</f>
        <v>63</v>
      </c>
      <c r="F4268" s="19" t="str">
        <f>IFERROR(__xludf.DUMMYFUNCTION("""COMPUTED_VALUE"""),"BLUE")</f>
        <v>BLUE</v>
      </c>
      <c r="G4268" s="20" t="str">
        <f>IFERROR(__xludf.DUMMYFUNCTION("""COMPUTED_VALUE"""),"Uncle Sams Cider (11/12/2021) (Blue)")</f>
        <v>Uncle Sams Cider (11/12/2021) (Blue)</v>
      </c>
      <c r="H4268" s="19"/>
    </row>
    <row r="4269">
      <c r="A4269" s="9"/>
      <c r="B4269" s="15"/>
      <c r="C4269" s="9">
        <f>IFERROR(__xludf.DUMMYFUNCTION("""COMPUTED_VALUE"""),44561.0226765509)</f>
        <v>44561.02268</v>
      </c>
      <c r="D4269" s="15">
        <f>IFERROR(__xludf.DUMMYFUNCTION("""COMPUTED_VALUE"""),1.008)</f>
        <v>1.008</v>
      </c>
      <c r="E4269" s="16">
        <f>IFERROR(__xludf.DUMMYFUNCTION("""COMPUTED_VALUE"""),62.0)</f>
        <v>62</v>
      </c>
      <c r="F4269" s="19" t="str">
        <f>IFERROR(__xludf.DUMMYFUNCTION("""COMPUTED_VALUE"""),"BLUE")</f>
        <v>BLUE</v>
      </c>
      <c r="G4269" s="20" t="str">
        <f>IFERROR(__xludf.DUMMYFUNCTION("""COMPUTED_VALUE"""),"Uncle Sams Cider (11/12/2021) (Blue)")</f>
        <v>Uncle Sams Cider (11/12/2021) (Blue)</v>
      </c>
      <c r="H4269" s="19"/>
    </row>
    <row r="4270">
      <c r="A4270" s="9"/>
      <c r="B4270" s="15"/>
      <c r="C4270" s="9">
        <f>IFERROR(__xludf.DUMMYFUNCTION("""COMPUTED_VALUE"""),44561.0122549884)</f>
        <v>44561.01225</v>
      </c>
      <c r="D4270" s="15">
        <f>IFERROR(__xludf.DUMMYFUNCTION("""COMPUTED_VALUE"""),1.008)</f>
        <v>1.008</v>
      </c>
      <c r="E4270" s="16">
        <f>IFERROR(__xludf.DUMMYFUNCTION("""COMPUTED_VALUE"""),62.0)</f>
        <v>62</v>
      </c>
      <c r="F4270" s="19" t="str">
        <f>IFERROR(__xludf.DUMMYFUNCTION("""COMPUTED_VALUE"""),"BLUE")</f>
        <v>BLUE</v>
      </c>
      <c r="G4270" s="20" t="str">
        <f>IFERROR(__xludf.DUMMYFUNCTION("""COMPUTED_VALUE"""),"Uncle Sams Cider (11/12/2021) (Blue)")</f>
        <v>Uncle Sams Cider (11/12/2021) (Blue)</v>
      </c>
      <c r="H4270" s="19"/>
    </row>
    <row r="4271">
      <c r="A4271" s="9"/>
      <c r="B4271" s="15"/>
      <c r="C4271" s="9">
        <f>IFERROR(__xludf.DUMMYFUNCTION("""COMPUTED_VALUE"""),44561.0018329282)</f>
        <v>44561.00183</v>
      </c>
      <c r="D4271" s="15">
        <f>IFERROR(__xludf.DUMMYFUNCTION("""COMPUTED_VALUE"""),1.008)</f>
        <v>1.008</v>
      </c>
      <c r="E4271" s="16">
        <f>IFERROR(__xludf.DUMMYFUNCTION("""COMPUTED_VALUE"""),62.0)</f>
        <v>62</v>
      </c>
      <c r="F4271" s="19" t="str">
        <f>IFERROR(__xludf.DUMMYFUNCTION("""COMPUTED_VALUE"""),"BLUE")</f>
        <v>BLUE</v>
      </c>
      <c r="G4271" s="20" t="str">
        <f>IFERROR(__xludf.DUMMYFUNCTION("""COMPUTED_VALUE"""),"Uncle Sams Cider (11/12/2021) (Blue)")</f>
        <v>Uncle Sams Cider (11/12/2021) (Blue)</v>
      </c>
      <c r="H4271" s="19"/>
    </row>
    <row r="4272">
      <c r="A4272" s="9"/>
      <c r="B4272" s="15"/>
      <c r="C4272" s="9">
        <f>IFERROR(__xludf.DUMMYFUNCTION("""COMPUTED_VALUE"""),44560.9914148958)</f>
        <v>44560.99141</v>
      </c>
      <c r="D4272" s="15">
        <f>IFERROR(__xludf.DUMMYFUNCTION("""COMPUTED_VALUE"""),1.007)</f>
        <v>1.007</v>
      </c>
      <c r="E4272" s="16">
        <f>IFERROR(__xludf.DUMMYFUNCTION("""COMPUTED_VALUE"""),62.0)</f>
        <v>62</v>
      </c>
      <c r="F4272" s="19" t="str">
        <f>IFERROR(__xludf.DUMMYFUNCTION("""COMPUTED_VALUE"""),"BLUE")</f>
        <v>BLUE</v>
      </c>
      <c r="G4272" s="20" t="str">
        <f>IFERROR(__xludf.DUMMYFUNCTION("""COMPUTED_VALUE"""),"Uncle Sams Cider (11/12/2021) (Blue)")</f>
        <v>Uncle Sams Cider (11/12/2021) (Blue)</v>
      </c>
      <c r="H4272" s="19"/>
    </row>
    <row r="4273">
      <c r="A4273" s="9"/>
      <c r="B4273" s="15"/>
      <c r="C4273" s="9">
        <f>IFERROR(__xludf.DUMMYFUNCTION("""COMPUTED_VALUE"""),44560.980994537)</f>
        <v>44560.98099</v>
      </c>
      <c r="D4273" s="15">
        <f>IFERROR(__xludf.DUMMYFUNCTION("""COMPUTED_VALUE"""),1.007)</f>
        <v>1.007</v>
      </c>
      <c r="E4273" s="16">
        <f>IFERROR(__xludf.DUMMYFUNCTION("""COMPUTED_VALUE"""),63.0)</f>
        <v>63</v>
      </c>
      <c r="F4273" s="19" t="str">
        <f>IFERROR(__xludf.DUMMYFUNCTION("""COMPUTED_VALUE"""),"BLUE")</f>
        <v>BLUE</v>
      </c>
      <c r="G4273" s="20" t="str">
        <f>IFERROR(__xludf.DUMMYFUNCTION("""COMPUTED_VALUE"""),"Uncle Sams Cider (11/12/2021) (Blue)")</f>
        <v>Uncle Sams Cider (11/12/2021) (Blue)</v>
      </c>
      <c r="H4273" s="19"/>
    </row>
    <row r="4274">
      <c r="A4274" s="9"/>
      <c r="B4274" s="15"/>
      <c r="C4274" s="9">
        <f>IFERROR(__xludf.DUMMYFUNCTION("""COMPUTED_VALUE"""),44560.9705722685)</f>
        <v>44560.97057</v>
      </c>
      <c r="D4274" s="15">
        <f>IFERROR(__xludf.DUMMYFUNCTION("""COMPUTED_VALUE"""),1.008)</f>
        <v>1.008</v>
      </c>
      <c r="E4274" s="16">
        <f>IFERROR(__xludf.DUMMYFUNCTION("""COMPUTED_VALUE"""),63.0)</f>
        <v>63</v>
      </c>
      <c r="F4274" s="19" t="str">
        <f>IFERROR(__xludf.DUMMYFUNCTION("""COMPUTED_VALUE"""),"BLUE")</f>
        <v>BLUE</v>
      </c>
      <c r="G4274" s="20" t="str">
        <f>IFERROR(__xludf.DUMMYFUNCTION("""COMPUTED_VALUE"""),"Uncle Sams Cider (11/12/2021) (Blue)")</f>
        <v>Uncle Sams Cider (11/12/2021) (Blue)</v>
      </c>
      <c r="H4274" s="19"/>
    </row>
    <row r="4275">
      <c r="A4275" s="9"/>
      <c r="B4275" s="15"/>
      <c r="C4275" s="9">
        <f>IFERROR(__xludf.DUMMYFUNCTION("""COMPUTED_VALUE"""),44560.960151412)</f>
        <v>44560.96015</v>
      </c>
      <c r="D4275" s="15">
        <f>IFERROR(__xludf.DUMMYFUNCTION("""COMPUTED_VALUE"""),1.008)</f>
        <v>1.008</v>
      </c>
      <c r="E4275" s="16">
        <f>IFERROR(__xludf.DUMMYFUNCTION("""COMPUTED_VALUE"""),62.0)</f>
        <v>62</v>
      </c>
      <c r="F4275" s="19" t="str">
        <f>IFERROR(__xludf.DUMMYFUNCTION("""COMPUTED_VALUE"""),"BLUE")</f>
        <v>BLUE</v>
      </c>
      <c r="G4275" s="20" t="str">
        <f>IFERROR(__xludf.DUMMYFUNCTION("""COMPUTED_VALUE"""),"Uncle Sams Cider (11/12/2021) (Blue)")</f>
        <v>Uncle Sams Cider (11/12/2021) (Blue)</v>
      </c>
      <c r="H4275" s="19"/>
    </row>
    <row r="4276">
      <c r="A4276" s="9"/>
      <c r="B4276" s="15"/>
      <c r="C4276" s="9">
        <f>IFERROR(__xludf.DUMMYFUNCTION("""COMPUTED_VALUE"""),44560.9497299536)</f>
        <v>44560.94973</v>
      </c>
      <c r="D4276" s="15">
        <f>IFERROR(__xludf.DUMMYFUNCTION("""COMPUTED_VALUE"""),1.008)</f>
        <v>1.008</v>
      </c>
      <c r="E4276" s="16">
        <f>IFERROR(__xludf.DUMMYFUNCTION("""COMPUTED_VALUE"""),62.0)</f>
        <v>62</v>
      </c>
      <c r="F4276" s="19" t="str">
        <f>IFERROR(__xludf.DUMMYFUNCTION("""COMPUTED_VALUE"""),"BLUE")</f>
        <v>BLUE</v>
      </c>
      <c r="G4276" s="20" t="str">
        <f>IFERROR(__xludf.DUMMYFUNCTION("""COMPUTED_VALUE"""),"Uncle Sams Cider (11/12/2021) (Blue)")</f>
        <v>Uncle Sams Cider (11/12/2021) (Blue)</v>
      </c>
      <c r="H4276" s="19"/>
    </row>
    <row r="4277">
      <c r="A4277" s="9"/>
      <c r="B4277" s="15"/>
      <c r="C4277" s="9">
        <f>IFERROR(__xludf.DUMMYFUNCTION("""COMPUTED_VALUE"""),44560.9392854629)</f>
        <v>44560.93929</v>
      </c>
      <c r="D4277" s="15">
        <f>IFERROR(__xludf.DUMMYFUNCTION("""COMPUTED_VALUE"""),1.008)</f>
        <v>1.008</v>
      </c>
      <c r="E4277" s="16">
        <f>IFERROR(__xludf.DUMMYFUNCTION("""COMPUTED_VALUE"""),63.0)</f>
        <v>63</v>
      </c>
      <c r="F4277" s="19" t="str">
        <f>IFERROR(__xludf.DUMMYFUNCTION("""COMPUTED_VALUE"""),"BLUE")</f>
        <v>BLUE</v>
      </c>
      <c r="G4277" s="20" t="str">
        <f>IFERROR(__xludf.DUMMYFUNCTION("""COMPUTED_VALUE"""),"Uncle Sams Cider (11/12/2021) (Blue)")</f>
        <v>Uncle Sams Cider (11/12/2021) (Blue)</v>
      </c>
      <c r="H4277" s="19"/>
    </row>
    <row r="4278">
      <c r="A4278" s="9"/>
      <c r="B4278" s="15"/>
      <c r="C4278" s="9">
        <f>IFERROR(__xludf.DUMMYFUNCTION("""COMPUTED_VALUE"""),44560.9288654166)</f>
        <v>44560.92887</v>
      </c>
      <c r="D4278" s="15">
        <f>IFERROR(__xludf.DUMMYFUNCTION("""COMPUTED_VALUE"""),1.008)</f>
        <v>1.008</v>
      </c>
      <c r="E4278" s="16">
        <f>IFERROR(__xludf.DUMMYFUNCTION("""COMPUTED_VALUE"""),62.0)</f>
        <v>62</v>
      </c>
      <c r="F4278" s="19" t="str">
        <f>IFERROR(__xludf.DUMMYFUNCTION("""COMPUTED_VALUE"""),"BLUE")</f>
        <v>BLUE</v>
      </c>
      <c r="G4278" s="20" t="str">
        <f>IFERROR(__xludf.DUMMYFUNCTION("""COMPUTED_VALUE"""),"Uncle Sams Cider (11/12/2021) (Blue)")</f>
        <v>Uncle Sams Cider (11/12/2021) (Blue)</v>
      </c>
      <c r="H4278" s="19"/>
    </row>
    <row r="4279">
      <c r="A4279" s="9"/>
      <c r="B4279" s="15"/>
      <c r="C4279" s="9">
        <f>IFERROR(__xludf.DUMMYFUNCTION("""COMPUTED_VALUE"""),44560.9184321759)</f>
        <v>44560.91843</v>
      </c>
      <c r="D4279" s="15">
        <f>IFERROR(__xludf.DUMMYFUNCTION("""COMPUTED_VALUE"""),1.008)</f>
        <v>1.008</v>
      </c>
      <c r="E4279" s="16">
        <f>IFERROR(__xludf.DUMMYFUNCTION("""COMPUTED_VALUE"""),62.0)</f>
        <v>62</v>
      </c>
      <c r="F4279" s="19" t="str">
        <f>IFERROR(__xludf.DUMMYFUNCTION("""COMPUTED_VALUE"""),"BLUE")</f>
        <v>BLUE</v>
      </c>
      <c r="G4279" s="20" t="str">
        <f>IFERROR(__xludf.DUMMYFUNCTION("""COMPUTED_VALUE"""),"Uncle Sams Cider (11/12/2021) (Blue)")</f>
        <v>Uncle Sams Cider (11/12/2021) (Blue)</v>
      </c>
      <c r="H4279" s="19"/>
    </row>
    <row r="4280">
      <c r="A4280" s="9"/>
      <c r="B4280" s="15"/>
      <c r="C4280" s="9">
        <f>IFERROR(__xludf.DUMMYFUNCTION("""COMPUTED_VALUE"""),44560.9080111458)</f>
        <v>44560.90801</v>
      </c>
      <c r="D4280" s="15">
        <f>IFERROR(__xludf.DUMMYFUNCTION("""COMPUTED_VALUE"""),1.008)</f>
        <v>1.008</v>
      </c>
      <c r="E4280" s="16">
        <f>IFERROR(__xludf.DUMMYFUNCTION("""COMPUTED_VALUE"""),62.0)</f>
        <v>62</v>
      </c>
      <c r="F4280" s="19" t="str">
        <f>IFERROR(__xludf.DUMMYFUNCTION("""COMPUTED_VALUE"""),"BLUE")</f>
        <v>BLUE</v>
      </c>
      <c r="G4280" s="20" t="str">
        <f>IFERROR(__xludf.DUMMYFUNCTION("""COMPUTED_VALUE"""),"Uncle Sams Cider (11/12/2021) (Blue)")</f>
        <v>Uncle Sams Cider (11/12/2021) (Blue)</v>
      </c>
      <c r="H4280" s="19"/>
    </row>
    <row r="4281">
      <c r="A4281" s="9"/>
      <c r="B4281" s="15"/>
      <c r="C4281" s="9">
        <f>IFERROR(__xludf.DUMMYFUNCTION("""COMPUTED_VALUE"""),44560.8975887731)</f>
        <v>44560.89759</v>
      </c>
      <c r="D4281" s="15">
        <f>IFERROR(__xludf.DUMMYFUNCTION("""COMPUTED_VALUE"""),1.008)</f>
        <v>1.008</v>
      </c>
      <c r="E4281" s="16">
        <f>IFERROR(__xludf.DUMMYFUNCTION("""COMPUTED_VALUE"""),62.0)</f>
        <v>62</v>
      </c>
      <c r="F4281" s="19" t="str">
        <f>IFERROR(__xludf.DUMMYFUNCTION("""COMPUTED_VALUE"""),"BLUE")</f>
        <v>BLUE</v>
      </c>
      <c r="G4281" s="20" t="str">
        <f>IFERROR(__xludf.DUMMYFUNCTION("""COMPUTED_VALUE"""),"Uncle Sams Cider (11/12/2021) (Blue)")</f>
        <v>Uncle Sams Cider (11/12/2021) (Blue)</v>
      </c>
      <c r="H4281" s="19"/>
    </row>
    <row r="4282">
      <c r="A4282" s="9"/>
      <c r="B4282" s="15"/>
      <c r="C4282" s="9">
        <f>IFERROR(__xludf.DUMMYFUNCTION("""COMPUTED_VALUE"""),44560.887167824)</f>
        <v>44560.88717</v>
      </c>
      <c r="D4282" s="15">
        <f>IFERROR(__xludf.DUMMYFUNCTION("""COMPUTED_VALUE"""),1.008)</f>
        <v>1.008</v>
      </c>
      <c r="E4282" s="16">
        <f>IFERROR(__xludf.DUMMYFUNCTION("""COMPUTED_VALUE"""),62.0)</f>
        <v>62</v>
      </c>
      <c r="F4282" s="19" t="str">
        <f>IFERROR(__xludf.DUMMYFUNCTION("""COMPUTED_VALUE"""),"BLUE")</f>
        <v>BLUE</v>
      </c>
      <c r="G4282" s="20" t="str">
        <f>IFERROR(__xludf.DUMMYFUNCTION("""COMPUTED_VALUE"""),"Uncle Sams Cider (11/12/2021) (Blue)")</f>
        <v>Uncle Sams Cider (11/12/2021) (Blue)</v>
      </c>
      <c r="H4282" s="19"/>
    </row>
    <row r="4283">
      <c r="A4283" s="9"/>
      <c r="B4283" s="15"/>
      <c r="C4283" s="9">
        <f>IFERROR(__xludf.DUMMYFUNCTION("""COMPUTED_VALUE"""),44560.8767342939)</f>
        <v>44560.87673</v>
      </c>
      <c r="D4283" s="15">
        <f>IFERROR(__xludf.DUMMYFUNCTION("""COMPUTED_VALUE"""),1.008)</f>
        <v>1.008</v>
      </c>
      <c r="E4283" s="16">
        <f>IFERROR(__xludf.DUMMYFUNCTION("""COMPUTED_VALUE"""),63.0)</f>
        <v>63</v>
      </c>
      <c r="F4283" s="19" t="str">
        <f>IFERROR(__xludf.DUMMYFUNCTION("""COMPUTED_VALUE"""),"BLUE")</f>
        <v>BLUE</v>
      </c>
      <c r="G4283" s="20" t="str">
        <f>IFERROR(__xludf.DUMMYFUNCTION("""COMPUTED_VALUE"""),"Uncle Sams Cider (11/12/2021) (Blue)")</f>
        <v>Uncle Sams Cider (11/12/2021) (Blue)</v>
      </c>
      <c r="H4283" s="19"/>
    </row>
    <row r="4284">
      <c r="A4284" s="9"/>
      <c r="B4284" s="15"/>
      <c r="C4284" s="9">
        <f>IFERROR(__xludf.DUMMYFUNCTION("""COMPUTED_VALUE"""),44560.8663135416)</f>
        <v>44560.86631</v>
      </c>
      <c r="D4284" s="15">
        <f>IFERROR(__xludf.DUMMYFUNCTION("""COMPUTED_VALUE"""),1.008)</f>
        <v>1.008</v>
      </c>
      <c r="E4284" s="16">
        <f>IFERROR(__xludf.DUMMYFUNCTION("""COMPUTED_VALUE"""),62.0)</f>
        <v>62</v>
      </c>
      <c r="F4284" s="19" t="str">
        <f>IFERROR(__xludf.DUMMYFUNCTION("""COMPUTED_VALUE"""),"BLUE")</f>
        <v>BLUE</v>
      </c>
      <c r="G4284" s="20" t="str">
        <f>IFERROR(__xludf.DUMMYFUNCTION("""COMPUTED_VALUE"""),"Uncle Sams Cider (11/12/2021) (Blue)")</f>
        <v>Uncle Sams Cider (11/12/2021) (Blue)</v>
      </c>
      <c r="H4284" s="19"/>
    </row>
    <row r="4285">
      <c r="A4285" s="9"/>
      <c r="B4285" s="15"/>
      <c r="C4285" s="9">
        <f>IFERROR(__xludf.DUMMYFUNCTION("""COMPUTED_VALUE"""),44560.8558930671)</f>
        <v>44560.85589</v>
      </c>
      <c r="D4285" s="15">
        <f>IFERROR(__xludf.DUMMYFUNCTION("""COMPUTED_VALUE"""),1.007)</f>
        <v>1.007</v>
      </c>
      <c r="E4285" s="16">
        <f>IFERROR(__xludf.DUMMYFUNCTION("""COMPUTED_VALUE"""),62.0)</f>
        <v>62</v>
      </c>
      <c r="F4285" s="19" t="str">
        <f>IFERROR(__xludf.DUMMYFUNCTION("""COMPUTED_VALUE"""),"BLUE")</f>
        <v>BLUE</v>
      </c>
      <c r="G4285" s="20" t="str">
        <f>IFERROR(__xludf.DUMMYFUNCTION("""COMPUTED_VALUE"""),"Uncle Sams Cider (11/12/2021) (Blue)")</f>
        <v>Uncle Sams Cider (11/12/2021) (Blue)</v>
      </c>
      <c r="H4285" s="19"/>
    </row>
    <row r="4286">
      <c r="A4286" s="9"/>
      <c r="B4286" s="15"/>
      <c r="C4286" s="9">
        <f>IFERROR(__xludf.DUMMYFUNCTION("""COMPUTED_VALUE"""),44560.8454709953)</f>
        <v>44560.84547</v>
      </c>
      <c r="D4286" s="15">
        <f>IFERROR(__xludf.DUMMYFUNCTION("""COMPUTED_VALUE"""),1.008)</f>
        <v>1.008</v>
      </c>
      <c r="E4286" s="16">
        <f>IFERROR(__xludf.DUMMYFUNCTION("""COMPUTED_VALUE"""),62.0)</f>
        <v>62</v>
      </c>
      <c r="F4286" s="19" t="str">
        <f>IFERROR(__xludf.DUMMYFUNCTION("""COMPUTED_VALUE"""),"BLUE")</f>
        <v>BLUE</v>
      </c>
      <c r="G4286" s="20" t="str">
        <f>IFERROR(__xludf.DUMMYFUNCTION("""COMPUTED_VALUE"""),"Uncle Sams Cider (11/12/2021) (Blue)")</f>
        <v>Uncle Sams Cider (11/12/2021) (Blue)</v>
      </c>
      <c r="H4286" s="19"/>
    </row>
    <row r="4287">
      <c r="A4287" s="9"/>
      <c r="B4287" s="15"/>
      <c r="C4287" s="9">
        <f>IFERROR(__xludf.DUMMYFUNCTION("""COMPUTED_VALUE"""),44560.8350507407)</f>
        <v>44560.83505</v>
      </c>
      <c r="D4287" s="15">
        <f>IFERROR(__xludf.DUMMYFUNCTION("""COMPUTED_VALUE"""),1.008)</f>
        <v>1.008</v>
      </c>
      <c r="E4287" s="16">
        <f>IFERROR(__xludf.DUMMYFUNCTION("""COMPUTED_VALUE"""),62.0)</f>
        <v>62</v>
      </c>
      <c r="F4287" s="19" t="str">
        <f>IFERROR(__xludf.DUMMYFUNCTION("""COMPUTED_VALUE"""),"BLUE")</f>
        <v>BLUE</v>
      </c>
      <c r="G4287" s="20" t="str">
        <f>IFERROR(__xludf.DUMMYFUNCTION("""COMPUTED_VALUE"""),"Uncle Sams Cider (11/12/2021) (Blue)")</f>
        <v>Uncle Sams Cider (11/12/2021) (Blue)</v>
      </c>
      <c r="H4287" s="19"/>
    </row>
    <row r="4288">
      <c r="A4288" s="9"/>
      <c r="B4288" s="15"/>
      <c r="C4288" s="9">
        <f>IFERROR(__xludf.DUMMYFUNCTION("""COMPUTED_VALUE"""),44560.8246299421)</f>
        <v>44560.82463</v>
      </c>
      <c r="D4288" s="15">
        <f>IFERROR(__xludf.DUMMYFUNCTION("""COMPUTED_VALUE"""),1.008)</f>
        <v>1.008</v>
      </c>
      <c r="E4288" s="16">
        <f>IFERROR(__xludf.DUMMYFUNCTION("""COMPUTED_VALUE"""),62.0)</f>
        <v>62</v>
      </c>
      <c r="F4288" s="19" t="str">
        <f>IFERROR(__xludf.DUMMYFUNCTION("""COMPUTED_VALUE"""),"BLUE")</f>
        <v>BLUE</v>
      </c>
      <c r="G4288" s="20" t="str">
        <f>IFERROR(__xludf.DUMMYFUNCTION("""COMPUTED_VALUE"""),"Uncle Sams Cider (11/12/2021) (Blue)")</f>
        <v>Uncle Sams Cider (11/12/2021) (Blue)</v>
      </c>
      <c r="H4288" s="19"/>
    </row>
    <row r="4289">
      <c r="A4289" s="9"/>
      <c r="B4289" s="15"/>
      <c r="C4289" s="9">
        <f>IFERROR(__xludf.DUMMYFUNCTION("""COMPUTED_VALUE"""),44560.8142088078)</f>
        <v>44560.81421</v>
      </c>
      <c r="D4289" s="15">
        <f>IFERROR(__xludf.DUMMYFUNCTION("""COMPUTED_VALUE"""),1.007)</f>
        <v>1.007</v>
      </c>
      <c r="E4289" s="16">
        <f>IFERROR(__xludf.DUMMYFUNCTION("""COMPUTED_VALUE"""),63.0)</f>
        <v>63</v>
      </c>
      <c r="F4289" s="19" t="str">
        <f>IFERROR(__xludf.DUMMYFUNCTION("""COMPUTED_VALUE"""),"BLUE")</f>
        <v>BLUE</v>
      </c>
      <c r="G4289" s="20" t="str">
        <f>IFERROR(__xludf.DUMMYFUNCTION("""COMPUTED_VALUE"""),"Uncle Sams Cider (11/12/2021) (Blue)")</f>
        <v>Uncle Sams Cider (11/12/2021) (Blue)</v>
      </c>
      <c r="H4289" s="19"/>
    </row>
    <row r="4290">
      <c r="A4290" s="9"/>
      <c r="B4290" s="15"/>
      <c r="C4290" s="9">
        <f>IFERROR(__xludf.DUMMYFUNCTION("""COMPUTED_VALUE"""),44560.8037892476)</f>
        <v>44560.80379</v>
      </c>
      <c r="D4290" s="15">
        <f>IFERROR(__xludf.DUMMYFUNCTION("""COMPUTED_VALUE"""),1.008)</f>
        <v>1.008</v>
      </c>
      <c r="E4290" s="16">
        <f>IFERROR(__xludf.DUMMYFUNCTION("""COMPUTED_VALUE"""),62.0)</f>
        <v>62</v>
      </c>
      <c r="F4290" s="19" t="str">
        <f>IFERROR(__xludf.DUMMYFUNCTION("""COMPUTED_VALUE"""),"BLUE")</f>
        <v>BLUE</v>
      </c>
      <c r="G4290" s="20" t="str">
        <f>IFERROR(__xludf.DUMMYFUNCTION("""COMPUTED_VALUE"""),"Uncle Sams Cider (11/12/2021) (Blue)")</f>
        <v>Uncle Sams Cider (11/12/2021) (Blue)</v>
      </c>
      <c r="H4290" s="19"/>
    </row>
    <row r="4291">
      <c r="A4291" s="9"/>
      <c r="B4291" s="15"/>
      <c r="C4291" s="9">
        <f>IFERROR(__xludf.DUMMYFUNCTION("""COMPUTED_VALUE"""),44560.7933677777)</f>
        <v>44560.79337</v>
      </c>
      <c r="D4291" s="15">
        <f>IFERROR(__xludf.DUMMYFUNCTION("""COMPUTED_VALUE"""),1.008)</f>
        <v>1.008</v>
      </c>
      <c r="E4291" s="16">
        <f>IFERROR(__xludf.DUMMYFUNCTION("""COMPUTED_VALUE"""),62.0)</f>
        <v>62</v>
      </c>
      <c r="F4291" s="19" t="str">
        <f>IFERROR(__xludf.DUMMYFUNCTION("""COMPUTED_VALUE"""),"BLUE")</f>
        <v>BLUE</v>
      </c>
      <c r="G4291" s="20" t="str">
        <f>IFERROR(__xludf.DUMMYFUNCTION("""COMPUTED_VALUE"""),"Uncle Sams Cider (11/12/2021) (Blue)")</f>
        <v>Uncle Sams Cider (11/12/2021) (Blue)</v>
      </c>
      <c r="H4291" s="19"/>
    </row>
    <row r="4292">
      <c r="A4292" s="9"/>
      <c r="B4292" s="15"/>
      <c r="C4292" s="9">
        <f>IFERROR(__xludf.DUMMYFUNCTION("""COMPUTED_VALUE"""),44560.7829472685)</f>
        <v>44560.78295</v>
      </c>
      <c r="D4292" s="15">
        <f>IFERROR(__xludf.DUMMYFUNCTION("""COMPUTED_VALUE"""),1.008)</f>
        <v>1.008</v>
      </c>
      <c r="E4292" s="16">
        <f>IFERROR(__xludf.DUMMYFUNCTION("""COMPUTED_VALUE"""),63.0)</f>
        <v>63</v>
      </c>
      <c r="F4292" s="19" t="str">
        <f>IFERROR(__xludf.DUMMYFUNCTION("""COMPUTED_VALUE"""),"BLUE")</f>
        <v>BLUE</v>
      </c>
      <c r="G4292" s="20" t="str">
        <f>IFERROR(__xludf.DUMMYFUNCTION("""COMPUTED_VALUE"""),"Uncle Sams Cider (11/12/2021) (Blue)")</f>
        <v>Uncle Sams Cider (11/12/2021) (Blue)</v>
      </c>
      <c r="H4292" s="19"/>
    </row>
    <row r="4293">
      <c r="A4293" s="9"/>
      <c r="B4293" s="15"/>
      <c r="C4293" s="9">
        <f>IFERROR(__xludf.DUMMYFUNCTION("""COMPUTED_VALUE"""),44560.772526875)</f>
        <v>44560.77253</v>
      </c>
      <c r="D4293" s="15">
        <f>IFERROR(__xludf.DUMMYFUNCTION("""COMPUTED_VALUE"""),1.008)</f>
        <v>1.008</v>
      </c>
      <c r="E4293" s="16">
        <f>IFERROR(__xludf.DUMMYFUNCTION("""COMPUTED_VALUE"""),62.0)</f>
        <v>62</v>
      </c>
      <c r="F4293" s="19" t="str">
        <f>IFERROR(__xludf.DUMMYFUNCTION("""COMPUTED_VALUE"""),"BLUE")</f>
        <v>BLUE</v>
      </c>
      <c r="G4293" s="20" t="str">
        <f>IFERROR(__xludf.DUMMYFUNCTION("""COMPUTED_VALUE"""),"Uncle Sams Cider (11/12/2021) (Blue)")</f>
        <v>Uncle Sams Cider (11/12/2021) (Blue)</v>
      </c>
      <c r="H4293" s="19"/>
    </row>
    <row r="4294">
      <c r="A4294" s="9"/>
      <c r="B4294" s="15"/>
      <c r="C4294" s="9">
        <f>IFERROR(__xludf.DUMMYFUNCTION("""COMPUTED_VALUE"""),44560.7621064467)</f>
        <v>44560.76211</v>
      </c>
      <c r="D4294" s="15">
        <f>IFERROR(__xludf.DUMMYFUNCTION("""COMPUTED_VALUE"""),1.008)</f>
        <v>1.008</v>
      </c>
      <c r="E4294" s="16">
        <f>IFERROR(__xludf.DUMMYFUNCTION("""COMPUTED_VALUE"""),62.0)</f>
        <v>62</v>
      </c>
      <c r="F4294" s="19" t="str">
        <f>IFERROR(__xludf.DUMMYFUNCTION("""COMPUTED_VALUE"""),"BLUE")</f>
        <v>BLUE</v>
      </c>
      <c r="G4294" s="20" t="str">
        <f>IFERROR(__xludf.DUMMYFUNCTION("""COMPUTED_VALUE"""),"Uncle Sams Cider (11/12/2021) (Blue)")</f>
        <v>Uncle Sams Cider (11/12/2021) (Blue)</v>
      </c>
      <c r="H4294" s="19"/>
    </row>
    <row r="4295">
      <c r="A4295" s="9"/>
      <c r="B4295" s="15"/>
      <c r="C4295" s="9">
        <f>IFERROR(__xludf.DUMMYFUNCTION("""COMPUTED_VALUE"""),44560.7516845254)</f>
        <v>44560.75168</v>
      </c>
      <c r="D4295" s="15">
        <f>IFERROR(__xludf.DUMMYFUNCTION("""COMPUTED_VALUE"""),1.008)</f>
        <v>1.008</v>
      </c>
      <c r="E4295" s="16">
        <f>IFERROR(__xludf.DUMMYFUNCTION("""COMPUTED_VALUE"""),62.0)</f>
        <v>62</v>
      </c>
      <c r="F4295" s="19" t="str">
        <f>IFERROR(__xludf.DUMMYFUNCTION("""COMPUTED_VALUE"""),"BLUE")</f>
        <v>BLUE</v>
      </c>
      <c r="G4295" s="20" t="str">
        <f>IFERROR(__xludf.DUMMYFUNCTION("""COMPUTED_VALUE"""),"Uncle Sams Cider (11/12/2021) (Blue)")</f>
        <v>Uncle Sams Cider (11/12/2021) (Blue)</v>
      </c>
      <c r="H4295" s="19"/>
    </row>
    <row r="4296">
      <c r="A4296" s="9"/>
      <c r="B4296" s="15"/>
      <c r="C4296" s="9">
        <f>IFERROR(__xludf.DUMMYFUNCTION("""COMPUTED_VALUE"""),44560.7412635069)</f>
        <v>44560.74126</v>
      </c>
      <c r="D4296" s="15">
        <f>IFERROR(__xludf.DUMMYFUNCTION("""COMPUTED_VALUE"""),1.008)</f>
        <v>1.008</v>
      </c>
      <c r="E4296" s="16">
        <f>IFERROR(__xludf.DUMMYFUNCTION("""COMPUTED_VALUE"""),62.0)</f>
        <v>62</v>
      </c>
      <c r="F4296" s="19" t="str">
        <f>IFERROR(__xludf.DUMMYFUNCTION("""COMPUTED_VALUE"""),"BLUE")</f>
        <v>BLUE</v>
      </c>
      <c r="G4296" s="20" t="str">
        <f>IFERROR(__xludf.DUMMYFUNCTION("""COMPUTED_VALUE"""),"Uncle Sams Cider (11/12/2021) (Blue)")</f>
        <v>Uncle Sams Cider (11/12/2021) (Blue)</v>
      </c>
      <c r="H4296" s="19"/>
    </row>
    <row r="4297">
      <c r="A4297" s="9"/>
      <c r="B4297" s="15"/>
      <c r="C4297" s="9">
        <f>IFERROR(__xludf.DUMMYFUNCTION("""COMPUTED_VALUE"""),44560.7308411226)</f>
        <v>44560.73084</v>
      </c>
      <c r="D4297" s="15">
        <f>IFERROR(__xludf.DUMMYFUNCTION("""COMPUTED_VALUE"""),1.008)</f>
        <v>1.008</v>
      </c>
      <c r="E4297" s="16">
        <f>IFERROR(__xludf.DUMMYFUNCTION("""COMPUTED_VALUE"""),62.0)</f>
        <v>62</v>
      </c>
      <c r="F4297" s="19" t="str">
        <f>IFERROR(__xludf.DUMMYFUNCTION("""COMPUTED_VALUE"""),"BLUE")</f>
        <v>BLUE</v>
      </c>
      <c r="G4297" s="20" t="str">
        <f>IFERROR(__xludf.DUMMYFUNCTION("""COMPUTED_VALUE"""),"Uncle Sams Cider (11/12/2021) (Blue)")</f>
        <v>Uncle Sams Cider (11/12/2021) (Blue)</v>
      </c>
      <c r="H4297" s="19"/>
    </row>
    <row r="4298">
      <c r="A4298" s="9"/>
      <c r="B4298" s="15"/>
      <c r="C4298" s="9">
        <f>IFERROR(__xludf.DUMMYFUNCTION("""COMPUTED_VALUE"""),44560.7204216898)</f>
        <v>44560.72042</v>
      </c>
      <c r="D4298" s="15">
        <f>IFERROR(__xludf.DUMMYFUNCTION("""COMPUTED_VALUE"""),1.008)</f>
        <v>1.008</v>
      </c>
      <c r="E4298" s="16">
        <f>IFERROR(__xludf.DUMMYFUNCTION("""COMPUTED_VALUE"""),62.0)</f>
        <v>62</v>
      </c>
      <c r="F4298" s="19" t="str">
        <f>IFERROR(__xludf.DUMMYFUNCTION("""COMPUTED_VALUE"""),"BLUE")</f>
        <v>BLUE</v>
      </c>
      <c r="G4298" s="20" t="str">
        <f>IFERROR(__xludf.DUMMYFUNCTION("""COMPUTED_VALUE"""),"Uncle Sams Cider (11/12/2021) (Blue)")</f>
        <v>Uncle Sams Cider (11/12/2021) (Blue)</v>
      </c>
      <c r="H4298" s="19"/>
    </row>
    <row r="4299">
      <c r="A4299" s="9"/>
      <c r="B4299" s="15"/>
      <c r="C4299" s="9">
        <f>IFERROR(__xludf.DUMMYFUNCTION("""COMPUTED_VALUE"""),44560.7099998379)</f>
        <v>44560.71</v>
      </c>
      <c r="D4299" s="15">
        <f>IFERROR(__xludf.DUMMYFUNCTION("""COMPUTED_VALUE"""),1.008)</f>
        <v>1.008</v>
      </c>
      <c r="E4299" s="16">
        <f>IFERROR(__xludf.DUMMYFUNCTION("""COMPUTED_VALUE"""),62.0)</f>
        <v>62</v>
      </c>
      <c r="F4299" s="19" t="str">
        <f>IFERROR(__xludf.DUMMYFUNCTION("""COMPUTED_VALUE"""),"BLUE")</f>
        <v>BLUE</v>
      </c>
      <c r="G4299" s="20" t="str">
        <f>IFERROR(__xludf.DUMMYFUNCTION("""COMPUTED_VALUE"""),"Uncle Sams Cider (11/12/2021) (Blue)")</f>
        <v>Uncle Sams Cider (11/12/2021) (Blue)</v>
      </c>
      <c r="H4299" s="19"/>
    </row>
    <row r="4300">
      <c r="A4300" s="9"/>
      <c r="B4300" s="15"/>
      <c r="C4300" s="9">
        <f>IFERROR(__xludf.DUMMYFUNCTION("""COMPUTED_VALUE"""),44560.6995782407)</f>
        <v>44560.69958</v>
      </c>
      <c r="D4300" s="15">
        <f>IFERROR(__xludf.DUMMYFUNCTION("""COMPUTED_VALUE"""),1.008)</f>
        <v>1.008</v>
      </c>
      <c r="E4300" s="16">
        <f>IFERROR(__xludf.DUMMYFUNCTION("""COMPUTED_VALUE"""),62.0)</f>
        <v>62</v>
      </c>
      <c r="F4300" s="19" t="str">
        <f>IFERROR(__xludf.DUMMYFUNCTION("""COMPUTED_VALUE"""),"BLUE")</f>
        <v>BLUE</v>
      </c>
      <c r="G4300" s="20" t="str">
        <f>IFERROR(__xludf.DUMMYFUNCTION("""COMPUTED_VALUE"""),"Uncle Sams Cider (11/12/2021) (Blue)")</f>
        <v>Uncle Sams Cider (11/12/2021) (Blue)</v>
      </c>
      <c r="H4300" s="19"/>
    </row>
    <row r="4301">
      <c r="A4301" s="9"/>
      <c r="B4301" s="15"/>
      <c r="C4301" s="9">
        <f>IFERROR(__xludf.DUMMYFUNCTION("""COMPUTED_VALUE"""),44560.397300243)</f>
        <v>44560.3973</v>
      </c>
      <c r="D4301" s="15">
        <f>IFERROR(__xludf.DUMMYFUNCTION("""COMPUTED_VALUE"""),1.008)</f>
        <v>1.008</v>
      </c>
      <c r="E4301" s="16">
        <f>IFERROR(__xludf.DUMMYFUNCTION("""COMPUTED_VALUE"""),62.0)</f>
        <v>62</v>
      </c>
      <c r="F4301" s="19" t="str">
        <f>IFERROR(__xludf.DUMMYFUNCTION("""COMPUTED_VALUE"""),"BLUE")</f>
        <v>BLUE</v>
      </c>
      <c r="G4301" s="20" t="str">
        <f>IFERROR(__xludf.DUMMYFUNCTION("""COMPUTED_VALUE"""),"Uncle Sams Cider (11/12/2021) (Blue)")</f>
        <v>Uncle Sams Cider (11/12/2021) (Blue)</v>
      </c>
      <c r="H4301" s="19"/>
    </row>
    <row r="4302">
      <c r="A4302" s="9"/>
      <c r="B4302" s="15"/>
      <c r="C4302" s="9">
        <f>IFERROR(__xludf.DUMMYFUNCTION("""COMPUTED_VALUE"""),44560.3868795833)</f>
        <v>44560.38688</v>
      </c>
      <c r="D4302" s="15">
        <f>IFERROR(__xludf.DUMMYFUNCTION("""COMPUTED_VALUE"""),1.008)</f>
        <v>1.008</v>
      </c>
      <c r="E4302" s="16">
        <f>IFERROR(__xludf.DUMMYFUNCTION("""COMPUTED_VALUE"""),62.0)</f>
        <v>62</v>
      </c>
      <c r="F4302" s="19" t="str">
        <f>IFERROR(__xludf.DUMMYFUNCTION("""COMPUTED_VALUE"""),"BLUE")</f>
        <v>BLUE</v>
      </c>
      <c r="G4302" s="20" t="str">
        <f>IFERROR(__xludf.DUMMYFUNCTION("""COMPUTED_VALUE"""),"Uncle Sams Cider (11/12/2021) (Blue)")</f>
        <v>Uncle Sams Cider (11/12/2021) (Blue)</v>
      </c>
      <c r="H4302" s="19"/>
    </row>
    <row r="4303">
      <c r="A4303" s="9"/>
      <c r="B4303" s="15"/>
      <c r="C4303" s="9">
        <f>IFERROR(__xludf.DUMMYFUNCTION("""COMPUTED_VALUE"""),44560.3764584606)</f>
        <v>44560.37646</v>
      </c>
      <c r="D4303" s="15">
        <f>IFERROR(__xludf.DUMMYFUNCTION("""COMPUTED_VALUE"""),1.008)</f>
        <v>1.008</v>
      </c>
      <c r="E4303" s="16">
        <f>IFERROR(__xludf.DUMMYFUNCTION("""COMPUTED_VALUE"""),62.0)</f>
        <v>62</v>
      </c>
      <c r="F4303" s="19" t="str">
        <f>IFERROR(__xludf.DUMMYFUNCTION("""COMPUTED_VALUE"""),"BLUE")</f>
        <v>BLUE</v>
      </c>
      <c r="G4303" s="20" t="str">
        <f>IFERROR(__xludf.DUMMYFUNCTION("""COMPUTED_VALUE"""),"Uncle Sams Cider (11/12/2021) (Blue)")</f>
        <v>Uncle Sams Cider (11/12/2021) (Blue)</v>
      </c>
      <c r="H4303" s="19"/>
    </row>
    <row r="4304">
      <c r="A4304" s="9"/>
      <c r="B4304" s="15"/>
      <c r="C4304" s="9">
        <f>IFERROR(__xludf.DUMMYFUNCTION("""COMPUTED_VALUE"""),44560.3660378819)</f>
        <v>44560.36604</v>
      </c>
      <c r="D4304" s="15">
        <f>IFERROR(__xludf.DUMMYFUNCTION("""COMPUTED_VALUE"""),1.008)</f>
        <v>1.008</v>
      </c>
      <c r="E4304" s="16">
        <f>IFERROR(__xludf.DUMMYFUNCTION("""COMPUTED_VALUE"""),62.0)</f>
        <v>62</v>
      </c>
      <c r="F4304" s="19" t="str">
        <f>IFERROR(__xludf.DUMMYFUNCTION("""COMPUTED_VALUE"""),"BLUE")</f>
        <v>BLUE</v>
      </c>
      <c r="G4304" s="20" t="str">
        <f>IFERROR(__xludf.DUMMYFUNCTION("""COMPUTED_VALUE"""),"Uncle Sams Cider (11/12/2021) (Blue)")</f>
        <v>Uncle Sams Cider (11/12/2021) (Blue)</v>
      </c>
      <c r="H4304" s="19"/>
    </row>
    <row r="4305">
      <c r="A4305" s="9"/>
      <c r="B4305" s="15"/>
      <c r="C4305" s="9">
        <f>IFERROR(__xludf.DUMMYFUNCTION("""COMPUTED_VALUE"""),44560.3556168055)</f>
        <v>44560.35562</v>
      </c>
      <c r="D4305" s="15">
        <f>IFERROR(__xludf.DUMMYFUNCTION("""COMPUTED_VALUE"""),1.008)</f>
        <v>1.008</v>
      </c>
      <c r="E4305" s="16">
        <f>IFERROR(__xludf.DUMMYFUNCTION("""COMPUTED_VALUE"""),62.0)</f>
        <v>62</v>
      </c>
      <c r="F4305" s="19" t="str">
        <f>IFERROR(__xludf.DUMMYFUNCTION("""COMPUTED_VALUE"""),"BLUE")</f>
        <v>BLUE</v>
      </c>
      <c r="G4305" s="20" t="str">
        <f>IFERROR(__xludf.DUMMYFUNCTION("""COMPUTED_VALUE"""),"Uncle Sams Cider (11/12/2021) (Blue)")</f>
        <v>Uncle Sams Cider (11/12/2021) (Blue)</v>
      </c>
      <c r="H4305" s="19"/>
    </row>
    <row r="4306">
      <c r="A4306" s="9"/>
      <c r="B4306" s="15"/>
      <c r="C4306" s="9">
        <f>IFERROR(__xludf.DUMMYFUNCTION("""COMPUTED_VALUE"""),44560.345182118)</f>
        <v>44560.34518</v>
      </c>
      <c r="D4306" s="15">
        <f>IFERROR(__xludf.DUMMYFUNCTION("""COMPUTED_VALUE"""),1.008)</f>
        <v>1.008</v>
      </c>
      <c r="E4306" s="16">
        <f>IFERROR(__xludf.DUMMYFUNCTION("""COMPUTED_VALUE"""),62.0)</f>
        <v>62</v>
      </c>
      <c r="F4306" s="19" t="str">
        <f>IFERROR(__xludf.DUMMYFUNCTION("""COMPUTED_VALUE"""),"BLUE")</f>
        <v>BLUE</v>
      </c>
      <c r="G4306" s="20" t="str">
        <f>IFERROR(__xludf.DUMMYFUNCTION("""COMPUTED_VALUE"""),"Uncle Sams Cider (11/12/2021) (Blue)")</f>
        <v>Uncle Sams Cider (11/12/2021) (Blue)</v>
      </c>
      <c r="H4306" s="19"/>
    </row>
    <row r="4307">
      <c r="A4307" s="9"/>
      <c r="B4307" s="15"/>
      <c r="C4307" s="9">
        <f>IFERROR(__xludf.DUMMYFUNCTION("""COMPUTED_VALUE"""),44560.334762662)</f>
        <v>44560.33476</v>
      </c>
      <c r="D4307" s="15">
        <f>IFERROR(__xludf.DUMMYFUNCTION("""COMPUTED_VALUE"""),1.008)</f>
        <v>1.008</v>
      </c>
      <c r="E4307" s="16">
        <f>IFERROR(__xludf.DUMMYFUNCTION("""COMPUTED_VALUE"""),62.0)</f>
        <v>62</v>
      </c>
      <c r="F4307" s="19" t="str">
        <f>IFERROR(__xludf.DUMMYFUNCTION("""COMPUTED_VALUE"""),"BLUE")</f>
        <v>BLUE</v>
      </c>
      <c r="G4307" s="20" t="str">
        <f>IFERROR(__xludf.DUMMYFUNCTION("""COMPUTED_VALUE"""),"Uncle Sams Cider (11/12/2021) (Blue)")</f>
        <v>Uncle Sams Cider (11/12/2021) (Blue)</v>
      </c>
      <c r="H4307" s="19"/>
    </row>
    <row r="4308">
      <c r="A4308" s="9"/>
      <c r="B4308" s="15"/>
      <c r="C4308" s="9">
        <f>IFERROR(__xludf.DUMMYFUNCTION("""COMPUTED_VALUE"""),44560.3243413888)</f>
        <v>44560.32434</v>
      </c>
      <c r="D4308" s="15">
        <f>IFERROR(__xludf.DUMMYFUNCTION("""COMPUTED_VALUE"""),1.008)</f>
        <v>1.008</v>
      </c>
      <c r="E4308" s="16">
        <f>IFERROR(__xludf.DUMMYFUNCTION("""COMPUTED_VALUE"""),62.0)</f>
        <v>62</v>
      </c>
      <c r="F4308" s="19" t="str">
        <f>IFERROR(__xludf.DUMMYFUNCTION("""COMPUTED_VALUE"""),"BLUE")</f>
        <v>BLUE</v>
      </c>
      <c r="G4308" s="20" t="str">
        <f>IFERROR(__xludf.DUMMYFUNCTION("""COMPUTED_VALUE"""),"Uncle Sams Cider (11/12/2021) (Blue)")</f>
        <v>Uncle Sams Cider (11/12/2021) (Blue)</v>
      </c>
      <c r="H4308" s="19"/>
    </row>
    <row r="4309">
      <c r="A4309" s="9"/>
      <c r="B4309" s="15"/>
      <c r="C4309" s="9">
        <f>IFERROR(__xludf.DUMMYFUNCTION("""COMPUTED_VALUE"""),44560.3139200578)</f>
        <v>44560.31392</v>
      </c>
      <c r="D4309" s="15">
        <f>IFERROR(__xludf.DUMMYFUNCTION("""COMPUTED_VALUE"""),1.008)</f>
        <v>1.008</v>
      </c>
      <c r="E4309" s="16">
        <f>IFERROR(__xludf.DUMMYFUNCTION("""COMPUTED_VALUE"""),62.0)</f>
        <v>62</v>
      </c>
      <c r="F4309" s="19" t="str">
        <f>IFERROR(__xludf.DUMMYFUNCTION("""COMPUTED_VALUE"""),"BLUE")</f>
        <v>BLUE</v>
      </c>
      <c r="G4309" s="20" t="str">
        <f>IFERROR(__xludf.DUMMYFUNCTION("""COMPUTED_VALUE"""),"Uncle Sams Cider (11/12/2021) (Blue)")</f>
        <v>Uncle Sams Cider (11/12/2021) (Blue)</v>
      </c>
      <c r="H4309" s="19"/>
    </row>
    <row r="4310">
      <c r="A4310" s="9"/>
      <c r="B4310" s="15"/>
      <c r="C4310" s="9">
        <f>IFERROR(__xludf.DUMMYFUNCTION("""COMPUTED_VALUE"""),44560.3034986805)</f>
        <v>44560.3035</v>
      </c>
      <c r="D4310" s="15">
        <f>IFERROR(__xludf.DUMMYFUNCTION("""COMPUTED_VALUE"""),1.008)</f>
        <v>1.008</v>
      </c>
      <c r="E4310" s="16">
        <f>IFERROR(__xludf.DUMMYFUNCTION("""COMPUTED_VALUE"""),62.0)</f>
        <v>62</v>
      </c>
      <c r="F4310" s="19" t="str">
        <f>IFERROR(__xludf.DUMMYFUNCTION("""COMPUTED_VALUE"""),"BLUE")</f>
        <v>BLUE</v>
      </c>
      <c r="G4310" s="20" t="str">
        <f>IFERROR(__xludf.DUMMYFUNCTION("""COMPUTED_VALUE"""),"Uncle Sams Cider (11/12/2021) (Blue)")</f>
        <v>Uncle Sams Cider (11/12/2021) (Blue)</v>
      </c>
      <c r="H4310" s="19"/>
    </row>
    <row r="4311">
      <c r="A4311" s="9"/>
      <c r="B4311" s="15"/>
      <c r="C4311" s="9">
        <f>IFERROR(__xludf.DUMMYFUNCTION("""COMPUTED_VALUE"""),44560.2930776041)</f>
        <v>44560.29308</v>
      </c>
      <c r="D4311" s="15">
        <f>IFERROR(__xludf.DUMMYFUNCTION("""COMPUTED_VALUE"""),1.008)</f>
        <v>1.008</v>
      </c>
      <c r="E4311" s="16">
        <f>IFERROR(__xludf.DUMMYFUNCTION("""COMPUTED_VALUE"""),62.0)</f>
        <v>62</v>
      </c>
      <c r="F4311" s="19" t="str">
        <f>IFERROR(__xludf.DUMMYFUNCTION("""COMPUTED_VALUE"""),"BLUE")</f>
        <v>BLUE</v>
      </c>
      <c r="G4311" s="20" t="str">
        <f>IFERROR(__xludf.DUMMYFUNCTION("""COMPUTED_VALUE"""),"Uncle Sams Cider (11/12/2021) (Blue)")</f>
        <v>Uncle Sams Cider (11/12/2021) (Blue)</v>
      </c>
      <c r="H4311" s="19"/>
    </row>
    <row r="4312">
      <c r="A4312" s="9"/>
      <c r="B4312" s="15"/>
      <c r="C4312" s="9">
        <f>IFERROR(__xludf.DUMMYFUNCTION("""COMPUTED_VALUE"""),44560.2826575347)</f>
        <v>44560.28266</v>
      </c>
      <c r="D4312" s="15">
        <f>IFERROR(__xludf.DUMMYFUNCTION("""COMPUTED_VALUE"""),1.008)</f>
        <v>1.008</v>
      </c>
      <c r="E4312" s="16">
        <f>IFERROR(__xludf.DUMMYFUNCTION("""COMPUTED_VALUE"""),62.0)</f>
        <v>62</v>
      </c>
      <c r="F4312" s="19" t="str">
        <f>IFERROR(__xludf.DUMMYFUNCTION("""COMPUTED_VALUE"""),"BLUE")</f>
        <v>BLUE</v>
      </c>
      <c r="G4312" s="20" t="str">
        <f>IFERROR(__xludf.DUMMYFUNCTION("""COMPUTED_VALUE"""),"Uncle Sams Cider (11/12/2021) (Blue)")</f>
        <v>Uncle Sams Cider (11/12/2021) (Blue)</v>
      </c>
      <c r="H4312" s="19"/>
    </row>
    <row r="4313">
      <c r="A4313" s="9"/>
      <c r="B4313" s="15"/>
      <c r="C4313" s="9">
        <f>IFERROR(__xludf.DUMMYFUNCTION("""COMPUTED_VALUE"""),44560.2722363425)</f>
        <v>44560.27224</v>
      </c>
      <c r="D4313" s="15">
        <f>IFERROR(__xludf.DUMMYFUNCTION("""COMPUTED_VALUE"""),1.008)</f>
        <v>1.008</v>
      </c>
      <c r="E4313" s="16">
        <f>IFERROR(__xludf.DUMMYFUNCTION("""COMPUTED_VALUE"""),62.0)</f>
        <v>62</v>
      </c>
      <c r="F4313" s="19" t="str">
        <f>IFERROR(__xludf.DUMMYFUNCTION("""COMPUTED_VALUE"""),"BLUE")</f>
        <v>BLUE</v>
      </c>
      <c r="G4313" s="20" t="str">
        <f>IFERROR(__xludf.DUMMYFUNCTION("""COMPUTED_VALUE"""),"Uncle Sams Cider (11/12/2021) (Blue)")</f>
        <v>Uncle Sams Cider (11/12/2021) (Blue)</v>
      </c>
      <c r="H4313" s="19"/>
    </row>
    <row r="4314">
      <c r="A4314" s="9"/>
      <c r="B4314" s="15"/>
      <c r="C4314" s="9">
        <f>IFERROR(__xludf.DUMMYFUNCTION("""COMPUTED_VALUE"""),44560.2618164236)</f>
        <v>44560.26182</v>
      </c>
      <c r="D4314" s="15">
        <f>IFERROR(__xludf.DUMMYFUNCTION("""COMPUTED_VALUE"""),1.008)</f>
        <v>1.008</v>
      </c>
      <c r="E4314" s="16">
        <f>IFERROR(__xludf.DUMMYFUNCTION("""COMPUTED_VALUE"""),62.0)</f>
        <v>62</v>
      </c>
      <c r="F4314" s="19" t="str">
        <f>IFERROR(__xludf.DUMMYFUNCTION("""COMPUTED_VALUE"""),"BLUE")</f>
        <v>BLUE</v>
      </c>
      <c r="G4314" s="20" t="str">
        <f>IFERROR(__xludf.DUMMYFUNCTION("""COMPUTED_VALUE"""),"Uncle Sams Cider (11/12/2021) (Blue)")</f>
        <v>Uncle Sams Cider (11/12/2021) (Blue)</v>
      </c>
      <c r="H4314" s="19"/>
    </row>
    <row r="4315">
      <c r="A4315" s="9"/>
      <c r="B4315" s="15"/>
      <c r="C4315" s="9">
        <f>IFERROR(__xludf.DUMMYFUNCTION("""COMPUTED_VALUE"""),44560.251394074)</f>
        <v>44560.25139</v>
      </c>
      <c r="D4315" s="15">
        <f>IFERROR(__xludf.DUMMYFUNCTION("""COMPUTED_VALUE"""),1.008)</f>
        <v>1.008</v>
      </c>
      <c r="E4315" s="16">
        <f>IFERROR(__xludf.DUMMYFUNCTION("""COMPUTED_VALUE"""),62.0)</f>
        <v>62</v>
      </c>
      <c r="F4315" s="19" t="str">
        <f>IFERROR(__xludf.DUMMYFUNCTION("""COMPUTED_VALUE"""),"BLUE")</f>
        <v>BLUE</v>
      </c>
      <c r="G4315" s="20" t="str">
        <f>IFERROR(__xludf.DUMMYFUNCTION("""COMPUTED_VALUE"""),"Uncle Sams Cider (11/12/2021) (Blue)")</f>
        <v>Uncle Sams Cider (11/12/2021) (Blue)</v>
      </c>
      <c r="H4315" s="19"/>
    </row>
    <row r="4316">
      <c r="A4316" s="9"/>
      <c r="B4316" s="15"/>
      <c r="C4316" s="9">
        <f>IFERROR(__xludf.DUMMYFUNCTION("""COMPUTED_VALUE"""),44560.2409729166)</f>
        <v>44560.24097</v>
      </c>
      <c r="D4316" s="15">
        <f>IFERROR(__xludf.DUMMYFUNCTION("""COMPUTED_VALUE"""),1.008)</f>
        <v>1.008</v>
      </c>
      <c r="E4316" s="16">
        <f>IFERROR(__xludf.DUMMYFUNCTION("""COMPUTED_VALUE"""),62.0)</f>
        <v>62</v>
      </c>
      <c r="F4316" s="19" t="str">
        <f>IFERROR(__xludf.DUMMYFUNCTION("""COMPUTED_VALUE"""),"BLUE")</f>
        <v>BLUE</v>
      </c>
      <c r="G4316" s="20" t="str">
        <f>IFERROR(__xludf.DUMMYFUNCTION("""COMPUTED_VALUE"""),"Uncle Sams Cider (11/12/2021) (Blue)")</f>
        <v>Uncle Sams Cider (11/12/2021) (Blue)</v>
      </c>
      <c r="H4316" s="19"/>
    </row>
    <row r="4317">
      <c r="A4317" s="9"/>
      <c r="B4317" s="15"/>
      <c r="C4317" s="9">
        <f>IFERROR(__xludf.DUMMYFUNCTION("""COMPUTED_VALUE"""),44560.2305520601)</f>
        <v>44560.23055</v>
      </c>
      <c r="D4317" s="15">
        <f>IFERROR(__xludf.DUMMYFUNCTION("""COMPUTED_VALUE"""),1.008)</f>
        <v>1.008</v>
      </c>
      <c r="E4317" s="16">
        <f>IFERROR(__xludf.DUMMYFUNCTION("""COMPUTED_VALUE"""),62.0)</f>
        <v>62</v>
      </c>
      <c r="F4317" s="19" t="str">
        <f>IFERROR(__xludf.DUMMYFUNCTION("""COMPUTED_VALUE"""),"BLUE")</f>
        <v>BLUE</v>
      </c>
      <c r="G4317" s="20" t="str">
        <f>IFERROR(__xludf.DUMMYFUNCTION("""COMPUTED_VALUE"""),"Uncle Sams Cider (11/12/2021) (Blue)")</f>
        <v>Uncle Sams Cider (11/12/2021) (Blue)</v>
      </c>
      <c r="H4317" s="19"/>
    </row>
    <row r="4318">
      <c r="A4318" s="9"/>
      <c r="B4318" s="15"/>
      <c r="C4318" s="9">
        <f>IFERROR(__xludf.DUMMYFUNCTION("""COMPUTED_VALUE"""),44560.220130162)</f>
        <v>44560.22013</v>
      </c>
      <c r="D4318" s="15">
        <f>IFERROR(__xludf.DUMMYFUNCTION("""COMPUTED_VALUE"""),1.008)</f>
        <v>1.008</v>
      </c>
      <c r="E4318" s="16">
        <f>IFERROR(__xludf.DUMMYFUNCTION("""COMPUTED_VALUE"""),62.0)</f>
        <v>62</v>
      </c>
      <c r="F4318" s="19" t="str">
        <f>IFERROR(__xludf.DUMMYFUNCTION("""COMPUTED_VALUE"""),"BLUE")</f>
        <v>BLUE</v>
      </c>
      <c r="G4318" s="20" t="str">
        <f>IFERROR(__xludf.DUMMYFUNCTION("""COMPUTED_VALUE"""),"Uncle Sams Cider (11/12/2021) (Blue)")</f>
        <v>Uncle Sams Cider (11/12/2021) (Blue)</v>
      </c>
      <c r="H4318" s="19"/>
    </row>
    <row r="4319">
      <c r="A4319" s="9"/>
      <c r="B4319" s="15"/>
      <c r="C4319" s="9">
        <f>IFERROR(__xludf.DUMMYFUNCTION("""COMPUTED_VALUE"""),44560.2097094675)</f>
        <v>44560.20971</v>
      </c>
      <c r="D4319" s="15">
        <f>IFERROR(__xludf.DUMMYFUNCTION("""COMPUTED_VALUE"""),1.008)</f>
        <v>1.008</v>
      </c>
      <c r="E4319" s="16">
        <f>IFERROR(__xludf.DUMMYFUNCTION("""COMPUTED_VALUE"""),62.0)</f>
        <v>62</v>
      </c>
      <c r="F4319" s="19" t="str">
        <f>IFERROR(__xludf.DUMMYFUNCTION("""COMPUTED_VALUE"""),"BLUE")</f>
        <v>BLUE</v>
      </c>
      <c r="G4319" s="20" t="str">
        <f>IFERROR(__xludf.DUMMYFUNCTION("""COMPUTED_VALUE"""),"Uncle Sams Cider (11/12/2021) (Blue)")</f>
        <v>Uncle Sams Cider (11/12/2021) (Blue)</v>
      </c>
      <c r="H4319" s="19"/>
    </row>
    <row r="4320">
      <c r="A4320" s="9"/>
      <c r="B4320" s="15"/>
      <c r="C4320" s="9">
        <f>IFERROR(__xludf.DUMMYFUNCTION("""COMPUTED_VALUE"""),44560.199287905)</f>
        <v>44560.19929</v>
      </c>
      <c r="D4320" s="15">
        <f>IFERROR(__xludf.DUMMYFUNCTION("""COMPUTED_VALUE"""),1.008)</f>
        <v>1.008</v>
      </c>
      <c r="E4320" s="16">
        <f>IFERROR(__xludf.DUMMYFUNCTION("""COMPUTED_VALUE"""),62.0)</f>
        <v>62</v>
      </c>
      <c r="F4320" s="19" t="str">
        <f>IFERROR(__xludf.DUMMYFUNCTION("""COMPUTED_VALUE"""),"BLUE")</f>
        <v>BLUE</v>
      </c>
      <c r="G4320" s="20" t="str">
        <f>IFERROR(__xludf.DUMMYFUNCTION("""COMPUTED_VALUE"""),"Uncle Sams Cider (11/12/2021) (Blue)")</f>
        <v>Uncle Sams Cider (11/12/2021) (Blue)</v>
      </c>
      <c r="H4320" s="19"/>
    </row>
    <row r="4321">
      <c r="A4321" s="9"/>
      <c r="B4321" s="15"/>
      <c r="C4321" s="9">
        <f>IFERROR(__xludf.DUMMYFUNCTION("""COMPUTED_VALUE"""),44560.1888666435)</f>
        <v>44560.18887</v>
      </c>
      <c r="D4321" s="15">
        <f>IFERROR(__xludf.DUMMYFUNCTION("""COMPUTED_VALUE"""),1.008)</f>
        <v>1.008</v>
      </c>
      <c r="E4321" s="16">
        <f>IFERROR(__xludf.DUMMYFUNCTION("""COMPUTED_VALUE"""),62.0)</f>
        <v>62</v>
      </c>
      <c r="F4321" s="19" t="str">
        <f>IFERROR(__xludf.DUMMYFUNCTION("""COMPUTED_VALUE"""),"BLUE")</f>
        <v>BLUE</v>
      </c>
      <c r="G4321" s="20" t="str">
        <f>IFERROR(__xludf.DUMMYFUNCTION("""COMPUTED_VALUE"""),"Uncle Sams Cider (11/12/2021) (Blue)")</f>
        <v>Uncle Sams Cider (11/12/2021) (Blue)</v>
      </c>
      <c r="H4321" s="19"/>
    </row>
    <row r="4322">
      <c r="A4322" s="9"/>
      <c r="B4322" s="15"/>
      <c r="C4322" s="9">
        <f>IFERROR(__xludf.DUMMYFUNCTION("""COMPUTED_VALUE"""),44560.1784437963)</f>
        <v>44560.17844</v>
      </c>
      <c r="D4322" s="15">
        <f>IFERROR(__xludf.DUMMYFUNCTION("""COMPUTED_VALUE"""),1.008)</f>
        <v>1.008</v>
      </c>
      <c r="E4322" s="16">
        <f>IFERROR(__xludf.DUMMYFUNCTION("""COMPUTED_VALUE"""),62.0)</f>
        <v>62</v>
      </c>
      <c r="F4322" s="19" t="str">
        <f>IFERROR(__xludf.DUMMYFUNCTION("""COMPUTED_VALUE"""),"BLUE")</f>
        <v>BLUE</v>
      </c>
      <c r="G4322" s="20" t="str">
        <f>IFERROR(__xludf.DUMMYFUNCTION("""COMPUTED_VALUE"""),"Uncle Sams Cider (11/12/2021) (Blue)")</f>
        <v>Uncle Sams Cider (11/12/2021) (Blue)</v>
      </c>
      <c r="H4322" s="19"/>
    </row>
    <row r="4323">
      <c r="A4323" s="9"/>
      <c r="B4323" s="15"/>
      <c r="C4323" s="9">
        <f>IFERROR(__xludf.DUMMYFUNCTION("""COMPUTED_VALUE"""),44560.1680115625)</f>
        <v>44560.16801</v>
      </c>
      <c r="D4323" s="15">
        <f>IFERROR(__xludf.DUMMYFUNCTION("""COMPUTED_VALUE"""),1.008)</f>
        <v>1.008</v>
      </c>
      <c r="E4323" s="16">
        <f>IFERROR(__xludf.DUMMYFUNCTION("""COMPUTED_VALUE"""),62.0)</f>
        <v>62</v>
      </c>
      <c r="F4323" s="19" t="str">
        <f>IFERROR(__xludf.DUMMYFUNCTION("""COMPUTED_VALUE"""),"BLUE")</f>
        <v>BLUE</v>
      </c>
      <c r="G4323" s="20" t="str">
        <f>IFERROR(__xludf.DUMMYFUNCTION("""COMPUTED_VALUE"""),"Uncle Sams Cider (11/12/2021) (Blue)")</f>
        <v>Uncle Sams Cider (11/12/2021) (Blue)</v>
      </c>
      <c r="H4323" s="19"/>
    </row>
    <row r="4324">
      <c r="A4324" s="9"/>
      <c r="B4324" s="15"/>
      <c r="C4324" s="9">
        <f>IFERROR(__xludf.DUMMYFUNCTION("""COMPUTED_VALUE"""),44560.1575910185)</f>
        <v>44560.15759</v>
      </c>
      <c r="D4324" s="15">
        <f>IFERROR(__xludf.DUMMYFUNCTION("""COMPUTED_VALUE"""),1.008)</f>
        <v>1.008</v>
      </c>
      <c r="E4324" s="16">
        <f>IFERROR(__xludf.DUMMYFUNCTION("""COMPUTED_VALUE"""),62.0)</f>
        <v>62</v>
      </c>
      <c r="F4324" s="19" t="str">
        <f>IFERROR(__xludf.DUMMYFUNCTION("""COMPUTED_VALUE"""),"BLUE")</f>
        <v>BLUE</v>
      </c>
      <c r="G4324" s="20" t="str">
        <f>IFERROR(__xludf.DUMMYFUNCTION("""COMPUTED_VALUE"""),"Uncle Sams Cider (11/12/2021) (Blue)")</f>
        <v>Uncle Sams Cider (11/12/2021) (Blue)</v>
      </c>
      <c r="H4324" s="19"/>
    </row>
    <row r="4325">
      <c r="A4325" s="9"/>
      <c r="B4325" s="15"/>
      <c r="C4325" s="9">
        <f>IFERROR(__xludf.DUMMYFUNCTION("""COMPUTED_VALUE"""),44560.1471698726)</f>
        <v>44560.14717</v>
      </c>
      <c r="D4325" s="15">
        <f>IFERROR(__xludf.DUMMYFUNCTION("""COMPUTED_VALUE"""),1.008)</f>
        <v>1.008</v>
      </c>
      <c r="E4325" s="16">
        <f>IFERROR(__xludf.DUMMYFUNCTION("""COMPUTED_VALUE"""),63.0)</f>
        <v>63</v>
      </c>
      <c r="F4325" s="19" t="str">
        <f>IFERROR(__xludf.DUMMYFUNCTION("""COMPUTED_VALUE"""),"BLUE")</f>
        <v>BLUE</v>
      </c>
      <c r="G4325" s="20" t="str">
        <f>IFERROR(__xludf.DUMMYFUNCTION("""COMPUTED_VALUE"""),"Uncle Sams Cider (11/12/2021) (Blue)")</f>
        <v>Uncle Sams Cider (11/12/2021) (Blue)</v>
      </c>
      <c r="H4325" s="19"/>
    </row>
    <row r="4326">
      <c r="A4326" s="9"/>
      <c r="B4326" s="15"/>
      <c r="C4326" s="9">
        <f>IFERROR(__xludf.DUMMYFUNCTION("""COMPUTED_VALUE"""),44560.1367485532)</f>
        <v>44560.13675</v>
      </c>
      <c r="D4326" s="15">
        <f>IFERROR(__xludf.DUMMYFUNCTION("""COMPUTED_VALUE"""),1.008)</f>
        <v>1.008</v>
      </c>
      <c r="E4326" s="16">
        <f>IFERROR(__xludf.DUMMYFUNCTION("""COMPUTED_VALUE"""),62.0)</f>
        <v>62</v>
      </c>
      <c r="F4326" s="19" t="str">
        <f>IFERROR(__xludf.DUMMYFUNCTION("""COMPUTED_VALUE"""),"BLUE")</f>
        <v>BLUE</v>
      </c>
      <c r="G4326" s="20" t="str">
        <f>IFERROR(__xludf.DUMMYFUNCTION("""COMPUTED_VALUE"""),"Uncle Sams Cider (11/12/2021) (Blue)")</f>
        <v>Uncle Sams Cider (11/12/2021) (Blue)</v>
      </c>
      <c r="H4326" s="19"/>
    </row>
    <row r="4327">
      <c r="A4327" s="9"/>
      <c r="B4327" s="15"/>
      <c r="C4327" s="9">
        <f>IFERROR(__xludf.DUMMYFUNCTION("""COMPUTED_VALUE"""),44560.1263157754)</f>
        <v>44560.12632</v>
      </c>
      <c r="D4327" s="15">
        <f>IFERROR(__xludf.DUMMYFUNCTION("""COMPUTED_VALUE"""),1.008)</f>
        <v>1.008</v>
      </c>
      <c r="E4327" s="16">
        <f>IFERROR(__xludf.DUMMYFUNCTION("""COMPUTED_VALUE"""),62.0)</f>
        <v>62</v>
      </c>
      <c r="F4327" s="19" t="str">
        <f>IFERROR(__xludf.DUMMYFUNCTION("""COMPUTED_VALUE"""),"BLUE")</f>
        <v>BLUE</v>
      </c>
      <c r="G4327" s="20" t="str">
        <f>IFERROR(__xludf.DUMMYFUNCTION("""COMPUTED_VALUE"""),"Uncle Sams Cider (11/12/2021) (Blue)")</f>
        <v>Uncle Sams Cider (11/12/2021) (Blue)</v>
      </c>
      <c r="H4327" s="19"/>
    </row>
    <row r="4328">
      <c r="A4328" s="9"/>
      <c r="B4328" s="15"/>
      <c r="C4328" s="9">
        <f>IFERROR(__xludf.DUMMYFUNCTION("""COMPUTED_VALUE"""),44560.1158930902)</f>
        <v>44560.11589</v>
      </c>
      <c r="D4328" s="15">
        <f>IFERROR(__xludf.DUMMYFUNCTION("""COMPUTED_VALUE"""),1.008)</f>
        <v>1.008</v>
      </c>
      <c r="E4328" s="16">
        <f>IFERROR(__xludf.DUMMYFUNCTION("""COMPUTED_VALUE"""),62.0)</f>
        <v>62</v>
      </c>
      <c r="F4328" s="19" t="str">
        <f>IFERROR(__xludf.DUMMYFUNCTION("""COMPUTED_VALUE"""),"BLUE")</f>
        <v>BLUE</v>
      </c>
      <c r="G4328" s="20" t="str">
        <f>IFERROR(__xludf.DUMMYFUNCTION("""COMPUTED_VALUE"""),"Uncle Sams Cider (11/12/2021) (Blue)")</f>
        <v>Uncle Sams Cider (11/12/2021) (Blue)</v>
      </c>
      <c r="H4328" s="19"/>
    </row>
    <row r="4329">
      <c r="A4329" s="9"/>
      <c r="B4329" s="15"/>
      <c r="C4329" s="9">
        <f>IFERROR(__xludf.DUMMYFUNCTION("""COMPUTED_VALUE"""),44560.1054728009)</f>
        <v>44560.10547</v>
      </c>
      <c r="D4329" s="15">
        <f>IFERROR(__xludf.DUMMYFUNCTION("""COMPUTED_VALUE"""),1.008)</f>
        <v>1.008</v>
      </c>
      <c r="E4329" s="16">
        <f>IFERROR(__xludf.DUMMYFUNCTION("""COMPUTED_VALUE"""),62.0)</f>
        <v>62</v>
      </c>
      <c r="F4329" s="19" t="str">
        <f>IFERROR(__xludf.DUMMYFUNCTION("""COMPUTED_VALUE"""),"BLUE")</f>
        <v>BLUE</v>
      </c>
      <c r="G4329" s="20" t="str">
        <f>IFERROR(__xludf.DUMMYFUNCTION("""COMPUTED_VALUE"""),"Uncle Sams Cider (11/12/2021) (Blue)")</f>
        <v>Uncle Sams Cider (11/12/2021) (Blue)</v>
      </c>
      <c r="H4329" s="19"/>
    </row>
    <row r="4330">
      <c r="A4330" s="9"/>
      <c r="B4330" s="15"/>
      <c r="C4330" s="9">
        <f>IFERROR(__xludf.DUMMYFUNCTION("""COMPUTED_VALUE"""),44560.0950429166)</f>
        <v>44560.09504</v>
      </c>
      <c r="D4330" s="15">
        <f>IFERROR(__xludf.DUMMYFUNCTION("""COMPUTED_VALUE"""),1.008)</f>
        <v>1.008</v>
      </c>
      <c r="E4330" s="16">
        <f>IFERROR(__xludf.DUMMYFUNCTION("""COMPUTED_VALUE"""),62.0)</f>
        <v>62</v>
      </c>
      <c r="F4330" s="19" t="str">
        <f>IFERROR(__xludf.DUMMYFUNCTION("""COMPUTED_VALUE"""),"BLUE")</f>
        <v>BLUE</v>
      </c>
      <c r="G4330" s="20" t="str">
        <f>IFERROR(__xludf.DUMMYFUNCTION("""COMPUTED_VALUE"""),"Uncle Sams Cider (11/12/2021) (Blue)")</f>
        <v>Uncle Sams Cider (11/12/2021) (Blue)</v>
      </c>
      <c r="H4330" s="19"/>
    </row>
    <row r="4331">
      <c r="A4331" s="9"/>
      <c r="B4331" s="15"/>
      <c r="C4331" s="9">
        <f>IFERROR(__xludf.DUMMYFUNCTION("""COMPUTED_VALUE"""),44560.0846211689)</f>
        <v>44560.08462</v>
      </c>
      <c r="D4331" s="15">
        <f>IFERROR(__xludf.DUMMYFUNCTION("""COMPUTED_VALUE"""),1.008)</f>
        <v>1.008</v>
      </c>
      <c r="E4331" s="16">
        <f>IFERROR(__xludf.DUMMYFUNCTION("""COMPUTED_VALUE"""),62.0)</f>
        <v>62</v>
      </c>
      <c r="F4331" s="19" t="str">
        <f>IFERROR(__xludf.DUMMYFUNCTION("""COMPUTED_VALUE"""),"BLUE")</f>
        <v>BLUE</v>
      </c>
      <c r="G4331" s="20" t="str">
        <f>IFERROR(__xludf.DUMMYFUNCTION("""COMPUTED_VALUE"""),"Uncle Sams Cider (11/12/2021) (Blue)")</f>
        <v>Uncle Sams Cider (11/12/2021) (Blue)</v>
      </c>
      <c r="H4331" s="19"/>
    </row>
    <row r="4332">
      <c r="A4332" s="9"/>
      <c r="B4332" s="15"/>
      <c r="C4332" s="9">
        <f>IFERROR(__xludf.DUMMYFUNCTION("""COMPUTED_VALUE"""),44560.0741774652)</f>
        <v>44560.07418</v>
      </c>
      <c r="D4332" s="15">
        <f>IFERROR(__xludf.DUMMYFUNCTION("""COMPUTED_VALUE"""),1.008)</f>
        <v>1.008</v>
      </c>
      <c r="E4332" s="16">
        <f>IFERROR(__xludf.DUMMYFUNCTION("""COMPUTED_VALUE"""),62.0)</f>
        <v>62</v>
      </c>
      <c r="F4332" s="19" t="str">
        <f>IFERROR(__xludf.DUMMYFUNCTION("""COMPUTED_VALUE"""),"BLUE")</f>
        <v>BLUE</v>
      </c>
      <c r="G4332" s="20" t="str">
        <f>IFERROR(__xludf.DUMMYFUNCTION("""COMPUTED_VALUE"""),"Uncle Sams Cider (11/12/2021) (Blue)")</f>
        <v>Uncle Sams Cider (11/12/2021) (Blue)</v>
      </c>
      <c r="H4332" s="19"/>
    </row>
    <row r="4333">
      <c r="A4333" s="9"/>
      <c r="B4333" s="15"/>
      <c r="C4333" s="9">
        <f>IFERROR(__xludf.DUMMYFUNCTION("""COMPUTED_VALUE"""),44560.0637559143)</f>
        <v>44560.06376</v>
      </c>
      <c r="D4333" s="15">
        <f>IFERROR(__xludf.DUMMYFUNCTION("""COMPUTED_VALUE"""),1.008)</f>
        <v>1.008</v>
      </c>
      <c r="E4333" s="16">
        <f>IFERROR(__xludf.DUMMYFUNCTION("""COMPUTED_VALUE"""),62.0)</f>
        <v>62</v>
      </c>
      <c r="F4333" s="19" t="str">
        <f>IFERROR(__xludf.DUMMYFUNCTION("""COMPUTED_VALUE"""),"BLUE")</f>
        <v>BLUE</v>
      </c>
      <c r="G4333" s="20" t="str">
        <f>IFERROR(__xludf.DUMMYFUNCTION("""COMPUTED_VALUE"""),"Uncle Sams Cider (11/12/2021) (Blue)")</f>
        <v>Uncle Sams Cider (11/12/2021) (Blue)</v>
      </c>
      <c r="H4333" s="19"/>
    </row>
    <row r="4334">
      <c r="A4334" s="9"/>
      <c r="B4334" s="15"/>
      <c r="C4334" s="9">
        <f>IFERROR(__xludf.DUMMYFUNCTION("""COMPUTED_VALUE"""),44560.0533348148)</f>
        <v>44560.05333</v>
      </c>
      <c r="D4334" s="15">
        <f>IFERROR(__xludf.DUMMYFUNCTION("""COMPUTED_VALUE"""),1.008)</f>
        <v>1.008</v>
      </c>
      <c r="E4334" s="16">
        <f>IFERROR(__xludf.DUMMYFUNCTION("""COMPUTED_VALUE"""),62.0)</f>
        <v>62</v>
      </c>
      <c r="F4334" s="19" t="str">
        <f>IFERROR(__xludf.DUMMYFUNCTION("""COMPUTED_VALUE"""),"BLUE")</f>
        <v>BLUE</v>
      </c>
      <c r="G4334" s="20" t="str">
        <f>IFERROR(__xludf.DUMMYFUNCTION("""COMPUTED_VALUE"""),"Uncle Sams Cider (11/12/2021) (Blue)")</f>
        <v>Uncle Sams Cider (11/12/2021) (Blue)</v>
      </c>
      <c r="H4334" s="19"/>
    </row>
    <row r="4335">
      <c r="A4335" s="9"/>
      <c r="B4335" s="15"/>
      <c r="C4335" s="9">
        <f>IFERROR(__xludf.DUMMYFUNCTION("""COMPUTED_VALUE"""),44560.0429122222)</f>
        <v>44560.04291</v>
      </c>
      <c r="D4335" s="15">
        <f>IFERROR(__xludf.DUMMYFUNCTION("""COMPUTED_VALUE"""),1.008)</f>
        <v>1.008</v>
      </c>
      <c r="E4335" s="16">
        <f>IFERROR(__xludf.DUMMYFUNCTION("""COMPUTED_VALUE"""),63.0)</f>
        <v>63</v>
      </c>
      <c r="F4335" s="19" t="str">
        <f>IFERROR(__xludf.DUMMYFUNCTION("""COMPUTED_VALUE"""),"BLUE")</f>
        <v>BLUE</v>
      </c>
      <c r="G4335" s="20" t="str">
        <f>IFERROR(__xludf.DUMMYFUNCTION("""COMPUTED_VALUE"""),"Uncle Sams Cider (11/12/2021) (Blue)")</f>
        <v>Uncle Sams Cider (11/12/2021) (Blue)</v>
      </c>
      <c r="H4335" s="19"/>
    </row>
    <row r="4336">
      <c r="A4336" s="9"/>
      <c r="B4336" s="15"/>
      <c r="C4336" s="9">
        <f>IFERROR(__xludf.DUMMYFUNCTION("""COMPUTED_VALUE"""),44560.032480787)</f>
        <v>44560.03248</v>
      </c>
      <c r="D4336" s="15">
        <f>IFERROR(__xludf.DUMMYFUNCTION("""COMPUTED_VALUE"""),1.008)</f>
        <v>1.008</v>
      </c>
      <c r="E4336" s="16">
        <f>IFERROR(__xludf.DUMMYFUNCTION("""COMPUTED_VALUE"""),62.0)</f>
        <v>62</v>
      </c>
      <c r="F4336" s="19" t="str">
        <f>IFERROR(__xludf.DUMMYFUNCTION("""COMPUTED_VALUE"""),"BLUE")</f>
        <v>BLUE</v>
      </c>
      <c r="G4336" s="20" t="str">
        <f>IFERROR(__xludf.DUMMYFUNCTION("""COMPUTED_VALUE"""),"Uncle Sams Cider (11/12/2021) (Blue)")</f>
        <v>Uncle Sams Cider (11/12/2021) (Blue)</v>
      </c>
      <c r="H4336" s="19"/>
    </row>
    <row r="4337">
      <c r="A4337" s="9"/>
      <c r="B4337" s="15"/>
      <c r="C4337" s="9">
        <f>IFERROR(__xludf.DUMMYFUNCTION("""COMPUTED_VALUE"""),44560.0220602083)</f>
        <v>44560.02206</v>
      </c>
      <c r="D4337" s="15">
        <f>IFERROR(__xludf.DUMMYFUNCTION("""COMPUTED_VALUE"""),1.008)</f>
        <v>1.008</v>
      </c>
      <c r="E4337" s="16">
        <f>IFERROR(__xludf.DUMMYFUNCTION("""COMPUTED_VALUE"""),62.0)</f>
        <v>62</v>
      </c>
      <c r="F4337" s="19" t="str">
        <f>IFERROR(__xludf.DUMMYFUNCTION("""COMPUTED_VALUE"""),"BLUE")</f>
        <v>BLUE</v>
      </c>
      <c r="G4337" s="20" t="str">
        <f>IFERROR(__xludf.DUMMYFUNCTION("""COMPUTED_VALUE"""),"Uncle Sams Cider (11/12/2021) (Blue)")</f>
        <v>Uncle Sams Cider (11/12/2021) (Blue)</v>
      </c>
      <c r="H4337" s="19"/>
    </row>
    <row r="4338">
      <c r="A4338" s="9"/>
      <c r="B4338" s="15"/>
      <c r="C4338" s="9">
        <f>IFERROR(__xludf.DUMMYFUNCTION("""COMPUTED_VALUE"""),44560.0116401273)</f>
        <v>44560.01164</v>
      </c>
      <c r="D4338" s="15">
        <f>IFERROR(__xludf.DUMMYFUNCTION("""COMPUTED_VALUE"""),1.008)</f>
        <v>1.008</v>
      </c>
      <c r="E4338" s="16">
        <f>IFERROR(__xludf.DUMMYFUNCTION("""COMPUTED_VALUE"""),62.0)</f>
        <v>62</v>
      </c>
      <c r="F4338" s="19" t="str">
        <f>IFERROR(__xludf.DUMMYFUNCTION("""COMPUTED_VALUE"""),"BLUE")</f>
        <v>BLUE</v>
      </c>
      <c r="G4338" s="20" t="str">
        <f>IFERROR(__xludf.DUMMYFUNCTION("""COMPUTED_VALUE"""),"Uncle Sams Cider (11/12/2021) (Blue)")</f>
        <v>Uncle Sams Cider (11/12/2021) (Blue)</v>
      </c>
      <c r="H4338" s="19"/>
    </row>
    <row r="4339">
      <c r="A4339" s="9"/>
      <c r="B4339" s="15"/>
      <c r="C4339" s="9">
        <f>IFERROR(__xludf.DUMMYFUNCTION("""COMPUTED_VALUE"""),44560.0012073958)</f>
        <v>44560.00121</v>
      </c>
      <c r="D4339" s="15">
        <f>IFERROR(__xludf.DUMMYFUNCTION("""COMPUTED_VALUE"""),1.008)</f>
        <v>1.008</v>
      </c>
      <c r="E4339" s="16">
        <f>IFERROR(__xludf.DUMMYFUNCTION("""COMPUTED_VALUE"""),62.0)</f>
        <v>62</v>
      </c>
      <c r="F4339" s="19" t="str">
        <f>IFERROR(__xludf.DUMMYFUNCTION("""COMPUTED_VALUE"""),"BLUE")</f>
        <v>BLUE</v>
      </c>
      <c r="G4339" s="20" t="str">
        <f>IFERROR(__xludf.DUMMYFUNCTION("""COMPUTED_VALUE"""),"Uncle Sams Cider (11/12/2021) (Blue)")</f>
        <v>Uncle Sams Cider (11/12/2021) (Blue)</v>
      </c>
      <c r="H4339" s="19"/>
    </row>
    <row r="4340">
      <c r="A4340" s="9"/>
      <c r="B4340" s="15"/>
      <c r="C4340" s="9">
        <f>IFERROR(__xludf.DUMMYFUNCTION("""COMPUTED_VALUE"""),44559.9907872106)</f>
        <v>44559.99079</v>
      </c>
      <c r="D4340" s="15">
        <f>IFERROR(__xludf.DUMMYFUNCTION("""COMPUTED_VALUE"""),1.008)</f>
        <v>1.008</v>
      </c>
      <c r="E4340" s="16">
        <f>IFERROR(__xludf.DUMMYFUNCTION("""COMPUTED_VALUE"""),62.0)</f>
        <v>62</v>
      </c>
      <c r="F4340" s="19" t="str">
        <f>IFERROR(__xludf.DUMMYFUNCTION("""COMPUTED_VALUE"""),"BLUE")</f>
        <v>BLUE</v>
      </c>
      <c r="G4340" s="20" t="str">
        <f>IFERROR(__xludf.DUMMYFUNCTION("""COMPUTED_VALUE"""),"Uncle Sams Cider (11/12/2021) (Blue)")</f>
        <v>Uncle Sams Cider (11/12/2021) (Blue)</v>
      </c>
      <c r="H4340" s="19"/>
    </row>
    <row r="4341">
      <c r="A4341" s="9"/>
      <c r="B4341" s="15"/>
      <c r="C4341" s="9">
        <f>IFERROR(__xludf.DUMMYFUNCTION("""COMPUTED_VALUE"""),44559.9803656134)</f>
        <v>44559.98037</v>
      </c>
      <c r="D4341" s="15">
        <f>IFERROR(__xludf.DUMMYFUNCTION("""COMPUTED_VALUE"""),1.008)</f>
        <v>1.008</v>
      </c>
      <c r="E4341" s="16">
        <f>IFERROR(__xludf.DUMMYFUNCTION("""COMPUTED_VALUE"""),62.0)</f>
        <v>62</v>
      </c>
      <c r="F4341" s="19" t="str">
        <f>IFERROR(__xludf.DUMMYFUNCTION("""COMPUTED_VALUE"""),"BLUE")</f>
        <v>BLUE</v>
      </c>
      <c r="G4341" s="20" t="str">
        <f>IFERROR(__xludf.DUMMYFUNCTION("""COMPUTED_VALUE"""),"Uncle Sams Cider (11/12/2021) (Blue)")</f>
        <v>Uncle Sams Cider (11/12/2021) (Blue)</v>
      </c>
      <c r="H4341" s="19"/>
    </row>
    <row r="4342">
      <c r="A4342" s="9"/>
      <c r="B4342" s="15"/>
      <c r="C4342" s="9">
        <f>IFERROR(__xludf.DUMMYFUNCTION("""COMPUTED_VALUE"""),44559.9699334606)</f>
        <v>44559.96993</v>
      </c>
      <c r="D4342" s="15">
        <f>IFERROR(__xludf.DUMMYFUNCTION("""COMPUTED_VALUE"""),1.008)</f>
        <v>1.008</v>
      </c>
      <c r="E4342" s="16">
        <f>IFERROR(__xludf.DUMMYFUNCTION("""COMPUTED_VALUE"""),62.0)</f>
        <v>62</v>
      </c>
      <c r="F4342" s="19" t="str">
        <f>IFERROR(__xludf.DUMMYFUNCTION("""COMPUTED_VALUE"""),"BLUE")</f>
        <v>BLUE</v>
      </c>
      <c r="G4342" s="20" t="str">
        <f>IFERROR(__xludf.DUMMYFUNCTION("""COMPUTED_VALUE"""),"Uncle Sams Cider (11/12/2021) (Blue)")</f>
        <v>Uncle Sams Cider (11/12/2021) (Blue)</v>
      </c>
      <c r="H4342" s="19"/>
    </row>
    <row r="4343">
      <c r="A4343" s="9"/>
      <c r="B4343" s="15"/>
      <c r="C4343" s="9">
        <f>IFERROR(__xludf.DUMMYFUNCTION("""COMPUTED_VALUE"""),44559.9595135763)</f>
        <v>44559.95951</v>
      </c>
      <c r="D4343" s="15">
        <f>IFERROR(__xludf.DUMMYFUNCTION("""COMPUTED_VALUE"""),1.008)</f>
        <v>1.008</v>
      </c>
      <c r="E4343" s="16">
        <f>IFERROR(__xludf.DUMMYFUNCTION("""COMPUTED_VALUE"""),62.0)</f>
        <v>62</v>
      </c>
      <c r="F4343" s="19" t="str">
        <f>IFERROR(__xludf.DUMMYFUNCTION("""COMPUTED_VALUE"""),"BLUE")</f>
        <v>BLUE</v>
      </c>
      <c r="G4343" s="20" t="str">
        <f>IFERROR(__xludf.DUMMYFUNCTION("""COMPUTED_VALUE"""),"Uncle Sams Cider (11/12/2021) (Blue)")</f>
        <v>Uncle Sams Cider (11/12/2021) (Blue)</v>
      </c>
      <c r="H4343" s="19"/>
    </row>
    <row r="4344">
      <c r="A4344" s="9"/>
      <c r="B4344" s="15"/>
      <c r="C4344" s="9">
        <f>IFERROR(__xludf.DUMMYFUNCTION("""COMPUTED_VALUE"""),44559.9490919907)</f>
        <v>44559.94909</v>
      </c>
      <c r="D4344" s="15">
        <f>IFERROR(__xludf.DUMMYFUNCTION("""COMPUTED_VALUE"""),1.008)</f>
        <v>1.008</v>
      </c>
      <c r="E4344" s="16">
        <f>IFERROR(__xludf.DUMMYFUNCTION("""COMPUTED_VALUE"""),62.0)</f>
        <v>62</v>
      </c>
      <c r="F4344" s="19" t="str">
        <f>IFERROR(__xludf.DUMMYFUNCTION("""COMPUTED_VALUE"""),"BLUE")</f>
        <v>BLUE</v>
      </c>
      <c r="G4344" s="20" t="str">
        <f>IFERROR(__xludf.DUMMYFUNCTION("""COMPUTED_VALUE"""),"Uncle Sams Cider (11/12/2021) (Blue)")</f>
        <v>Uncle Sams Cider (11/12/2021) (Blue)</v>
      </c>
      <c r="H4344" s="19"/>
    </row>
    <row r="4345">
      <c r="A4345" s="9"/>
      <c r="B4345" s="15"/>
      <c r="C4345" s="9">
        <f>IFERROR(__xludf.DUMMYFUNCTION("""COMPUTED_VALUE"""),44559.938659537)</f>
        <v>44559.93866</v>
      </c>
      <c r="D4345" s="15">
        <f>IFERROR(__xludf.DUMMYFUNCTION("""COMPUTED_VALUE"""),1.008)</f>
        <v>1.008</v>
      </c>
      <c r="E4345" s="16">
        <f>IFERROR(__xludf.DUMMYFUNCTION("""COMPUTED_VALUE"""),62.0)</f>
        <v>62</v>
      </c>
      <c r="F4345" s="19" t="str">
        <f>IFERROR(__xludf.DUMMYFUNCTION("""COMPUTED_VALUE"""),"BLUE")</f>
        <v>BLUE</v>
      </c>
      <c r="G4345" s="20" t="str">
        <f>IFERROR(__xludf.DUMMYFUNCTION("""COMPUTED_VALUE"""),"Uncle Sams Cider (11/12/2021) (Blue)")</f>
        <v>Uncle Sams Cider (11/12/2021) (Blue)</v>
      </c>
      <c r="H4345" s="19"/>
    </row>
    <row r="4346">
      <c r="A4346" s="9"/>
      <c r="B4346" s="15"/>
      <c r="C4346" s="9">
        <f>IFERROR(__xludf.DUMMYFUNCTION("""COMPUTED_VALUE"""),44559.9282367592)</f>
        <v>44559.92824</v>
      </c>
      <c r="D4346" s="15">
        <f>IFERROR(__xludf.DUMMYFUNCTION("""COMPUTED_VALUE"""),1.008)</f>
        <v>1.008</v>
      </c>
      <c r="E4346" s="16">
        <f>IFERROR(__xludf.DUMMYFUNCTION("""COMPUTED_VALUE"""),62.0)</f>
        <v>62</v>
      </c>
      <c r="F4346" s="19" t="str">
        <f>IFERROR(__xludf.DUMMYFUNCTION("""COMPUTED_VALUE"""),"BLUE")</f>
        <v>BLUE</v>
      </c>
      <c r="G4346" s="20" t="str">
        <f>IFERROR(__xludf.DUMMYFUNCTION("""COMPUTED_VALUE"""),"Uncle Sams Cider (11/12/2021) (Blue)")</f>
        <v>Uncle Sams Cider (11/12/2021) (Blue)</v>
      </c>
      <c r="H4346" s="19"/>
    </row>
    <row r="4347">
      <c r="A4347" s="9"/>
      <c r="B4347" s="15"/>
      <c r="C4347" s="9">
        <f>IFERROR(__xludf.DUMMYFUNCTION("""COMPUTED_VALUE"""),44559.9178142824)</f>
        <v>44559.91781</v>
      </c>
      <c r="D4347" s="15">
        <f>IFERROR(__xludf.DUMMYFUNCTION("""COMPUTED_VALUE"""),1.008)</f>
        <v>1.008</v>
      </c>
      <c r="E4347" s="16">
        <f>IFERROR(__xludf.DUMMYFUNCTION("""COMPUTED_VALUE"""),62.0)</f>
        <v>62</v>
      </c>
      <c r="F4347" s="19" t="str">
        <f>IFERROR(__xludf.DUMMYFUNCTION("""COMPUTED_VALUE"""),"BLUE")</f>
        <v>BLUE</v>
      </c>
      <c r="G4347" s="20" t="str">
        <f>IFERROR(__xludf.DUMMYFUNCTION("""COMPUTED_VALUE"""),"Uncle Sams Cider (11/12/2021) (Blue)")</f>
        <v>Uncle Sams Cider (11/12/2021) (Blue)</v>
      </c>
      <c r="H4347" s="19"/>
    </row>
    <row r="4348">
      <c r="A4348" s="9"/>
      <c r="B4348" s="15"/>
      <c r="C4348" s="9">
        <f>IFERROR(__xludf.DUMMYFUNCTION("""COMPUTED_VALUE"""),44559.9073935069)</f>
        <v>44559.90739</v>
      </c>
      <c r="D4348" s="15">
        <f>IFERROR(__xludf.DUMMYFUNCTION("""COMPUTED_VALUE"""),1.008)</f>
        <v>1.008</v>
      </c>
      <c r="E4348" s="16">
        <f>IFERROR(__xludf.DUMMYFUNCTION("""COMPUTED_VALUE"""),62.0)</f>
        <v>62</v>
      </c>
      <c r="F4348" s="19" t="str">
        <f>IFERROR(__xludf.DUMMYFUNCTION("""COMPUTED_VALUE"""),"BLUE")</f>
        <v>BLUE</v>
      </c>
      <c r="G4348" s="20" t="str">
        <f>IFERROR(__xludf.DUMMYFUNCTION("""COMPUTED_VALUE"""),"Uncle Sams Cider (11/12/2021) (Blue)")</f>
        <v>Uncle Sams Cider (11/12/2021) (Blue)</v>
      </c>
      <c r="H4348" s="19"/>
    </row>
    <row r="4349">
      <c r="A4349" s="9"/>
      <c r="B4349" s="15"/>
      <c r="C4349" s="9">
        <f>IFERROR(__xludf.DUMMYFUNCTION("""COMPUTED_VALUE"""),44559.8969714236)</f>
        <v>44559.89697</v>
      </c>
      <c r="D4349" s="15">
        <f>IFERROR(__xludf.DUMMYFUNCTION("""COMPUTED_VALUE"""),1.008)</f>
        <v>1.008</v>
      </c>
      <c r="E4349" s="16">
        <f>IFERROR(__xludf.DUMMYFUNCTION("""COMPUTED_VALUE"""),62.0)</f>
        <v>62</v>
      </c>
      <c r="F4349" s="19" t="str">
        <f>IFERROR(__xludf.DUMMYFUNCTION("""COMPUTED_VALUE"""),"BLUE")</f>
        <v>BLUE</v>
      </c>
      <c r="G4349" s="20" t="str">
        <f>IFERROR(__xludf.DUMMYFUNCTION("""COMPUTED_VALUE"""),"Uncle Sams Cider (11/12/2021) (Blue)")</f>
        <v>Uncle Sams Cider (11/12/2021) (Blue)</v>
      </c>
      <c r="H4349" s="19"/>
    </row>
    <row r="4350">
      <c r="A4350" s="9"/>
      <c r="B4350" s="15"/>
      <c r="C4350" s="9">
        <f>IFERROR(__xludf.DUMMYFUNCTION("""COMPUTED_VALUE"""),44559.8865499768)</f>
        <v>44559.88655</v>
      </c>
      <c r="D4350" s="15">
        <f>IFERROR(__xludf.DUMMYFUNCTION("""COMPUTED_VALUE"""),1.008)</f>
        <v>1.008</v>
      </c>
      <c r="E4350" s="16">
        <f>IFERROR(__xludf.DUMMYFUNCTION("""COMPUTED_VALUE"""),62.0)</f>
        <v>62</v>
      </c>
      <c r="F4350" s="19" t="str">
        <f>IFERROR(__xludf.DUMMYFUNCTION("""COMPUTED_VALUE"""),"BLUE")</f>
        <v>BLUE</v>
      </c>
      <c r="G4350" s="20" t="str">
        <f>IFERROR(__xludf.DUMMYFUNCTION("""COMPUTED_VALUE"""),"Uncle Sams Cider (11/12/2021) (Blue)")</f>
        <v>Uncle Sams Cider (11/12/2021) (Blue)</v>
      </c>
      <c r="H4350" s="19"/>
    </row>
    <row r="4351">
      <c r="A4351" s="9"/>
      <c r="B4351" s="15"/>
      <c r="C4351" s="9">
        <f>IFERROR(__xludf.DUMMYFUNCTION("""COMPUTED_VALUE"""),44559.876093206)</f>
        <v>44559.87609</v>
      </c>
      <c r="D4351" s="15">
        <f>IFERROR(__xludf.DUMMYFUNCTION("""COMPUTED_VALUE"""),1.008)</f>
        <v>1.008</v>
      </c>
      <c r="E4351" s="16">
        <f>IFERROR(__xludf.DUMMYFUNCTION("""COMPUTED_VALUE"""),62.0)</f>
        <v>62</v>
      </c>
      <c r="F4351" s="19" t="str">
        <f>IFERROR(__xludf.DUMMYFUNCTION("""COMPUTED_VALUE"""),"BLUE")</f>
        <v>BLUE</v>
      </c>
      <c r="G4351" s="20" t="str">
        <f>IFERROR(__xludf.DUMMYFUNCTION("""COMPUTED_VALUE"""),"Uncle Sams Cider (11/12/2021) (Blue)")</f>
        <v>Uncle Sams Cider (11/12/2021) (Blue)</v>
      </c>
      <c r="H4351" s="19"/>
    </row>
    <row r="4352">
      <c r="A4352" s="9"/>
      <c r="B4352" s="15"/>
      <c r="C4352" s="9">
        <f>IFERROR(__xludf.DUMMYFUNCTION("""COMPUTED_VALUE"""),44559.8656711689)</f>
        <v>44559.86567</v>
      </c>
      <c r="D4352" s="15">
        <f>IFERROR(__xludf.DUMMYFUNCTION("""COMPUTED_VALUE"""),1.008)</f>
        <v>1.008</v>
      </c>
      <c r="E4352" s="16">
        <f>IFERROR(__xludf.DUMMYFUNCTION("""COMPUTED_VALUE"""),62.0)</f>
        <v>62</v>
      </c>
      <c r="F4352" s="19" t="str">
        <f>IFERROR(__xludf.DUMMYFUNCTION("""COMPUTED_VALUE"""),"BLUE")</f>
        <v>BLUE</v>
      </c>
      <c r="G4352" s="20" t="str">
        <f>IFERROR(__xludf.DUMMYFUNCTION("""COMPUTED_VALUE"""),"Uncle Sams Cider (11/12/2021) (Blue)")</f>
        <v>Uncle Sams Cider (11/12/2021) (Blue)</v>
      </c>
      <c r="H4352" s="19"/>
    </row>
    <row r="4353">
      <c r="A4353" s="9"/>
      <c r="B4353" s="15"/>
      <c r="C4353" s="9">
        <f>IFERROR(__xludf.DUMMYFUNCTION("""COMPUTED_VALUE"""),44559.8552508564)</f>
        <v>44559.85525</v>
      </c>
      <c r="D4353" s="15">
        <f>IFERROR(__xludf.DUMMYFUNCTION("""COMPUTED_VALUE"""),1.008)</f>
        <v>1.008</v>
      </c>
      <c r="E4353" s="16">
        <f>IFERROR(__xludf.DUMMYFUNCTION("""COMPUTED_VALUE"""),62.0)</f>
        <v>62</v>
      </c>
      <c r="F4353" s="19" t="str">
        <f>IFERROR(__xludf.DUMMYFUNCTION("""COMPUTED_VALUE"""),"BLUE")</f>
        <v>BLUE</v>
      </c>
      <c r="G4353" s="20" t="str">
        <f>IFERROR(__xludf.DUMMYFUNCTION("""COMPUTED_VALUE"""),"Uncle Sams Cider (11/12/2021) (Blue)")</f>
        <v>Uncle Sams Cider (11/12/2021) (Blue)</v>
      </c>
      <c r="H4353" s="19"/>
    </row>
    <row r="4354">
      <c r="A4354" s="9"/>
      <c r="B4354" s="15"/>
      <c r="C4354" s="9">
        <f>IFERROR(__xludf.DUMMYFUNCTION("""COMPUTED_VALUE"""),44559.8448295717)</f>
        <v>44559.84483</v>
      </c>
      <c r="D4354" s="15">
        <f>IFERROR(__xludf.DUMMYFUNCTION("""COMPUTED_VALUE"""),1.008)</f>
        <v>1.008</v>
      </c>
      <c r="E4354" s="16">
        <f>IFERROR(__xludf.DUMMYFUNCTION("""COMPUTED_VALUE"""),62.0)</f>
        <v>62</v>
      </c>
      <c r="F4354" s="19" t="str">
        <f>IFERROR(__xludf.DUMMYFUNCTION("""COMPUTED_VALUE"""),"BLUE")</f>
        <v>BLUE</v>
      </c>
      <c r="G4354" s="20" t="str">
        <f>IFERROR(__xludf.DUMMYFUNCTION("""COMPUTED_VALUE"""),"Uncle Sams Cider (11/12/2021) (Blue)")</f>
        <v>Uncle Sams Cider (11/12/2021) (Blue)</v>
      </c>
      <c r="H4354" s="19"/>
    </row>
    <row r="4355">
      <c r="A4355" s="9"/>
      <c r="B4355" s="15"/>
      <c r="C4355" s="9">
        <f>IFERROR(__xludf.DUMMYFUNCTION("""COMPUTED_VALUE"""),44559.8344107754)</f>
        <v>44559.83441</v>
      </c>
      <c r="D4355" s="15">
        <f>IFERROR(__xludf.DUMMYFUNCTION("""COMPUTED_VALUE"""),1.008)</f>
        <v>1.008</v>
      </c>
      <c r="E4355" s="16">
        <f>IFERROR(__xludf.DUMMYFUNCTION("""COMPUTED_VALUE"""),62.0)</f>
        <v>62</v>
      </c>
      <c r="F4355" s="19" t="str">
        <f>IFERROR(__xludf.DUMMYFUNCTION("""COMPUTED_VALUE"""),"BLUE")</f>
        <v>BLUE</v>
      </c>
      <c r="G4355" s="20" t="str">
        <f>IFERROR(__xludf.DUMMYFUNCTION("""COMPUTED_VALUE"""),"Uncle Sams Cider (11/12/2021) (Blue)")</f>
        <v>Uncle Sams Cider (11/12/2021) (Blue)</v>
      </c>
      <c r="H4355" s="19"/>
    </row>
    <row r="4356">
      <c r="A4356" s="9"/>
      <c r="B4356" s="15"/>
      <c r="C4356" s="9">
        <f>IFERROR(__xludf.DUMMYFUNCTION("""COMPUTED_VALUE"""),44559.8239891782)</f>
        <v>44559.82399</v>
      </c>
      <c r="D4356" s="15">
        <f>IFERROR(__xludf.DUMMYFUNCTION("""COMPUTED_VALUE"""),1.008)</f>
        <v>1.008</v>
      </c>
      <c r="E4356" s="16">
        <f>IFERROR(__xludf.DUMMYFUNCTION("""COMPUTED_VALUE"""),62.0)</f>
        <v>62</v>
      </c>
      <c r="F4356" s="19" t="str">
        <f>IFERROR(__xludf.DUMMYFUNCTION("""COMPUTED_VALUE"""),"BLUE")</f>
        <v>BLUE</v>
      </c>
      <c r="G4356" s="20" t="str">
        <f>IFERROR(__xludf.DUMMYFUNCTION("""COMPUTED_VALUE"""),"Uncle Sams Cider (11/12/2021) (Blue)")</f>
        <v>Uncle Sams Cider (11/12/2021) (Blue)</v>
      </c>
      <c r="H4356" s="19"/>
    </row>
    <row r="4357">
      <c r="A4357" s="9"/>
      <c r="B4357" s="15"/>
      <c r="C4357" s="9">
        <f>IFERROR(__xludf.DUMMYFUNCTION("""COMPUTED_VALUE"""),44559.8135680208)</f>
        <v>44559.81357</v>
      </c>
      <c r="D4357" s="15">
        <f>IFERROR(__xludf.DUMMYFUNCTION("""COMPUTED_VALUE"""),1.008)</f>
        <v>1.008</v>
      </c>
      <c r="E4357" s="16">
        <f>IFERROR(__xludf.DUMMYFUNCTION("""COMPUTED_VALUE"""),62.0)</f>
        <v>62</v>
      </c>
      <c r="F4357" s="19" t="str">
        <f>IFERROR(__xludf.DUMMYFUNCTION("""COMPUTED_VALUE"""),"BLUE")</f>
        <v>BLUE</v>
      </c>
      <c r="G4357" s="20" t="str">
        <f>IFERROR(__xludf.DUMMYFUNCTION("""COMPUTED_VALUE"""),"Uncle Sams Cider (11/12/2021) (Blue)")</f>
        <v>Uncle Sams Cider (11/12/2021) (Blue)</v>
      </c>
      <c r="H4357" s="19"/>
    </row>
    <row r="4358">
      <c r="A4358" s="9"/>
      <c r="B4358" s="15"/>
      <c r="C4358" s="9">
        <f>IFERROR(__xludf.DUMMYFUNCTION("""COMPUTED_VALUE"""),44559.8031463541)</f>
        <v>44559.80315</v>
      </c>
      <c r="D4358" s="15">
        <f>IFERROR(__xludf.DUMMYFUNCTION("""COMPUTED_VALUE"""),1.008)</f>
        <v>1.008</v>
      </c>
      <c r="E4358" s="16">
        <f>IFERROR(__xludf.DUMMYFUNCTION("""COMPUTED_VALUE"""),62.0)</f>
        <v>62</v>
      </c>
      <c r="F4358" s="19" t="str">
        <f>IFERROR(__xludf.DUMMYFUNCTION("""COMPUTED_VALUE"""),"BLUE")</f>
        <v>BLUE</v>
      </c>
      <c r="G4358" s="20" t="str">
        <f>IFERROR(__xludf.DUMMYFUNCTION("""COMPUTED_VALUE"""),"Uncle Sams Cider (11/12/2021) (Blue)")</f>
        <v>Uncle Sams Cider (11/12/2021) (Blue)</v>
      </c>
      <c r="H4358" s="19"/>
    </row>
    <row r="4359">
      <c r="A4359" s="9"/>
      <c r="B4359" s="15"/>
      <c r="C4359" s="9">
        <f>IFERROR(__xludf.DUMMYFUNCTION("""COMPUTED_VALUE"""),44559.7927238773)</f>
        <v>44559.79272</v>
      </c>
      <c r="D4359" s="15">
        <f>IFERROR(__xludf.DUMMYFUNCTION("""COMPUTED_VALUE"""),1.008)</f>
        <v>1.008</v>
      </c>
      <c r="E4359" s="16">
        <f>IFERROR(__xludf.DUMMYFUNCTION("""COMPUTED_VALUE"""),62.0)</f>
        <v>62</v>
      </c>
      <c r="F4359" s="19" t="str">
        <f>IFERROR(__xludf.DUMMYFUNCTION("""COMPUTED_VALUE"""),"BLUE")</f>
        <v>BLUE</v>
      </c>
      <c r="G4359" s="20" t="str">
        <f>IFERROR(__xludf.DUMMYFUNCTION("""COMPUTED_VALUE"""),"Uncle Sams Cider (11/12/2021) (Blue)")</f>
        <v>Uncle Sams Cider (11/12/2021) (Blue)</v>
      </c>
      <c r="H4359" s="19"/>
    </row>
    <row r="4360">
      <c r="A4360" s="9"/>
      <c r="B4360" s="15"/>
      <c r="C4360" s="9">
        <f>IFERROR(__xludf.DUMMYFUNCTION("""COMPUTED_VALUE"""),44559.7823035648)</f>
        <v>44559.7823</v>
      </c>
      <c r="D4360" s="15">
        <f>IFERROR(__xludf.DUMMYFUNCTION("""COMPUTED_VALUE"""),1.008)</f>
        <v>1.008</v>
      </c>
      <c r="E4360" s="16">
        <f>IFERROR(__xludf.DUMMYFUNCTION("""COMPUTED_VALUE"""),62.0)</f>
        <v>62</v>
      </c>
      <c r="F4360" s="19" t="str">
        <f>IFERROR(__xludf.DUMMYFUNCTION("""COMPUTED_VALUE"""),"BLUE")</f>
        <v>BLUE</v>
      </c>
      <c r="G4360" s="20" t="str">
        <f>IFERROR(__xludf.DUMMYFUNCTION("""COMPUTED_VALUE"""),"Uncle Sams Cider (11/12/2021) (Blue)")</f>
        <v>Uncle Sams Cider (11/12/2021) (Blue)</v>
      </c>
      <c r="H4360" s="19"/>
    </row>
    <row r="4361">
      <c r="A4361" s="9"/>
      <c r="B4361" s="15"/>
      <c r="C4361" s="9">
        <f>IFERROR(__xludf.DUMMYFUNCTION("""COMPUTED_VALUE"""),44559.7718815277)</f>
        <v>44559.77188</v>
      </c>
      <c r="D4361" s="15">
        <f>IFERROR(__xludf.DUMMYFUNCTION("""COMPUTED_VALUE"""),1.008)</f>
        <v>1.008</v>
      </c>
      <c r="E4361" s="16">
        <f>IFERROR(__xludf.DUMMYFUNCTION("""COMPUTED_VALUE"""),62.0)</f>
        <v>62</v>
      </c>
      <c r="F4361" s="19" t="str">
        <f>IFERROR(__xludf.DUMMYFUNCTION("""COMPUTED_VALUE"""),"BLUE")</f>
        <v>BLUE</v>
      </c>
      <c r="G4361" s="20" t="str">
        <f>IFERROR(__xludf.DUMMYFUNCTION("""COMPUTED_VALUE"""),"Uncle Sams Cider (11/12/2021) (Blue)")</f>
        <v>Uncle Sams Cider (11/12/2021) (Blue)</v>
      </c>
      <c r="H4361" s="19"/>
    </row>
    <row r="4362">
      <c r="A4362" s="9"/>
      <c r="B4362" s="15"/>
      <c r="C4362" s="9">
        <f>IFERROR(__xludf.DUMMYFUNCTION("""COMPUTED_VALUE"""),44559.7614629745)</f>
        <v>44559.76146</v>
      </c>
      <c r="D4362" s="15">
        <f>IFERROR(__xludf.DUMMYFUNCTION("""COMPUTED_VALUE"""),1.008)</f>
        <v>1.008</v>
      </c>
      <c r="E4362" s="16">
        <f>IFERROR(__xludf.DUMMYFUNCTION("""COMPUTED_VALUE"""),62.0)</f>
        <v>62</v>
      </c>
      <c r="F4362" s="19" t="str">
        <f>IFERROR(__xludf.DUMMYFUNCTION("""COMPUTED_VALUE"""),"BLUE")</f>
        <v>BLUE</v>
      </c>
      <c r="G4362" s="20" t="str">
        <f>IFERROR(__xludf.DUMMYFUNCTION("""COMPUTED_VALUE"""),"Uncle Sams Cider (11/12/2021) (Blue)")</f>
        <v>Uncle Sams Cider (11/12/2021) (Blue)</v>
      </c>
      <c r="H4362" s="19"/>
    </row>
    <row r="4363">
      <c r="A4363" s="9"/>
      <c r="B4363" s="15"/>
      <c r="C4363" s="9">
        <f>IFERROR(__xludf.DUMMYFUNCTION("""COMPUTED_VALUE"""),44559.7510412152)</f>
        <v>44559.75104</v>
      </c>
      <c r="D4363" s="15">
        <f>IFERROR(__xludf.DUMMYFUNCTION("""COMPUTED_VALUE"""),1.008)</f>
        <v>1.008</v>
      </c>
      <c r="E4363" s="16">
        <f>IFERROR(__xludf.DUMMYFUNCTION("""COMPUTED_VALUE"""),62.0)</f>
        <v>62</v>
      </c>
      <c r="F4363" s="19" t="str">
        <f>IFERROR(__xludf.DUMMYFUNCTION("""COMPUTED_VALUE"""),"BLUE")</f>
        <v>BLUE</v>
      </c>
      <c r="G4363" s="20" t="str">
        <f>IFERROR(__xludf.DUMMYFUNCTION("""COMPUTED_VALUE"""),"Uncle Sams Cider (11/12/2021) (Blue)")</f>
        <v>Uncle Sams Cider (11/12/2021) (Blue)</v>
      </c>
      <c r="H4363" s="19"/>
    </row>
    <row r="4364">
      <c r="A4364" s="9"/>
      <c r="B4364" s="15"/>
      <c r="C4364" s="9">
        <f>IFERROR(__xludf.DUMMYFUNCTION("""COMPUTED_VALUE"""),44559.7406206249)</f>
        <v>44559.74062</v>
      </c>
      <c r="D4364" s="15">
        <f>IFERROR(__xludf.DUMMYFUNCTION("""COMPUTED_VALUE"""),1.008)</f>
        <v>1.008</v>
      </c>
      <c r="E4364" s="16">
        <f>IFERROR(__xludf.DUMMYFUNCTION("""COMPUTED_VALUE"""),62.0)</f>
        <v>62</v>
      </c>
      <c r="F4364" s="19" t="str">
        <f>IFERROR(__xludf.DUMMYFUNCTION("""COMPUTED_VALUE"""),"BLUE")</f>
        <v>BLUE</v>
      </c>
      <c r="G4364" s="20" t="str">
        <f>IFERROR(__xludf.DUMMYFUNCTION("""COMPUTED_VALUE"""),"Uncle Sams Cider (11/12/2021) (Blue)")</f>
        <v>Uncle Sams Cider (11/12/2021) (Blue)</v>
      </c>
      <c r="H4364" s="19"/>
    </row>
    <row r="4365">
      <c r="A4365" s="9"/>
      <c r="B4365" s="15"/>
      <c r="C4365" s="9">
        <f>IFERROR(__xludf.DUMMYFUNCTION("""COMPUTED_VALUE"""),44559.7301980902)</f>
        <v>44559.7302</v>
      </c>
      <c r="D4365" s="15">
        <f>IFERROR(__xludf.DUMMYFUNCTION("""COMPUTED_VALUE"""),1.008)</f>
        <v>1.008</v>
      </c>
      <c r="E4365" s="16">
        <f>IFERROR(__xludf.DUMMYFUNCTION("""COMPUTED_VALUE"""),63.0)</f>
        <v>63</v>
      </c>
      <c r="F4365" s="19" t="str">
        <f>IFERROR(__xludf.DUMMYFUNCTION("""COMPUTED_VALUE"""),"BLUE")</f>
        <v>BLUE</v>
      </c>
      <c r="G4365" s="20" t="str">
        <f>IFERROR(__xludf.DUMMYFUNCTION("""COMPUTED_VALUE"""),"Uncle Sams Cider (11/12/2021) (Blue)")</f>
        <v>Uncle Sams Cider (11/12/2021) (Blue)</v>
      </c>
      <c r="H4365" s="19"/>
    </row>
    <row r="4366">
      <c r="A4366" s="9"/>
      <c r="B4366" s="15"/>
      <c r="C4366" s="9">
        <f>IFERROR(__xludf.DUMMYFUNCTION("""COMPUTED_VALUE"""),44559.7197762384)</f>
        <v>44559.71978</v>
      </c>
      <c r="D4366" s="15">
        <f>IFERROR(__xludf.DUMMYFUNCTION("""COMPUTED_VALUE"""),1.008)</f>
        <v>1.008</v>
      </c>
      <c r="E4366" s="16">
        <f>IFERROR(__xludf.DUMMYFUNCTION("""COMPUTED_VALUE"""),62.0)</f>
        <v>62</v>
      </c>
      <c r="F4366" s="19" t="str">
        <f>IFERROR(__xludf.DUMMYFUNCTION("""COMPUTED_VALUE"""),"BLUE")</f>
        <v>BLUE</v>
      </c>
      <c r="G4366" s="20" t="str">
        <f>IFERROR(__xludf.DUMMYFUNCTION("""COMPUTED_VALUE"""),"Uncle Sams Cider (11/12/2021) (Blue)")</f>
        <v>Uncle Sams Cider (11/12/2021) (Blue)</v>
      </c>
      <c r="H4366" s="19"/>
    </row>
    <row r="4367">
      <c r="A4367" s="9"/>
      <c r="B4367" s="15"/>
      <c r="C4367" s="9">
        <f>IFERROR(__xludf.DUMMYFUNCTION("""COMPUTED_VALUE"""),44559.7093431018)</f>
        <v>44559.70934</v>
      </c>
      <c r="D4367" s="15">
        <f>IFERROR(__xludf.DUMMYFUNCTION("""COMPUTED_VALUE"""),1.008)</f>
        <v>1.008</v>
      </c>
      <c r="E4367" s="16">
        <f>IFERROR(__xludf.DUMMYFUNCTION("""COMPUTED_VALUE"""),62.0)</f>
        <v>62</v>
      </c>
      <c r="F4367" s="19" t="str">
        <f>IFERROR(__xludf.DUMMYFUNCTION("""COMPUTED_VALUE"""),"BLUE")</f>
        <v>BLUE</v>
      </c>
      <c r="G4367" s="20" t="str">
        <f>IFERROR(__xludf.DUMMYFUNCTION("""COMPUTED_VALUE"""),"Uncle Sams Cider (11/12/2021) (Blue)")</f>
        <v>Uncle Sams Cider (11/12/2021) (Blue)</v>
      </c>
      <c r="H4367" s="19"/>
    </row>
    <row r="4368">
      <c r="A4368" s="9"/>
      <c r="B4368" s="15"/>
      <c r="C4368" s="9">
        <f>IFERROR(__xludf.DUMMYFUNCTION("""COMPUTED_VALUE"""),44559.6989221412)</f>
        <v>44559.69892</v>
      </c>
      <c r="D4368" s="15">
        <f>IFERROR(__xludf.DUMMYFUNCTION("""COMPUTED_VALUE"""),1.008)</f>
        <v>1.008</v>
      </c>
      <c r="E4368" s="16">
        <f>IFERROR(__xludf.DUMMYFUNCTION("""COMPUTED_VALUE"""),62.0)</f>
        <v>62</v>
      </c>
      <c r="F4368" s="19" t="str">
        <f>IFERROR(__xludf.DUMMYFUNCTION("""COMPUTED_VALUE"""),"BLUE")</f>
        <v>BLUE</v>
      </c>
      <c r="G4368" s="20" t="str">
        <f>IFERROR(__xludf.DUMMYFUNCTION("""COMPUTED_VALUE"""),"Uncle Sams Cider (11/12/2021) (Blue)")</f>
        <v>Uncle Sams Cider (11/12/2021) (Blue)</v>
      </c>
      <c r="H4368" s="19"/>
    </row>
    <row r="4369">
      <c r="A4369" s="9"/>
      <c r="B4369" s="15"/>
      <c r="C4369" s="9">
        <f>IFERROR(__xludf.DUMMYFUNCTION("""COMPUTED_VALUE"""),44559.6884897685)</f>
        <v>44559.68849</v>
      </c>
      <c r="D4369" s="15">
        <f>IFERROR(__xludf.DUMMYFUNCTION("""COMPUTED_VALUE"""),1.008)</f>
        <v>1.008</v>
      </c>
      <c r="E4369" s="16">
        <f>IFERROR(__xludf.DUMMYFUNCTION("""COMPUTED_VALUE"""),62.0)</f>
        <v>62</v>
      </c>
      <c r="F4369" s="19" t="str">
        <f>IFERROR(__xludf.DUMMYFUNCTION("""COMPUTED_VALUE"""),"BLUE")</f>
        <v>BLUE</v>
      </c>
      <c r="G4369" s="20" t="str">
        <f>IFERROR(__xludf.DUMMYFUNCTION("""COMPUTED_VALUE"""),"Uncle Sams Cider (11/12/2021) (Blue)")</f>
        <v>Uncle Sams Cider (11/12/2021) (Blue)</v>
      </c>
      <c r="H4369" s="19"/>
    </row>
    <row r="4370">
      <c r="A4370" s="9"/>
      <c r="B4370" s="15"/>
      <c r="C4370" s="9">
        <f>IFERROR(__xludf.DUMMYFUNCTION("""COMPUTED_VALUE"""),44559.6780686226)</f>
        <v>44559.67807</v>
      </c>
      <c r="D4370" s="15">
        <f>IFERROR(__xludf.DUMMYFUNCTION("""COMPUTED_VALUE"""),1.008)</f>
        <v>1.008</v>
      </c>
      <c r="E4370" s="16">
        <f>IFERROR(__xludf.DUMMYFUNCTION("""COMPUTED_VALUE"""),63.0)</f>
        <v>63</v>
      </c>
      <c r="F4370" s="19" t="str">
        <f>IFERROR(__xludf.DUMMYFUNCTION("""COMPUTED_VALUE"""),"BLUE")</f>
        <v>BLUE</v>
      </c>
      <c r="G4370" s="20" t="str">
        <f>IFERROR(__xludf.DUMMYFUNCTION("""COMPUTED_VALUE"""),"Uncle Sams Cider (11/12/2021) (Blue)")</f>
        <v>Uncle Sams Cider (11/12/2021) (Blue)</v>
      </c>
      <c r="H4370" s="19"/>
    </row>
    <row r="4371">
      <c r="A4371" s="9"/>
      <c r="B4371" s="15"/>
      <c r="C4371" s="9">
        <f>IFERROR(__xludf.DUMMYFUNCTION("""COMPUTED_VALUE"""),44559.6676481365)</f>
        <v>44559.66765</v>
      </c>
      <c r="D4371" s="15">
        <f>IFERROR(__xludf.DUMMYFUNCTION("""COMPUTED_VALUE"""),1.008)</f>
        <v>1.008</v>
      </c>
      <c r="E4371" s="16">
        <f>IFERROR(__xludf.DUMMYFUNCTION("""COMPUTED_VALUE"""),62.0)</f>
        <v>62</v>
      </c>
      <c r="F4371" s="19" t="str">
        <f>IFERROR(__xludf.DUMMYFUNCTION("""COMPUTED_VALUE"""),"BLUE")</f>
        <v>BLUE</v>
      </c>
      <c r="G4371" s="20" t="str">
        <f>IFERROR(__xludf.DUMMYFUNCTION("""COMPUTED_VALUE"""),"Uncle Sams Cider (11/12/2021) (Blue)")</f>
        <v>Uncle Sams Cider (11/12/2021) (Blue)</v>
      </c>
      <c r="H4371" s="19"/>
    </row>
    <row r="4372">
      <c r="A4372" s="9"/>
      <c r="B4372" s="15"/>
      <c r="C4372" s="9">
        <f>IFERROR(__xludf.DUMMYFUNCTION("""COMPUTED_VALUE"""),44559.6572268171)</f>
        <v>44559.65723</v>
      </c>
      <c r="D4372" s="15">
        <f>IFERROR(__xludf.DUMMYFUNCTION("""COMPUTED_VALUE"""),1.008)</f>
        <v>1.008</v>
      </c>
      <c r="E4372" s="16">
        <f>IFERROR(__xludf.DUMMYFUNCTION("""COMPUTED_VALUE"""),62.0)</f>
        <v>62</v>
      </c>
      <c r="F4372" s="19" t="str">
        <f>IFERROR(__xludf.DUMMYFUNCTION("""COMPUTED_VALUE"""),"BLUE")</f>
        <v>BLUE</v>
      </c>
      <c r="G4372" s="20" t="str">
        <f>IFERROR(__xludf.DUMMYFUNCTION("""COMPUTED_VALUE"""),"Uncle Sams Cider (11/12/2021) (Blue)")</f>
        <v>Uncle Sams Cider (11/12/2021) (Blue)</v>
      </c>
      <c r="H4372" s="19"/>
    </row>
    <row r="4373">
      <c r="A4373" s="9"/>
      <c r="B4373" s="15"/>
      <c r="C4373" s="9">
        <f>IFERROR(__xludf.DUMMYFUNCTION("""COMPUTED_VALUE"""),44559.6468051388)</f>
        <v>44559.64681</v>
      </c>
      <c r="D4373" s="15">
        <f>IFERROR(__xludf.DUMMYFUNCTION("""COMPUTED_VALUE"""),1.008)</f>
        <v>1.008</v>
      </c>
      <c r="E4373" s="16">
        <f>IFERROR(__xludf.DUMMYFUNCTION("""COMPUTED_VALUE"""),62.0)</f>
        <v>62</v>
      </c>
      <c r="F4373" s="19" t="str">
        <f>IFERROR(__xludf.DUMMYFUNCTION("""COMPUTED_VALUE"""),"BLUE")</f>
        <v>BLUE</v>
      </c>
      <c r="G4373" s="20" t="str">
        <f>IFERROR(__xludf.DUMMYFUNCTION("""COMPUTED_VALUE"""),"Uncle Sams Cider (11/12/2021) (Blue)")</f>
        <v>Uncle Sams Cider (11/12/2021) (Blue)</v>
      </c>
      <c r="H4373" s="19"/>
    </row>
    <row r="4374">
      <c r="A4374" s="9"/>
      <c r="B4374" s="15"/>
      <c r="C4374" s="9">
        <f>IFERROR(__xludf.DUMMYFUNCTION("""COMPUTED_VALUE"""),44559.6363829398)</f>
        <v>44559.63638</v>
      </c>
      <c r="D4374" s="15">
        <f>IFERROR(__xludf.DUMMYFUNCTION("""COMPUTED_VALUE"""),1.008)</f>
        <v>1.008</v>
      </c>
      <c r="E4374" s="16">
        <f>IFERROR(__xludf.DUMMYFUNCTION("""COMPUTED_VALUE"""),62.0)</f>
        <v>62</v>
      </c>
      <c r="F4374" s="19" t="str">
        <f>IFERROR(__xludf.DUMMYFUNCTION("""COMPUTED_VALUE"""),"BLUE")</f>
        <v>BLUE</v>
      </c>
      <c r="G4374" s="20" t="str">
        <f>IFERROR(__xludf.DUMMYFUNCTION("""COMPUTED_VALUE"""),"Uncle Sams Cider (11/12/2021) (Blue)")</f>
        <v>Uncle Sams Cider (11/12/2021) (Blue)</v>
      </c>
      <c r="H4374" s="19"/>
    </row>
    <row r="4375">
      <c r="A4375" s="9"/>
      <c r="B4375" s="15"/>
      <c r="C4375" s="9">
        <f>IFERROR(__xludf.DUMMYFUNCTION("""COMPUTED_VALUE"""),44559.6259627546)</f>
        <v>44559.62596</v>
      </c>
      <c r="D4375" s="15">
        <f>IFERROR(__xludf.DUMMYFUNCTION("""COMPUTED_VALUE"""),1.008)</f>
        <v>1.008</v>
      </c>
      <c r="E4375" s="16">
        <f>IFERROR(__xludf.DUMMYFUNCTION("""COMPUTED_VALUE"""),62.0)</f>
        <v>62</v>
      </c>
      <c r="F4375" s="19" t="str">
        <f>IFERROR(__xludf.DUMMYFUNCTION("""COMPUTED_VALUE"""),"BLUE")</f>
        <v>BLUE</v>
      </c>
      <c r="G4375" s="20" t="str">
        <f>IFERROR(__xludf.DUMMYFUNCTION("""COMPUTED_VALUE"""),"Uncle Sams Cider (11/12/2021) (Blue)")</f>
        <v>Uncle Sams Cider (11/12/2021) (Blue)</v>
      </c>
      <c r="H4375" s="19"/>
    </row>
    <row r="4376">
      <c r="A4376" s="9"/>
      <c r="B4376" s="15"/>
      <c r="C4376" s="9">
        <f>IFERROR(__xludf.DUMMYFUNCTION("""COMPUTED_VALUE"""),44559.6155420949)</f>
        <v>44559.61554</v>
      </c>
      <c r="D4376" s="15">
        <f>IFERROR(__xludf.DUMMYFUNCTION("""COMPUTED_VALUE"""),1.008)</f>
        <v>1.008</v>
      </c>
      <c r="E4376" s="16">
        <f>IFERROR(__xludf.DUMMYFUNCTION("""COMPUTED_VALUE"""),62.0)</f>
        <v>62</v>
      </c>
      <c r="F4376" s="19" t="str">
        <f>IFERROR(__xludf.DUMMYFUNCTION("""COMPUTED_VALUE"""),"BLUE")</f>
        <v>BLUE</v>
      </c>
      <c r="G4376" s="20" t="str">
        <f>IFERROR(__xludf.DUMMYFUNCTION("""COMPUTED_VALUE"""),"Uncle Sams Cider (11/12/2021) (Blue)")</f>
        <v>Uncle Sams Cider (11/12/2021) (Blue)</v>
      </c>
      <c r="H4376" s="19"/>
    </row>
    <row r="4377">
      <c r="A4377" s="9"/>
      <c r="B4377" s="15"/>
      <c r="C4377" s="9">
        <f>IFERROR(__xludf.DUMMYFUNCTION("""COMPUTED_VALUE"""),44559.6051211921)</f>
        <v>44559.60512</v>
      </c>
      <c r="D4377" s="15">
        <f>IFERROR(__xludf.DUMMYFUNCTION("""COMPUTED_VALUE"""),1.008)</f>
        <v>1.008</v>
      </c>
      <c r="E4377" s="16">
        <f>IFERROR(__xludf.DUMMYFUNCTION("""COMPUTED_VALUE"""),62.0)</f>
        <v>62</v>
      </c>
      <c r="F4377" s="19" t="str">
        <f>IFERROR(__xludf.DUMMYFUNCTION("""COMPUTED_VALUE"""),"BLUE")</f>
        <v>BLUE</v>
      </c>
      <c r="G4377" s="20" t="str">
        <f>IFERROR(__xludf.DUMMYFUNCTION("""COMPUTED_VALUE"""),"Uncle Sams Cider (11/12/2021) (Blue)")</f>
        <v>Uncle Sams Cider (11/12/2021) (Blue)</v>
      </c>
      <c r="H4377" s="19"/>
    </row>
    <row r="4378">
      <c r="A4378" s="9"/>
      <c r="B4378" s="15"/>
      <c r="C4378" s="9">
        <f>IFERROR(__xludf.DUMMYFUNCTION("""COMPUTED_VALUE"""),44559.5946651388)</f>
        <v>44559.59467</v>
      </c>
      <c r="D4378" s="15">
        <f>IFERROR(__xludf.DUMMYFUNCTION("""COMPUTED_VALUE"""),1.008)</f>
        <v>1.008</v>
      </c>
      <c r="E4378" s="16">
        <f>IFERROR(__xludf.DUMMYFUNCTION("""COMPUTED_VALUE"""),63.0)</f>
        <v>63</v>
      </c>
      <c r="F4378" s="19" t="str">
        <f>IFERROR(__xludf.DUMMYFUNCTION("""COMPUTED_VALUE"""),"BLUE")</f>
        <v>BLUE</v>
      </c>
      <c r="G4378" s="20" t="str">
        <f>IFERROR(__xludf.DUMMYFUNCTION("""COMPUTED_VALUE"""),"Uncle Sams Cider (11/12/2021) (Blue)")</f>
        <v>Uncle Sams Cider (11/12/2021) (Blue)</v>
      </c>
      <c r="H4378" s="19"/>
    </row>
    <row r="4379">
      <c r="A4379" s="9"/>
      <c r="B4379" s="15"/>
      <c r="C4379" s="9">
        <f>IFERROR(__xludf.DUMMYFUNCTION("""COMPUTED_VALUE"""),44559.5842451504)</f>
        <v>44559.58425</v>
      </c>
      <c r="D4379" s="15">
        <f>IFERROR(__xludf.DUMMYFUNCTION("""COMPUTED_VALUE"""),1.008)</f>
        <v>1.008</v>
      </c>
      <c r="E4379" s="16">
        <f>IFERROR(__xludf.DUMMYFUNCTION("""COMPUTED_VALUE"""),63.0)</f>
        <v>63</v>
      </c>
      <c r="F4379" s="19" t="str">
        <f>IFERROR(__xludf.DUMMYFUNCTION("""COMPUTED_VALUE"""),"BLUE")</f>
        <v>BLUE</v>
      </c>
      <c r="G4379" s="20" t="str">
        <f>IFERROR(__xludf.DUMMYFUNCTION("""COMPUTED_VALUE"""),"Uncle Sams Cider (11/12/2021) (Blue)")</f>
        <v>Uncle Sams Cider (11/12/2021) (Blue)</v>
      </c>
      <c r="H4379" s="19"/>
    </row>
    <row r="4380">
      <c r="A4380" s="9"/>
      <c r="B4380" s="15"/>
      <c r="C4380" s="9">
        <f>IFERROR(__xludf.DUMMYFUNCTION("""COMPUTED_VALUE"""),44559.5738125115)</f>
        <v>44559.57381</v>
      </c>
      <c r="D4380" s="15">
        <f>IFERROR(__xludf.DUMMYFUNCTION("""COMPUTED_VALUE"""),1.008)</f>
        <v>1.008</v>
      </c>
      <c r="E4380" s="16">
        <f>IFERROR(__xludf.DUMMYFUNCTION("""COMPUTED_VALUE"""),63.0)</f>
        <v>63</v>
      </c>
      <c r="F4380" s="19" t="str">
        <f>IFERROR(__xludf.DUMMYFUNCTION("""COMPUTED_VALUE"""),"BLUE")</f>
        <v>BLUE</v>
      </c>
      <c r="G4380" s="20" t="str">
        <f>IFERROR(__xludf.DUMMYFUNCTION("""COMPUTED_VALUE"""),"Uncle Sams Cider (11/12/2021) (Blue)")</f>
        <v>Uncle Sams Cider (11/12/2021) (Blue)</v>
      </c>
      <c r="H4380" s="19"/>
    </row>
    <row r="4381">
      <c r="A4381" s="9"/>
      <c r="B4381" s="15"/>
      <c r="C4381" s="9">
        <f>IFERROR(__xludf.DUMMYFUNCTION("""COMPUTED_VALUE"""),44559.5633679745)</f>
        <v>44559.56337</v>
      </c>
      <c r="D4381" s="15">
        <f>IFERROR(__xludf.DUMMYFUNCTION("""COMPUTED_VALUE"""),1.008)</f>
        <v>1.008</v>
      </c>
      <c r="E4381" s="16">
        <f>IFERROR(__xludf.DUMMYFUNCTION("""COMPUTED_VALUE"""),62.0)</f>
        <v>62</v>
      </c>
      <c r="F4381" s="19" t="str">
        <f>IFERROR(__xludf.DUMMYFUNCTION("""COMPUTED_VALUE"""),"BLUE")</f>
        <v>BLUE</v>
      </c>
      <c r="G4381" s="20" t="str">
        <f>IFERROR(__xludf.DUMMYFUNCTION("""COMPUTED_VALUE"""),"Uncle Sams Cider (11/12/2021) (Blue)")</f>
        <v>Uncle Sams Cider (11/12/2021) (Blue)</v>
      </c>
      <c r="H4381" s="19"/>
    </row>
    <row r="4382">
      <c r="A4382" s="9"/>
      <c r="B4382" s="15"/>
      <c r="C4382" s="9">
        <f>IFERROR(__xludf.DUMMYFUNCTION("""COMPUTED_VALUE"""),44559.5529476041)</f>
        <v>44559.55295</v>
      </c>
      <c r="D4382" s="15">
        <f>IFERROR(__xludf.DUMMYFUNCTION("""COMPUTED_VALUE"""),1.008)</f>
        <v>1.008</v>
      </c>
      <c r="E4382" s="16">
        <f>IFERROR(__xludf.DUMMYFUNCTION("""COMPUTED_VALUE"""),63.0)</f>
        <v>63</v>
      </c>
      <c r="F4382" s="19" t="str">
        <f>IFERROR(__xludf.DUMMYFUNCTION("""COMPUTED_VALUE"""),"BLUE")</f>
        <v>BLUE</v>
      </c>
      <c r="G4382" s="20" t="str">
        <f>IFERROR(__xludf.DUMMYFUNCTION("""COMPUTED_VALUE"""),"Uncle Sams Cider (11/12/2021) (Blue)")</f>
        <v>Uncle Sams Cider (11/12/2021) (Blue)</v>
      </c>
      <c r="H4382" s="19"/>
    </row>
    <row r="4383">
      <c r="A4383" s="9"/>
      <c r="B4383" s="15"/>
      <c r="C4383" s="9">
        <f>IFERROR(__xludf.DUMMYFUNCTION("""COMPUTED_VALUE"""),44559.5425276273)</f>
        <v>44559.54253</v>
      </c>
      <c r="D4383" s="15">
        <f>IFERROR(__xludf.DUMMYFUNCTION("""COMPUTED_VALUE"""),1.008)</f>
        <v>1.008</v>
      </c>
      <c r="E4383" s="16">
        <f>IFERROR(__xludf.DUMMYFUNCTION("""COMPUTED_VALUE"""),62.0)</f>
        <v>62</v>
      </c>
      <c r="F4383" s="19" t="str">
        <f>IFERROR(__xludf.DUMMYFUNCTION("""COMPUTED_VALUE"""),"BLUE")</f>
        <v>BLUE</v>
      </c>
      <c r="G4383" s="20" t="str">
        <f>IFERROR(__xludf.DUMMYFUNCTION("""COMPUTED_VALUE"""),"Uncle Sams Cider (11/12/2021) (Blue)")</f>
        <v>Uncle Sams Cider (11/12/2021) (Blue)</v>
      </c>
      <c r="H4383" s="19"/>
    </row>
    <row r="4384">
      <c r="A4384" s="9"/>
      <c r="B4384" s="15"/>
      <c r="C4384" s="9">
        <f>IFERROR(__xludf.DUMMYFUNCTION("""COMPUTED_VALUE"""),44559.5320937962)</f>
        <v>44559.53209</v>
      </c>
      <c r="D4384" s="15">
        <f>IFERROR(__xludf.DUMMYFUNCTION("""COMPUTED_VALUE"""),1.008)</f>
        <v>1.008</v>
      </c>
      <c r="E4384" s="16">
        <f>IFERROR(__xludf.DUMMYFUNCTION("""COMPUTED_VALUE"""),62.0)</f>
        <v>62</v>
      </c>
      <c r="F4384" s="19" t="str">
        <f>IFERROR(__xludf.DUMMYFUNCTION("""COMPUTED_VALUE"""),"BLUE")</f>
        <v>BLUE</v>
      </c>
      <c r="G4384" s="20" t="str">
        <f>IFERROR(__xludf.DUMMYFUNCTION("""COMPUTED_VALUE"""),"Uncle Sams Cider (11/12/2021) (Blue)")</f>
        <v>Uncle Sams Cider (11/12/2021) (Blue)</v>
      </c>
      <c r="H4384" s="19"/>
    </row>
    <row r="4385">
      <c r="A4385" s="9"/>
      <c r="B4385" s="15"/>
      <c r="C4385" s="9">
        <f>IFERROR(__xludf.DUMMYFUNCTION("""COMPUTED_VALUE"""),44559.5216717129)</f>
        <v>44559.52167</v>
      </c>
      <c r="D4385" s="15">
        <f>IFERROR(__xludf.DUMMYFUNCTION("""COMPUTED_VALUE"""),1.008)</f>
        <v>1.008</v>
      </c>
      <c r="E4385" s="16">
        <f>IFERROR(__xludf.DUMMYFUNCTION("""COMPUTED_VALUE"""),62.0)</f>
        <v>62</v>
      </c>
      <c r="F4385" s="19" t="str">
        <f>IFERROR(__xludf.DUMMYFUNCTION("""COMPUTED_VALUE"""),"BLUE")</f>
        <v>BLUE</v>
      </c>
      <c r="G4385" s="20" t="str">
        <f>IFERROR(__xludf.DUMMYFUNCTION("""COMPUTED_VALUE"""),"Uncle Sams Cider (11/12/2021) (Blue)")</f>
        <v>Uncle Sams Cider (11/12/2021) (Blue)</v>
      </c>
      <c r="H4385" s="19"/>
    </row>
    <row r="4386">
      <c r="A4386" s="9"/>
      <c r="B4386" s="15"/>
      <c r="C4386" s="9">
        <f>IFERROR(__xludf.DUMMYFUNCTION("""COMPUTED_VALUE"""),44559.5112272337)</f>
        <v>44559.51123</v>
      </c>
      <c r="D4386" s="15">
        <f>IFERROR(__xludf.DUMMYFUNCTION("""COMPUTED_VALUE"""),1.008)</f>
        <v>1.008</v>
      </c>
      <c r="E4386" s="16">
        <f>IFERROR(__xludf.DUMMYFUNCTION("""COMPUTED_VALUE"""),62.0)</f>
        <v>62</v>
      </c>
      <c r="F4386" s="19" t="str">
        <f>IFERROR(__xludf.DUMMYFUNCTION("""COMPUTED_VALUE"""),"BLUE")</f>
        <v>BLUE</v>
      </c>
      <c r="G4386" s="20" t="str">
        <f>IFERROR(__xludf.DUMMYFUNCTION("""COMPUTED_VALUE"""),"Uncle Sams Cider (11/12/2021) (Blue)")</f>
        <v>Uncle Sams Cider (11/12/2021) (Blue)</v>
      </c>
      <c r="H4386" s="19"/>
    </row>
    <row r="4387">
      <c r="A4387" s="9"/>
      <c r="B4387" s="15"/>
      <c r="C4387" s="9">
        <f>IFERROR(__xludf.DUMMYFUNCTION("""COMPUTED_VALUE"""),44559.5008037384)</f>
        <v>44559.5008</v>
      </c>
      <c r="D4387" s="15">
        <f>IFERROR(__xludf.DUMMYFUNCTION("""COMPUTED_VALUE"""),1.008)</f>
        <v>1.008</v>
      </c>
      <c r="E4387" s="16">
        <f>IFERROR(__xludf.DUMMYFUNCTION("""COMPUTED_VALUE"""),63.0)</f>
        <v>63</v>
      </c>
      <c r="F4387" s="19" t="str">
        <f>IFERROR(__xludf.DUMMYFUNCTION("""COMPUTED_VALUE"""),"BLUE")</f>
        <v>BLUE</v>
      </c>
      <c r="G4387" s="20" t="str">
        <f>IFERROR(__xludf.DUMMYFUNCTION("""COMPUTED_VALUE"""),"Uncle Sams Cider (11/12/2021) (Blue)")</f>
        <v>Uncle Sams Cider (11/12/2021) (Blue)</v>
      </c>
      <c r="H4387" s="19"/>
    </row>
    <row r="4388">
      <c r="A4388" s="9"/>
      <c r="B4388" s="15"/>
      <c r="C4388" s="9">
        <f>IFERROR(__xludf.DUMMYFUNCTION("""COMPUTED_VALUE"""),44559.4903835069)</f>
        <v>44559.49038</v>
      </c>
      <c r="D4388" s="15">
        <f>IFERROR(__xludf.DUMMYFUNCTION("""COMPUTED_VALUE"""),1.008)</f>
        <v>1.008</v>
      </c>
      <c r="E4388" s="16">
        <f>IFERROR(__xludf.DUMMYFUNCTION("""COMPUTED_VALUE"""),62.0)</f>
        <v>62</v>
      </c>
      <c r="F4388" s="19" t="str">
        <f>IFERROR(__xludf.DUMMYFUNCTION("""COMPUTED_VALUE"""),"BLUE")</f>
        <v>BLUE</v>
      </c>
      <c r="G4388" s="20" t="str">
        <f>IFERROR(__xludf.DUMMYFUNCTION("""COMPUTED_VALUE"""),"Uncle Sams Cider (11/12/2021) (Blue)")</f>
        <v>Uncle Sams Cider (11/12/2021) (Blue)</v>
      </c>
      <c r="H4388" s="19"/>
    </row>
    <row r="4389">
      <c r="A4389" s="9"/>
      <c r="B4389" s="15"/>
      <c r="C4389" s="9">
        <f>IFERROR(__xludf.DUMMYFUNCTION("""COMPUTED_VALUE"""),44559.4799615162)</f>
        <v>44559.47996</v>
      </c>
      <c r="D4389" s="15">
        <f>IFERROR(__xludf.DUMMYFUNCTION("""COMPUTED_VALUE"""),1.008)</f>
        <v>1.008</v>
      </c>
      <c r="E4389" s="16">
        <f>IFERROR(__xludf.DUMMYFUNCTION("""COMPUTED_VALUE"""),62.0)</f>
        <v>62</v>
      </c>
      <c r="F4389" s="19" t="str">
        <f>IFERROR(__xludf.DUMMYFUNCTION("""COMPUTED_VALUE"""),"BLUE")</f>
        <v>BLUE</v>
      </c>
      <c r="G4389" s="20" t="str">
        <f>IFERROR(__xludf.DUMMYFUNCTION("""COMPUTED_VALUE"""),"Uncle Sams Cider (11/12/2021) (Blue)")</f>
        <v>Uncle Sams Cider (11/12/2021) (Blue)</v>
      </c>
      <c r="H4389" s="19"/>
    </row>
    <row r="4390">
      <c r="A4390" s="9"/>
      <c r="B4390" s="15"/>
      <c r="C4390" s="9">
        <f>IFERROR(__xludf.DUMMYFUNCTION("""COMPUTED_VALUE"""),44559.4695392592)</f>
        <v>44559.46954</v>
      </c>
      <c r="D4390" s="15">
        <f>IFERROR(__xludf.DUMMYFUNCTION("""COMPUTED_VALUE"""),1.008)</f>
        <v>1.008</v>
      </c>
      <c r="E4390" s="16">
        <f>IFERROR(__xludf.DUMMYFUNCTION("""COMPUTED_VALUE"""),63.0)</f>
        <v>63</v>
      </c>
      <c r="F4390" s="19" t="str">
        <f>IFERROR(__xludf.DUMMYFUNCTION("""COMPUTED_VALUE"""),"BLUE")</f>
        <v>BLUE</v>
      </c>
      <c r="G4390" s="20" t="str">
        <f>IFERROR(__xludf.DUMMYFUNCTION("""COMPUTED_VALUE"""),"Uncle Sams Cider (11/12/2021) (Blue)")</f>
        <v>Uncle Sams Cider (11/12/2021) (Blue)</v>
      </c>
      <c r="H4390" s="19"/>
    </row>
    <row r="4391">
      <c r="A4391" s="9"/>
      <c r="B4391" s="15"/>
      <c r="C4391" s="9">
        <f>IFERROR(__xludf.DUMMYFUNCTION("""COMPUTED_VALUE"""),44559.4591172569)</f>
        <v>44559.45912</v>
      </c>
      <c r="D4391" s="15">
        <f>IFERROR(__xludf.DUMMYFUNCTION("""COMPUTED_VALUE"""),1.008)</f>
        <v>1.008</v>
      </c>
      <c r="E4391" s="16">
        <f>IFERROR(__xludf.DUMMYFUNCTION("""COMPUTED_VALUE"""),62.0)</f>
        <v>62</v>
      </c>
      <c r="F4391" s="19" t="str">
        <f>IFERROR(__xludf.DUMMYFUNCTION("""COMPUTED_VALUE"""),"BLUE")</f>
        <v>BLUE</v>
      </c>
      <c r="G4391" s="20" t="str">
        <f>IFERROR(__xludf.DUMMYFUNCTION("""COMPUTED_VALUE"""),"Uncle Sams Cider (11/12/2021) (Blue)")</f>
        <v>Uncle Sams Cider (11/12/2021) (Blue)</v>
      </c>
      <c r="H4391" s="19"/>
    </row>
    <row r="4392">
      <c r="A4392" s="9"/>
      <c r="B4392" s="15"/>
      <c r="C4392" s="9">
        <f>IFERROR(__xludf.DUMMYFUNCTION("""COMPUTED_VALUE"""),44559.4486836574)</f>
        <v>44559.44868</v>
      </c>
      <c r="D4392" s="15">
        <f>IFERROR(__xludf.DUMMYFUNCTION("""COMPUTED_VALUE"""),1.008)</f>
        <v>1.008</v>
      </c>
      <c r="E4392" s="16">
        <f>IFERROR(__xludf.DUMMYFUNCTION("""COMPUTED_VALUE"""),62.0)</f>
        <v>62</v>
      </c>
      <c r="F4392" s="19" t="str">
        <f>IFERROR(__xludf.DUMMYFUNCTION("""COMPUTED_VALUE"""),"BLUE")</f>
        <v>BLUE</v>
      </c>
      <c r="G4392" s="20" t="str">
        <f>IFERROR(__xludf.DUMMYFUNCTION("""COMPUTED_VALUE"""),"Uncle Sams Cider (11/12/2021) (Blue)")</f>
        <v>Uncle Sams Cider (11/12/2021) (Blue)</v>
      </c>
      <c r="H4392" s="19"/>
    </row>
    <row r="4393">
      <c r="A4393" s="9"/>
      <c r="B4393" s="15"/>
      <c r="C4393" s="9">
        <f>IFERROR(__xludf.DUMMYFUNCTION("""COMPUTED_VALUE"""),44559.4382637615)</f>
        <v>44559.43826</v>
      </c>
      <c r="D4393" s="15">
        <f>IFERROR(__xludf.DUMMYFUNCTION("""COMPUTED_VALUE"""),1.008)</f>
        <v>1.008</v>
      </c>
      <c r="E4393" s="16">
        <f>IFERROR(__xludf.DUMMYFUNCTION("""COMPUTED_VALUE"""),63.0)</f>
        <v>63</v>
      </c>
      <c r="F4393" s="19" t="str">
        <f>IFERROR(__xludf.DUMMYFUNCTION("""COMPUTED_VALUE"""),"BLUE")</f>
        <v>BLUE</v>
      </c>
      <c r="G4393" s="20" t="str">
        <f>IFERROR(__xludf.DUMMYFUNCTION("""COMPUTED_VALUE"""),"Uncle Sams Cider (11/12/2021) (Blue)")</f>
        <v>Uncle Sams Cider (11/12/2021) (Blue)</v>
      </c>
      <c r="H4393" s="19"/>
    </row>
    <row r="4394">
      <c r="A4394" s="9"/>
      <c r="B4394" s="15"/>
      <c r="C4394" s="9">
        <f>IFERROR(__xludf.DUMMYFUNCTION("""COMPUTED_VALUE"""),44559.4278409722)</f>
        <v>44559.42784</v>
      </c>
      <c r="D4394" s="15">
        <f>IFERROR(__xludf.DUMMYFUNCTION("""COMPUTED_VALUE"""),1.008)</f>
        <v>1.008</v>
      </c>
      <c r="E4394" s="16">
        <f>IFERROR(__xludf.DUMMYFUNCTION("""COMPUTED_VALUE"""),62.0)</f>
        <v>62</v>
      </c>
      <c r="F4394" s="19" t="str">
        <f>IFERROR(__xludf.DUMMYFUNCTION("""COMPUTED_VALUE"""),"BLUE")</f>
        <v>BLUE</v>
      </c>
      <c r="G4394" s="20" t="str">
        <f>IFERROR(__xludf.DUMMYFUNCTION("""COMPUTED_VALUE"""),"Uncle Sams Cider (11/12/2021) (Blue)")</f>
        <v>Uncle Sams Cider (11/12/2021) (Blue)</v>
      </c>
      <c r="H4394" s="19"/>
    </row>
    <row r="4395">
      <c r="A4395" s="9"/>
      <c r="B4395" s="15"/>
      <c r="C4395" s="9">
        <f>IFERROR(__xludf.DUMMYFUNCTION("""COMPUTED_VALUE"""),44559.4174185648)</f>
        <v>44559.41742</v>
      </c>
      <c r="D4395" s="15">
        <f>IFERROR(__xludf.DUMMYFUNCTION("""COMPUTED_VALUE"""),1.008)</f>
        <v>1.008</v>
      </c>
      <c r="E4395" s="16">
        <f>IFERROR(__xludf.DUMMYFUNCTION("""COMPUTED_VALUE"""),63.0)</f>
        <v>63</v>
      </c>
      <c r="F4395" s="19" t="str">
        <f>IFERROR(__xludf.DUMMYFUNCTION("""COMPUTED_VALUE"""),"BLUE")</f>
        <v>BLUE</v>
      </c>
      <c r="G4395" s="20" t="str">
        <f>IFERROR(__xludf.DUMMYFUNCTION("""COMPUTED_VALUE"""),"Uncle Sams Cider (11/12/2021) (Blue)")</f>
        <v>Uncle Sams Cider (11/12/2021) (Blue)</v>
      </c>
      <c r="H4395" s="19"/>
    </row>
    <row r="4396">
      <c r="A4396" s="9"/>
      <c r="B4396" s="15"/>
      <c r="C4396" s="9">
        <f>IFERROR(__xludf.DUMMYFUNCTION("""COMPUTED_VALUE"""),44559.4069969444)</f>
        <v>44559.407</v>
      </c>
      <c r="D4396" s="15">
        <f>IFERROR(__xludf.DUMMYFUNCTION("""COMPUTED_VALUE"""),1.008)</f>
        <v>1.008</v>
      </c>
      <c r="E4396" s="16">
        <f>IFERROR(__xludf.DUMMYFUNCTION("""COMPUTED_VALUE"""),62.0)</f>
        <v>62</v>
      </c>
      <c r="F4396" s="19" t="str">
        <f>IFERROR(__xludf.DUMMYFUNCTION("""COMPUTED_VALUE"""),"BLUE")</f>
        <v>BLUE</v>
      </c>
      <c r="G4396" s="20" t="str">
        <f>IFERROR(__xludf.DUMMYFUNCTION("""COMPUTED_VALUE"""),"Uncle Sams Cider (11/12/2021) (Blue)")</f>
        <v>Uncle Sams Cider (11/12/2021) (Blue)</v>
      </c>
      <c r="H4396" s="19"/>
    </row>
    <row r="4397">
      <c r="A4397" s="9"/>
      <c r="B4397" s="15"/>
      <c r="C4397" s="9">
        <f>IFERROR(__xludf.DUMMYFUNCTION("""COMPUTED_VALUE"""),44559.3965773611)</f>
        <v>44559.39658</v>
      </c>
      <c r="D4397" s="15">
        <f>IFERROR(__xludf.DUMMYFUNCTION("""COMPUTED_VALUE"""),1.008)</f>
        <v>1.008</v>
      </c>
      <c r="E4397" s="16">
        <f>IFERROR(__xludf.DUMMYFUNCTION("""COMPUTED_VALUE"""),63.0)</f>
        <v>63</v>
      </c>
      <c r="F4397" s="19" t="str">
        <f>IFERROR(__xludf.DUMMYFUNCTION("""COMPUTED_VALUE"""),"BLUE")</f>
        <v>BLUE</v>
      </c>
      <c r="G4397" s="20" t="str">
        <f>IFERROR(__xludf.DUMMYFUNCTION("""COMPUTED_VALUE"""),"Uncle Sams Cider (11/12/2021) (Blue)")</f>
        <v>Uncle Sams Cider (11/12/2021) (Blue)</v>
      </c>
      <c r="H4397" s="19"/>
    </row>
    <row r="4398">
      <c r="A4398" s="9"/>
      <c r="B4398" s="15"/>
      <c r="C4398" s="9">
        <f>IFERROR(__xludf.DUMMYFUNCTION("""COMPUTED_VALUE"""),44559.3861544212)</f>
        <v>44559.38615</v>
      </c>
      <c r="D4398" s="15">
        <f>IFERROR(__xludf.DUMMYFUNCTION("""COMPUTED_VALUE"""),1.008)</f>
        <v>1.008</v>
      </c>
      <c r="E4398" s="16">
        <f>IFERROR(__xludf.DUMMYFUNCTION("""COMPUTED_VALUE"""),63.0)</f>
        <v>63</v>
      </c>
      <c r="F4398" s="19" t="str">
        <f>IFERROR(__xludf.DUMMYFUNCTION("""COMPUTED_VALUE"""),"BLUE")</f>
        <v>BLUE</v>
      </c>
      <c r="G4398" s="20" t="str">
        <f>IFERROR(__xludf.DUMMYFUNCTION("""COMPUTED_VALUE"""),"Uncle Sams Cider (11/12/2021) (Blue)")</f>
        <v>Uncle Sams Cider (11/12/2021) (Blue)</v>
      </c>
      <c r="H4398" s="19"/>
    </row>
    <row r="4399">
      <c r="A4399" s="9"/>
      <c r="B4399" s="15"/>
      <c r="C4399" s="9">
        <f>IFERROR(__xludf.DUMMYFUNCTION("""COMPUTED_VALUE"""),44559.3757339351)</f>
        <v>44559.37573</v>
      </c>
      <c r="D4399" s="15">
        <f>IFERROR(__xludf.DUMMYFUNCTION("""COMPUTED_VALUE"""),1.008)</f>
        <v>1.008</v>
      </c>
      <c r="E4399" s="16">
        <f>IFERROR(__xludf.DUMMYFUNCTION("""COMPUTED_VALUE"""),62.0)</f>
        <v>62</v>
      </c>
      <c r="F4399" s="19" t="str">
        <f>IFERROR(__xludf.DUMMYFUNCTION("""COMPUTED_VALUE"""),"BLUE")</f>
        <v>BLUE</v>
      </c>
      <c r="G4399" s="20" t="str">
        <f>IFERROR(__xludf.DUMMYFUNCTION("""COMPUTED_VALUE"""),"Uncle Sams Cider (11/12/2021) (Blue)")</f>
        <v>Uncle Sams Cider (11/12/2021) (Blue)</v>
      </c>
      <c r="H4399" s="19"/>
    </row>
    <row r="4400">
      <c r="A4400" s="9"/>
      <c r="B4400" s="15"/>
      <c r="C4400" s="9">
        <f>IFERROR(__xludf.DUMMYFUNCTION("""COMPUTED_VALUE"""),44559.3653017013)</f>
        <v>44559.3653</v>
      </c>
      <c r="D4400" s="15">
        <f>IFERROR(__xludf.DUMMYFUNCTION("""COMPUTED_VALUE"""),1.008)</f>
        <v>1.008</v>
      </c>
      <c r="E4400" s="16">
        <f>IFERROR(__xludf.DUMMYFUNCTION("""COMPUTED_VALUE"""),62.0)</f>
        <v>62</v>
      </c>
      <c r="F4400" s="19" t="str">
        <f>IFERROR(__xludf.DUMMYFUNCTION("""COMPUTED_VALUE"""),"BLUE")</f>
        <v>BLUE</v>
      </c>
      <c r="G4400" s="20" t="str">
        <f>IFERROR(__xludf.DUMMYFUNCTION("""COMPUTED_VALUE"""),"Uncle Sams Cider (11/12/2021) (Blue)")</f>
        <v>Uncle Sams Cider (11/12/2021) (Blue)</v>
      </c>
      <c r="H4400" s="19"/>
    </row>
    <row r="4401">
      <c r="A4401" s="9"/>
      <c r="B4401" s="15"/>
      <c r="C4401" s="9">
        <f>IFERROR(__xludf.DUMMYFUNCTION("""COMPUTED_VALUE"""),44559.3548812847)</f>
        <v>44559.35488</v>
      </c>
      <c r="D4401" s="15">
        <f>IFERROR(__xludf.DUMMYFUNCTION("""COMPUTED_VALUE"""),1.008)</f>
        <v>1.008</v>
      </c>
      <c r="E4401" s="16">
        <f>IFERROR(__xludf.DUMMYFUNCTION("""COMPUTED_VALUE"""),62.0)</f>
        <v>62</v>
      </c>
      <c r="F4401" s="19" t="str">
        <f>IFERROR(__xludf.DUMMYFUNCTION("""COMPUTED_VALUE"""),"BLUE")</f>
        <v>BLUE</v>
      </c>
      <c r="G4401" s="20" t="str">
        <f>IFERROR(__xludf.DUMMYFUNCTION("""COMPUTED_VALUE"""),"Uncle Sams Cider (11/12/2021) (Blue)")</f>
        <v>Uncle Sams Cider (11/12/2021) (Blue)</v>
      </c>
      <c r="H4401" s="19"/>
    </row>
    <row r="4402">
      <c r="A4402" s="9"/>
      <c r="B4402" s="15"/>
      <c r="C4402" s="9">
        <f>IFERROR(__xludf.DUMMYFUNCTION("""COMPUTED_VALUE"""),44559.3444588657)</f>
        <v>44559.34446</v>
      </c>
      <c r="D4402" s="15">
        <f>IFERROR(__xludf.DUMMYFUNCTION("""COMPUTED_VALUE"""),1.008)</f>
        <v>1.008</v>
      </c>
      <c r="E4402" s="16">
        <f>IFERROR(__xludf.DUMMYFUNCTION("""COMPUTED_VALUE"""),62.0)</f>
        <v>62</v>
      </c>
      <c r="F4402" s="19" t="str">
        <f>IFERROR(__xludf.DUMMYFUNCTION("""COMPUTED_VALUE"""),"BLUE")</f>
        <v>BLUE</v>
      </c>
      <c r="G4402" s="20" t="str">
        <f>IFERROR(__xludf.DUMMYFUNCTION("""COMPUTED_VALUE"""),"Uncle Sams Cider (11/12/2021) (Blue)")</f>
        <v>Uncle Sams Cider (11/12/2021) (Blue)</v>
      </c>
      <c r="H4402" s="19"/>
    </row>
    <row r="4403">
      <c r="A4403" s="9"/>
      <c r="B4403" s="15"/>
      <c r="C4403" s="9">
        <f>IFERROR(__xludf.DUMMYFUNCTION("""COMPUTED_VALUE"""),44559.3340279166)</f>
        <v>44559.33403</v>
      </c>
      <c r="D4403" s="15">
        <f>IFERROR(__xludf.DUMMYFUNCTION("""COMPUTED_VALUE"""),1.008)</f>
        <v>1.008</v>
      </c>
      <c r="E4403" s="16">
        <f>IFERROR(__xludf.DUMMYFUNCTION("""COMPUTED_VALUE"""),62.0)</f>
        <v>62</v>
      </c>
      <c r="F4403" s="19" t="str">
        <f>IFERROR(__xludf.DUMMYFUNCTION("""COMPUTED_VALUE"""),"BLUE")</f>
        <v>BLUE</v>
      </c>
      <c r="G4403" s="20" t="str">
        <f>IFERROR(__xludf.DUMMYFUNCTION("""COMPUTED_VALUE"""),"Uncle Sams Cider (11/12/2021) (Blue)")</f>
        <v>Uncle Sams Cider (11/12/2021) (Blue)</v>
      </c>
      <c r="H4403" s="19"/>
    </row>
    <row r="4404">
      <c r="A4404" s="9"/>
      <c r="B4404" s="15"/>
      <c r="C4404" s="9">
        <f>IFERROR(__xludf.DUMMYFUNCTION("""COMPUTED_VALUE"""),44559.323607905)</f>
        <v>44559.32361</v>
      </c>
      <c r="D4404" s="15">
        <f>IFERROR(__xludf.DUMMYFUNCTION("""COMPUTED_VALUE"""),1.008)</f>
        <v>1.008</v>
      </c>
      <c r="E4404" s="16">
        <f>IFERROR(__xludf.DUMMYFUNCTION("""COMPUTED_VALUE"""),62.0)</f>
        <v>62</v>
      </c>
      <c r="F4404" s="19" t="str">
        <f>IFERROR(__xludf.DUMMYFUNCTION("""COMPUTED_VALUE"""),"BLUE")</f>
        <v>BLUE</v>
      </c>
      <c r="G4404" s="20" t="str">
        <f>IFERROR(__xludf.DUMMYFUNCTION("""COMPUTED_VALUE"""),"Uncle Sams Cider (11/12/2021) (Blue)")</f>
        <v>Uncle Sams Cider (11/12/2021) (Blue)</v>
      </c>
      <c r="H4404" s="19"/>
    </row>
    <row r="4405">
      <c r="A4405" s="9"/>
      <c r="B4405" s="15"/>
      <c r="C4405" s="9">
        <f>IFERROR(__xludf.DUMMYFUNCTION("""COMPUTED_VALUE"""),44559.3131867476)</f>
        <v>44559.31319</v>
      </c>
      <c r="D4405" s="15">
        <f>IFERROR(__xludf.DUMMYFUNCTION("""COMPUTED_VALUE"""),1.008)</f>
        <v>1.008</v>
      </c>
      <c r="E4405" s="16">
        <f>IFERROR(__xludf.DUMMYFUNCTION("""COMPUTED_VALUE"""),63.0)</f>
        <v>63</v>
      </c>
      <c r="F4405" s="19" t="str">
        <f>IFERROR(__xludf.DUMMYFUNCTION("""COMPUTED_VALUE"""),"BLUE")</f>
        <v>BLUE</v>
      </c>
      <c r="G4405" s="20" t="str">
        <f>IFERROR(__xludf.DUMMYFUNCTION("""COMPUTED_VALUE"""),"Uncle Sams Cider (11/12/2021) (Blue)")</f>
        <v>Uncle Sams Cider (11/12/2021) (Blue)</v>
      </c>
      <c r="H4405" s="19"/>
    </row>
    <row r="4406">
      <c r="A4406" s="9"/>
      <c r="B4406" s="15"/>
      <c r="C4406" s="9">
        <f>IFERROR(__xludf.DUMMYFUNCTION("""COMPUTED_VALUE"""),44559.3027655439)</f>
        <v>44559.30277</v>
      </c>
      <c r="D4406" s="15">
        <f>IFERROR(__xludf.DUMMYFUNCTION("""COMPUTED_VALUE"""),1.008)</f>
        <v>1.008</v>
      </c>
      <c r="E4406" s="16">
        <f>IFERROR(__xludf.DUMMYFUNCTION("""COMPUTED_VALUE"""),62.0)</f>
        <v>62</v>
      </c>
      <c r="F4406" s="19" t="str">
        <f>IFERROR(__xludf.DUMMYFUNCTION("""COMPUTED_VALUE"""),"BLUE")</f>
        <v>BLUE</v>
      </c>
      <c r="G4406" s="20" t="str">
        <f>IFERROR(__xludf.DUMMYFUNCTION("""COMPUTED_VALUE"""),"Uncle Sams Cider (11/12/2021) (Blue)")</f>
        <v>Uncle Sams Cider (11/12/2021) (Blue)</v>
      </c>
      <c r="H4406" s="19"/>
    </row>
    <row r="4407">
      <c r="A4407" s="9"/>
      <c r="B4407" s="15"/>
      <c r="C4407" s="9">
        <f>IFERROR(__xludf.DUMMYFUNCTION("""COMPUTED_VALUE"""),44559.2923447453)</f>
        <v>44559.29234</v>
      </c>
      <c r="D4407" s="15">
        <f>IFERROR(__xludf.DUMMYFUNCTION("""COMPUTED_VALUE"""),1.008)</f>
        <v>1.008</v>
      </c>
      <c r="E4407" s="16">
        <f>IFERROR(__xludf.DUMMYFUNCTION("""COMPUTED_VALUE"""),62.0)</f>
        <v>62</v>
      </c>
      <c r="F4407" s="19" t="str">
        <f>IFERROR(__xludf.DUMMYFUNCTION("""COMPUTED_VALUE"""),"BLUE")</f>
        <v>BLUE</v>
      </c>
      <c r="G4407" s="20" t="str">
        <f>IFERROR(__xludf.DUMMYFUNCTION("""COMPUTED_VALUE"""),"Uncle Sams Cider (11/12/2021) (Blue)")</f>
        <v>Uncle Sams Cider (11/12/2021) (Blue)</v>
      </c>
      <c r="H4407" s="19"/>
    </row>
    <row r="4408">
      <c r="A4408" s="9"/>
      <c r="B4408" s="15"/>
      <c r="C4408" s="9">
        <f>IFERROR(__xludf.DUMMYFUNCTION("""COMPUTED_VALUE"""),44559.2819240972)</f>
        <v>44559.28192</v>
      </c>
      <c r="D4408" s="15">
        <f>IFERROR(__xludf.DUMMYFUNCTION("""COMPUTED_VALUE"""),1.008)</f>
        <v>1.008</v>
      </c>
      <c r="E4408" s="16">
        <f>IFERROR(__xludf.DUMMYFUNCTION("""COMPUTED_VALUE"""),63.0)</f>
        <v>63</v>
      </c>
      <c r="F4408" s="19" t="str">
        <f>IFERROR(__xludf.DUMMYFUNCTION("""COMPUTED_VALUE"""),"BLUE")</f>
        <v>BLUE</v>
      </c>
      <c r="G4408" s="20" t="str">
        <f>IFERROR(__xludf.DUMMYFUNCTION("""COMPUTED_VALUE"""),"Uncle Sams Cider (11/12/2021) (Blue)")</f>
        <v>Uncle Sams Cider (11/12/2021) (Blue)</v>
      </c>
      <c r="H4408" s="19"/>
    </row>
    <row r="4409">
      <c r="A4409" s="9"/>
      <c r="B4409" s="15"/>
      <c r="C4409" s="9">
        <f>IFERROR(__xludf.DUMMYFUNCTION("""COMPUTED_VALUE"""),44559.2715044444)</f>
        <v>44559.2715</v>
      </c>
      <c r="D4409" s="15">
        <f>IFERROR(__xludf.DUMMYFUNCTION("""COMPUTED_VALUE"""),1.008)</f>
        <v>1.008</v>
      </c>
      <c r="E4409" s="16">
        <f>IFERROR(__xludf.DUMMYFUNCTION("""COMPUTED_VALUE"""),62.0)</f>
        <v>62</v>
      </c>
      <c r="F4409" s="19" t="str">
        <f>IFERROR(__xludf.DUMMYFUNCTION("""COMPUTED_VALUE"""),"BLUE")</f>
        <v>BLUE</v>
      </c>
      <c r="G4409" s="20" t="str">
        <f>IFERROR(__xludf.DUMMYFUNCTION("""COMPUTED_VALUE"""),"Uncle Sams Cider (11/12/2021) (Blue)")</f>
        <v>Uncle Sams Cider (11/12/2021) (Blue)</v>
      </c>
      <c r="H4409" s="19"/>
    </row>
    <row r="4410">
      <c r="A4410" s="9"/>
      <c r="B4410" s="15"/>
      <c r="C4410" s="9">
        <f>IFERROR(__xludf.DUMMYFUNCTION("""COMPUTED_VALUE"""),44559.2610614814)</f>
        <v>44559.26106</v>
      </c>
      <c r="D4410" s="15">
        <f>IFERROR(__xludf.DUMMYFUNCTION("""COMPUTED_VALUE"""),1.008)</f>
        <v>1.008</v>
      </c>
      <c r="E4410" s="16">
        <f>IFERROR(__xludf.DUMMYFUNCTION("""COMPUTED_VALUE"""),62.0)</f>
        <v>62</v>
      </c>
      <c r="F4410" s="19" t="str">
        <f>IFERROR(__xludf.DUMMYFUNCTION("""COMPUTED_VALUE"""),"BLUE")</f>
        <v>BLUE</v>
      </c>
      <c r="G4410" s="20" t="str">
        <f>IFERROR(__xludf.DUMMYFUNCTION("""COMPUTED_VALUE"""),"Uncle Sams Cider (11/12/2021) (Blue)")</f>
        <v>Uncle Sams Cider (11/12/2021) (Blue)</v>
      </c>
      <c r="H4410" s="19"/>
    </row>
    <row r="4411">
      <c r="A4411" s="9"/>
      <c r="B4411" s="15"/>
      <c r="C4411" s="9">
        <f>IFERROR(__xludf.DUMMYFUNCTION("""COMPUTED_VALUE"""),44559.2506401041)</f>
        <v>44559.25064</v>
      </c>
      <c r="D4411" s="15">
        <f>IFERROR(__xludf.DUMMYFUNCTION("""COMPUTED_VALUE"""),1.008)</f>
        <v>1.008</v>
      </c>
      <c r="E4411" s="16">
        <f>IFERROR(__xludf.DUMMYFUNCTION("""COMPUTED_VALUE"""),62.0)</f>
        <v>62</v>
      </c>
      <c r="F4411" s="19" t="str">
        <f>IFERROR(__xludf.DUMMYFUNCTION("""COMPUTED_VALUE"""),"BLUE")</f>
        <v>BLUE</v>
      </c>
      <c r="G4411" s="20" t="str">
        <f>IFERROR(__xludf.DUMMYFUNCTION("""COMPUTED_VALUE"""),"Uncle Sams Cider (11/12/2021) (Blue)")</f>
        <v>Uncle Sams Cider (11/12/2021) (Blue)</v>
      </c>
      <c r="H4411" s="19"/>
    </row>
    <row r="4412">
      <c r="A4412" s="9"/>
      <c r="B4412" s="15"/>
      <c r="C4412" s="9">
        <f>IFERROR(__xludf.DUMMYFUNCTION("""COMPUTED_VALUE"""),44559.2402078356)</f>
        <v>44559.24021</v>
      </c>
      <c r="D4412" s="15">
        <f>IFERROR(__xludf.DUMMYFUNCTION("""COMPUTED_VALUE"""),1.008)</f>
        <v>1.008</v>
      </c>
      <c r="E4412" s="16">
        <f>IFERROR(__xludf.DUMMYFUNCTION("""COMPUTED_VALUE"""),62.0)</f>
        <v>62</v>
      </c>
      <c r="F4412" s="19" t="str">
        <f>IFERROR(__xludf.DUMMYFUNCTION("""COMPUTED_VALUE"""),"BLUE")</f>
        <v>BLUE</v>
      </c>
      <c r="G4412" s="20" t="str">
        <f>IFERROR(__xludf.DUMMYFUNCTION("""COMPUTED_VALUE"""),"Uncle Sams Cider (11/12/2021) (Blue)")</f>
        <v>Uncle Sams Cider (11/12/2021) (Blue)</v>
      </c>
      <c r="H4412" s="19"/>
    </row>
    <row r="4413">
      <c r="A4413" s="9"/>
      <c r="B4413" s="15"/>
      <c r="C4413" s="9">
        <f>IFERROR(__xludf.DUMMYFUNCTION("""COMPUTED_VALUE"""),44559.2297755439)</f>
        <v>44559.22978</v>
      </c>
      <c r="D4413" s="15">
        <f>IFERROR(__xludf.DUMMYFUNCTION("""COMPUTED_VALUE"""),1.008)</f>
        <v>1.008</v>
      </c>
      <c r="E4413" s="16">
        <f>IFERROR(__xludf.DUMMYFUNCTION("""COMPUTED_VALUE"""),62.0)</f>
        <v>62</v>
      </c>
      <c r="F4413" s="19" t="str">
        <f>IFERROR(__xludf.DUMMYFUNCTION("""COMPUTED_VALUE"""),"BLUE")</f>
        <v>BLUE</v>
      </c>
      <c r="G4413" s="20" t="str">
        <f>IFERROR(__xludf.DUMMYFUNCTION("""COMPUTED_VALUE"""),"Uncle Sams Cider (11/12/2021) (Blue)")</f>
        <v>Uncle Sams Cider (11/12/2021) (Blue)</v>
      </c>
      <c r="H4413" s="19"/>
    </row>
    <row r="4414">
      <c r="A4414" s="9"/>
      <c r="B4414" s="15"/>
      <c r="C4414" s="9">
        <f>IFERROR(__xludf.DUMMYFUNCTION("""COMPUTED_VALUE"""),44559.2193435648)</f>
        <v>44559.21934</v>
      </c>
      <c r="D4414" s="15">
        <f>IFERROR(__xludf.DUMMYFUNCTION("""COMPUTED_VALUE"""),1.008)</f>
        <v>1.008</v>
      </c>
      <c r="E4414" s="16">
        <f>IFERROR(__xludf.DUMMYFUNCTION("""COMPUTED_VALUE"""),62.0)</f>
        <v>62</v>
      </c>
      <c r="F4414" s="19" t="str">
        <f>IFERROR(__xludf.DUMMYFUNCTION("""COMPUTED_VALUE"""),"BLUE")</f>
        <v>BLUE</v>
      </c>
      <c r="G4414" s="20" t="str">
        <f>IFERROR(__xludf.DUMMYFUNCTION("""COMPUTED_VALUE"""),"Uncle Sams Cider (11/12/2021) (Blue)")</f>
        <v>Uncle Sams Cider (11/12/2021) (Blue)</v>
      </c>
      <c r="H4414" s="19"/>
    </row>
    <row r="4415">
      <c r="A4415" s="9"/>
      <c r="B4415" s="15"/>
      <c r="C4415" s="9">
        <f>IFERROR(__xludf.DUMMYFUNCTION("""COMPUTED_VALUE"""),44559.2089223032)</f>
        <v>44559.20892</v>
      </c>
      <c r="D4415" s="15">
        <f>IFERROR(__xludf.DUMMYFUNCTION("""COMPUTED_VALUE"""),1.008)</f>
        <v>1.008</v>
      </c>
      <c r="E4415" s="16">
        <f>IFERROR(__xludf.DUMMYFUNCTION("""COMPUTED_VALUE"""),62.0)</f>
        <v>62</v>
      </c>
      <c r="F4415" s="19" t="str">
        <f>IFERROR(__xludf.DUMMYFUNCTION("""COMPUTED_VALUE"""),"BLUE")</f>
        <v>BLUE</v>
      </c>
      <c r="G4415" s="20" t="str">
        <f>IFERROR(__xludf.DUMMYFUNCTION("""COMPUTED_VALUE"""),"Uncle Sams Cider (11/12/2021) (Blue)")</f>
        <v>Uncle Sams Cider (11/12/2021) (Blue)</v>
      </c>
      <c r="H4415" s="19"/>
    </row>
    <row r="4416">
      <c r="A4416" s="9"/>
      <c r="B4416" s="15"/>
      <c r="C4416" s="9">
        <f>IFERROR(__xludf.DUMMYFUNCTION("""COMPUTED_VALUE"""),44559.1984995717)</f>
        <v>44559.1985</v>
      </c>
      <c r="D4416" s="15">
        <f>IFERROR(__xludf.DUMMYFUNCTION("""COMPUTED_VALUE"""),1.008)</f>
        <v>1.008</v>
      </c>
      <c r="E4416" s="16">
        <f>IFERROR(__xludf.DUMMYFUNCTION("""COMPUTED_VALUE"""),63.0)</f>
        <v>63</v>
      </c>
      <c r="F4416" s="19" t="str">
        <f>IFERROR(__xludf.DUMMYFUNCTION("""COMPUTED_VALUE"""),"BLUE")</f>
        <v>BLUE</v>
      </c>
      <c r="G4416" s="20" t="str">
        <f>IFERROR(__xludf.DUMMYFUNCTION("""COMPUTED_VALUE"""),"Uncle Sams Cider (11/12/2021) (Blue)")</f>
        <v>Uncle Sams Cider (11/12/2021) (Blue)</v>
      </c>
      <c r="H4416" s="19"/>
    </row>
    <row r="4417">
      <c r="A4417" s="9"/>
      <c r="B4417" s="15"/>
      <c r="C4417" s="9">
        <f>IFERROR(__xludf.DUMMYFUNCTION("""COMPUTED_VALUE"""),44559.1880786921)</f>
        <v>44559.18808</v>
      </c>
      <c r="D4417" s="15">
        <f>IFERROR(__xludf.DUMMYFUNCTION("""COMPUTED_VALUE"""),1.008)</f>
        <v>1.008</v>
      </c>
      <c r="E4417" s="16">
        <f>IFERROR(__xludf.DUMMYFUNCTION("""COMPUTED_VALUE"""),62.0)</f>
        <v>62</v>
      </c>
      <c r="F4417" s="19" t="str">
        <f>IFERROR(__xludf.DUMMYFUNCTION("""COMPUTED_VALUE"""),"BLUE")</f>
        <v>BLUE</v>
      </c>
      <c r="G4417" s="20" t="str">
        <f>IFERROR(__xludf.DUMMYFUNCTION("""COMPUTED_VALUE"""),"Uncle Sams Cider (11/12/2021) (Blue)")</f>
        <v>Uncle Sams Cider (11/12/2021) (Blue)</v>
      </c>
      <c r="H4417" s="19"/>
    </row>
    <row r="4418">
      <c r="A4418" s="9"/>
      <c r="B4418" s="15"/>
      <c r="C4418" s="9">
        <f>IFERROR(__xludf.DUMMYFUNCTION("""COMPUTED_VALUE"""),44559.177657905)</f>
        <v>44559.17766</v>
      </c>
      <c r="D4418" s="15">
        <f>IFERROR(__xludf.DUMMYFUNCTION("""COMPUTED_VALUE"""),1.008)</f>
        <v>1.008</v>
      </c>
      <c r="E4418" s="16">
        <f>IFERROR(__xludf.DUMMYFUNCTION("""COMPUTED_VALUE"""),63.0)</f>
        <v>63</v>
      </c>
      <c r="F4418" s="19" t="str">
        <f>IFERROR(__xludf.DUMMYFUNCTION("""COMPUTED_VALUE"""),"BLUE")</f>
        <v>BLUE</v>
      </c>
      <c r="G4418" s="20" t="str">
        <f>IFERROR(__xludf.DUMMYFUNCTION("""COMPUTED_VALUE"""),"Uncle Sams Cider (11/12/2021) (Blue)")</f>
        <v>Uncle Sams Cider (11/12/2021) (Blue)</v>
      </c>
      <c r="H4418" s="19"/>
    </row>
    <row r="4419">
      <c r="A4419" s="9"/>
      <c r="B4419" s="15"/>
      <c r="C4419" s="9">
        <f>IFERROR(__xludf.DUMMYFUNCTION("""COMPUTED_VALUE"""),44559.1672129166)</f>
        <v>44559.16721</v>
      </c>
      <c r="D4419" s="15">
        <f>IFERROR(__xludf.DUMMYFUNCTION("""COMPUTED_VALUE"""),1.008)</f>
        <v>1.008</v>
      </c>
      <c r="E4419" s="16">
        <f>IFERROR(__xludf.DUMMYFUNCTION("""COMPUTED_VALUE"""),63.0)</f>
        <v>63</v>
      </c>
      <c r="F4419" s="19" t="str">
        <f>IFERROR(__xludf.DUMMYFUNCTION("""COMPUTED_VALUE"""),"BLUE")</f>
        <v>BLUE</v>
      </c>
      <c r="G4419" s="20" t="str">
        <f>IFERROR(__xludf.DUMMYFUNCTION("""COMPUTED_VALUE"""),"Uncle Sams Cider (11/12/2021) (Blue)")</f>
        <v>Uncle Sams Cider (11/12/2021) (Blue)</v>
      </c>
      <c r="H4419" s="19"/>
    </row>
    <row r="4420">
      <c r="A4420" s="9"/>
      <c r="B4420" s="15"/>
      <c r="C4420" s="9">
        <f>IFERROR(__xludf.DUMMYFUNCTION("""COMPUTED_VALUE"""),44559.1567926504)</f>
        <v>44559.15679</v>
      </c>
      <c r="D4420" s="15">
        <f>IFERROR(__xludf.DUMMYFUNCTION("""COMPUTED_VALUE"""),1.008)</f>
        <v>1.008</v>
      </c>
      <c r="E4420" s="16">
        <f>IFERROR(__xludf.DUMMYFUNCTION("""COMPUTED_VALUE"""),63.0)</f>
        <v>63</v>
      </c>
      <c r="F4420" s="19" t="str">
        <f>IFERROR(__xludf.DUMMYFUNCTION("""COMPUTED_VALUE"""),"BLUE")</f>
        <v>BLUE</v>
      </c>
      <c r="G4420" s="20" t="str">
        <f>IFERROR(__xludf.DUMMYFUNCTION("""COMPUTED_VALUE"""),"Uncle Sams Cider (11/12/2021) (Blue)")</f>
        <v>Uncle Sams Cider (11/12/2021) (Blue)</v>
      </c>
      <c r="H4420" s="19"/>
    </row>
    <row r="4421">
      <c r="A4421" s="9"/>
      <c r="B4421" s="15"/>
      <c r="C4421" s="9">
        <f>IFERROR(__xludf.DUMMYFUNCTION("""COMPUTED_VALUE"""),44559.1463480439)</f>
        <v>44559.14635</v>
      </c>
      <c r="D4421" s="15">
        <f>IFERROR(__xludf.DUMMYFUNCTION("""COMPUTED_VALUE"""),1.008)</f>
        <v>1.008</v>
      </c>
      <c r="E4421" s="16">
        <f>IFERROR(__xludf.DUMMYFUNCTION("""COMPUTED_VALUE"""),62.0)</f>
        <v>62</v>
      </c>
      <c r="F4421" s="19" t="str">
        <f>IFERROR(__xludf.DUMMYFUNCTION("""COMPUTED_VALUE"""),"BLUE")</f>
        <v>BLUE</v>
      </c>
      <c r="G4421" s="20" t="str">
        <f>IFERROR(__xludf.DUMMYFUNCTION("""COMPUTED_VALUE"""),"Uncle Sams Cider (11/12/2021) (Blue)")</f>
        <v>Uncle Sams Cider (11/12/2021) (Blue)</v>
      </c>
      <c r="H4421" s="19"/>
    </row>
    <row r="4422">
      <c r="A4422" s="9"/>
      <c r="B4422" s="15"/>
      <c r="C4422" s="9">
        <f>IFERROR(__xludf.DUMMYFUNCTION("""COMPUTED_VALUE"""),44559.1359282638)</f>
        <v>44559.13593</v>
      </c>
      <c r="D4422" s="15">
        <f>IFERROR(__xludf.DUMMYFUNCTION("""COMPUTED_VALUE"""),1.008)</f>
        <v>1.008</v>
      </c>
      <c r="E4422" s="16">
        <f>IFERROR(__xludf.DUMMYFUNCTION("""COMPUTED_VALUE"""),63.0)</f>
        <v>63</v>
      </c>
      <c r="F4422" s="19" t="str">
        <f>IFERROR(__xludf.DUMMYFUNCTION("""COMPUTED_VALUE"""),"BLUE")</f>
        <v>BLUE</v>
      </c>
      <c r="G4422" s="20" t="str">
        <f>IFERROR(__xludf.DUMMYFUNCTION("""COMPUTED_VALUE"""),"Uncle Sams Cider (11/12/2021) (Blue)")</f>
        <v>Uncle Sams Cider (11/12/2021) (Blue)</v>
      </c>
      <c r="H4422" s="19"/>
    </row>
    <row r="4423">
      <c r="A4423" s="9"/>
      <c r="B4423" s="15"/>
      <c r="C4423" s="9">
        <f>IFERROR(__xludf.DUMMYFUNCTION("""COMPUTED_VALUE"""),44559.1255074768)</f>
        <v>44559.12551</v>
      </c>
      <c r="D4423" s="15">
        <f>IFERROR(__xludf.DUMMYFUNCTION("""COMPUTED_VALUE"""),1.008)</f>
        <v>1.008</v>
      </c>
      <c r="E4423" s="16">
        <f>IFERROR(__xludf.DUMMYFUNCTION("""COMPUTED_VALUE"""),63.0)</f>
        <v>63</v>
      </c>
      <c r="F4423" s="19" t="str">
        <f>IFERROR(__xludf.DUMMYFUNCTION("""COMPUTED_VALUE"""),"BLUE")</f>
        <v>BLUE</v>
      </c>
      <c r="G4423" s="20" t="str">
        <f>IFERROR(__xludf.DUMMYFUNCTION("""COMPUTED_VALUE"""),"Uncle Sams Cider (11/12/2021) (Blue)")</f>
        <v>Uncle Sams Cider (11/12/2021) (Blue)</v>
      </c>
      <c r="H4423" s="19"/>
    </row>
    <row r="4424">
      <c r="A4424" s="9"/>
      <c r="B4424" s="15"/>
      <c r="C4424" s="9">
        <f>IFERROR(__xludf.DUMMYFUNCTION("""COMPUTED_VALUE"""),44559.1150872685)</f>
        <v>44559.11509</v>
      </c>
      <c r="D4424" s="15">
        <f>IFERROR(__xludf.DUMMYFUNCTION("""COMPUTED_VALUE"""),1.008)</f>
        <v>1.008</v>
      </c>
      <c r="E4424" s="16">
        <f>IFERROR(__xludf.DUMMYFUNCTION("""COMPUTED_VALUE"""),63.0)</f>
        <v>63</v>
      </c>
      <c r="F4424" s="19" t="str">
        <f>IFERROR(__xludf.DUMMYFUNCTION("""COMPUTED_VALUE"""),"BLUE")</f>
        <v>BLUE</v>
      </c>
      <c r="G4424" s="20" t="str">
        <f>IFERROR(__xludf.DUMMYFUNCTION("""COMPUTED_VALUE"""),"Uncle Sams Cider (11/12/2021) (Blue)")</f>
        <v>Uncle Sams Cider (11/12/2021) (Blue)</v>
      </c>
      <c r="H4424" s="19"/>
    </row>
    <row r="4425">
      <c r="A4425" s="9"/>
      <c r="B4425" s="15"/>
      <c r="C4425" s="9">
        <f>IFERROR(__xludf.DUMMYFUNCTION("""COMPUTED_VALUE"""),44559.1046659374)</f>
        <v>44559.10467</v>
      </c>
      <c r="D4425" s="15">
        <f>IFERROR(__xludf.DUMMYFUNCTION("""COMPUTED_VALUE"""),1.008)</f>
        <v>1.008</v>
      </c>
      <c r="E4425" s="16">
        <f>IFERROR(__xludf.DUMMYFUNCTION("""COMPUTED_VALUE"""),63.0)</f>
        <v>63</v>
      </c>
      <c r="F4425" s="19" t="str">
        <f>IFERROR(__xludf.DUMMYFUNCTION("""COMPUTED_VALUE"""),"BLUE")</f>
        <v>BLUE</v>
      </c>
      <c r="G4425" s="20" t="str">
        <f>IFERROR(__xludf.DUMMYFUNCTION("""COMPUTED_VALUE"""),"Uncle Sams Cider (11/12/2021) (Blue)")</f>
        <v>Uncle Sams Cider (11/12/2021) (Blue)</v>
      </c>
      <c r="H4425" s="19"/>
    </row>
    <row r="4426">
      <c r="A4426" s="9"/>
      <c r="B4426" s="15"/>
      <c r="C4426" s="9">
        <f>IFERROR(__xludf.DUMMYFUNCTION("""COMPUTED_VALUE"""),44559.0942457523)</f>
        <v>44559.09425</v>
      </c>
      <c r="D4426" s="15">
        <f>IFERROR(__xludf.DUMMYFUNCTION("""COMPUTED_VALUE"""),1.008)</f>
        <v>1.008</v>
      </c>
      <c r="E4426" s="16">
        <f>IFERROR(__xludf.DUMMYFUNCTION("""COMPUTED_VALUE"""),63.0)</f>
        <v>63</v>
      </c>
      <c r="F4426" s="19" t="str">
        <f>IFERROR(__xludf.DUMMYFUNCTION("""COMPUTED_VALUE"""),"BLUE")</f>
        <v>BLUE</v>
      </c>
      <c r="G4426" s="20" t="str">
        <f>IFERROR(__xludf.DUMMYFUNCTION("""COMPUTED_VALUE"""),"Uncle Sams Cider (11/12/2021) (Blue)")</f>
        <v>Uncle Sams Cider (11/12/2021) (Blue)</v>
      </c>
      <c r="H4426" s="19"/>
    </row>
    <row r="4427">
      <c r="A4427" s="9"/>
      <c r="B4427" s="15"/>
      <c r="C4427" s="9">
        <f>IFERROR(__xludf.DUMMYFUNCTION("""COMPUTED_VALUE"""),44559.0838010995)</f>
        <v>44559.0838</v>
      </c>
      <c r="D4427" s="15">
        <f>IFERROR(__xludf.DUMMYFUNCTION("""COMPUTED_VALUE"""),1.008)</f>
        <v>1.008</v>
      </c>
      <c r="E4427" s="16">
        <f>IFERROR(__xludf.DUMMYFUNCTION("""COMPUTED_VALUE"""),63.0)</f>
        <v>63</v>
      </c>
      <c r="F4427" s="19" t="str">
        <f>IFERROR(__xludf.DUMMYFUNCTION("""COMPUTED_VALUE"""),"BLUE")</f>
        <v>BLUE</v>
      </c>
      <c r="G4427" s="20" t="str">
        <f>IFERROR(__xludf.DUMMYFUNCTION("""COMPUTED_VALUE"""),"Uncle Sams Cider (11/12/2021) (Blue)")</f>
        <v>Uncle Sams Cider (11/12/2021) (Blue)</v>
      </c>
      <c r="H4427" s="19"/>
    </row>
    <row r="4428">
      <c r="A4428" s="9"/>
      <c r="B4428" s="15"/>
      <c r="C4428" s="9">
        <f>IFERROR(__xludf.DUMMYFUNCTION("""COMPUTED_VALUE"""),44559.0733785995)</f>
        <v>44559.07338</v>
      </c>
      <c r="D4428" s="15">
        <f>IFERROR(__xludf.DUMMYFUNCTION("""COMPUTED_VALUE"""),1.008)</f>
        <v>1.008</v>
      </c>
      <c r="E4428" s="16">
        <f>IFERROR(__xludf.DUMMYFUNCTION("""COMPUTED_VALUE"""),63.0)</f>
        <v>63</v>
      </c>
      <c r="F4428" s="19" t="str">
        <f>IFERROR(__xludf.DUMMYFUNCTION("""COMPUTED_VALUE"""),"BLUE")</f>
        <v>BLUE</v>
      </c>
      <c r="G4428" s="20" t="str">
        <f>IFERROR(__xludf.DUMMYFUNCTION("""COMPUTED_VALUE"""),"Uncle Sams Cider (11/12/2021) (Blue)")</f>
        <v>Uncle Sams Cider (11/12/2021) (Blue)</v>
      </c>
      <c r="H4428" s="19"/>
    </row>
    <row r="4429">
      <c r="A4429" s="9"/>
      <c r="B4429" s="15"/>
      <c r="C4429" s="9">
        <f>IFERROR(__xludf.DUMMYFUNCTION("""COMPUTED_VALUE"""),44559.0629352662)</f>
        <v>44559.06294</v>
      </c>
      <c r="D4429" s="15">
        <f>IFERROR(__xludf.DUMMYFUNCTION("""COMPUTED_VALUE"""),1.008)</f>
        <v>1.008</v>
      </c>
      <c r="E4429" s="16">
        <f>IFERROR(__xludf.DUMMYFUNCTION("""COMPUTED_VALUE"""),63.0)</f>
        <v>63</v>
      </c>
      <c r="F4429" s="19" t="str">
        <f>IFERROR(__xludf.DUMMYFUNCTION("""COMPUTED_VALUE"""),"BLUE")</f>
        <v>BLUE</v>
      </c>
      <c r="G4429" s="20" t="str">
        <f>IFERROR(__xludf.DUMMYFUNCTION("""COMPUTED_VALUE"""),"Uncle Sams Cider (11/12/2021) (Blue)")</f>
        <v>Uncle Sams Cider (11/12/2021) (Blue)</v>
      </c>
      <c r="H4429" s="19"/>
    </row>
    <row r="4430">
      <c r="A4430" s="9"/>
      <c r="B4430" s="15"/>
      <c r="C4430" s="9">
        <f>IFERROR(__xludf.DUMMYFUNCTION("""COMPUTED_VALUE"""),44559.0525131712)</f>
        <v>44559.05251</v>
      </c>
      <c r="D4430" s="15">
        <f>IFERROR(__xludf.DUMMYFUNCTION("""COMPUTED_VALUE"""),1.008)</f>
        <v>1.008</v>
      </c>
      <c r="E4430" s="16">
        <f>IFERROR(__xludf.DUMMYFUNCTION("""COMPUTED_VALUE"""),62.0)</f>
        <v>62</v>
      </c>
      <c r="F4430" s="19" t="str">
        <f>IFERROR(__xludf.DUMMYFUNCTION("""COMPUTED_VALUE"""),"BLUE")</f>
        <v>BLUE</v>
      </c>
      <c r="G4430" s="20" t="str">
        <f>IFERROR(__xludf.DUMMYFUNCTION("""COMPUTED_VALUE"""),"Uncle Sams Cider (11/12/2021) (Blue)")</f>
        <v>Uncle Sams Cider (11/12/2021) (Blue)</v>
      </c>
      <c r="H4430" s="19"/>
    </row>
    <row r="4431">
      <c r="A4431" s="9"/>
      <c r="B4431" s="15"/>
      <c r="C4431" s="9">
        <f>IFERROR(__xludf.DUMMYFUNCTION("""COMPUTED_VALUE"""),44559.0420807175)</f>
        <v>44559.04208</v>
      </c>
      <c r="D4431" s="15">
        <f>IFERROR(__xludf.DUMMYFUNCTION("""COMPUTED_VALUE"""),1.008)</f>
        <v>1.008</v>
      </c>
      <c r="E4431" s="16">
        <f>IFERROR(__xludf.DUMMYFUNCTION("""COMPUTED_VALUE"""),63.0)</f>
        <v>63</v>
      </c>
      <c r="F4431" s="19" t="str">
        <f>IFERROR(__xludf.DUMMYFUNCTION("""COMPUTED_VALUE"""),"BLUE")</f>
        <v>BLUE</v>
      </c>
      <c r="G4431" s="20" t="str">
        <f>IFERROR(__xludf.DUMMYFUNCTION("""COMPUTED_VALUE"""),"Uncle Sams Cider (11/12/2021) (Blue)")</f>
        <v>Uncle Sams Cider (11/12/2021) (Blue)</v>
      </c>
      <c r="H4431" s="19"/>
    </row>
    <row r="4432">
      <c r="A4432" s="9"/>
      <c r="B4432" s="15"/>
      <c r="C4432" s="9">
        <f>IFERROR(__xludf.DUMMYFUNCTION("""COMPUTED_VALUE"""),44559.0316585648)</f>
        <v>44559.03166</v>
      </c>
      <c r="D4432" s="15">
        <f>IFERROR(__xludf.DUMMYFUNCTION("""COMPUTED_VALUE"""),1.008)</f>
        <v>1.008</v>
      </c>
      <c r="E4432" s="16">
        <f>IFERROR(__xludf.DUMMYFUNCTION("""COMPUTED_VALUE"""),62.0)</f>
        <v>62</v>
      </c>
      <c r="F4432" s="19" t="str">
        <f>IFERROR(__xludf.DUMMYFUNCTION("""COMPUTED_VALUE"""),"BLUE")</f>
        <v>BLUE</v>
      </c>
      <c r="G4432" s="20" t="str">
        <f>IFERROR(__xludf.DUMMYFUNCTION("""COMPUTED_VALUE"""),"Uncle Sams Cider (11/12/2021) (Blue)")</f>
        <v>Uncle Sams Cider (11/12/2021) (Blue)</v>
      </c>
      <c r="H4432" s="19"/>
    </row>
    <row r="4433">
      <c r="A4433" s="9"/>
      <c r="B4433" s="15"/>
      <c r="C4433" s="9">
        <f>IFERROR(__xludf.DUMMYFUNCTION("""COMPUTED_VALUE"""),44559.0212255671)</f>
        <v>44559.02123</v>
      </c>
      <c r="D4433" s="15">
        <f>IFERROR(__xludf.DUMMYFUNCTION("""COMPUTED_VALUE"""),1.008)</f>
        <v>1.008</v>
      </c>
      <c r="E4433" s="16">
        <f>IFERROR(__xludf.DUMMYFUNCTION("""COMPUTED_VALUE"""),62.0)</f>
        <v>62</v>
      </c>
      <c r="F4433" s="19" t="str">
        <f>IFERROR(__xludf.DUMMYFUNCTION("""COMPUTED_VALUE"""),"BLUE")</f>
        <v>BLUE</v>
      </c>
      <c r="G4433" s="20" t="str">
        <f>IFERROR(__xludf.DUMMYFUNCTION("""COMPUTED_VALUE"""),"Uncle Sams Cider (11/12/2021) (Blue)")</f>
        <v>Uncle Sams Cider (11/12/2021) (Blue)</v>
      </c>
      <c r="H4433" s="19"/>
    </row>
    <row r="4434">
      <c r="A4434" s="9"/>
      <c r="B4434" s="15"/>
      <c r="C4434" s="9">
        <f>IFERROR(__xludf.DUMMYFUNCTION("""COMPUTED_VALUE"""),44559.0108047685)</f>
        <v>44559.0108</v>
      </c>
      <c r="D4434" s="15">
        <f>IFERROR(__xludf.DUMMYFUNCTION("""COMPUTED_VALUE"""),1.008)</f>
        <v>1.008</v>
      </c>
      <c r="E4434" s="16">
        <f>IFERROR(__xludf.DUMMYFUNCTION("""COMPUTED_VALUE"""),63.0)</f>
        <v>63</v>
      </c>
      <c r="F4434" s="19" t="str">
        <f>IFERROR(__xludf.DUMMYFUNCTION("""COMPUTED_VALUE"""),"BLUE")</f>
        <v>BLUE</v>
      </c>
      <c r="G4434" s="20" t="str">
        <f>IFERROR(__xludf.DUMMYFUNCTION("""COMPUTED_VALUE"""),"Uncle Sams Cider (11/12/2021) (Blue)")</f>
        <v>Uncle Sams Cider (11/12/2021) (Blue)</v>
      </c>
      <c r="H4434" s="19"/>
    </row>
    <row r="4435">
      <c r="A4435" s="9"/>
      <c r="B4435" s="15"/>
      <c r="C4435" s="9">
        <f>IFERROR(__xludf.DUMMYFUNCTION("""COMPUTED_VALUE"""),44559.0003726273)</f>
        <v>44559.00037</v>
      </c>
      <c r="D4435" s="15">
        <f>IFERROR(__xludf.DUMMYFUNCTION("""COMPUTED_VALUE"""),1.008)</f>
        <v>1.008</v>
      </c>
      <c r="E4435" s="16">
        <f>IFERROR(__xludf.DUMMYFUNCTION("""COMPUTED_VALUE"""),63.0)</f>
        <v>63</v>
      </c>
      <c r="F4435" s="19" t="str">
        <f>IFERROR(__xludf.DUMMYFUNCTION("""COMPUTED_VALUE"""),"BLUE")</f>
        <v>BLUE</v>
      </c>
      <c r="G4435" s="20" t="str">
        <f>IFERROR(__xludf.DUMMYFUNCTION("""COMPUTED_VALUE"""),"Uncle Sams Cider (11/12/2021) (Blue)")</f>
        <v>Uncle Sams Cider (11/12/2021) (Blue)</v>
      </c>
      <c r="H4435" s="19"/>
    </row>
    <row r="4436">
      <c r="A4436" s="9"/>
      <c r="B4436" s="15"/>
      <c r="C4436" s="9">
        <f>IFERROR(__xludf.DUMMYFUNCTION("""COMPUTED_VALUE"""),44558.9899508796)</f>
        <v>44558.98995</v>
      </c>
      <c r="D4436" s="15">
        <f>IFERROR(__xludf.DUMMYFUNCTION("""COMPUTED_VALUE"""),1.008)</f>
        <v>1.008</v>
      </c>
      <c r="E4436" s="16">
        <f>IFERROR(__xludf.DUMMYFUNCTION("""COMPUTED_VALUE"""),63.0)</f>
        <v>63</v>
      </c>
      <c r="F4436" s="19" t="str">
        <f>IFERROR(__xludf.DUMMYFUNCTION("""COMPUTED_VALUE"""),"BLUE")</f>
        <v>BLUE</v>
      </c>
      <c r="G4436" s="20" t="str">
        <f>IFERROR(__xludf.DUMMYFUNCTION("""COMPUTED_VALUE"""),"Uncle Sams Cider (11/12/2021) (Blue)")</f>
        <v>Uncle Sams Cider (11/12/2021) (Blue)</v>
      </c>
      <c r="H4436" s="19"/>
    </row>
    <row r="4437">
      <c r="A4437" s="9"/>
      <c r="B4437" s="15"/>
      <c r="C4437" s="9">
        <f>IFERROR(__xludf.DUMMYFUNCTION("""COMPUTED_VALUE"""),44558.9795288078)</f>
        <v>44558.97953</v>
      </c>
      <c r="D4437" s="15">
        <f>IFERROR(__xludf.DUMMYFUNCTION("""COMPUTED_VALUE"""),1.008)</f>
        <v>1.008</v>
      </c>
      <c r="E4437" s="16">
        <f>IFERROR(__xludf.DUMMYFUNCTION("""COMPUTED_VALUE"""),63.0)</f>
        <v>63</v>
      </c>
      <c r="F4437" s="19" t="str">
        <f>IFERROR(__xludf.DUMMYFUNCTION("""COMPUTED_VALUE"""),"BLUE")</f>
        <v>BLUE</v>
      </c>
      <c r="G4437" s="20" t="str">
        <f>IFERROR(__xludf.DUMMYFUNCTION("""COMPUTED_VALUE"""),"Uncle Sams Cider (11/12/2021) (Blue)")</f>
        <v>Uncle Sams Cider (11/12/2021) (Blue)</v>
      </c>
      <c r="H4437" s="19"/>
    </row>
    <row r="4438">
      <c r="A4438" s="9"/>
      <c r="B4438" s="15"/>
      <c r="C4438" s="9">
        <f>IFERROR(__xludf.DUMMYFUNCTION("""COMPUTED_VALUE"""),44558.9691067476)</f>
        <v>44558.96911</v>
      </c>
      <c r="D4438" s="15">
        <f>IFERROR(__xludf.DUMMYFUNCTION("""COMPUTED_VALUE"""),1.009)</f>
        <v>1.009</v>
      </c>
      <c r="E4438" s="16">
        <f>IFERROR(__xludf.DUMMYFUNCTION("""COMPUTED_VALUE"""),63.0)</f>
        <v>63</v>
      </c>
      <c r="F4438" s="19" t="str">
        <f>IFERROR(__xludf.DUMMYFUNCTION("""COMPUTED_VALUE"""),"BLUE")</f>
        <v>BLUE</v>
      </c>
      <c r="G4438" s="20" t="str">
        <f>IFERROR(__xludf.DUMMYFUNCTION("""COMPUTED_VALUE"""),"Uncle Sams Cider (11/12/2021) (Blue)")</f>
        <v>Uncle Sams Cider (11/12/2021) (Blue)</v>
      </c>
      <c r="H4438" s="19"/>
    </row>
    <row r="4439">
      <c r="A4439" s="9"/>
      <c r="B4439" s="15"/>
      <c r="C4439" s="9">
        <f>IFERROR(__xludf.DUMMYFUNCTION("""COMPUTED_VALUE"""),44558.9586867708)</f>
        <v>44558.95869</v>
      </c>
      <c r="D4439" s="15">
        <f>IFERROR(__xludf.DUMMYFUNCTION("""COMPUTED_VALUE"""),1.008)</f>
        <v>1.008</v>
      </c>
      <c r="E4439" s="16">
        <f>IFERROR(__xludf.DUMMYFUNCTION("""COMPUTED_VALUE"""),62.0)</f>
        <v>62</v>
      </c>
      <c r="F4439" s="19" t="str">
        <f>IFERROR(__xludf.DUMMYFUNCTION("""COMPUTED_VALUE"""),"BLUE")</f>
        <v>BLUE</v>
      </c>
      <c r="G4439" s="20" t="str">
        <f>IFERROR(__xludf.DUMMYFUNCTION("""COMPUTED_VALUE"""),"Uncle Sams Cider (11/12/2021) (Blue)")</f>
        <v>Uncle Sams Cider (11/12/2021) (Blue)</v>
      </c>
      <c r="H4439" s="19"/>
    </row>
    <row r="4440">
      <c r="A4440" s="9"/>
      <c r="B4440" s="15"/>
      <c r="C4440" s="9">
        <f>IFERROR(__xludf.DUMMYFUNCTION("""COMPUTED_VALUE"""),44558.9482649537)</f>
        <v>44558.94826</v>
      </c>
      <c r="D4440" s="15">
        <f>IFERROR(__xludf.DUMMYFUNCTION("""COMPUTED_VALUE"""),1.008)</f>
        <v>1.008</v>
      </c>
      <c r="E4440" s="16">
        <f>IFERROR(__xludf.DUMMYFUNCTION("""COMPUTED_VALUE"""),63.0)</f>
        <v>63</v>
      </c>
      <c r="F4440" s="19" t="str">
        <f>IFERROR(__xludf.DUMMYFUNCTION("""COMPUTED_VALUE"""),"BLUE")</f>
        <v>BLUE</v>
      </c>
      <c r="G4440" s="20" t="str">
        <f>IFERROR(__xludf.DUMMYFUNCTION("""COMPUTED_VALUE"""),"Uncle Sams Cider (11/12/2021) (Blue)")</f>
        <v>Uncle Sams Cider (11/12/2021) (Blue)</v>
      </c>
      <c r="H4440" s="19"/>
    </row>
    <row r="4441">
      <c r="A4441" s="9"/>
      <c r="B4441" s="15"/>
      <c r="C4441" s="9">
        <f>IFERROR(__xludf.DUMMYFUNCTION("""COMPUTED_VALUE"""),44558.9378298263)</f>
        <v>44558.93783</v>
      </c>
      <c r="D4441" s="15">
        <f>IFERROR(__xludf.DUMMYFUNCTION("""COMPUTED_VALUE"""),1.008)</f>
        <v>1.008</v>
      </c>
      <c r="E4441" s="16">
        <f>IFERROR(__xludf.DUMMYFUNCTION("""COMPUTED_VALUE"""),63.0)</f>
        <v>63</v>
      </c>
      <c r="F4441" s="19" t="str">
        <f>IFERROR(__xludf.DUMMYFUNCTION("""COMPUTED_VALUE"""),"BLUE")</f>
        <v>BLUE</v>
      </c>
      <c r="G4441" s="20" t="str">
        <f>IFERROR(__xludf.DUMMYFUNCTION("""COMPUTED_VALUE"""),"Uncle Sams Cider (11/12/2021) (Blue)")</f>
        <v>Uncle Sams Cider (11/12/2021) (Blue)</v>
      </c>
      <c r="H4441" s="19"/>
    </row>
    <row r="4442">
      <c r="A4442" s="9"/>
      <c r="B4442" s="15"/>
      <c r="C4442" s="9">
        <f>IFERROR(__xludf.DUMMYFUNCTION("""COMPUTED_VALUE"""),44558.9274067476)</f>
        <v>44558.92741</v>
      </c>
      <c r="D4442" s="15">
        <f>IFERROR(__xludf.DUMMYFUNCTION("""COMPUTED_VALUE"""),1.008)</f>
        <v>1.008</v>
      </c>
      <c r="E4442" s="16">
        <f>IFERROR(__xludf.DUMMYFUNCTION("""COMPUTED_VALUE"""),63.0)</f>
        <v>63</v>
      </c>
      <c r="F4442" s="19" t="str">
        <f>IFERROR(__xludf.DUMMYFUNCTION("""COMPUTED_VALUE"""),"BLUE")</f>
        <v>BLUE</v>
      </c>
      <c r="G4442" s="20" t="str">
        <f>IFERROR(__xludf.DUMMYFUNCTION("""COMPUTED_VALUE"""),"Uncle Sams Cider (11/12/2021) (Blue)")</f>
        <v>Uncle Sams Cider (11/12/2021) (Blue)</v>
      </c>
      <c r="H4442" s="19"/>
    </row>
    <row r="4443">
      <c r="A4443" s="9"/>
      <c r="B4443" s="15"/>
      <c r="C4443" s="9">
        <f>IFERROR(__xludf.DUMMYFUNCTION("""COMPUTED_VALUE"""),44558.9169857175)</f>
        <v>44558.91699</v>
      </c>
      <c r="D4443" s="15">
        <f>IFERROR(__xludf.DUMMYFUNCTION("""COMPUTED_VALUE"""),1.008)</f>
        <v>1.008</v>
      </c>
      <c r="E4443" s="16">
        <f>IFERROR(__xludf.DUMMYFUNCTION("""COMPUTED_VALUE"""),63.0)</f>
        <v>63</v>
      </c>
      <c r="F4443" s="19" t="str">
        <f>IFERROR(__xludf.DUMMYFUNCTION("""COMPUTED_VALUE"""),"BLUE")</f>
        <v>BLUE</v>
      </c>
      <c r="G4443" s="20" t="str">
        <f>IFERROR(__xludf.DUMMYFUNCTION("""COMPUTED_VALUE"""),"Uncle Sams Cider (11/12/2021) (Blue)")</f>
        <v>Uncle Sams Cider (11/12/2021) (Blue)</v>
      </c>
      <c r="H4443" s="19"/>
    </row>
    <row r="4444">
      <c r="A4444" s="9"/>
      <c r="B4444" s="15"/>
      <c r="C4444" s="9">
        <f>IFERROR(__xludf.DUMMYFUNCTION("""COMPUTED_VALUE"""),44558.9065649652)</f>
        <v>44558.90656</v>
      </c>
      <c r="D4444" s="15">
        <f>IFERROR(__xludf.DUMMYFUNCTION("""COMPUTED_VALUE"""),1.008)</f>
        <v>1.008</v>
      </c>
      <c r="E4444" s="16">
        <f>IFERROR(__xludf.DUMMYFUNCTION("""COMPUTED_VALUE"""),63.0)</f>
        <v>63</v>
      </c>
      <c r="F4444" s="19" t="str">
        <f>IFERROR(__xludf.DUMMYFUNCTION("""COMPUTED_VALUE"""),"BLUE")</f>
        <v>BLUE</v>
      </c>
      <c r="G4444" s="20" t="str">
        <f>IFERROR(__xludf.DUMMYFUNCTION("""COMPUTED_VALUE"""),"Uncle Sams Cider (11/12/2021) (Blue)")</f>
        <v>Uncle Sams Cider (11/12/2021) (Blue)</v>
      </c>
      <c r="H4444" s="19"/>
    </row>
    <row r="4445">
      <c r="A4445" s="9"/>
      <c r="B4445" s="15"/>
      <c r="C4445" s="9">
        <f>IFERROR(__xludf.DUMMYFUNCTION("""COMPUTED_VALUE"""),44558.8961442361)</f>
        <v>44558.89614</v>
      </c>
      <c r="D4445" s="15">
        <f>IFERROR(__xludf.DUMMYFUNCTION("""COMPUTED_VALUE"""),1.008)</f>
        <v>1.008</v>
      </c>
      <c r="E4445" s="16">
        <f>IFERROR(__xludf.DUMMYFUNCTION("""COMPUTED_VALUE"""),63.0)</f>
        <v>63</v>
      </c>
      <c r="F4445" s="19" t="str">
        <f>IFERROR(__xludf.DUMMYFUNCTION("""COMPUTED_VALUE"""),"BLUE")</f>
        <v>BLUE</v>
      </c>
      <c r="G4445" s="20" t="str">
        <f>IFERROR(__xludf.DUMMYFUNCTION("""COMPUTED_VALUE"""),"Uncle Sams Cider (11/12/2021) (Blue)")</f>
        <v>Uncle Sams Cider (11/12/2021) (Blue)</v>
      </c>
      <c r="H4445" s="19"/>
    </row>
    <row r="4446">
      <c r="A4446" s="9"/>
      <c r="B4446" s="15"/>
      <c r="C4446" s="9">
        <f>IFERROR(__xludf.DUMMYFUNCTION("""COMPUTED_VALUE"""),44558.8857005671)</f>
        <v>44558.8857</v>
      </c>
      <c r="D4446" s="15">
        <f>IFERROR(__xludf.DUMMYFUNCTION("""COMPUTED_VALUE"""),1.009)</f>
        <v>1.009</v>
      </c>
      <c r="E4446" s="16">
        <f>IFERROR(__xludf.DUMMYFUNCTION("""COMPUTED_VALUE"""),63.0)</f>
        <v>63</v>
      </c>
      <c r="F4446" s="19" t="str">
        <f>IFERROR(__xludf.DUMMYFUNCTION("""COMPUTED_VALUE"""),"BLUE")</f>
        <v>BLUE</v>
      </c>
      <c r="G4446" s="20" t="str">
        <f>IFERROR(__xludf.DUMMYFUNCTION("""COMPUTED_VALUE"""),"Uncle Sams Cider (11/12/2021) (Blue)")</f>
        <v>Uncle Sams Cider (11/12/2021) (Blue)</v>
      </c>
      <c r="H4446" s="19"/>
    </row>
    <row r="4447">
      <c r="A4447" s="9"/>
      <c r="B4447" s="15"/>
      <c r="C4447" s="9">
        <f>IFERROR(__xludf.DUMMYFUNCTION("""COMPUTED_VALUE"""),44558.8752778125)</f>
        <v>44558.87528</v>
      </c>
      <c r="D4447" s="15">
        <f>IFERROR(__xludf.DUMMYFUNCTION("""COMPUTED_VALUE"""),1.008)</f>
        <v>1.008</v>
      </c>
      <c r="E4447" s="16">
        <f>IFERROR(__xludf.DUMMYFUNCTION("""COMPUTED_VALUE"""),63.0)</f>
        <v>63</v>
      </c>
      <c r="F4447" s="19" t="str">
        <f>IFERROR(__xludf.DUMMYFUNCTION("""COMPUTED_VALUE"""),"BLUE")</f>
        <v>BLUE</v>
      </c>
      <c r="G4447" s="20" t="str">
        <f>IFERROR(__xludf.DUMMYFUNCTION("""COMPUTED_VALUE"""),"Uncle Sams Cider (11/12/2021) (Blue)")</f>
        <v>Uncle Sams Cider (11/12/2021) (Blue)</v>
      </c>
      <c r="H4447" s="19"/>
    </row>
    <row r="4448">
      <c r="A4448" s="9"/>
      <c r="B4448" s="15"/>
      <c r="C4448" s="9">
        <f>IFERROR(__xludf.DUMMYFUNCTION("""COMPUTED_VALUE"""),44558.8648576504)</f>
        <v>44558.86486</v>
      </c>
      <c r="D4448" s="15">
        <f>IFERROR(__xludf.DUMMYFUNCTION("""COMPUTED_VALUE"""),1.009)</f>
        <v>1.009</v>
      </c>
      <c r="E4448" s="16">
        <f>IFERROR(__xludf.DUMMYFUNCTION("""COMPUTED_VALUE"""),63.0)</f>
        <v>63</v>
      </c>
      <c r="F4448" s="19" t="str">
        <f>IFERROR(__xludf.DUMMYFUNCTION("""COMPUTED_VALUE"""),"BLUE")</f>
        <v>BLUE</v>
      </c>
      <c r="G4448" s="20" t="str">
        <f>IFERROR(__xludf.DUMMYFUNCTION("""COMPUTED_VALUE"""),"Uncle Sams Cider (11/12/2021) (Blue)")</f>
        <v>Uncle Sams Cider (11/12/2021) (Blue)</v>
      </c>
      <c r="H4448" s="19"/>
    </row>
    <row r="4449">
      <c r="A4449" s="9"/>
      <c r="B4449" s="15"/>
      <c r="C4449" s="9">
        <f>IFERROR(__xludf.DUMMYFUNCTION("""COMPUTED_VALUE"""),44558.8544366203)</f>
        <v>44558.85444</v>
      </c>
      <c r="D4449" s="15">
        <f>IFERROR(__xludf.DUMMYFUNCTION("""COMPUTED_VALUE"""),1.008)</f>
        <v>1.008</v>
      </c>
      <c r="E4449" s="16">
        <f>IFERROR(__xludf.DUMMYFUNCTION("""COMPUTED_VALUE"""),63.0)</f>
        <v>63</v>
      </c>
      <c r="F4449" s="19" t="str">
        <f>IFERROR(__xludf.DUMMYFUNCTION("""COMPUTED_VALUE"""),"BLUE")</f>
        <v>BLUE</v>
      </c>
      <c r="G4449" s="20" t="str">
        <f>IFERROR(__xludf.DUMMYFUNCTION("""COMPUTED_VALUE"""),"Uncle Sams Cider (11/12/2021) (Blue)")</f>
        <v>Uncle Sams Cider (11/12/2021) (Blue)</v>
      </c>
      <c r="H4449" s="19"/>
    </row>
    <row r="4450">
      <c r="A4450" s="9"/>
      <c r="B4450" s="15"/>
      <c r="C4450" s="9">
        <f>IFERROR(__xludf.DUMMYFUNCTION("""COMPUTED_VALUE"""),44558.844015)</f>
        <v>44558.84402</v>
      </c>
      <c r="D4450" s="15">
        <f>IFERROR(__xludf.DUMMYFUNCTION("""COMPUTED_VALUE"""),1.008)</f>
        <v>1.008</v>
      </c>
      <c r="E4450" s="16">
        <f>IFERROR(__xludf.DUMMYFUNCTION("""COMPUTED_VALUE"""),63.0)</f>
        <v>63</v>
      </c>
      <c r="F4450" s="19" t="str">
        <f>IFERROR(__xludf.DUMMYFUNCTION("""COMPUTED_VALUE"""),"BLUE")</f>
        <v>BLUE</v>
      </c>
      <c r="G4450" s="20" t="str">
        <f>IFERROR(__xludf.DUMMYFUNCTION("""COMPUTED_VALUE"""),"Uncle Sams Cider (11/12/2021) (Blue)")</f>
        <v>Uncle Sams Cider (11/12/2021) (Blue)</v>
      </c>
      <c r="H4450" s="19"/>
    </row>
    <row r="4451">
      <c r="A4451" s="9"/>
      <c r="B4451" s="15"/>
      <c r="C4451" s="9">
        <f>IFERROR(__xludf.DUMMYFUNCTION("""COMPUTED_VALUE"""),44558.8335945486)</f>
        <v>44558.83359</v>
      </c>
      <c r="D4451" s="15">
        <f>IFERROR(__xludf.DUMMYFUNCTION("""COMPUTED_VALUE"""),1.008)</f>
        <v>1.008</v>
      </c>
      <c r="E4451" s="16">
        <f>IFERROR(__xludf.DUMMYFUNCTION("""COMPUTED_VALUE"""),63.0)</f>
        <v>63</v>
      </c>
      <c r="F4451" s="19" t="str">
        <f>IFERROR(__xludf.DUMMYFUNCTION("""COMPUTED_VALUE"""),"BLUE")</f>
        <v>BLUE</v>
      </c>
      <c r="G4451" s="20" t="str">
        <f>IFERROR(__xludf.DUMMYFUNCTION("""COMPUTED_VALUE"""),"Uncle Sams Cider (11/12/2021) (Blue)")</f>
        <v>Uncle Sams Cider (11/12/2021) (Blue)</v>
      </c>
      <c r="H4451" s="19"/>
    </row>
    <row r="4452">
      <c r="A4452" s="9"/>
      <c r="B4452" s="15"/>
      <c r="C4452" s="9">
        <f>IFERROR(__xludf.DUMMYFUNCTION("""COMPUTED_VALUE"""),44558.8231728125)</f>
        <v>44558.82317</v>
      </c>
      <c r="D4452" s="15">
        <f>IFERROR(__xludf.DUMMYFUNCTION("""COMPUTED_VALUE"""),1.008)</f>
        <v>1.008</v>
      </c>
      <c r="E4452" s="16">
        <f>IFERROR(__xludf.DUMMYFUNCTION("""COMPUTED_VALUE"""),63.0)</f>
        <v>63</v>
      </c>
      <c r="F4452" s="19" t="str">
        <f>IFERROR(__xludf.DUMMYFUNCTION("""COMPUTED_VALUE"""),"BLUE")</f>
        <v>BLUE</v>
      </c>
      <c r="G4452" s="20" t="str">
        <f>IFERROR(__xludf.DUMMYFUNCTION("""COMPUTED_VALUE"""),"Uncle Sams Cider (11/12/2021) (Blue)")</f>
        <v>Uncle Sams Cider (11/12/2021) (Blue)</v>
      </c>
      <c r="H4452" s="19"/>
    </row>
    <row r="4453">
      <c r="A4453" s="9"/>
      <c r="B4453" s="15"/>
      <c r="C4453" s="9">
        <f>IFERROR(__xludf.DUMMYFUNCTION("""COMPUTED_VALUE"""),44558.8127518865)</f>
        <v>44558.81275</v>
      </c>
      <c r="D4453" s="15">
        <f>IFERROR(__xludf.DUMMYFUNCTION("""COMPUTED_VALUE"""),1.009)</f>
        <v>1.009</v>
      </c>
      <c r="E4453" s="16">
        <f>IFERROR(__xludf.DUMMYFUNCTION("""COMPUTED_VALUE"""),63.0)</f>
        <v>63</v>
      </c>
      <c r="F4453" s="19" t="str">
        <f>IFERROR(__xludf.DUMMYFUNCTION("""COMPUTED_VALUE"""),"BLUE")</f>
        <v>BLUE</v>
      </c>
      <c r="G4453" s="20" t="str">
        <f>IFERROR(__xludf.DUMMYFUNCTION("""COMPUTED_VALUE"""),"Uncle Sams Cider (11/12/2021) (Blue)")</f>
        <v>Uncle Sams Cider (11/12/2021) (Blue)</v>
      </c>
      <c r="H4453" s="19"/>
    </row>
    <row r="4454">
      <c r="A4454" s="9"/>
      <c r="B4454" s="15"/>
      <c r="C4454" s="9">
        <f>IFERROR(__xludf.DUMMYFUNCTION("""COMPUTED_VALUE"""),44558.8023302893)</f>
        <v>44558.80233</v>
      </c>
      <c r="D4454" s="15">
        <f>IFERROR(__xludf.DUMMYFUNCTION("""COMPUTED_VALUE"""),1.008)</f>
        <v>1.008</v>
      </c>
      <c r="E4454" s="16">
        <f>IFERROR(__xludf.DUMMYFUNCTION("""COMPUTED_VALUE"""),63.0)</f>
        <v>63</v>
      </c>
      <c r="F4454" s="19" t="str">
        <f>IFERROR(__xludf.DUMMYFUNCTION("""COMPUTED_VALUE"""),"BLUE")</f>
        <v>BLUE</v>
      </c>
      <c r="G4454" s="20" t="str">
        <f>IFERROR(__xludf.DUMMYFUNCTION("""COMPUTED_VALUE"""),"Uncle Sams Cider (11/12/2021) (Blue)")</f>
        <v>Uncle Sams Cider (11/12/2021) (Blue)</v>
      </c>
      <c r="H4454" s="19"/>
    </row>
    <row r="4455">
      <c r="A4455" s="9"/>
      <c r="B4455" s="15"/>
      <c r="C4455" s="9">
        <f>IFERROR(__xludf.DUMMYFUNCTION("""COMPUTED_VALUE"""),44558.7918974421)</f>
        <v>44558.7919</v>
      </c>
      <c r="D4455" s="15">
        <f>IFERROR(__xludf.DUMMYFUNCTION("""COMPUTED_VALUE"""),1.008)</f>
        <v>1.008</v>
      </c>
      <c r="E4455" s="16">
        <f>IFERROR(__xludf.DUMMYFUNCTION("""COMPUTED_VALUE"""),63.0)</f>
        <v>63</v>
      </c>
      <c r="F4455" s="19" t="str">
        <f>IFERROR(__xludf.DUMMYFUNCTION("""COMPUTED_VALUE"""),"BLUE")</f>
        <v>BLUE</v>
      </c>
      <c r="G4455" s="20" t="str">
        <f>IFERROR(__xludf.DUMMYFUNCTION("""COMPUTED_VALUE"""),"Uncle Sams Cider (11/12/2021) (Blue)")</f>
        <v>Uncle Sams Cider (11/12/2021) (Blue)</v>
      </c>
      <c r="H4455" s="19"/>
    </row>
    <row r="4456">
      <c r="A4456" s="9"/>
      <c r="B4456" s="15"/>
      <c r="C4456" s="9">
        <f>IFERROR(__xludf.DUMMYFUNCTION("""COMPUTED_VALUE"""),44558.7814749652)</f>
        <v>44558.78147</v>
      </c>
      <c r="D4456" s="15">
        <f>IFERROR(__xludf.DUMMYFUNCTION("""COMPUTED_VALUE"""),1.009)</f>
        <v>1.009</v>
      </c>
      <c r="E4456" s="16">
        <f>IFERROR(__xludf.DUMMYFUNCTION("""COMPUTED_VALUE"""),63.0)</f>
        <v>63</v>
      </c>
      <c r="F4456" s="19" t="str">
        <f>IFERROR(__xludf.DUMMYFUNCTION("""COMPUTED_VALUE"""),"BLUE")</f>
        <v>BLUE</v>
      </c>
      <c r="G4456" s="20" t="str">
        <f>IFERROR(__xludf.DUMMYFUNCTION("""COMPUTED_VALUE"""),"Uncle Sams Cider (11/12/2021) (Blue)")</f>
        <v>Uncle Sams Cider (11/12/2021) (Blue)</v>
      </c>
      <c r="H4456" s="19"/>
    </row>
    <row r="4457">
      <c r="A4457" s="9"/>
      <c r="B4457" s="15"/>
      <c r="C4457" s="9">
        <f>IFERROR(__xludf.DUMMYFUNCTION("""COMPUTED_VALUE"""),44558.7710542476)</f>
        <v>44558.77105</v>
      </c>
      <c r="D4457" s="15">
        <f>IFERROR(__xludf.DUMMYFUNCTION("""COMPUTED_VALUE"""),1.008)</f>
        <v>1.008</v>
      </c>
      <c r="E4457" s="16">
        <f>IFERROR(__xludf.DUMMYFUNCTION("""COMPUTED_VALUE"""),63.0)</f>
        <v>63</v>
      </c>
      <c r="F4457" s="19" t="str">
        <f>IFERROR(__xludf.DUMMYFUNCTION("""COMPUTED_VALUE"""),"BLUE")</f>
        <v>BLUE</v>
      </c>
      <c r="G4457" s="20" t="str">
        <f>IFERROR(__xludf.DUMMYFUNCTION("""COMPUTED_VALUE"""),"Uncle Sams Cider (11/12/2021) (Blue)")</f>
        <v>Uncle Sams Cider (11/12/2021) (Blue)</v>
      </c>
      <c r="H4457" s="19"/>
    </row>
    <row r="4458">
      <c r="A4458" s="9"/>
      <c r="B4458" s="15"/>
      <c r="C4458" s="9">
        <f>IFERROR(__xludf.DUMMYFUNCTION("""COMPUTED_VALUE"""),44558.7606319444)</f>
        <v>44558.76063</v>
      </c>
      <c r="D4458" s="15">
        <f>IFERROR(__xludf.DUMMYFUNCTION("""COMPUTED_VALUE"""),1.008)</f>
        <v>1.008</v>
      </c>
      <c r="E4458" s="16">
        <f>IFERROR(__xludf.DUMMYFUNCTION("""COMPUTED_VALUE"""),63.0)</f>
        <v>63</v>
      </c>
      <c r="F4458" s="19" t="str">
        <f>IFERROR(__xludf.DUMMYFUNCTION("""COMPUTED_VALUE"""),"BLUE")</f>
        <v>BLUE</v>
      </c>
      <c r="G4458" s="20" t="str">
        <f>IFERROR(__xludf.DUMMYFUNCTION("""COMPUTED_VALUE"""),"Uncle Sams Cider (11/12/2021) (Blue)")</f>
        <v>Uncle Sams Cider (11/12/2021) (Blue)</v>
      </c>
      <c r="H4458" s="19"/>
    </row>
    <row r="4459">
      <c r="A4459" s="9"/>
      <c r="B4459" s="15"/>
      <c r="C4459" s="9">
        <f>IFERROR(__xludf.DUMMYFUNCTION("""COMPUTED_VALUE"""),44558.7502099421)</f>
        <v>44558.75021</v>
      </c>
      <c r="D4459" s="15">
        <f>IFERROR(__xludf.DUMMYFUNCTION("""COMPUTED_VALUE"""),1.008)</f>
        <v>1.008</v>
      </c>
      <c r="E4459" s="16">
        <f>IFERROR(__xludf.DUMMYFUNCTION("""COMPUTED_VALUE"""),63.0)</f>
        <v>63</v>
      </c>
      <c r="F4459" s="19" t="str">
        <f>IFERROR(__xludf.DUMMYFUNCTION("""COMPUTED_VALUE"""),"BLUE")</f>
        <v>BLUE</v>
      </c>
      <c r="G4459" s="20" t="str">
        <f>IFERROR(__xludf.DUMMYFUNCTION("""COMPUTED_VALUE"""),"Uncle Sams Cider (11/12/2021) (Blue)")</f>
        <v>Uncle Sams Cider (11/12/2021) (Blue)</v>
      </c>
      <c r="H4459" s="19"/>
    </row>
    <row r="4460">
      <c r="A4460" s="9"/>
      <c r="B4460" s="15"/>
      <c r="C4460" s="9">
        <f>IFERROR(__xludf.DUMMYFUNCTION("""COMPUTED_VALUE"""),44558.7397883564)</f>
        <v>44558.73979</v>
      </c>
      <c r="D4460" s="15">
        <f>IFERROR(__xludf.DUMMYFUNCTION("""COMPUTED_VALUE"""),1.008)</f>
        <v>1.008</v>
      </c>
      <c r="E4460" s="16">
        <f>IFERROR(__xludf.DUMMYFUNCTION("""COMPUTED_VALUE"""),63.0)</f>
        <v>63</v>
      </c>
      <c r="F4460" s="19" t="str">
        <f>IFERROR(__xludf.DUMMYFUNCTION("""COMPUTED_VALUE"""),"BLUE")</f>
        <v>BLUE</v>
      </c>
      <c r="G4460" s="20" t="str">
        <f>IFERROR(__xludf.DUMMYFUNCTION("""COMPUTED_VALUE"""),"Uncle Sams Cider (11/12/2021) (Blue)")</f>
        <v>Uncle Sams Cider (11/12/2021) (Blue)</v>
      </c>
      <c r="H4460" s="19"/>
    </row>
    <row r="4461">
      <c r="A4461" s="9"/>
      <c r="B4461" s="15"/>
      <c r="C4461" s="9">
        <f>IFERROR(__xludf.DUMMYFUNCTION("""COMPUTED_VALUE"""),44558.7293692592)</f>
        <v>44558.72937</v>
      </c>
      <c r="D4461" s="15">
        <f>IFERROR(__xludf.DUMMYFUNCTION("""COMPUTED_VALUE"""),1.009)</f>
        <v>1.009</v>
      </c>
      <c r="E4461" s="16">
        <f>IFERROR(__xludf.DUMMYFUNCTION("""COMPUTED_VALUE"""),63.0)</f>
        <v>63</v>
      </c>
      <c r="F4461" s="19" t="str">
        <f>IFERROR(__xludf.DUMMYFUNCTION("""COMPUTED_VALUE"""),"BLUE")</f>
        <v>BLUE</v>
      </c>
      <c r="G4461" s="20" t="str">
        <f>IFERROR(__xludf.DUMMYFUNCTION("""COMPUTED_VALUE"""),"Uncle Sams Cider (11/12/2021) (Blue)")</f>
        <v>Uncle Sams Cider (11/12/2021) (Blue)</v>
      </c>
      <c r="H4461" s="19"/>
    </row>
    <row r="4462">
      <c r="A4462" s="9"/>
      <c r="B4462" s="15"/>
      <c r="C4462" s="9">
        <f>IFERROR(__xludf.DUMMYFUNCTION("""COMPUTED_VALUE"""),44558.7189480787)</f>
        <v>44558.71895</v>
      </c>
      <c r="D4462" s="15">
        <f>IFERROR(__xludf.DUMMYFUNCTION("""COMPUTED_VALUE"""),1.008)</f>
        <v>1.008</v>
      </c>
      <c r="E4462" s="16">
        <f>IFERROR(__xludf.DUMMYFUNCTION("""COMPUTED_VALUE"""),63.0)</f>
        <v>63</v>
      </c>
      <c r="F4462" s="19" t="str">
        <f>IFERROR(__xludf.DUMMYFUNCTION("""COMPUTED_VALUE"""),"BLUE")</f>
        <v>BLUE</v>
      </c>
      <c r="G4462" s="20" t="str">
        <f>IFERROR(__xludf.DUMMYFUNCTION("""COMPUTED_VALUE"""),"Uncle Sams Cider (11/12/2021) (Blue)")</f>
        <v>Uncle Sams Cider (11/12/2021) (Blue)</v>
      </c>
      <c r="H4462" s="19"/>
    </row>
    <row r="4463">
      <c r="A4463" s="9"/>
      <c r="B4463" s="15"/>
      <c r="C4463" s="9">
        <f>IFERROR(__xludf.DUMMYFUNCTION("""COMPUTED_VALUE"""),44558.7085161574)</f>
        <v>44558.70852</v>
      </c>
      <c r="D4463" s="15">
        <f>IFERROR(__xludf.DUMMYFUNCTION("""COMPUTED_VALUE"""),1.009)</f>
        <v>1.009</v>
      </c>
      <c r="E4463" s="16">
        <f>IFERROR(__xludf.DUMMYFUNCTION("""COMPUTED_VALUE"""),63.0)</f>
        <v>63</v>
      </c>
      <c r="F4463" s="19" t="str">
        <f>IFERROR(__xludf.DUMMYFUNCTION("""COMPUTED_VALUE"""),"BLUE")</f>
        <v>BLUE</v>
      </c>
      <c r="G4463" s="20" t="str">
        <f>IFERROR(__xludf.DUMMYFUNCTION("""COMPUTED_VALUE"""),"Uncle Sams Cider (11/12/2021) (Blue)")</f>
        <v>Uncle Sams Cider (11/12/2021) (Blue)</v>
      </c>
      <c r="H4463" s="19"/>
    </row>
    <row r="4464">
      <c r="A4464" s="9"/>
      <c r="B4464" s="15"/>
      <c r="C4464" s="9">
        <f>IFERROR(__xludf.DUMMYFUNCTION("""COMPUTED_VALUE"""),44558.6980929976)</f>
        <v>44558.69809</v>
      </c>
      <c r="D4464" s="15">
        <f>IFERROR(__xludf.DUMMYFUNCTION("""COMPUTED_VALUE"""),1.008)</f>
        <v>1.008</v>
      </c>
      <c r="E4464" s="16">
        <f>IFERROR(__xludf.DUMMYFUNCTION("""COMPUTED_VALUE"""),63.0)</f>
        <v>63</v>
      </c>
      <c r="F4464" s="19" t="str">
        <f>IFERROR(__xludf.DUMMYFUNCTION("""COMPUTED_VALUE"""),"BLUE")</f>
        <v>BLUE</v>
      </c>
      <c r="G4464" s="20" t="str">
        <f>IFERROR(__xludf.DUMMYFUNCTION("""COMPUTED_VALUE"""),"Uncle Sams Cider (11/12/2021) (Blue)")</f>
        <v>Uncle Sams Cider (11/12/2021) (Blue)</v>
      </c>
      <c r="H4464" s="19"/>
    </row>
    <row r="4465">
      <c r="A4465" s="9"/>
      <c r="B4465" s="15"/>
      <c r="C4465" s="9">
        <f>IFERROR(__xludf.DUMMYFUNCTION("""COMPUTED_VALUE"""),44558.6876725347)</f>
        <v>44558.68767</v>
      </c>
      <c r="D4465" s="15">
        <f>IFERROR(__xludf.DUMMYFUNCTION("""COMPUTED_VALUE"""),1.008)</f>
        <v>1.008</v>
      </c>
      <c r="E4465" s="16">
        <f>IFERROR(__xludf.DUMMYFUNCTION("""COMPUTED_VALUE"""),63.0)</f>
        <v>63</v>
      </c>
      <c r="F4465" s="19" t="str">
        <f>IFERROR(__xludf.DUMMYFUNCTION("""COMPUTED_VALUE"""),"BLUE")</f>
        <v>BLUE</v>
      </c>
      <c r="G4465" s="20" t="str">
        <f>IFERROR(__xludf.DUMMYFUNCTION("""COMPUTED_VALUE"""),"Uncle Sams Cider (11/12/2021) (Blue)")</f>
        <v>Uncle Sams Cider (11/12/2021) (Blue)</v>
      </c>
      <c r="H4465" s="19"/>
    </row>
    <row r="4466">
      <c r="A4466" s="9"/>
      <c r="B4466" s="15"/>
      <c r="C4466" s="9">
        <f>IFERROR(__xludf.DUMMYFUNCTION("""COMPUTED_VALUE"""),44558.6772504861)</f>
        <v>44558.67725</v>
      </c>
      <c r="D4466" s="15">
        <f>IFERROR(__xludf.DUMMYFUNCTION("""COMPUTED_VALUE"""),1.008)</f>
        <v>1.008</v>
      </c>
      <c r="E4466" s="16">
        <f>IFERROR(__xludf.DUMMYFUNCTION("""COMPUTED_VALUE"""),63.0)</f>
        <v>63</v>
      </c>
      <c r="F4466" s="19" t="str">
        <f>IFERROR(__xludf.DUMMYFUNCTION("""COMPUTED_VALUE"""),"BLUE")</f>
        <v>BLUE</v>
      </c>
      <c r="G4466" s="20" t="str">
        <f>IFERROR(__xludf.DUMMYFUNCTION("""COMPUTED_VALUE"""),"Uncle Sams Cider (11/12/2021) (Blue)")</f>
        <v>Uncle Sams Cider (11/12/2021) (Blue)</v>
      </c>
      <c r="H4466" s="19"/>
    </row>
    <row r="4467">
      <c r="A4467" s="9"/>
      <c r="B4467" s="15"/>
      <c r="C4467" s="9">
        <f>IFERROR(__xludf.DUMMYFUNCTION("""COMPUTED_VALUE"""),44558.6668293634)</f>
        <v>44558.66683</v>
      </c>
      <c r="D4467" s="15">
        <f>IFERROR(__xludf.DUMMYFUNCTION("""COMPUTED_VALUE"""),1.008)</f>
        <v>1.008</v>
      </c>
      <c r="E4467" s="16">
        <f>IFERROR(__xludf.DUMMYFUNCTION("""COMPUTED_VALUE"""),63.0)</f>
        <v>63</v>
      </c>
      <c r="F4467" s="19" t="str">
        <f>IFERROR(__xludf.DUMMYFUNCTION("""COMPUTED_VALUE"""),"BLUE")</f>
        <v>BLUE</v>
      </c>
      <c r="G4467" s="20" t="str">
        <f>IFERROR(__xludf.DUMMYFUNCTION("""COMPUTED_VALUE"""),"Uncle Sams Cider (11/12/2021) (Blue)")</f>
        <v>Uncle Sams Cider (11/12/2021) (Blue)</v>
      </c>
      <c r="H4467" s="19"/>
    </row>
    <row r="4468">
      <c r="A4468" s="9"/>
      <c r="B4468" s="15"/>
      <c r="C4468" s="9">
        <f>IFERROR(__xludf.DUMMYFUNCTION("""COMPUTED_VALUE"""),44558.6564092245)</f>
        <v>44558.65641</v>
      </c>
      <c r="D4468" s="15">
        <f>IFERROR(__xludf.DUMMYFUNCTION("""COMPUTED_VALUE"""),1.008)</f>
        <v>1.008</v>
      </c>
      <c r="E4468" s="16">
        <f>IFERROR(__xludf.DUMMYFUNCTION("""COMPUTED_VALUE"""),63.0)</f>
        <v>63</v>
      </c>
      <c r="F4468" s="19" t="str">
        <f>IFERROR(__xludf.DUMMYFUNCTION("""COMPUTED_VALUE"""),"BLUE")</f>
        <v>BLUE</v>
      </c>
      <c r="G4468" s="20" t="str">
        <f>IFERROR(__xludf.DUMMYFUNCTION("""COMPUTED_VALUE"""),"Uncle Sams Cider (11/12/2021) (Blue)")</f>
        <v>Uncle Sams Cider (11/12/2021) (Blue)</v>
      </c>
      <c r="H4468" s="19"/>
    </row>
    <row r="4469">
      <c r="A4469" s="9"/>
      <c r="B4469" s="15"/>
      <c r="C4469" s="9">
        <f>IFERROR(__xludf.DUMMYFUNCTION("""COMPUTED_VALUE"""),44558.6459875231)</f>
        <v>44558.64599</v>
      </c>
      <c r="D4469" s="15">
        <f>IFERROR(__xludf.DUMMYFUNCTION("""COMPUTED_VALUE"""),1.008)</f>
        <v>1.008</v>
      </c>
      <c r="E4469" s="16">
        <f>IFERROR(__xludf.DUMMYFUNCTION("""COMPUTED_VALUE"""),63.0)</f>
        <v>63</v>
      </c>
      <c r="F4469" s="19" t="str">
        <f>IFERROR(__xludf.DUMMYFUNCTION("""COMPUTED_VALUE"""),"BLUE")</f>
        <v>BLUE</v>
      </c>
      <c r="G4469" s="20" t="str">
        <f>IFERROR(__xludf.DUMMYFUNCTION("""COMPUTED_VALUE"""),"Uncle Sams Cider (11/12/2021) (Blue)")</f>
        <v>Uncle Sams Cider (11/12/2021) (Blue)</v>
      </c>
      <c r="H4469" s="19"/>
    </row>
    <row r="4470">
      <c r="A4470" s="9"/>
      <c r="B4470" s="15"/>
      <c r="C4470" s="9">
        <f>IFERROR(__xludf.DUMMYFUNCTION("""COMPUTED_VALUE"""),44558.6355657291)</f>
        <v>44558.63557</v>
      </c>
      <c r="D4470" s="15">
        <f>IFERROR(__xludf.DUMMYFUNCTION("""COMPUTED_VALUE"""),1.008)</f>
        <v>1.008</v>
      </c>
      <c r="E4470" s="16">
        <f>IFERROR(__xludf.DUMMYFUNCTION("""COMPUTED_VALUE"""),63.0)</f>
        <v>63</v>
      </c>
      <c r="F4470" s="19" t="str">
        <f>IFERROR(__xludf.DUMMYFUNCTION("""COMPUTED_VALUE"""),"BLUE")</f>
        <v>BLUE</v>
      </c>
      <c r="G4470" s="20" t="str">
        <f>IFERROR(__xludf.DUMMYFUNCTION("""COMPUTED_VALUE"""),"Uncle Sams Cider (11/12/2021) (Blue)")</f>
        <v>Uncle Sams Cider (11/12/2021) (Blue)</v>
      </c>
      <c r="H4470" s="19"/>
    </row>
    <row r="4471">
      <c r="A4471" s="9"/>
      <c r="B4471" s="15"/>
      <c r="C4471" s="9">
        <f>IFERROR(__xludf.DUMMYFUNCTION("""COMPUTED_VALUE"""),44558.6251421411)</f>
        <v>44558.62514</v>
      </c>
      <c r="D4471" s="15">
        <f>IFERROR(__xludf.DUMMYFUNCTION("""COMPUTED_VALUE"""),1.009)</f>
        <v>1.009</v>
      </c>
      <c r="E4471" s="16">
        <f>IFERROR(__xludf.DUMMYFUNCTION("""COMPUTED_VALUE"""),63.0)</f>
        <v>63</v>
      </c>
      <c r="F4471" s="19" t="str">
        <f>IFERROR(__xludf.DUMMYFUNCTION("""COMPUTED_VALUE"""),"BLUE")</f>
        <v>BLUE</v>
      </c>
      <c r="G4471" s="20" t="str">
        <f>IFERROR(__xludf.DUMMYFUNCTION("""COMPUTED_VALUE"""),"Uncle Sams Cider (11/12/2021) (Blue)")</f>
        <v>Uncle Sams Cider (11/12/2021) (Blue)</v>
      </c>
      <c r="H4471" s="19"/>
    </row>
    <row r="4472">
      <c r="A4472" s="9"/>
      <c r="B4472" s="15"/>
      <c r="C4472" s="9">
        <f>IFERROR(__xludf.DUMMYFUNCTION("""COMPUTED_VALUE"""),44558.6147203356)</f>
        <v>44558.61472</v>
      </c>
      <c r="D4472" s="15">
        <f>IFERROR(__xludf.DUMMYFUNCTION("""COMPUTED_VALUE"""),1.008)</f>
        <v>1.008</v>
      </c>
      <c r="E4472" s="16">
        <f>IFERROR(__xludf.DUMMYFUNCTION("""COMPUTED_VALUE"""),63.0)</f>
        <v>63</v>
      </c>
      <c r="F4472" s="19" t="str">
        <f>IFERROR(__xludf.DUMMYFUNCTION("""COMPUTED_VALUE"""),"BLUE")</f>
        <v>BLUE</v>
      </c>
      <c r="G4472" s="20" t="str">
        <f>IFERROR(__xludf.DUMMYFUNCTION("""COMPUTED_VALUE"""),"Uncle Sams Cider (11/12/2021) (Blue)")</f>
        <v>Uncle Sams Cider (11/12/2021) (Blue)</v>
      </c>
      <c r="H4472" s="19"/>
    </row>
    <row r="4473">
      <c r="A4473" s="9"/>
      <c r="B4473" s="15"/>
      <c r="C4473" s="9">
        <f>IFERROR(__xludf.DUMMYFUNCTION("""COMPUTED_VALUE"""),44558.6042877314)</f>
        <v>44558.60429</v>
      </c>
      <c r="D4473" s="15">
        <f>IFERROR(__xludf.DUMMYFUNCTION("""COMPUTED_VALUE"""),1.008)</f>
        <v>1.008</v>
      </c>
      <c r="E4473" s="16">
        <f>IFERROR(__xludf.DUMMYFUNCTION("""COMPUTED_VALUE"""),63.0)</f>
        <v>63</v>
      </c>
      <c r="F4473" s="19" t="str">
        <f>IFERROR(__xludf.DUMMYFUNCTION("""COMPUTED_VALUE"""),"BLUE")</f>
        <v>BLUE</v>
      </c>
      <c r="G4473" s="20" t="str">
        <f>IFERROR(__xludf.DUMMYFUNCTION("""COMPUTED_VALUE"""),"Uncle Sams Cider (11/12/2021) (Blue)")</f>
        <v>Uncle Sams Cider (11/12/2021) (Blue)</v>
      </c>
      <c r="H4473" s="19"/>
    </row>
    <row r="4474">
      <c r="A4474" s="9"/>
      <c r="B4474" s="15"/>
      <c r="C4474" s="9">
        <f>IFERROR(__xludf.DUMMYFUNCTION("""COMPUTED_VALUE"""),44558.5938568171)</f>
        <v>44558.59386</v>
      </c>
      <c r="D4474" s="15">
        <f>IFERROR(__xludf.DUMMYFUNCTION("""COMPUTED_VALUE"""),1.009)</f>
        <v>1.009</v>
      </c>
      <c r="E4474" s="16">
        <f>IFERROR(__xludf.DUMMYFUNCTION("""COMPUTED_VALUE"""),63.0)</f>
        <v>63</v>
      </c>
      <c r="F4474" s="19" t="str">
        <f>IFERROR(__xludf.DUMMYFUNCTION("""COMPUTED_VALUE"""),"BLUE")</f>
        <v>BLUE</v>
      </c>
      <c r="G4474" s="20" t="str">
        <f>IFERROR(__xludf.DUMMYFUNCTION("""COMPUTED_VALUE"""),"Uncle Sams Cider (11/12/2021) (Blue)")</f>
        <v>Uncle Sams Cider (11/12/2021) (Blue)</v>
      </c>
      <c r="H4474" s="19"/>
    </row>
    <row r="4475">
      <c r="A4475" s="9"/>
      <c r="B4475" s="15"/>
      <c r="C4475" s="9">
        <f>IFERROR(__xludf.DUMMYFUNCTION("""COMPUTED_VALUE"""),44558.5834372569)</f>
        <v>44558.58344</v>
      </c>
      <c r="D4475" s="15">
        <f>IFERROR(__xludf.DUMMYFUNCTION("""COMPUTED_VALUE"""),1.008)</f>
        <v>1.008</v>
      </c>
      <c r="E4475" s="16">
        <f>IFERROR(__xludf.DUMMYFUNCTION("""COMPUTED_VALUE"""),63.0)</f>
        <v>63</v>
      </c>
      <c r="F4475" s="19" t="str">
        <f>IFERROR(__xludf.DUMMYFUNCTION("""COMPUTED_VALUE"""),"BLUE")</f>
        <v>BLUE</v>
      </c>
      <c r="G4475" s="20" t="str">
        <f>IFERROR(__xludf.DUMMYFUNCTION("""COMPUTED_VALUE"""),"Uncle Sams Cider (11/12/2021) (Blue)")</f>
        <v>Uncle Sams Cider (11/12/2021) (Blue)</v>
      </c>
      <c r="H4475" s="19"/>
    </row>
    <row r="4476">
      <c r="A4476" s="9"/>
      <c r="B4476" s="15"/>
      <c r="C4476" s="9">
        <f>IFERROR(__xludf.DUMMYFUNCTION("""COMPUTED_VALUE"""),44558.5730149652)</f>
        <v>44558.57301</v>
      </c>
      <c r="D4476" s="15">
        <f>IFERROR(__xludf.DUMMYFUNCTION("""COMPUTED_VALUE"""),1.008)</f>
        <v>1.008</v>
      </c>
      <c r="E4476" s="16">
        <f>IFERROR(__xludf.DUMMYFUNCTION("""COMPUTED_VALUE"""),63.0)</f>
        <v>63</v>
      </c>
      <c r="F4476" s="19" t="str">
        <f>IFERROR(__xludf.DUMMYFUNCTION("""COMPUTED_VALUE"""),"BLUE")</f>
        <v>BLUE</v>
      </c>
      <c r="G4476" s="20" t="str">
        <f>IFERROR(__xludf.DUMMYFUNCTION("""COMPUTED_VALUE"""),"Uncle Sams Cider (11/12/2021) (Blue)")</f>
        <v>Uncle Sams Cider (11/12/2021) (Blue)</v>
      </c>
      <c r="H4476" s="19"/>
    </row>
    <row r="4477">
      <c r="A4477" s="9"/>
      <c r="B4477" s="15"/>
      <c r="C4477" s="9">
        <f>IFERROR(__xludf.DUMMYFUNCTION("""COMPUTED_VALUE"""),44558.5625940046)</f>
        <v>44558.56259</v>
      </c>
      <c r="D4477" s="15">
        <f>IFERROR(__xludf.DUMMYFUNCTION("""COMPUTED_VALUE"""),1.009)</f>
        <v>1.009</v>
      </c>
      <c r="E4477" s="16">
        <f>IFERROR(__xludf.DUMMYFUNCTION("""COMPUTED_VALUE"""),63.0)</f>
        <v>63</v>
      </c>
      <c r="F4477" s="19" t="str">
        <f>IFERROR(__xludf.DUMMYFUNCTION("""COMPUTED_VALUE"""),"BLUE")</f>
        <v>BLUE</v>
      </c>
      <c r="G4477" s="20" t="str">
        <f>IFERROR(__xludf.DUMMYFUNCTION("""COMPUTED_VALUE"""),"Uncle Sams Cider (11/12/2021) (Blue)")</f>
        <v>Uncle Sams Cider (11/12/2021) (Blue)</v>
      </c>
      <c r="H4477" s="19"/>
    </row>
    <row r="4478">
      <c r="A4478" s="9"/>
      <c r="B4478" s="15"/>
      <c r="C4478" s="9">
        <f>IFERROR(__xludf.DUMMYFUNCTION("""COMPUTED_VALUE"""),44558.5521739004)</f>
        <v>44558.55217</v>
      </c>
      <c r="D4478" s="15">
        <f>IFERROR(__xludf.DUMMYFUNCTION("""COMPUTED_VALUE"""),1.009)</f>
        <v>1.009</v>
      </c>
      <c r="E4478" s="16">
        <f>IFERROR(__xludf.DUMMYFUNCTION("""COMPUTED_VALUE"""),63.0)</f>
        <v>63</v>
      </c>
      <c r="F4478" s="19" t="str">
        <f>IFERROR(__xludf.DUMMYFUNCTION("""COMPUTED_VALUE"""),"BLUE")</f>
        <v>BLUE</v>
      </c>
      <c r="G4478" s="20" t="str">
        <f>IFERROR(__xludf.DUMMYFUNCTION("""COMPUTED_VALUE"""),"Uncle Sams Cider (11/12/2021) (Blue)")</f>
        <v>Uncle Sams Cider (11/12/2021) (Blue)</v>
      </c>
      <c r="H4478" s="19"/>
    </row>
    <row r="4479">
      <c r="A4479" s="9"/>
      <c r="B4479" s="15"/>
      <c r="C4479" s="9">
        <f>IFERROR(__xludf.DUMMYFUNCTION("""COMPUTED_VALUE"""),44558.5417416898)</f>
        <v>44558.54174</v>
      </c>
      <c r="D4479" s="15">
        <f>IFERROR(__xludf.DUMMYFUNCTION("""COMPUTED_VALUE"""),1.009)</f>
        <v>1.009</v>
      </c>
      <c r="E4479" s="16">
        <f>IFERROR(__xludf.DUMMYFUNCTION("""COMPUTED_VALUE"""),63.0)</f>
        <v>63</v>
      </c>
      <c r="F4479" s="19" t="str">
        <f>IFERROR(__xludf.DUMMYFUNCTION("""COMPUTED_VALUE"""),"BLUE")</f>
        <v>BLUE</v>
      </c>
      <c r="G4479" s="20" t="str">
        <f>IFERROR(__xludf.DUMMYFUNCTION("""COMPUTED_VALUE"""),"Uncle Sams Cider (11/12/2021) (Blue)")</f>
        <v>Uncle Sams Cider (11/12/2021) (Blue)</v>
      </c>
      <c r="H4479" s="19"/>
    </row>
    <row r="4480">
      <c r="A4480" s="9"/>
      <c r="B4480" s="15"/>
      <c r="C4480" s="9">
        <f>IFERROR(__xludf.DUMMYFUNCTION("""COMPUTED_VALUE"""),44558.5313196759)</f>
        <v>44558.53132</v>
      </c>
      <c r="D4480" s="15">
        <f>IFERROR(__xludf.DUMMYFUNCTION("""COMPUTED_VALUE"""),1.008)</f>
        <v>1.008</v>
      </c>
      <c r="E4480" s="16">
        <f>IFERROR(__xludf.DUMMYFUNCTION("""COMPUTED_VALUE"""),63.0)</f>
        <v>63</v>
      </c>
      <c r="F4480" s="19" t="str">
        <f>IFERROR(__xludf.DUMMYFUNCTION("""COMPUTED_VALUE"""),"BLUE")</f>
        <v>BLUE</v>
      </c>
      <c r="G4480" s="20" t="str">
        <f>IFERROR(__xludf.DUMMYFUNCTION("""COMPUTED_VALUE"""),"Uncle Sams Cider (11/12/2021) (Blue)")</f>
        <v>Uncle Sams Cider (11/12/2021) (Blue)</v>
      </c>
      <c r="H4480" s="19"/>
    </row>
    <row r="4481">
      <c r="A4481" s="9"/>
      <c r="B4481" s="15"/>
      <c r="C4481" s="9">
        <f>IFERROR(__xludf.DUMMYFUNCTION("""COMPUTED_VALUE"""),44558.5208968055)</f>
        <v>44558.5209</v>
      </c>
      <c r="D4481" s="15">
        <f>IFERROR(__xludf.DUMMYFUNCTION("""COMPUTED_VALUE"""),1.009)</f>
        <v>1.009</v>
      </c>
      <c r="E4481" s="16">
        <f>IFERROR(__xludf.DUMMYFUNCTION("""COMPUTED_VALUE"""),63.0)</f>
        <v>63</v>
      </c>
      <c r="F4481" s="19" t="str">
        <f>IFERROR(__xludf.DUMMYFUNCTION("""COMPUTED_VALUE"""),"BLUE")</f>
        <v>BLUE</v>
      </c>
      <c r="G4481" s="20" t="str">
        <f>IFERROR(__xludf.DUMMYFUNCTION("""COMPUTED_VALUE"""),"Uncle Sams Cider (11/12/2021) (Blue)")</f>
        <v>Uncle Sams Cider (11/12/2021) (Blue)</v>
      </c>
      <c r="H4481" s="19"/>
    </row>
    <row r="4482">
      <c r="A4482" s="9"/>
      <c r="B4482" s="15"/>
      <c r="C4482" s="9">
        <f>IFERROR(__xludf.DUMMYFUNCTION("""COMPUTED_VALUE"""),44558.510475324)</f>
        <v>44558.51048</v>
      </c>
      <c r="D4482" s="15">
        <f>IFERROR(__xludf.DUMMYFUNCTION("""COMPUTED_VALUE"""),1.009)</f>
        <v>1.009</v>
      </c>
      <c r="E4482" s="16">
        <f>IFERROR(__xludf.DUMMYFUNCTION("""COMPUTED_VALUE"""),63.0)</f>
        <v>63</v>
      </c>
      <c r="F4482" s="19" t="str">
        <f>IFERROR(__xludf.DUMMYFUNCTION("""COMPUTED_VALUE"""),"BLUE")</f>
        <v>BLUE</v>
      </c>
      <c r="G4482" s="20" t="str">
        <f>IFERROR(__xludf.DUMMYFUNCTION("""COMPUTED_VALUE"""),"Uncle Sams Cider (11/12/2021) (Blue)")</f>
        <v>Uncle Sams Cider (11/12/2021) (Blue)</v>
      </c>
      <c r="H4482" s="19"/>
    </row>
    <row r="4483">
      <c r="A4483" s="9"/>
      <c r="B4483" s="15"/>
      <c r="C4483" s="9">
        <f>IFERROR(__xludf.DUMMYFUNCTION("""COMPUTED_VALUE"""),44558.5000421643)</f>
        <v>44558.50004</v>
      </c>
      <c r="D4483" s="15">
        <f>IFERROR(__xludf.DUMMYFUNCTION("""COMPUTED_VALUE"""),1.008)</f>
        <v>1.008</v>
      </c>
      <c r="E4483" s="16">
        <f>IFERROR(__xludf.DUMMYFUNCTION("""COMPUTED_VALUE"""),63.0)</f>
        <v>63</v>
      </c>
      <c r="F4483" s="19" t="str">
        <f>IFERROR(__xludf.DUMMYFUNCTION("""COMPUTED_VALUE"""),"BLUE")</f>
        <v>BLUE</v>
      </c>
      <c r="G4483" s="20" t="str">
        <f>IFERROR(__xludf.DUMMYFUNCTION("""COMPUTED_VALUE"""),"Uncle Sams Cider (11/12/2021) (Blue)")</f>
        <v>Uncle Sams Cider (11/12/2021) (Blue)</v>
      </c>
      <c r="H4483" s="19"/>
    </row>
    <row r="4484">
      <c r="A4484" s="9"/>
      <c r="B4484" s="15"/>
      <c r="C4484" s="9">
        <f>IFERROR(__xludf.DUMMYFUNCTION("""COMPUTED_VALUE"""),44558.4896207986)</f>
        <v>44558.48962</v>
      </c>
      <c r="D4484" s="15">
        <f>IFERROR(__xludf.DUMMYFUNCTION("""COMPUTED_VALUE"""),1.009)</f>
        <v>1.009</v>
      </c>
      <c r="E4484" s="16">
        <f>IFERROR(__xludf.DUMMYFUNCTION("""COMPUTED_VALUE"""),63.0)</f>
        <v>63</v>
      </c>
      <c r="F4484" s="19" t="str">
        <f>IFERROR(__xludf.DUMMYFUNCTION("""COMPUTED_VALUE"""),"BLUE")</f>
        <v>BLUE</v>
      </c>
      <c r="G4484" s="20" t="str">
        <f>IFERROR(__xludf.DUMMYFUNCTION("""COMPUTED_VALUE"""),"Uncle Sams Cider (11/12/2021) (Blue)")</f>
        <v>Uncle Sams Cider (11/12/2021) (Blue)</v>
      </c>
      <c r="H4484" s="19"/>
    </row>
    <row r="4485">
      <c r="A4485" s="9"/>
      <c r="B4485" s="15"/>
      <c r="C4485" s="9">
        <f>IFERROR(__xludf.DUMMYFUNCTION("""COMPUTED_VALUE"""),44558.479200787)</f>
        <v>44558.4792</v>
      </c>
      <c r="D4485" s="15">
        <f>IFERROR(__xludf.DUMMYFUNCTION("""COMPUTED_VALUE"""),1.009)</f>
        <v>1.009</v>
      </c>
      <c r="E4485" s="16">
        <f>IFERROR(__xludf.DUMMYFUNCTION("""COMPUTED_VALUE"""),63.0)</f>
        <v>63</v>
      </c>
      <c r="F4485" s="19" t="str">
        <f>IFERROR(__xludf.DUMMYFUNCTION("""COMPUTED_VALUE"""),"BLUE")</f>
        <v>BLUE</v>
      </c>
      <c r="G4485" s="20" t="str">
        <f>IFERROR(__xludf.DUMMYFUNCTION("""COMPUTED_VALUE"""),"Uncle Sams Cider (11/12/2021) (Blue)")</f>
        <v>Uncle Sams Cider (11/12/2021) (Blue)</v>
      </c>
      <c r="H4485" s="19"/>
    </row>
    <row r="4486">
      <c r="A4486" s="9"/>
      <c r="B4486" s="15"/>
      <c r="C4486" s="9">
        <f>IFERROR(__xludf.DUMMYFUNCTION("""COMPUTED_VALUE"""),44558.4687784143)</f>
        <v>44558.46878</v>
      </c>
      <c r="D4486" s="15">
        <f>IFERROR(__xludf.DUMMYFUNCTION("""COMPUTED_VALUE"""),1.009)</f>
        <v>1.009</v>
      </c>
      <c r="E4486" s="16">
        <f>IFERROR(__xludf.DUMMYFUNCTION("""COMPUTED_VALUE"""),63.0)</f>
        <v>63</v>
      </c>
      <c r="F4486" s="19" t="str">
        <f>IFERROR(__xludf.DUMMYFUNCTION("""COMPUTED_VALUE"""),"BLUE")</f>
        <v>BLUE</v>
      </c>
      <c r="G4486" s="20" t="str">
        <f>IFERROR(__xludf.DUMMYFUNCTION("""COMPUTED_VALUE"""),"Uncle Sams Cider (11/12/2021) (Blue)")</f>
        <v>Uncle Sams Cider (11/12/2021) (Blue)</v>
      </c>
      <c r="H4486" s="19"/>
    </row>
    <row r="4487">
      <c r="A4487" s="9"/>
      <c r="B4487" s="15"/>
      <c r="C4487" s="9">
        <f>IFERROR(__xludf.DUMMYFUNCTION("""COMPUTED_VALUE"""),44558.4583560995)</f>
        <v>44558.45836</v>
      </c>
      <c r="D4487" s="15">
        <f>IFERROR(__xludf.DUMMYFUNCTION("""COMPUTED_VALUE"""),1.009)</f>
        <v>1.009</v>
      </c>
      <c r="E4487" s="16">
        <f>IFERROR(__xludf.DUMMYFUNCTION("""COMPUTED_VALUE"""),63.0)</f>
        <v>63</v>
      </c>
      <c r="F4487" s="19" t="str">
        <f>IFERROR(__xludf.DUMMYFUNCTION("""COMPUTED_VALUE"""),"BLUE")</f>
        <v>BLUE</v>
      </c>
      <c r="G4487" s="20" t="str">
        <f>IFERROR(__xludf.DUMMYFUNCTION("""COMPUTED_VALUE"""),"Uncle Sams Cider (11/12/2021) (Blue)")</f>
        <v>Uncle Sams Cider (11/12/2021) (Blue)</v>
      </c>
      <c r="H4487" s="19"/>
    </row>
    <row r="4488">
      <c r="A4488" s="9"/>
      <c r="B4488" s="15"/>
      <c r="C4488" s="9">
        <f>IFERROR(__xludf.DUMMYFUNCTION("""COMPUTED_VALUE"""),44558.4479355324)</f>
        <v>44558.44794</v>
      </c>
      <c r="D4488" s="15">
        <f>IFERROR(__xludf.DUMMYFUNCTION("""COMPUTED_VALUE"""),1.008)</f>
        <v>1.008</v>
      </c>
      <c r="E4488" s="16">
        <f>IFERROR(__xludf.DUMMYFUNCTION("""COMPUTED_VALUE"""),63.0)</f>
        <v>63</v>
      </c>
      <c r="F4488" s="19" t="str">
        <f>IFERROR(__xludf.DUMMYFUNCTION("""COMPUTED_VALUE"""),"BLUE")</f>
        <v>BLUE</v>
      </c>
      <c r="G4488" s="20" t="str">
        <f>IFERROR(__xludf.DUMMYFUNCTION("""COMPUTED_VALUE"""),"Uncle Sams Cider (11/12/2021) (Blue)")</f>
        <v>Uncle Sams Cider (11/12/2021) (Blue)</v>
      </c>
      <c r="H4488" s="19"/>
    </row>
    <row r="4489">
      <c r="A4489" s="9"/>
      <c r="B4489" s="15"/>
      <c r="C4489" s="9">
        <f>IFERROR(__xludf.DUMMYFUNCTION("""COMPUTED_VALUE"""),44558.4375153009)</f>
        <v>44558.43752</v>
      </c>
      <c r="D4489" s="15">
        <f>IFERROR(__xludf.DUMMYFUNCTION("""COMPUTED_VALUE"""),1.009)</f>
        <v>1.009</v>
      </c>
      <c r="E4489" s="16">
        <f>IFERROR(__xludf.DUMMYFUNCTION("""COMPUTED_VALUE"""),63.0)</f>
        <v>63</v>
      </c>
      <c r="F4489" s="19" t="str">
        <f>IFERROR(__xludf.DUMMYFUNCTION("""COMPUTED_VALUE"""),"BLUE")</f>
        <v>BLUE</v>
      </c>
      <c r="G4489" s="20" t="str">
        <f>IFERROR(__xludf.DUMMYFUNCTION("""COMPUTED_VALUE"""),"Uncle Sams Cider (11/12/2021) (Blue)")</f>
        <v>Uncle Sams Cider (11/12/2021) (Blue)</v>
      </c>
      <c r="H4489" s="19"/>
    </row>
    <row r="4490">
      <c r="A4490" s="9"/>
      <c r="B4490" s="15"/>
      <c r="C4490" s="9">
        <f>IFERROR(__xludf.DUMMYFUNCTION("""COMPUTED_VALUE"""),44558.4270929861)</f>
        <v>44558.42709</v>
      </c>
      <c r="D4490" s="15">
        <f>IFERROR(__xludf.DUMMYFUNCTION("""COMPUTED_VALUE"""),1.009)</f>
        <v>1.009</v>
      </c>
      <c r="E4490" s="16">
        <f>IFERROR(__xludf.DUMMYFUNCTION("""COMPUTED_VALUE"""),63.0)</f>
        <v>63</v>
      </c>
      <c r="F4490" s="19" t="str">
        <f>IFERROR(__xludf.DUMMYFUNCTION("""COMPUTED_VALUE"""),"BLUE")</f>
        <v>BLUE</v>
      </c>
      <c r="G4490" s="20" t="str">
        <f>IFERROR(__xludf.DUMMYFUNCTION("""COMPUTED_VALUE"""),"Uncle Sams Cider (11/12/2021) (Blue)")</f>
        <v>Uncle Sams Cider (11/12/2021) (Blue)</v>
      </c>
      <c r="H4490" s="19"/>
    </row>
    <row r="4491">
      <c r="A4491" s="9"/>
      <c r="B4491" s="15"/>
      <c r="C4491" s="9">
        <f>IFERROR(__xludf.DUMMYFUNCTION("""COMPUTED_VALUE"""),44558.4166728009)</f>
        <v>44558.41667</v>
      </c>
      <c r="D4491" s="15">
        <f>IFERROR(__xludf.DUMMYFUNCTION("""COMPUTED_VALUE"""),1.009)</f>
        <v>1.009</v>
      </c>
      <c r="E4491" s="16">
        <f>IFERROR(__xludf.DUMMYFUNCTION("""COMPUTED_VALUE"""),63.0)</f>
        <v>63</v>
      </c>
      <c r="F4491" s="19" t="str">
        <f>IFERROR(__xludf.DUMMYFUNCTION("""COMPUTED_VALUE"""),"BLUE")</f>
        <v>BLUE</v>
      </c>
      <c r="G4491" s="20" t="str">
        <f>IFERROR(__xludf.DUMMYFUNCTION("""COMPUTED_VALUE"""),"Uncle Sams Cider (11/12/2021) (Blue)")</f>
        <v>Uncle Sams Cider (11/12/2021) (Blue)</v>
      </c>
      <c r="H4491" s="19"/>
    </row>
    <row r="4492">
      <c r="A4492" s="9"/>
      <c r="B4492" s="15"/>
      <c r="C4492" s="9">
        <f>IFERROR(__xludf.DUMMYFUNCTION("""COMPUTED_VALUE"""),44558.406241493)</f>
        <v>44558.40624</v>
      </c>
      <c r="D4492" s="15">
        <f>IFERROR(__xludf.DUMMYFUNCTION("""COMPUTED_VALUE"""),1.008)</f>
        <v>1.008</v>
      </c>
      <c r="E4492" s="16">
        <f>IFERROR(__xludf.DUMMYFUNCTION("""COMPUTED_VALUE"""),63.0)</f>
        <v>63</v>
      </c>
      <c r="F4492" s="19" t="str">
        <f>IFERROR(__xludf.DUMMYFUNCTION("""COMPUTED_VALUE"""),"BLUE")</f>
        <v>BLUE</v>
      </c>
      <c r="G4492" s="20" t="str">
        <f>IFERROR(__xludf.DUMMYFUNCTION("""COMPUTED_VALUE"""),"Uncle Sams Cider (11/12/2021) (Blue)")</f>
        <v>Uncle Sams Cider (11/12/2021) (Blue)</v>
      </c>
      <c r="H4492" s="19"/>
    </row>
    <row r="4493">
      <c r="A4493" s="9"/>
      <c r="B4493" s="15"/>
      <c r="C4493" s="9">
        <f>IFERROR(__xludf.DUMMYFUNCTION("""COMPUTED_VALUE"""),44558.3958211226)</f>
        <v>44558.39582</v>
      </c>
      <c r="D4493" s="15">
        <f>IFERROR(__xludf.DUMMYFUNCTION("""COMPUTED_VALUE"""),1.009)</f>
        <v>1.009</v>
      </c>
      <c r="E4493" s="16">
        <f>IFERROR(__xludf.DUMMYFUNCTION("""COMPUTED_VALUE"""),63.0)</f>
        <v>63</v>
      </c>
      <c r="F4493" s="19" t="str">
        <f>IFERROR(__xludf.DUMMYFUNCTION("""COMPUTED_VALUE"""),"BLUE")</f>
        <v>BLUE</v>
      </c>
      <c r="G4493" s="20" t="str">
        <f>IFERROR(__xludf.DUMMYFUNCTION("""COMPUTED_VALUE"""),"Uncle Sams Cider (11/12/2021) (Blue)")</f>
        <v>Uncle Sams Cider (11/12/2021) (Blue)</v>
      </c>
      <c r="H4493" s="19"/>
    </row>
    <row r="4494">
      <c r="A4494" s="9"/>
      <c r="B4494" s="15"/>
      <c r="C4494" s="9">
        <f>IFERROR(__xludf.DUMMYFUNCTION("""COMPUTED_VALUE"""),44558.3853999189)</f>
        <v>44558.3854</v>
      </c>
      <c r="D4494" s="15">
        <f>IFERROR(__xludf.DUMMYFUNCTION("""COMPUTED_VALUE"""),1.009)</f>
        <v>1.009</v>
      </c>
      <c r="E4494" s="16">
        <f>IFERROR(__xludf.DUMMYFUNCTION("""COMPUTED_VALUE"""),63.0)</f>
        <v>63</v>
      </c>
      <c r="F4494" s="19" t="str">
        <f>IFERROR(__xludf.DUMMYFUNCTION("""COMPUTED_VALUE"""),"BLUE")</f>
        <v>BLUE</v>
      </c>
      <c r="G4494" s="20" t="str">
        <f>IFERROR(__xludf.DUMMYFUNCTION("""COMPUTED_VALUE"""),"Uncle Sams Cider (11/12/2021) (Blue)")</f>
        <v>Uncle Sams Cider (11/12/2021) (Blue)</v>
      </c>
      <c r="H4494" s="19"/>
    </row>
    <row r="4495">
      <c r="A4495" s="9"/>
      <c r="B4495" s="15"/>
      <c r="C4495" s="9">
        <f>IFERROR(__xludf.DUMMYFUNCTION("""COMPUTED_VALUE"""),44558.3749790972)</f>
        <v>44558.37498</v>
      </c>
      <c r="D4495" s="15">
        <f>IFERROR(__xludf.DUMMYFUNCTION("""COMPUTED_VALUE"""),1.009)</f>
        <v>1.009</v>
      </c>
      <c r="E4495" s="16">
        <f>IFERROR(__xludf.DUMMYFUNCTION("""COMPUTED_VALUE"""),63.0)</f>
        <v>63</v>
      </c>
      <c r="F4495" s="19" t="str">
        <f>IFERROR(__xludf.DUMMYFUNCTION("""COMPUTED_VALUE"""),"BLUE")</f>
        <v>BLUE</v>
      </c>
      <c r="G4495" s="20" t="str">
        <f>IFERROR(__xludf.DUMMYFUNCTION("""COMPUTED_VALUE"""),"Uncle Sams Cider (11/12/2021) (Blue)")</f>
        <v>Uncle Sams Cider (11/12/2021) (Blue)</v>
      </c>
      <c r="H4495" s="19"/>
    </row>
    <row r="4496">
      <c r="A4496" s="9"/>
      <c r="B4496" s="15"/>
      <c r="C4496" s="9">
        <f>IFERROR(__xludf.DUMMYFUNCTION("""COMPUTED_VALUE"""),44558.3645576967)</f>
        <v>44558.36456</v>
      </c>
      <c r="D4496" s="15">
        <f>IFERROR(__xludf.DUMMYFUNCTION("""COMPUTED_VALUE"""),1.009)</f>
        <v>1.009</v>
      </c>
      <c r="E4496" s="16">
        <f>IFERROR(__xludf.DUMMYFUNCTION("""COMPUTED_VALUE"""),63.0)</f>
        <v>63</v>
      </c>
      <c r="F4496" s="19" t="str">
        <f>IFERROR(__xludf.DUMMYFUNCTION("""COMPUTED_VALUE"""),"BLUE")</f>
        <v>BLUE</v>
      </c>
      <c r="G4496" s="20" t="str">
        <f>IFERROR(__xludf.DUMMYFUNCTION("""COMPUTED_VALUE"""),"Uncle Sams Cider (11/12/2021) (Blue)")</f>
        <v>Uncle Sams Cider (11/12/2021) (Blue)</v>
      </c>
      <c r="H4496" s="19"/>
    </row>
    <row r="4497">
      <c r="A4497" s="9"/>
      <c r="B4497" s="15"/>
      <c r="C4497" s="9">
        <f>IFERROR(__xludf.DUMMYFUNCTION("""COMPUTED_VALUE"""),44558.3541373958)</f>
        <v>44558.35414</v>
      </c>
      <c r="D4497" s="15">
        <f>IFERROR(__xludf.DUMMYFUNCTION("""COMPUTED_VALUE"""),1.009)</f>
        <v>1.009</v>
      </c>
      <c r="E4497" s="16">
        <f>IFERROR(__xludf.DUMMYFUNCTION("""COMPUTED_VALUE"""),63.0)</f>
        <v>63</v>
      </c>
      <c r="F4497" s="19" t="str">
        <f>IFERROR(__xludf.DUMMYFUNCTION("""COMPUTED_VALUE"""),"BLUE")</f>
        <v>BLUE</v>
      </c>
      <c r="G4497" s="20" t="str">
        <f>IFERROR(__xludf.DUMMYFUNCTION("""COMPUTED_VALUE"""),"Uncle Sams Cider (11/12/2021) (Blue)")</f>
        <v>Uncle Sams Cider (11/12/2021) (Blue)</v>
      </c>
      <c r="H4497" s="19"/>
    </row>
    <row r="4498">
      <c r="A4498" s="9"/>
      <c r="B4498" s="15"/>
      <c r="C4498" s="9">
        <f>IFERROR(__xludf.DUMMYFUNCTION("""COMPUTED_VALUE"""),44558.3437167129)</f>
        <v>44558.34372</v>
      </c>
      <c r="D4498" s="15">
        <f>IFERROR(__xludf.DUMMYFUNCTION("""COMPUTED_VALUE"""),1.008)</f>
        <v>1.008</v>
      </c>
      <c r="E4498" s="16">
        <f>IFERROR(__xludf.DUMMYFUNCTION("""COMPUTED_VALUE"""),63.0)</f>
        <v>63</v>
      </c>
      <c r="F4498" s="19" t="str">
        <f>IFERROR(__xludf.DUMMYFUNCTION("""COMPUTED_VALUE"""),"BLUE")</f>
        <v>BLUE</v>
      </c>
      <c r="G4498" s="20" t="str">
        <f>IFERROR(__xludf.DUMMYFUNCTION("""COMPUTED_VALUE"""),"Uncle Sams Cider (11/12/2021) (Blue)")</f>
        <v>Uncle Sams Cider (11/12/2021) (Blue)</v>
      </c>
      <c r="H4498" s="19"/>
    </row>
    <row r="4499">
      <c r="A4499" s="9"/>
      <c r="B4499" s="15"/>
      <c r="C4499" s="9">
        <f>IFERROR(__xludf.DUMMYFUNCTION("""COMPUTED_VALUE"""),44558.3332967476)</f>
        <v>44558.3333</v>
      </c>
      <c r="D4499" s="15">
        <f>IFERROR(__xludf.DUMMYFUNCTION("""COMPUTED_VALUE"""),1.008)</f>
        <v>1.008</v>
      </c>
      <c r="E4499" s="16">
        <f>IFERROR(__xludf.DUMMYFUNCTION("""COMPUTED_VALUE"""),63.0)</f>
        <v>63</v>
      </c>
      <c r="F4499" s="19" t="str">
        <f>IFERROR(__xludf.DUMMYFUNCTION("""COMPUTED_VALUE"""),"BLUE")</f>
        <v>BLUE</v>
      </c>
      <c r="G4499" s="20" t="str">
        <f>IFERROR(__xludf.DUMMYFUNCTION("""COMPUTED_VALUE"""),"Uncle Sams Cider (11/12/2021) (Blue)")</f>
        <v>Uncle Sams Cider (11/12/2021) (Blue)</v>
      </c>
      <c r="H4499" s="19"/>
    </row>
    <row r="4500">
      <c r="A4500" s="9"/>
      <c r="B4500" s="15"/>
      <c r="C4500" s="9">
        <f>IFERROR(__xludf.DUMMYFUNCTION("""COMPUTED_VALUE"""),44558.3228625925)</f>
        <v>44558.32286</v>
      </c>
      <c r="D4500" s="15">
        <f>IFERROR(__xludf.DUMMYFUNCTION("""COMPUTED_VALUE"""),1.009)</f>
        <v>1.009</v>
      </c>
      <c r="E4500" s="16">
        <f>IFERROR(__xludf.DUMMYFUNCTION("""COMPUTED_VALUE"""),63.0)</f>
        <v>63</v>
      </c>
      <c r="F4500" s="19" t="str">
        <f>IFERROR(__xludf.DUMMYFUNCTION("""COMPUTED_VALUE"""),"BLUE")</f>
        <v>BLUE</v>
      </c>
      <c r="G4500" s="20" t="str">
        <f>IFERROR(__xludf.DUMMYFUNCTION("""COMPUTED_VALUE"""),"Uncle Sams Cider (11/12/2021) (Blue)")</f>
        <v>Uncle Sams Cider (11/12/2021) (Blue)</v>
      </c>
      <c r="H4500" s="19"/>
    </row>
    <row r="4501">
      <c r="A4501" s="9"/>
      <c r="B4501" s="15"/>
      <c r="C4501" s="9">
        <f>IFERROR(__xludf.DUMMYFUNCTION("""COMPUTED_VALUE"""),44558.3124411689)</f>
        <v>44558.31244</v>
      </c>
      <c r="D4501" s="15">
        <f>IFERROR(__xludf.DUMMYFUNCTION("""COMPUTED_VALUE"""),1.009)</f>
        <v>1.009</v>
      </c>
      <c r="E4501" s="16">
        <f>IFERROR(__xludf.DUMMYFUNCTION("""COMPUTED_VALUE"""),63.0)</f>
        <v>63</v>
      </c>
      <c r="F4501" s="19" t="str">
        <f>IFERROR(__xludf.DUMMYFUNCTION("""COMPUTED_VALUE"""),"BLUE")</f>
        <v>BLUE</v>
      </c>
      <c r="G4501" s="20" t="str">
        <f>IFERROR(__xludf.DUMMYFUNCTION("""COMPUTED_VALUE"""),"Uncle Sams Cider (11/12/2021) (Blue)")</f>
        <v>Uncle Sams Cider (11/12/2021) (Blue)</v>
      </c>
      <c r="H4501" s="19"/>
    </row>
    <row r="4502">
      <c r="A4502" s="9"/>
      <c r="B4502" s="15"/>
      <c r="C4502" s="9">
        <f>IFERROR(__xludf.DUMMYFUNCTION("""COMPUTED_VALUE"""),44558.3020210416)</f>
        <v>44558.30202</v>
      </c>
      <c r="D4502" s="15">
        <f>IFERROR(__xludf.DUMMYFUNCTION("""COMPUTED_VALUE"""),1.009)</f>
        <v>1.009</v>
      </c>
      <c r="E4502" s="16">
        <f>IFERROR(__xludf.DUMMYFUNCTION("""COMPUTED_VALUE"""),63.0)</f>
        <v>63</v>
      </c>
      <c r="F4502" s="19" t="str">
        <f>IFERROR(__xludf.DUMMYFUNCTION("""COMPUTED_VALUE"""),"BLUE")</f>
        <v>BLUE</v>
      </c>
      <c r="G4502" s="20" t="str">
        <f>IFERROR(__xludf.DUMMYFUNCTION("""COMPUTED_VALUE"""),"Uncle Sams Cider (11/12/2021) (Blue)")</f>
        <v>Uncle Sams Cider (11/12/2021) (Blue)</v>
      </c>
      <c r="H4502" s="19"/>
    </row>
    <row r="4503">
      <c r="A4503" s="9"/>
      <c r="B4503" s="15"/>
      <c r="C4503" s="9">
        <f>IFERROR(__xludf.DUMMYFUNCTION("""COMPUTED_VALUE"""),44558.2915902546)</f>
        <v>44558.29159</v>
      </c>
      <c r="D4503" s="15">
        <f>IFERROR(__xludf.DUMMYFUNCTION("""COMPUTED_VALUE"""),1.009)</f>
        <v>1.009</v>
      </c>
      <c r="E4503" s="16">
        <f>IFERROR(__xludf.DUMMYFUNCTION("""COMPUTED_VALUE"""),63.0)</f>
        <v>63</v>
      </c>
      <c r="F4503" s="19" t="str">
        <f>IFERROR(__xludf.DUMMYFUNCTION("""COMPUTED_VALUE"""),"BLUE")</f>
        <v>BLUE</v>
      </c>
      <c r="G4503" s="20" t="str">
        <f>IFERROR(__xludf.DUMMYFUNCTION("""COMPUTED_VALUE"""),"Uncle Sams Cider (11/12/2021) (Blue)")</f>
        <v>Uncle Sams Cider (11/12/2021) (Blue)</v>
      </c>
      <c r="H4503" s="19"/>
    </row>
    <row r="4504">
      <c r="A4504" s="9"/>
      <c r="B4504" s="15"/>
      <c r="C4504" s="9">
        <f>IFERROR(__xludf.DUMMYFUNCTION("""COMPUTED_VALUE"""),44558.2811682175)</f>
        <v>44558.28117</v>
      </c>
      <c r="D4504" s="15">
        <f>IFERROR(__xludf.DUMMYFUNCTION("""COMPUTED_VALUE"""),1.009)</f>
        <v>1.009</v>
      </c>
      <c r="E4504" s="16">
        <f>IFERROR(__xludf.DUMMYFUNCTION("""COMPUTED_VALUE"""),63.0)</f>
        <v>63</v>
      </c>
      <c r="F4504" s="19" t="str">
        <f>IFERROR(__xludf.DUMMYFUNCTION("""COMPUTED_VALUE"""),"BLUE")</f>
        <v>BLUE</v>
      </c>
      <c r="G4504" s="20" t="str">
        <f>IFERROR(__xludf.DUMMYFUNCTION("""COMPUTED_VALUE"""),"Uncle Sams Cider (11/12/2021) (Blue)")</f>
        <v>Uncle Sams Cider (11/12/2021) (Blue)</v>
      </c>
      <c r="H4504" s="19"/>
    </row>
    <row r="4505">
      <c r="A4505" s="9"/>
      <c r="B4505" s="15"/>
      <c r="C4505" s="9">
        <f>IFERROR(__xludf.DUMMYFUNCTION("""COMPUTED_VALUE"""),44558.2707347569)</f>
        <v>44558.27073</v>
      </c>
      <c r="D4505" s="15">
        <f>IFERROR(__xludf.DUMMYFUNCTION("""COMPUTED_VALUE"""),1.009)</f>
        <v>1.009</v>
      </c>
      <c r="E4505" s="16">
        <f>IFERROR(__xludf.DUMMYFUNCTION("""COMPUTED_VALUE"""),63.0)</f>
        <v>63</v>
      </c>
      <c r="F4505" s="19" t="str">
        <f>IFERROR(__xludf.DUMMYFUNCTION("""COMPUTED_VALUE"""),"BLUE")</f>
        <v>BLUE</v>
      </c>
      <c r="G4505" s="20" t="str">
        <f>IFERROR(__xludf.DUMMYFUNCTION("""COMPUTED_VALUE"""),"Uncle Sams Cider (11/12/2021) (Blue)")</f>
        <v>Uncle Sams Cider (11/12/2021) (Blue)</v>
      </c>
      <c r="H4505" s="19"/>
    </row>
    <row r="4506">
      <c r="A4506" s="9"/>
      <c r="B4506" s="15"/>
      <c r="C4506" s="9">
        <f>IFERROR(__xludf.DUMMYFUNCTION("""COMPUTED_VALUE"""),44558.2603027777)</f>
        <v>44558.2603</v>
      </c>
      <c r="D4506" s="15">
        <f>IFERROR(__xludf.DUMMYFUNCTION("""COMPUTED_VALUE"""),1.009)</f>
        <v>1.009</v>
      </c>
      <c r="E4506" s="16">
        <f>IFERROR(__xludf.DUMMYFUNCTION("""COMPUTED_VALUE"""),63.0)</f>
        <v>63</v>
      </c>
      <c r="F4506" s="19" t="str">
        <f>IFERROR(__xludf.DUMMYFUNCTION("""COMPUTED_VALUE"""),"BLUE")</f>
        <v>BLUE</v>
      </c>
      <c r="G4506" s="20" t="str">
        <f>IFERROR(__xludf.DUMMYFUNCTION("""COMPUTED_VALUE"""),"Uncle Sams Cider (11/12/2021) (Blue)")</f>
        <v>Uncle Sams Cider (11/12/2021) (Blue)</v>
      </c>
      <c r="H4506" s="19"/>
    </row>
    <row r="4507">
      <c r="A4507" s="9"/>
      <c r="B4507" s="15"/>
      <c r="C4507" s="9">
        <f>IFERROR(__xludf.DUMMYFUNCTION("""COMPUTED_VALUE"""),44558.2498828819)</f>
        <v>44558.24988</v>
      </c>
      <c r="D4507" s="15">
        <f>IFERROR(__xludf.DUMMYFUNCTION("""COMPUTED_VALUE"""),1.008)</f>
        <v>1.008</v>
      </c>
      <c r="E4507" s="16">
        <f>IFERROR(__xludf.DUMMYFUNCTION("""COMPUTED_VALUE"""),63.0)</f>
        <v>63</v>
      </c>
      <c r="F4507" s="19" t="str">
        <f>IFERROR(__xludf.DUMMYFUNCTION("""COMPUTED_VALUE"""),"BLUE")</f>
        <v>BLUE</v>
      </c>
      <c r="G4507" s="20" t="str">
        <f>IFERROR(__xludf.DUMMYFUNCTION("""COMPUTED_VALUE"""),"Uncle Sams Cider (11/12/2021) (Blue)")</f>
        <v>Uncle Sams Cider (11/12/2021) (Blue)</v>
      </c>
      <c r="H4507" s="19"/>
    </row>
    <row r="4508">
      <c r="A4508" s="9"/>
      <c r="B4508" s="15"/>
      <c r="C4508" s="9">
        <f>IFERROR(__xludf.DUMMYFUNCTION("""COMPUTED_VALUE"""),44558.2394617708)</f>
        <v>44558.23946</v>
      </c>
      <c r="D4508" s="15">
        <f>IFERROR(__xludf.DUMMYFUNCTION("""COMPUTED_VALUE"""),1.009)</f>
        <v>1.009</v>
      </c>
      <c r="E4508" s="16">
        <f>IFERROR(__xludf.DUMMYFUNCTION("""COMPUTED_VALUE"""),63.0)</f>
        <v>63</v>
      </c>
      <c r="F4508" s="19" t="str">
        <f>IFERROR(__xludf.DUMMYFUNCTION("""COMPUTED_VALUE"""),"BLUE")</f>
        <v>BLUE</v>
      </c>
      <c r="G4508" s="20" t="str">
        <f>IFERROR(__xludf.DUMMYFUNCTION("""COMPUTED_VALUE"""),"Uncle Sams Cider (11/12/2021) (Blue)")</f>
        <v>Uncle Sams Cider (11/12/2021) (Blue)</v>
      </c>
      <c r="H4508" s="19"/>
    </row>
    <row r="4509">
      <c r="A4509" s="9"/>
      <c r="B4509" s="15"/>
      <c r="C4509" s="9">
        <f>IFERROR(__xludf.DUMMYFUNCTION("""COMPUTED_VALUE"""),44558.2289942592)</f>
        <v>44558.22899</v>
      </c>
      <c r="D4509" s="15">
        <f>IFERROR(__xludf.DUMMYFUNCTION("""COMPUTED_VALUE"""),1.009)</f>
        <v>1.009</v>
      </c>
      <c r="E4509" s="16">
        <f>IFERROR(__xludf.DUMMYFUNCTION("""COMPUTED_VALUE"""),63.0)</f>
        <v>63</v>
      </c>
      <c r="F4509" s="19" t="str">
        <f>IFERROR(__xludf.DUMMYFUNCTION("""COMPUTED_VALUE"""),"BLUE")</f>
        <v>BLUE</v>
      </c>
      <c r="G4509" s="20" t="str">
        <f>IFERROR(__xludf.DUMMYFUNCTION("""COMPUTED_VALUE"""),"Uncle Sams Cider (11/12/2021) (Blue)")</f>
        <v>Uncle Sams Cider (11/12/2021) (Blue)</v>
      </c>
      <c r="H4509" s="19"/>
    </row>
    <row r="4510">
      <c r="A4510" s="9"/>
      <c r="B4510" s="15"/>
      <c r="C4510" s="9">
        <f>IFERROR(__xludf.DUMMYFUNCTION("""COMPUTED_VALUE"""),44558.2185489699)</f>
        <v>44558.21855</v>
      </c>
      <c r="D4510" s="15">
        <f>IFERROR(__xludf.DUMMYFUNCTION("""COMPUTED_VALUE"""),1.008)</f>
        <v>1.008</v>
      </c>
      <c r="E4510" s="16">
        <f>IFERROR(__xludf.DUMMYFUNCTION("""COMPUTED_VALUE"""),63.0)</f>
        <v>63</v>
      </c>
      <c r="F4510" s="19" t="str">
        <f>IFERROR(__xludf.DUMMYFUNCTION("""COMPUTED_VALUE"""),"BLUE")</f>
        <v>BLUE</v>
      </c>
      <c r="G4510" s="20" t="str">
        <f>IFERROR(__xludf.DUMMYFUNCTION("""COMPUTED_VALUE"""),"Uncle Sams Cider (11/12/2021) (Blue)")</f>
        <v>Uncle Sams Cider (11/12/2021) (Blue)</v>
      </c>
      <c r="H4510" s="19"/>
    </row>
    <row r="4511">
      <c r="A4511" s="9"/>
      <c r="B4511" s="15"/>
      <c r="C4511" s="9">
        <f>IFERROR(__xludf.DUMMYFUNCTION("""COMPUTED_VALUE"""),44558.2081271411)</f>
        <v>44558.20813</v>
      </c>
      <c r="D4511" s="15">
        <f>IFERROR(__xludf.DUMMYFUNCTION("""COMPUTED_VALUE"""),1.009)</f>
        <v>1.009</v>
      </c>
      <c r="E4511" s="16">
        <f>IFERROR(__xludf.DUMMYFUNCTION("""COMPUTED_VALUE"""),63.0)</f>
        <v>63</v>
      </c>
      <c r="F4511" s="19" t="str">
        <f>IFERROR(__xludf.DUMMYFUNCTION("""COMPUTED_VALUE"""),"BLUE")</f>
        <v>BLUE</v>
      </c>
      <c r="G4511" s="20" t="str">
        <f>IFERROR(__xludf.DUMMYFUNCTION("""COMPUTED_VALUE"""),"Uncle Sams Cider (11/12/2021) (Blue)")</f>
        <v>Uncle Sams Cider (11/12/2021) (Blue)</v>
      </c>
      <c r="H4511" s="19"/>
    </row>
    <row r="4512">
      <c r="A4512" s="9"/>
      <c r="B4512" s="15"/>
      <c r="C4512" s="9">
        <f>IFERROR(__xludf.DUMMYFUNCTION("""COMPUTED_VALUE"""),44558.1977066319)</f>
        <v>44558.19771</v>
      </c>
      <c r="D4512" s="15">
        <f>IFERROR(__xludf.DUMMYFUNCTION("""COMPUTED_VALUE"""),1.008)</f>
        <v>1.008</v>
      </c>
      <c r="E4512" s="16">
        <f>IFERROR(__xludf.DUMMYFUNCTION("""COMPUTED_VALUE"""),63.0)</f>
        <v>63</v>
      </c>
      <c r="F4512" s="19" t="str">
        <f>IFERROR(__xludf.DUMMYFUNCTION("""COMPUTED_VALUE"""),"BLUE")</f>
        <v>BLUE</v>
      </c>
      <c r="G4512" s="20" t="str">
        <f>IFERROR(__xludf.DUMMYFUNCTION("""COMPUTED_VALUE"""),"Uncle Sams Cider (11/12/2021) (Blue)")</f>
        <v>Uncle Sams Cider (11/12/2021) (Blue)</v>
      </c>
      <c r="H4512" s="19"/>
    </row>
    <row r="4513">
      <c r="A4513" s="9"/>
      <c r="B4513" s="15"/>
      <c r="C4513" s="9">
        <f>IFERROR(__xludf.DUMMYFUNCTION("""COMPUTED_VALUE"""),44558.1872750115)</f>
        <v>44558.18728</v>
      </c>
      <c r="D4513" s="15">
        <f>IFERROR(__xludf.DUMMYFUNCTION("""COMPUTED_VALUE"""),1.009)</f>
        <v>1.009</v>
      </c>
      <c r="E4513" s="16">
        <f>IFERROR(__xludf.DUMMYFUNCTION("""COMPUTED_VALUE"""),63.0)</f>
        <v>63</v>
      </c>
      <c r="F4513" s="19" t="str">
        <f>IFERROR(__xludf.DUMMYFUNCTION("""COMPUTED_VALUE"""),"BLUE")</f>
        <v>BLUE</v>
      </c>
      <c r="G4513" s="20" t="str">
        <f>IFERROR(__xludf.DUMMYFUNCTION("""COMPUTED_VALUE"""),"Uncle Sams Cider (11/12/2021) (Blue)")</f>
        <v>Uncle Sams Cider (11/12/2021) (Blue)</v>
      </c>
      <c r="H4513" s="19"/>
    </row>
    <row r="4514">
      <c r="A4514" s="9"/>
      <c r="B4514" s="15"/>
      <c r="C4514" s="9">
        <f>IFERROR(__xludf.DUMMYFUNCTION("""COMPUTED_VALUE"""),44558.1768528009)</f>
        <v>44558.17685</v>
      </c>
      <c r="D4514" s="15">
        <f>IFERROR(__xludf.DUMMYFUNCTION("""COMPUTED_VALUE"""),1.009)</f>
        <v>1.009</v>
      </c>
      <c r="E4514" s="16">
        <f>IFERROR(__xludf.DUMMYFUNCTION("""COMPUTED_VALUE"""),63.0)</f>
        <v>63</v>
      </c>
      <c r="F4514" s="19" t="str">
        <f>IFERROR(__xludf.DUMMYFUNCTION("""COMPUTED_VALUE"""),"BLUE")</f>
        <v>BLUE</v>
      </c>
      <c r="G4514" s="20" t="str">
        <f>IFERROR(__xludf.DUMMYFUNCTION("""COMPUTED_VALUE"""),"Uncle Sams Cider (11/12/2021) (Blue)")</f>
        <v>Uncle Sams Cider (11/12/2021) (Blue)</v>
      </c>
      <c r="H4514" s="19"/>
    </row>
    <row r="4515">
      <c r="A4515" s="9"/>
      <c r="B4515" s="15"/>
      <c r="C4515" s="9">
        <f>IFERROR(__xludf.DUMMYFUNCTION("""COMPUTED_VALUE"""),44558.1664331365)</f>
        <v>44558.16643</v>
      </c>
      <c r="D4515" s="15">
        <f>IFERROR(__xludf.DUMMYFUNCTION("""COMPUTED_VALUE"""),1.009)</f>
        <v>1.009</v>
      </c>
      <c r="E4515" s="16">
        <f>IFERROR(__xludf.DUMMYFUNCTION("""COMPUTED_VALUE"""),63.0)</f>
        <v>63</v>
      </c>
      <c r="F4515" s="19" t="str">
        <f>IFERROR(__xludf.DUMMYFUNCTION("""COMPUTED_VALUE"""),"BLUE")</f>
        <v>BLUE</v>
      </c>
      <c r="G4515" s="20" t="str">
        <f>IFERROR(__xludf.DUMMYFUNCTION("""COMPUTED_VALUE"""),"Uncle Sams Cider (11/12/2021) (Blue)")</f>
        <v>Uncle Sams Cider (11/12/2021) (Blue)</v>
      </c>
      <c r="H4515" s="19"/>
    </row>
    <row r="4516">
      <c r="A4516" s="9"/>
      <c r="B4516" s="15"/>
      <c r="C4516" s="9">
        <f>IFERROR(__xludf.DUMMYFUNCTION("""COMPUTED_VALUE"""),44558.1560142476)</f>
        <v>44558.15601</v>
      </c>
      <c r="D4516" s="15">
        <f>IFERROR(__xludf.DUMMYFUNCTION("""COMPUTED_VALUE"""),1.009)</f>
        <v>1.009</v>
      </c>
      <c r="E4516" s="16">
        <f>IFERROR(__xludf.DUMMYFUNCTION("""COMPUTED_VALUE"""),63.0)</f>
        <v>63</v>
      </c>
      <c r="F4516" s="19" t="str">
        <f>IFERROR(__xludf.DUMMYFUNCTION("""COMPUTED_VALUE"""),"BLUE")</f>
        <v>BLUE</v>
      </c>
      <c r="G4516" s="20" t="str">
        <f>IFERROR(__xludf.DUMMYFUNCTION("""COMPUTED_VALUE"""),"Uncle Sams Cider (11/12/2021) (Blue)")</f>
        <v>Uncle Sams Cider (11/12/2021) (Blue)</v>
      </c>
      <c r="H4516" s="19"/>
    </row>
    <row r="4517">
      <c r="A4517" s="9"/>
      <c r="B4517" s="15"/>
      <c r="C4517" s="9">
        <f>IFERROR(__xludf.DUMMYFUNCTION("""COMPUTED_VALUE"""),44558.1455914467)</f>
        <v>44558.14559</v>
      </c>
      <c r="D4517" s="15">
        <f>IFERROR(__xludf.DUMMYFUNCTION("""COMPUTED_VALUE"""),1.009)</f>
        <v>1.009</v>
      </c>
      <c r="E4517" s="16">
        <f>IFERROR(__xludf.DUMMYFUNCTION("""COMPUTED_VALUE"""),63.0)</f>
        <v>63</v>
      </c>
      <c r="F4517" s="19" t="str">
        <f>IFERROR(__xludf.DUMMYFUNCTION("""COMPUTED_VALUE"""),"BLUE")</f>
        <v>BLUE</v>
      </c>
      <c r="G4517" s="20" t="str">
        <f>IFERROR(__xludf.DUMMYFUNCTION("""COMPUTED_VALUE"""),"Uncle Sams Cider (11/12/2021) (Blue)")</f>
        <v>Uncle Sams Cider (11/12/2021) (Blue)</v>
      </c>
      <c r="H4517" s="19"/>
    </row>
    <row r="4518">
      <c r="A4518" s="9"/>
      <c r="B4518" s="15"/>
      <c r="C4518" s="9">
        <f>IFERROR(__xludf.DUMMYFUNCTION("""COMPUTED_VALUE"""),44558.1351459027)</f>
        <v>44558.13515</v>
      </c>
      <c r="D4518" s="15">
        <f>IFERROR(__xludf.DUMMYFUNCTION("""COMPUTED_VALUE"""),1.008)</f>
        <v>1.008</v>
      </c>
      <c r="E4518" s="16">
        <f>IFERROR(__xludf.DUMMYFUNCTION("""COMPUTED_VALUE"""),63.0)</f>
        <v>63</v>
      </c>
      <c r="F4518" s="19" t="str">
        <f>IFERROR(__xludf.DUMMYFUNCTION("""COMPUTED_VALUE"""),"BLUE")</f>
        <v>BLUE</v>
      </c>
      <c r="G4518" s="20" t="str">
        <f>IFERROR(__xludf.DUMMYFUNCTION("""COMPUTED_VALUE"""),"Uncle Sams Cider (11/12/2021) (Blue)")</f>
        <v>Uncle Sams Cider (11/12/2021) (Blue)</v>
      </c>
      <c r="H4518" s="19"/>
    </row>
    <row r="4519">
      <c r="A4519" s="9"/>
      <c r="B4519" s="15"/>
      <c r="C4519" s="9">
        <f>IFERROR(__xludf.DUMMYFUNCTION("""COMPUTED_VALUE"""),44558.1247228587)</f>
        <v>44558.12472</v>
      </c>
      <c r="D4519" s="15">
        <f>IFERROR(__xludf.DUMMYFUNCTION("""COMPUTED_VALUE"""),1.009)</f>
        <v>1.009</v>
      </c>
      <c r="E4519" s="16">
        <f>IFERROR(__xludf.DUMMYFUNCTION("""COMPUTED_VALUE"""),63.0)</f>
        <v>63</v>
      </c>
      <c r="F4519" s="19" t="str">
        <f>IFERROR(__xludf.DUMMYFUNCTION("""COMPUTED_VALUE"""),"BLUE")</f>
        <v>BLUE</v>
      </c>
      <c r="G4519" s="20" t="str">
        <f>IFERROR(__xludf.DUMMYFUNCTION("""COMPUTED_VALUE"""),"Uncle Sams Cider (11/12/2021) (Blue)")</f>
        <v>Uncle Sams Cider (11/12/2021) (Blue)</v>
      </c>
      <c r="H4519" s="19"/>
    </row>
    <row r="4520">
      <c r="A4520" s="9"/>
      <c r="B4520" s="15"/>
      <c r="C4520" s="9">
        <f>IFERROR(__xludf.DUMMYFUNCTION("""COMPUTED_VALUE"""),44558.1143027314)</f>
        <v>44558.1143</v>
      </c>
      <c r="D4520" s="15">
        <f>IFERROR(__xludf.DUMMYFUNCTION("""COMPUTED_VALUE"""),1.009)</f>
        <v>1.009</v>
      </c>
      <c r="E4520" s="16">
        <f>IFERROR(__xludf.DUMMYFUNCTION("""COMPUTED_VALUE"""),63.0)</f>
        <v>63</v>
      </c>
      <c r="F4520" s="19" t="str">
        <f>IFERROR(__xludf.DUMMYFUNCTION("""COMPUTED_VALUE"""),"BLUE")</f>
        <v>BLUE</v>
      </c>
      <c r="G4520" s="20" t="str">
        <f>IFERROR(__xludf.DUMMYFUNCTION("""COMPUTED_VALUE"""),"Uncle Sams Cider (11/12/2021) (Blue)")</f>
        <v>Uncle Sams Cider (11/12/2021) (Blue)</v>
      </c>
      <c r="H4520" s="19"/>
    </row>
    <row r="4521">
      <c r="A4521" s="9"/>
      <c r="B4521" s="15"/>
      <c r="C4521" s="9">
        <f>IFERROR(__xludf.DUMMYFUNCTION("""COMPUTED_VALUE"""),44558.103883449)</f>
        <v>44558.10388</v>
      </c>
      <c r="D4521" s="15">
        <f>IFERROR(__xludf.DUMMYFUNCTION("""COMPUTED_VALUE"""),1.009)</f>
        <v>1.009</v>
      </c>
      <c r="E4521" s="16">
        <f>IFERROR(__xludf.DUMMYFUNCTION("""COMPUTED_VALUE"""),63.0)</f>
        <v>63</v>
      </c>
      <c r="F4521" s="19" t="str">
        <f>IFERROR(__xludf.DUMMYFUNCTION("""COMPUTED_VALUE"""),"BLUE")</f>
        <v>BLUE</v>
      </c>
      <c r="G4521" s="20" t="str">
        <f>IFERROR(__xludf.DUMMYFUNCTION("""COMPUTED_VALUE"""),"Uncle Sams Cider (11/12/2021) (Blue)")</f>
        <v>Uncle Sams Cider (11/12/2021) (Blue)</v>
      </c>
      <c r="H4521" s="19"/>
    </row>
    <row r="4522">
      <c r="A4522" s="9"/>
      <c r="B4522" s="15"/>
      <c r="C4522" s="9">
        <f>IFERROR(__xludf.DUMMYFUNCTION("""COMPUTED_VALUE"""),44558.0934503009)</f>
        <v>44558.09345</v>
      </c>
      <c r="D4522" s="15">
        <f>IFERROR(__xludf.DUMMYFUNCTION("""COMPUTED_VALUE"""),1.009)</f>
        <v>1.009</v>
      </c>
      <c r="E4522" s="16">
        <f>IFERROR(__xludf.DUMMYFUNCTION("""COMPUTED_VALUE"""),63.0)</f>
        <v>63</v>
      </c>
      <c r="F4522" s="19" t="str">
        <f>IFERROR(__xludf.DUMMYFUNCTION("""COMPUTED_VALUE"""),"BLUE")</f>
        <v>BLUE</v>
      </c>
      <c r="G4522" s="20" t="str">
        <f>IFERROR(__xludf.DUMMYFUNCTION("""COMPUTED_VALUE"""),"Uncle Sams Cider (11/12/2021) (Blue)")</f>
        <v>Uncle Sams Cider (11/12/2021) (Blue)</v>
      </c>
      <c r="H4522" s="19"/>
    </row>
    <row r="4523">
      <c r="A4523" s="9"/>
      <c r="B4523" s="15"/>
      <c r="C4523" s="9">
        <f>IFERROR(__xludf.DUMMYFUNCTION("""COMPUTED_VALUE"""),44558.0830277893)</f>
        <v>44558.08303</v>
      </c>
      <c r="D4523" s="15">
        <f>IFERROR(__xludf.DUMMYFUNCTION("""COMPUTED_VALUE"""),1.009)</f>
        <v>1.009</v>
      </c>
      <c r="E4523" s="16">
        <f>IFERROR(__xludf.DUMMYFUNCTION("""COMPUTED_VALUE"""),63.0)</f>
        <v>63</v>
      </c>
      <c r="F4523" s="19" t="str">
        <f>IFERROR(__xludf.DUMMYFUNCTION("""COMPUTED_VALUE"""),"BLUE")</f>
        <v>BLUE</v>
      </c>
      <c r="G4523" s="20" t="str">
        <f>IFERROR(__xludf.DUMMYFUNCTION("""COMPUTED_VALUE"""),"Uncle Sams Cider (11/12/2021) (Blue)")</f>
        <v>Uncle Sams Cider (11/12/2021) (Blue)</v>
      </c>
      <c r="H4523" s="19"/>
    </row>
    <row r="4524">
      <c r="A4524" s="9"/>
      <c r="B4524" s="15"/>
      <c r="C4524" s="9">
        <f>IFERROR(__xludf.DUMMYFUNCTION("""COMPUTED_VALUE"""),44558.0726058912)</f>
        <v>44558.07261</v>
      </c>
      <c r="D4524" s="15">
        <f>IFERROR(__xludf.DUMMYFUNCTION("""COMPUTED_VALUE"""),1.009)</f>
        <v>1.009</v>
      </c>
      <c r="E4524" s="16">
        <f>IFERROR(__xludf.DUMMYFUNCTION("""COMPUTED_VALUE"""),63.0)</f>
        <v>63</v>
      </c>
      <c r="F4524" s="19" t="str">
        <f>IFERROR(__xludf.DUMMYFUNCTION("""COMPUTED_VALUE"""),"BLUE")</f>
        <v>BLUE</v>
      </c>
      <c r="G4524" s="20" t="str">
        <f>IFERROR(__xludf.DUMMYFUNCTION("""COMPUTED_VALUE"""),"Uncle Sams Cider (11/12/2021) (Blue)")</f>
        <v>Uncle Sams Cider (11/12/2021) (Blue)</v>
      </c>
      <c r="H4524" s="19"/>
    </row>
    <row r="4525">
      <c r="A4525" s="9"/>
      <c r="B4525" s="15"/>
      <c r="C4525" s="9">
        <f>IFERROR(__xludf.DUMMYFUNCTION("""COMPUTED_VALUE"""),44558.0621850578)</f>
        <v>44558.06219</v>
      </c>
      <c r="D4525" s="15">
        <f>IFERROR(__xludf.DUMMYFUNCTION("""COMPUTED_VALUE"""),1.009)</f>
        <v>1.009</v>
      </c>
      <c r="E4525" s="16">
        <f>IFERROR(__xludf.DUMMYFUNCTION("""COMPUTED_VALUE"""),63.0)</f>
        <v>63</v>
      </c>
      <c r="F4525" s="19" t="str">
        <f>IFERROR(__xludf.DUMMYFUNCTION("""COMPUTED_VALUE"""),"BLUE")</f>
        <v>BLUE</v>
      </c>
      <c r="G4525" s="20" t="str">
        <f>IFERROR(__xludf.DUMMYFUNCTION("""COMPUTED_VALUE"""),"Uncle Sams Cider (11/12/2021) (Blue)")</f>
        <v>Uncle Sams Cider (11/12/2021) (Blue)</v>
      </c>
      <c r="H4525" s="19"/>
    </row>
    <row r="4526">
      <c r="A4526" s="9"/>
      <c r="B4526" s="15"/>
      <c r="C4526" s="9">
        <f>IFERROR(__xludf.DUMMYFUNCTION("""COMPUTED_VALUE"""),44558.0517630324)</f>
        <v>44558.05176</v>
      </c>
      <c r="D4526" s="15">
        <f>IFERROR(__xludf.DUMMYFUNCTION("""COMPUTED_VALUE"""),1.009)</f>
        <v>1.009</v>
      </c>
      <c r="E4526" s="16">
        <f>IFERROR(__xludf.DUMMYFUNCTION("""COMPUTED_VALUE"""),63.0)</f>
        <v>63</v>
      </c>
      <c r="F4526" s="19" t="str">
        <f>IFERROR(__xludf.DUMMYFUNCTION("""COMPUTED_VALUE"""),"BLUE")</f>
        <v>BLUE</v>
      </c>
      <c r="G4526" s="20" t="str">
        <f>IFERROR(__xludf.DUMMYFUNCTION("""COMPUTED_VALUE"""),"Uncle Sams Cider (11/12/2021) (Blue)")</f>
        <v>Uncle Sams Cider (11/12/2021) (Blue)</v>
      </c>
      <c r="H4526" s="19"/>
    </row>
    <row r="4527">
      <c r="A4527" s="9"/>
      <c r="B4527" s="15"/>
      <c r="C4527" s="9">
        <f>IFERROR(__xludf.DUMMYFUNCTION("""COMPUTED_VALUE"""),44558.0413414814)</f>
        <v>44558.04134</v>
      </c>
      <c r="D4527" s="15">
        <f>IFERROR(__xludf.DUMMYFUNCTION("""COMPUTED_VALUE"""),1.009)</f>
        <v>1.009</v>
      </c>
      <c r="E4527" s="16">
        <f>IFERROR(__xludf.DUMMYFUNCTION("""COMPUTED_VALUE"""),63.0)</f>
        <v>63</v>
      </c>
      <c r="F4527" s="19" t="str">
        <f>IFERROR(__xludf.DUMMYFUNCTION("""COMPUTED_VALUE"""),"BLUE")</f>
        <v>BLUE</v>
      </c>
      <c r="G4527" s="20" t="str">
        <f>IFERROR(__xludf.DUMMYFUNCTION("""COMPUTED_VALUE"""),"Uncle Sams Cider (11/12/2021) (Blue)")</f>
        <v>Uncle Sams Cider (11/12/2021) (Blue)</v>
      </c>
      <c r="H4527" s="19"/>
    </row>
    <row r="4528">
      <c r="A4528" s="9"/>
      <c r="B4528" s="15"/>
      <c r="C4528" s="9">
        <f>IFERROR(__xludf.DUMMYFUNCTION("""COMPUTED_VALUE"""),44558.0309195717)</f>
        <v>44558.03092</v>
      </c>
      <c r="D4528" s="15">
        <f>IFERROR(__xludf.DUMMYFUNCTION("""COMPUTED_VALUE"""),1.008)</f>
        <v>1.008</v>
      </c>
      <c r="E4528" s="16">
        <f>IFERROR(__xludf.DUMMYFUNCTION("""COMPUTED_VALUE"""),63.0)</f>
        <v>63</v>
      </c>
      <c r="F4528" s="19" t="str">
        <f>IFERROR(__xludf.DUMMYFUNCTION("""COMPUTED_VALUE"""),"BLUE")</f>
        <v>BLUE</v>
      </c>
      <c r="G4528" s="20" t="str">
        <f>IFERROR(__xludf.DUMMYFUNCTION("""COMPUTED_VALUE"""),"Uncle Sams Cider (11/12/2021) (Blue)")</f>
        <v>Uncle Sams Cider (11/12/2021) (Blue)</v>
      </c>
      <c r="H4528" s="19"/>
    </row>
    <row r="4529">
      <c r="A4529" s="9"/>
      <c r="B4529" s="15"/>
      <c r="C4529" s="9">
        <f>IFERROR(__xludf.DUMMYFUNCTION("""COMPUTED_VALUE"""),44558.0205006597)</f>
        <v>44558.0205</v>
      </c>
      <c r="D4529" s="15">
        <f>IFERROR(__xludf.DUMMYFUNCTION("""COMPUTED_VALUE"""),1.009)</f>
        <v>1.009</v>
      </c>
      <c r="E4529" s="16">
        <f>IFERROR(__xludf.DUMMYFUNCTION("""COMPUTED_VALUE"""),63.0)</f>
        <v>63</v>
      </c>
      <c r="F4529" s="19" t="str">
        <f>IFERROR(__xludf.DUMMYFUNCTION("""COMPUTED_VALUE"""),"BLUE")</f>
        <v>BLUE</v>
      </c>
      <c r="G4529" s="20" t="str">
        <f>IFERROR(__xludf.DUMMYFUNCTION("""COMPUTED_VALUE"""),"Uncle Sams Cider (11/12/2021) (Blue)")</f>
        <v>Uncle Sams Cider (11/12/2021) (Blue)</v>
      </c>
      <c r="H4529" s="19"/>
    </row>
    <row r="4530">
      <c r="A4530" s="9"/>
      <c r="B4530" s="15"/>
      <c r="C4530" s="9">
        <f>IFERROR(__xludf.DUMMYFUNCTION("""COMPUTED_VALUE"""),44558.0100809606)</f>
        <v>44558.01008</v>
      </c>
      <c r="D4530" s="15">
        <f>IFERROR(__xludf.DUMMYFUNCTION("""COMPUTED_VALUE"""),1.009)</f>
        <v>1.009</v>
      </c>
      <c r="E4530" s="16">
        <f>IFERROR(__xludf.DUMMYFUNCTION("""COMPUTED_VALUE"""),63.0)</f>
        <v>63</v>
      </c>
      <c r="F4530" s="19" t="str">
        <f>IFERROR(__xludf.DUMMYFUNCTION("""COMPUTED_VALUE"""),"BLUE")</f>
        <v>BLUE</v>
      </c>
      <c r="G4530" s="20" t="str">
        <f>IFERROR(__xludf.DUMMYFUNCTION("""COMPUTED_VALUE"""),"Uncle Sams Cider (11/12/2021) (Blue)")</f>
        <v>Uncle Sams Cider (11/12/2021) (Blue)</v>
      </c>
      <c r="H4530" s="19"/>
    </row>
    <row r="4531">
      <c r="A4531" s="9"/>
      <c r="B4531" s="15"/>
      <c r="C4531" s="9">
        <f>IFERROR(__xludf.DUMMYFUNCTION("""COMPUTED_VALUE"""),44557.9996595023)</f>
        <v>44557.99966</v>
      </c>
      <c r="D4531" s="15">
        <f>IFERROR(__xludf.DUMMYFUNCTION("""COMPUTED_VALUE"""),1.009)</f>
        <v>1.009</v>
      </c>
      <c r="E4531" s="16">
        <f>IFERROR(__xludf.DUMMYFUNCTION("""COMPUTED_VALUE"""),63.0)</f>
        <v>63</v>
      </c>
      <c r="F4531" s="19" t="str">
        <f>IFERROR(__xludf.DUMMYFUNCTION("""COMPUTED_VALUE"""),"BLUE")</f>
        <v>BLUE</v>
      </c>
      <c r="G4531" s="20" t="str">
        <f>IFERROR(__xludf.DUMMYFUNCTION("""COMPUTED_VALUE"""),"Uncle Sams Cider (11/12/2021) (Blue)")</f>
        <v>Uncle Sams Cider (11/12/2021) (Blue)</v>
      </c>
      <c r="H4531" s="19"/>
    </row>
    <row r="4532">
      <c r="A4532" s="9"/>
      <c r="B4532" s="15"/>
      <c r="C4532" s="9">
        <f>IFERROR(__xludf.DUMMYFUNCTION("""COMPUTED_VALUE"""),44557.9892148958)</f>
        <v>44557.98921</v>
      </c>
      <c r="D4532" s="15">
        <f>IFERROR(__xludf.DUMMYFUNCTION("""COMPUTED_VALUE"""),1.008)</f>
        <v>1.008</v>
      </c>
      <c r="E4532" s="16">
        <f>IFERROR(__xludf.DUMMYFUNCTION("""COMPUTED_VALUE"""),63.0)</f>
        <v>63</v>
      </c>
      <c r="F4532" s="19" t="str">
        <f>IFERROR(__xludf.DUMMYFUNCTION("""COMPUTED_VALUE"""),"BLUE")</f>
        <v>BLUE</v>
      </c>
      <c r="G4532" s="20" t="str">
        <f>IFERROR(__xludf.DUMMYFUNCTION("""COMPUTED_VALUE"""),"Uncle Sams Cider (11/12/2021) (Blue)")</f>
        <v>Uncle Sams Cider (11/12/2021) (Blue)</v>
      </c>
      <c r="H4532" s="19"/>
    </row>
    <row r="4533">
      <c r="A4533" s="9"/>
      <c r="B4533" s="15"/>
      <c r="C4533" s="9">
        <f>IFERROR(__xludf.DUMMYFUNCTION("""COMPUTED_VALUE"""),44557.9787822106)</f>
        <v>44557.97878</v>
      </c>
      <c r="D4533" s="15">
        <f>IFERROR(__xludf.DUMMYFUNCTION("""COMPUTED_VALUE"""),1.009)</f>
        <v>1.009</v>
      </c>
      <c r="E4533" s="16">
        <f>IFERROR(__xludf.DUMMYFUNCTION("""COMPUTED_VALUE"""),63.0)</f>
        <v>63</v>
      </c>
      <c r="F4533" s="19" t="str">
        <f>IFERROR(__xludf.DUMMYFUNCTION("""COMPUTED_VALUE"""),"BLUE")</f>
        <v>BLUE</v>
      </c>
      <c r="G4533" s="20" t="str">
        <f>IFERROR(__xludf.DUMMYFUNCTION("""COMPUTED_VALUE"""),"Uncle Sams Cider (11/12/2021) (Blue)")</f>
        <v>Uncle Sams Cider (11/12/2021) (Blue)</v>
      </c>
      <c r="H4533" s="19"/>
    </row>
    <row r="4534">
      <c r="A4534" s="9"/>
      <c r="B4534" s="15"/>
      <c r="C4534" s="9">
        <f>IFERROR(__xludf.DUMMYFUNCTION("""COMPUTED_VALUE"""),44557.9683614004)</f>
        <v>44557.96836</v>
      </c>
      <c r="D4534" s="15">
        <f>IFERROR(__xludf.DUMMYFUNCTION("""COMPUTED_VALUE"""),1.009)</f>
        <v>1.009</v>
      </c>
      <c r="E4534" s="16">
        <f>IFERROR(__xludf.DUMMYFUNCTION("""COMPUTED_VALUE"""),63.0)</f>
        <v>63</v>
      </c>
      <c r="F4534" s="19" t="str">
        <f>IFERROR(__xludf.DUMMYFUNCTION("""COMPUTED_VALUE"""),"BLUE")</f>
        <v>BLUE</v>
      </c>
      <c r="G4534" s="20" t="str">
        <f>IFERROR(__xludf.DUMMYFUNCTION("""COMPUTED_VALUE"""),"Uncle Sams Cider (11/12/2021) (Blue)")</f>
        <v>Uncle Sams Cider (11/12/2021) (Blue)</v>
      </c>
      <c r="H4534" s="19"/>
    </row>
    <row r="4535">
      <c r="A4535" s="9"/>
      <c r="B4535" s="15"/>
      <c r="C4535" s="9">
        <f>IFERROR(__xludf.DUMMYFUNCTION("""COMPUTED_VALUE"""),44557.9579283912)</f>
        <v>44557.95793</v>
      </c>
      <c r="D4535" s="15">
        <f>IFERROR(__xludf.DUMMYFUNCTION("""COMPUTED_VALUE"""),1.008)</f>
        <v>1.008</v>
      </c>
      <c r="E4535" s="16">
        <f>IFERROR(__xludf.DUMMYFUNCTION("""COMPUTED_VALUE"""),63.0)</f>
        <v>63</v>
      </c>
      <c r="F4535" s="19" t="str">
        <f>IFERROR(__xludf.DUMMYFUNCTION("""COMPUTED_VALUE"""),"BLUE")</f>
        <v>BLUE</v>
      </c>
      <c r="G4535" s="20" t="str">
        <f>IFERROR(__xludf.DUMMYFUNCTION("""COMPUTED_VALUE"""),"Uncle Sams Cider (11/12/2021) (Blue)")</f>
        <v>Uncle Sams Cider (11/12/2021) (Blue)</v>
      </c>
      <c r="H4535" s="19"/>
    </row>
    <row r="4536">
      <c r="A4536" s="9"/>
      <c r="B4536" s="15"/>
      <c r="C4536" s="9">
        <f>IFERROR(__xludf.DUMMYFUNCTION("""COMPUTED_VALUE"""),44557.947496655)</f>
        <v>44557.9475</v>
      </c>
      <c r="D4536" s="15">
        <f>IFERROR(__xludf.DUMMYFUNCTION("""COMPUTED_VALUE"""),1.009)</f>
        <v>1.009</v>
      </c>
      <c r="E4536" s="16">
        <f>IFERROR(__xludf.DUMMYFUNCTION("""COMPUTED_VALUE"""),63.0)</f>
        <v>63</v>
      </c>
      <c r="F4536" s="19" t="str">
        <f>IFERROR(__xludf.DUMMYFUNCTION("""COMPUTED_VALUE"""),"BLUE")</f>
        <v>BLUE</v>
      </c>
      <c r="G4536" s="20" t="str">
        <f>IFERROR(__xludf.DUMMYFUNCTION("""COMPUTED_VALUE"""),"Uncle Sams Cider (11/12/2021) (Blue)")</f>
        <v>Uncle Sams Cider (11/12/2021) (Blue)</v>
      </c>
      <c r="H4536" s="19"/>
    </row>
    <row r="4537">
      <c r="A4537" s="9"/>
      <c r="B4537" s="15"/>
      <c r="C4537" s="9">
        <f>IFERROR(__xludf.DUMMYFUNCTION("""COMPUTED_VALUE"""),44557.9370644907)</f>
        <v>44557.93706</v>
      </c>
      <c r="D4537" s="15">
        <f>IFERROR(__xludf.DUMMYFUNCTION("""COMPUTED_VALUE"""),1.009)</f>
        <v>1.009</v>
      </c>
      <c r="E4537" s="16">
        <f>IFERROR(__xludf.DUMMYFUNCTION("""COMPUTED_VALUE"""),63.0)</f>
        <v>63</v>
      </c>
      <c r="F4537" s="19" t="str">
        <f>IFERROR(__xludf.DUMMYFUNCTION("""COMPUTED_VALUE"""),"BLUE")</f>
        <v>BLUE</v>
      </c>
      <c r="G4537" s="20" t="str">
        <f>IFERROR(__xludf.DUMMYFUNCTION("""COMPUTED_VALUE"""),"Uncle Sams Cider (11/12/2021) (Blue)")</f>
        <v>Uncle Sams Cider (11/12/2021) (Blue)</v>
      </c>
      <c r="H4537" s="19"/>
    </row>
    <row r="4538">
      <c r="A4538" s="9"/>
      <c r="B4538" s="15"/>
      <c r="C4538" s="9">
        <f>IFERROR(__xludf.DUMMYFUNCTION("""COMPUTED_VALUE"""),44557.9266430439)</f>
        <v>44557.92664</v>
      </c>
      <c r="D4538" s="15">
        <f>IFERROR(__xludf.DUMMYFUNCTION("""COMPUTED_VALUE"""),1.009)</f>
        <v>1.009</v>
      </c>
      <c r="E4538" s="16">
        <f>IFERROR(__xludf.DUMMYFUNCTION("""COMPUTED_VALUE"""),63.0)</f>
        <v>63</v>
      </c>
      <c r="F4538" s="19" t="str">
        <f>IFERROR(__xludf.DUMMYFUNCTION("""COMPUTED_VALUE"""),"BLUE")</f>
        <v>BLUE</v>
      </c>
      <c r="G4538" s="20" t="str">
        <f>IFERROR(__xludf.DUMMYFUNCTION("""COMPUTED_VALUE"""),"Uncle Sams Cider (11/12/2021) (Blue)")</f>
        <v>Uncle Sams Cider (11/12/2021) (Blue)</v>
      </c>
      <c r="H4538" s="19"/>
    </row>
    <row r="4539">
      <c r="A4539" s="9"/>
      <c r="B4539" s="15"/>
      <c r="C4539" s="9">
        <f>IFERROR(__xludf.DUMMYFUNCTION("""COMPUTED_VALUE"""),44557.9162106713)</f>
        <v>44557.91621</v>
      </c>
      <c r="D4539" s="15">
        <f>IFERROR(__xludf.DUMMYFUNCTION("""COMPUTED_VALUE"""),1.009)</f>
        <v>1.009</v>
      </c>
      <c r="E4539" s="16">
        <f>IFERROR(__xludf.DUMMYFUNCTION("""COMPUTED_VALUE"""),63.0)</f>
        <v>63</v>
      </c>
      <c r="F4539" s="19" t="str">
        <f>IFERROR(__xludf.DUMMYFUNCTION("""COMPUTED_VALUE"""),"BLUE")</f>
        <v>BLUE</v>
      </c>
      <c r="G4539" s="20" t="str">
        <f>IFERROR(__xludf.DUMMYFUNCTION("""COMPUTED_VALUE"""),"Uncle Sams Cider (11/12/2021) (Blue)")</f>
        <v>Uncle Sams Cider (11/12/2021) (Blue)</v>
      </c>
      <c r="H4539" s="19"/>
    </row>
    <row r="4540">
      <c r="A4540" s="9"/>
      <c r="B4540" s="15"/>
      <c r="C4540" s="9">
        <f>IFERROR(__xludf.DUMMYFUNCTION("""COMPUTED_VALUE"""),44557.905767824)</f>
        <v>44557.90577</v>
      </c>
      <c r="D4540" s="15">
        <f>IFERROR(__xludf.DUMMYFUNCTION("""COMPUTED_VALUE"""),1.009)</f>
        <v>1.009</v>
      </c>
      <c r="E4540" s="16">
        <f>IFERROR(__xludf.DUMMYFUNCTION("""COMPUTED_VALUE"""),63.0)</f>
        <v>63</v>
      </c>
      <c r="F4540" s="19" t="str">
        <f>IFERROR(__xludf.DUMMYFUNCTION("""COMPUTED_VALUE"""),"BLUE")</f>
        <v>BLUE</v>
      </c>
      <c r="G4540" s="20" t="str">
        <f>IFERROR(__xludf.DUMMYFUNCTION("""COMPUTED_VALUE"""),"Uncle Sams Cider (11/12/2021) (Blue)")</f>
        <v>Uncle Sams Cider (11/12/2021) (Blue)</v>
      </c>
      <c r="H4540" s="19"/>
    </row>
    <row r="4541">
      <c r="A4541" s="9"/>
      <c r="B4541" s="15"/>
      <c r="C4541" s="9">
        <f>IFERROR(__xludf.DUMMYFUNCTION("""COMPUTED_VALUE"""),44557.8953474189)</f>
        <v>44557.89535</v>
      </c>
      <c r="D4541" s="15">
        <f>IFERROR(__xludf.DUMMYFUNCTION("""COMPUTED_VALUE"""),1.009)</f>
        <v>1.009</v>
      </c>
      <c r="E4541" s="16">
        <f>IFERROR(__xludf.DUMMYFUNCTION("""COMPUTED_VALUE"""),63.0)</f>
        <v>63</v>
      </c>
      <c r="F4541" s="19" t="str">
        <f>IFERROR(__xludf.DUMMYFUNCTION("""COMPUTED_VALUE"""),"BLUE")</f>
        <v>BLUE</v>
      </c>
      <c r="G4541" s="20" t="str">
        <f>IFERROR(__xludf.DUMMYFUNCTION("""COMPUTED_VALUE"""),"Uncle Sams Cider (11/12/2021) (Blue)")</f>
        <v>Uncle Sams Cider (11/12/2021) (Blue)</v>
      </c>
      <c r="H4541" s="19"/>
    </row>
    <row r="4542">
      <c r="A4542" s="9"/>
      <c r="B4542" s="15"/>
      <c r="C4542" s="9">
        <f>IFERROR(__xludf.DUMMYFUNCTION("""COMPUTED_VALUE"""),44557.8849259143)</f>
        <v>44557.88493</v>
      </c>
      <c r="D4542" s="15">
        <f>IFERROR(__xludf.DUMMYFUNCTION("""COMPUTED_VALUE"""),1.009)</f>
        <v>1.009</v>
      </c>
      <c r="E4542" s="16">
        <f>IFERROR(__xludf.DUMMYFUNCTION("""COMPUTED_VALUE"""),63.0)</f>
        <v>63</v>
      </c>
      <c r="F4542" s="19" t="str">
        <f>IFERROR(__xludf.DUMMYFUNCTION("""COMPUTED_VALUE"""),"BLUE")</f>
        <v>BLUE</v>
      </c>
      <c r="G4542" s="20" t="str">
        <f>IFERROR(__xludf.DUMMYFUNCTION("""COMPUTED_VALUE"""),"Uncle Sams Cider (11/12/2021) (Blue)")</f>
        <v>Uncle Sams Cider (11/12/2021) (Blue)</v>
      </c>
      <c r="H4542" s="19"/>
    </row>
    <row r="4543">
      <c r="A4543" s="9"/>
      <c r="B4543" s="15"/>
      <c r="C4543" s="9">
        <f>IFERROR(__xludf.DUMMYFUNCTION("""COMPUTED_VALUE"""),44557.8745041898)</f>
        <v>44557.8745</v>
      </c>
      <c r="D4543" s="15">
        <f>IFERROR(__xludf.DUMMYFUNCTION("""COMPUTED_VALUE"""),1.009)</f>
        <v>1.009</v>
      </c>
      <c r="E4543" s="16">
        <f>IFERROR(__xludf.DUMMYFUNCTION("""COMPUTED_VALUE"""),63.0)</f>
        <v>63</v>
      </c>
      <c r="F4543" s="19" t="str">
        <f>IFERROR(__xludf.DUMMYFUNCTION("""COMPUTED_VALUE"""),"BLUE")</f>
        <v>BLUE</v>
      </c>
      <c r="G4543" s="20" t="str">
        <f>IFERROR(__xludf.DUMMYFUNCTION("""COMPUTED_VALUE"""),"Uncle Sams Cider (11/12/2021) (Blue)")</f>
        <v>Uncle Sams Cider (11/12/2021) (Blue)</v>
      </c>
      <c r="H4543" s="19"/>
    </row>
    <row r="4544">
      <c r="A4544" s="9"/>
      <c r="B4544" s="15"/>
      <c r="C4544" s="9">
        <f>IFERROR(__xludf.DUMMYFUNCTION("""COMPUTED_VALUE"""),44557.8640719097)</f>
        <v>44557.86407</v>
      </c>
      <c r="D4544" s="15">
        <f>IFERROR(__xludf.DUMMYFUNCTION("""COMPUTED_VALUE"""),1.009)</f>
        <v>1.009</v>
      </c>
      <c r="E4544" s="16">
        <f>IFERROR(__xludf.DUMMYFUNCTION("""COMPUTED_VALUE"""),63.0)</f>
        <v>63</v>
      </c>
      <c r="F4544" s="19" t="str">
        <f>IFERROR(__xludf.DUMMYFUNCTION("""COMPUTED_VALUE"""),"BLUE")</f>
        <v>BLUE</v>
      </c>
      <c r="G4544" s="20" t="str">
        <f>IFERROR(__xludf.DUMMYFUNCTION("""COMPUTED_VALUE"""),"Uncle Sams Cider (11/12/2021) (Blue)")</f>
        <v>Uncle Sams Cider (11/12/2021) (Blue)</v>
      </c>
      <c r="H4544" s="19"/>
    </row>
    <row r="4545">
      <c r="A4545" s="9"/>
      <c r="B4545" s="15"/>
      <c r="C4545" s="9">
        <f>IFERROR(__xludf.DUMMYFUNCTION("""COMPUTED_VALUE"""),44557.8536517361)</f>
        <v>44557.85365</v>
      </c>
      <c r="D4545" s="15">
        <f>IFERROR(__xludf.DUMMYFUNCTION("""COMPUTED_VALUE"""),1.009)</f>
        <v>1.009</v>
      </c>
      <c r="E4545" s="16">
        <f>IFERROR(__xludf.DUMMYFUNCTION("""COMPUTED_VALUE"""),63.0)</f>
        <v>63</v>
      </c>
      <c r="F4545" s="19" t="str">
        <f>IFERROR(__xludf.DUMMYFUNCTION("""COMPUTED_VALUE"""),"BLUE")</f>
        <v>BLUE</v>
      </c>
      <c r="G4545" s="20" t="str">
        <f>IFERROR(__xludf.DUMMYFUNCTION("""COMPUTED_VALUE"""),"Uncle Sams Cider (11/12/2021) (Blue)")</f>
        <v>Uncle Sams Cider (11/12/2021) (Blue)</v>
      </c>
      <c r="H4545" s="19"/>
    </row>
    <row r="4546">
      <c r="A4546" s="9"/>
      <c r="B4546" s="15"/>
      <c r="C4546" s="9">
        <f>IFERROR(__xludf.DUMMYFUNCTION("""COMPUTED_VALUE"""),44557.8432306713)</f>
        <v>44557.84323</v>
      </c>
      <c r="D4546" s="15">
        <f>IFERROR(__xludf.DUMMYFUNCTION("""COMPUTED_VALUE"""),1.009)</f>
        <v>1.009</v>
      </c>
      <c r="E4546" s="16">
        <f>IFERROR(__xludf.DUMMYFUNCTION("""COMPUTED_VALUE"""),63.0)</f>
        <v>63</v>
      </c>
      <c r="F4546" s="19" t="str">
        <f>IFERROR(__xludf.DUMMYFUNCTION("""COMPUTED_VALUE"""),"BLUE")</f>
        <v>BLUE</v>
      </c>
      <c r="G4546" s="20" t="str">
        <f>IFERROR(__xludf.DUMMYFUNCTION("""COMPUTED_VALUE"""),"Uncle Sams Cider (11/12/2021) (Blue)")</f>
        <v>Uncle Sams Cider (11/12/2021) (Blue)</v>
      </c>
      <c r="H4546" s="19"/>
    </row>
    <row r="4547">
      <c r="A4547" s="9"/>
      <c r="B4547" s="15"/>
      <c r="C4547" s="9">
        <f>IFERROR(__xludf.DUMMYFUNCTION("""COMPUTED_VALUE"""),44557.8328093749)</f>
        <v>44557.83281</v>
      </c>
      <c r="D4547" s="15">
        <f>IFERROR(__xludf.DUMMYFUNCTION("""COMPUTED_VALUE"""),1.009)</f>
        <v>1.009</v>
      </c>
      <c r="E4547" s="16">
        <f>IFERROR(__xludf.DUMMYFUNCTION("""COMPUTED_VALUE"""),63.0)</f>
        <v>63</v>
      </c>
      <c r="F4547" s="19" t="str">
        <f>IFERROR(__xludf.DUMMYFUNCTION("""COMPUTED_VALUE"""),"BLUE")</f>
        <v>BLUE</v>
      </c>
      <c r="G4547" s="20" t="str">
        <f>IFERROR(__xludf.DUMMYFUNCTION("""COMPUTED_VALUE"""),"Uncle Sams Cider (11/12/2021) (Blue)")</f>
        <v>Uncle Sams Cider (11/12/2021) (Blue)</v>
      </c>
      <c r="H4547" s="19"/>
    </row>
    <row r="4548">
      <c r="A4548" s="9"/>
      <c r="B4548" s="15"/>
      <c r="C4548" s="9">
        <f>IFERROR(__xludf.DUMMYFUNCTION("""COMPUTED_VALUE"""),44557.8223893055)</f>
        <v>44557.82239</v>
      </c>
      <c r="D4548" s="15">
        <f>IFERROR(__xludf.DUMMYFUNCTION("""COMPUTED_VALUE"""),1.009)</f>
        <v>1.009</v>
      </c>
      <c r="E4548" s="16">
        <f>IFERROR(__xludf.DUMMYFUNCTION("""COMPUTED_VALUE"""),63.0)</f>
        <v>63</v>
      </c>
      <c r="F4548" s="19" t="str">
        <f>IFERROR(__xludf.DUMMYFUNCTION("""COMPUTED_VALUE"""),"BLUE")</f>
        <v>BLUE</v>
      </c>
      <c r="G4548" s="20" t="str">
        <f>IFERROR(__xludf.DUMMYFUNCTION("""COMPUTED_VALUE"""),"Uncle Sams Cider (11/12/2021) (Blue)")</f>
        <v>Uncle Sams Cider (11/12/2021) (Blue)</v>
      </c>
      <c r="H4548" s="19"/>
    </row>
    <row r="4549">
      <c r="A4549" s="9"/>
      <c r="B4549" s="15"/>
      <c r="C4549" s="9">
        <f>IFERROR(__xludf.DUMMYFUNCTION("""COMPUTED_VALUE"""),44557.8119679166)</f>
        <v>44557.81197</v>
      </c>
      <c r="D4549" s="15">
        <f>IFERROR(__xludf.DUMMYFUNCTION("""COMPUTED_VALUE"""),1.009)</f>
        <v>1.009</v>
      </c>
      <c r="E4549" s="16">
        <f>IFERROR(__xludf.DUMMYFUNCTION("""COMPUTED_VALUE"""),63.0)</f>
        <v>63</v>
      </c>
      <c r="F4549" s="19" t="str">
        <f>IFERROR(__xludf.DUMMYFUNCTION("""COMPUTED_VALUE"""),"BLUE")</f>
        <v>BLUE</v>
      </c>
      <c r="G4549" s="20" t="str">
        <f>IFERROR(__xludf.DUMMYFUNCTION("""COMPUTED_VALUE"""),"Uncle Sams Cider (11/12/2021) (Blue)")</f>
        <v>Uncle Sams Cider (11/12/2021) (Blue)</v>
      </c>
      <c r="H4549" s="19"/>
    </row>
    <row r="4550">
      <c r="A4550" s="9"/>
      <c r="B4550" s="15"/>
      <c r="C4550" s="9">
        <f>IFERROR(__xludf.DUMMYFUNCTION("""COMPUTED_VALUE"""),44557.8015463425)</f>
        <v>44557.80155</v>
      </c>
      <c r="D4550" s="15">
        <f>IFERROR(__xludf.DUMMYFUNCTION("""COMPUTED_VALUE"""),1.009)</f>
        <v>1.009</v>
      </c>
      <c r="E4550" s="16">
        <f>IFERROR(__xludf.DUMMYFUNCTION("""COMPUTED_VALUE"""),63.0)</f>
        <v>63</v>
      </c>
      <c r="F4550" s="19" t="str">
        <f>IFERROR(__xludf.DUMMYFUNCTION("""COMPUTED_VALUE"""),"BLUE")</f>
        <v>BLUE</v>
      </c>
      <c r="G4550" s="20" t="str">
        <f>IFERROR(__xludf.DUMMYFUNCTION("""COMPUTED_VALUE"""),"Uncle Sams Cider (11/12/2021) (Blue)")</f>
        <v>Uncle Sams Cider (11/12/2021) (Blue)</v>
      </c>
      <c r="H4550" s="19"/>
    </row>
    <row r="4551">
      <c r="A4551" s="9"/>
      <c r="B4551" s="15"/>
      <c r="C4551" s="9">
        <f>IFERROR(__xludf.DUMMYFUNCTION("""COMPUTED_VALUE"""),44557.7911228124)</f>
        <v>44557.79112</v>
      </c>
      <c r="D4551" s="15">
        <f>IFERROR(__xludf.DUMMYFUNCTION("""COMPUTED_VALUE"""),1.009)</f>
        <v>1.009</v>
      </c>
      <c r="E4551" s="16">
        <f>IFERROR(__xludf.DUMMYFUNCTION("""COMPUTED_VALUE"""),63.0)</f>
        <v>63</v>
      </c>
      <c r="F4551" s="19" t="str">
        <f>IFERROR(__xludf.DUMMYFUNCTION("""COMPUTED_VALUE"""),"BLUE")</f>
        <v>BLUE</v>
      </c>
      <c r="G4551" s="20" t="str">
        <f>IFERROR(__xludf.DUMMYFUNCTION("""COMPUTED_VALUE"""),"Uncle Sams Cider (11/12/2021) (Blue)")</f>
        <v>Uncle Sams Cider (11/12/2021) (Blue)</v>
      </c>
      <c r="H4551" s="19"/>
    </row>
    <row r="4552">
      <c r="A4552" s="9"/>
      <c r="B4552" s="15"/>
      <c r="C4552" s="9">
        <f>IFERROR(__xludf.DUMMYFUNCTION("""COMPUTED_VALUE"""),44557.7807003472)</f>
        <v>44557.7807</v>
      </c>
      <c r="D4552" s="15">
        <f>IFERROR(__xludf.DUMMYFUNCTION("""COMPUTED_VALUE"""),1.009)</f>
        <v>1.009</v>
      </c>
      <c r="E4552" s="16">
        <f>IFERROR(__xludf.DUMMYFUNCTION("""COMPUTED_VALUE"""),63.0)</f>
        <v>63</v>
      </c>
      <c r="F4552" s="19" t="str">
        <f>IFERROR(__xludf.DUMMYFUNCTION("""COMPUTED_VALUE"""),"BLUE")</f>
        <v>BLUE</v>
      </c>
      <c r="G4552" s="20" t="str">
        <f>IFERROR(__xludf.DUMMYFUNCTION("""COMPUTED_VALUE"""),"Uncle Sams Cider (11/12/2021) (Blue)")</f>
        <v>Uncle Sams Cider (11/12/2021) (Blue)</v>
      </c>
      <c r="H4552" s="19"/>
    </row>
    <row r="4553">
      <c r="A4553" s="9"/>
      <c r="B4553" s="15"/>
      <c r="C4553" s="9">
        <f>IFERROR(__xludf.DUMMYFUNCTION("""COMPUTED_VALUE"""),44557.7702789236)</f>
        <v>44557.77028</v>
      </c>
      <c r="D4553" s="15">
        <f>IFERROR(__xludf.DUMMYFUNCTION("""COMPUTED_VALUE"""),1.009)</f>
        <v>1.009</v>
      </c>
      <c r="E4553" s="16">
        <f>IFERROR(__xludf.DUMMYFUNCTION("""COMPUTED_VALUE"""),63.0)</f>
        <v>63</v>
      </c>
      <c r="F4553" s="19" t="str">
        <f>IFERROR(__xludf.DUMMYFUNCTION("""COMPUTED_VALUE"""),"BLUE")</f>
        <v>BLUE</v>
      </c>
      <c r="G4553" s="20" t="str">
        <f>IFERROR(__xludf.DUMMYFUNCTION("""COMPUTED_VALUE"""),"Uncle Sams Cider (11/12/2021) (Blue)")</f>
        <v>Uncle Sams Cider (11/12/2021) (Blue)</v>
      </c>
      <c r="H4553" s="19"/>
    </row>
    <row r="4554">
      <c r="A4554" s="9"/>
      <c r="B4554" s="15"/>
      <c r="C4554" s="9">
        <f>IFERROR(__xludf.DUMMYFUNCTION("""COMPUTED_VALUE"""),44557.7598579513)</f>
        <v>44557.75986</v>
      </c>
      <c r="D4554" s="15">
        <f>IFERROR(__xludf.DUMMYFUNCTION("""COMPUTED_VALUE"""),1.009)</f>
        <v>1.009</v>
      </c>
      <c r="E4554" s="16">
        <f>IFERROR(__xludf.DUMMYFUNCTION("""COMPUTED_VALUE"""),63.0)</f>
        <v>63</v>
      </c>
      <c r="F4554" s="19" t="str">
        <f>IFERROR(__xludf.DUMMYFUNCTION("""COMPUTED_VALUE"""),"BLUE")</f>
        <v>BLUE</v>
      </c>
      <c r="G4554" s="20" t="str">
        <f>IFERROR(__xludf.DUMMYFUNCTION("""COMPUTED_VALUE"""),"Uncle Sams Cider (11/12/2021) (Blue)")</f>
        <v>Uncle Sams Cider (11/12/2021) (Blue)</v>
      </c>
      <c r="H4554" s="19"/>
    </row>
    <row r="4555">
      <c r="A4555" s="9"/>
      <c r="B4555" s="15"/>
      <c r="C4555" s="9">
        <f>IFERROR(__xludf.DUMMYFUNCTION("""COMPUTED_VALUE"""),44557.749437118)</f>
        <v>44557.74944</v>
      </c>
      <c r="D4555" s="15">
        <f>IFERROR(__xludf.DUMMYFUNCTION("""COMPUTED_VALUE"""),1.009)</f>
        <v>1.009</v>
      </c>
      <c r="E4555" s="16">
        <f>IFERROR(__xludf.DUMMYFUNCTION("""COMPUTED_VALUE"""),63.0)</f>
        <v>63</v>
      </c>
      <c r="F4555" s="19" t="str">
        <f>IFERROR(__xludf.DUMMYFUNCTION("""COMPUTED_VALUE"""),"BLUE")</f>
        <v>BLUE</v>
      </c>
      <c r="G4555" s="20" t="str">
        <f>IFERROR(__xludf.DUMMYFUNCTION("""COMPUTED_VALUE"""),"Uncle Sams Cider (11/12/2021) (Blue)")</f>
        <v>Uncle Sams Cider (11/12/2021) (Blue)</v>
      </c>
      <c r="H4555" s="19"/>
    </row>
    <row r="4556">
      <c r="A4556" s="9"/>
      <c r="B4556" s="15"/>
      <c r="C4556" s="9">
        <f>IFERROR(__xludf.DUMMYFUNCTION("""COMPUTED_VALUE"""),44557.7390168981)</f>
        <v>44557.73902</v>
      </c>
      <c r="D4556" s="15">
        <f>IFERROR(__xludf.DUMMYFUNCTION("""COMPUTED_VALUE"""),1.009)</f>
        <v>1.009</v>
      </c>
      <c r="E4556" s="16">
        <f>IFERROR(__xludf.DUMMYFUNCTION("""COMPUTED_VALUE"""),63.0)</f>
        <v>63</v>
      </c>
      <c r="F4556" s="19" t="str">
        <f>IFERROR(__xludf.DUMMYFUNCTION("""COMPUTED_VALUE"""),"BLUE")</f>
        <v>BLUE</v>
      </c>
      <c r="G4556" s="20" t="str">
        <f>IFERROR(__xludf.DUMMYFUNCTION("""COMPUTED_VALUE"""),"Uncle Sams Cider (11/12/2021) (Blue)")</f>
        <v>Uncle Sams Cider (11/12/2021) (Blue)</v>
      </c>
      <c r="H4556" s="19"/>
    </row>
    <row r="4557">
      <c r="A4557" s="9"/>
      <c r="B4557" s="15"/>
      <c r="C4557" s="9">
        <f>IFERROR(__xludf.DUMMYFUNCTION("""COMPUTED_VALUE"""),44557.7285966319)</f>
        <v>44557.7286</v>
      </c>
      <c r="D4557" s="15">
        <f>IFERROR(__xludf.DUMMYFUNCTION("""COMPUTED_VALUE"""),1.009)</f>
        <v>1.009</v>
      </c>
      <c r="E4557" s="16">
        <f>IFERROR(__xludf.DUMMYFUNCTION("""COMPUTED_VALUE"""),63.0)</f>
        <v>63</v>
      </c>
      <c r="F4557" s="19" t="str">
        <f>IFERROR(__xludf.DUMMYFUNCTION("""COMPUTED_VALUE"""),"BLUE")</f>
        <v>BLUE</v>
      </c>
      <c r="G4557" s="20" t="str">
        <f>IFERROR(__xludf.DUMMYFUNCTION("""COMPUTED_VALUE"""),"Uncle Sams Cider (11/12/2021) (Blue)")</f>
        <v>Uncle Sams Cider (11/12/2021) (Blue)</v>
      </c>
      <c r="H4557" s="19"/>
    </row>
    <row r="4558">
      <c r="A4558" s="9"/>
      <c r="B4558" s="15"/>
      <c r="C4558" s="9">
        <f>IFERROR(__xludf.DUMMYFUNCTION("""COMPUTED_VALUE"""),44557.7181770949)</f>
        <v>44557.71818</v>
      </c>
      <c r="D4558" s="15">
        <f>IFERROR(__xludf.DUMMYFUNCTION("""COMPUTED_VALUE"""),1.009)</f>
        <v>1.009</v>
      </c>
      <c r="E4558" s="16">
        <f>IFERROR(__xludf.DUMMYFUNCTION("""COMPUTED_VALUE"""),63.0)</f>
        <v>63</v>
      </c>
      <c r="F4558" s="19" t="str">
        <f>IFERROR(__xludf.DUMMYFUNCTION("""COMPUTED_VALUE"""),"BLUE")</f>
        <v>BLUE</v>
      </c>
      <c r="G4558" s="20" t="str">
        <f>IFERROR(__xludf.DUMMYFUNCTION("""COMPUTED_VALUE"""),"Uncle Sams Cider (11/12/2021) (Blue)")</f>
        <v>Uncle Sams Cider (11/12/2021) (Blue)</v>
      </c>
      <c r="H4558" s="19"/>
    </row>
    <row r="4559">
      <c r="A4559" s="9"/>
      <c r="B4559" s="15"/>
      <c r="C4559" s="9">
        <f>IFERROR(__xludf.DUMMYFUNCTION("""COMPUTED_VALUE"""),44557.7077560648)</f>
        <v>44557.70776</v>
      </c>
      <c r="D4559" s="15">
        <f>IFERROR(__xludf.DUMMYFUNCTION("""COMPUTED_VALUE"""),1.008)</f>
        <v>1.008</v>
      </c>
      <c r="E4559" s="16">
        <f>IFERROR(__xludf.DUMMYFUNCTION("""COMPUTED_VALUE"""),63.0)</f>
        <v>63</v>
      </c>
      <c r="F4559" s="19" t="str">
        <f>IFERROR(__xludf.DUMMYFUNCTION("""COMPUTED_VALUE"""),"BLUE")</f>
        <v>BLUE</v>
      </c>
      <c r="G4559" s="20" t="str">
        <f>IFERROR(__xludf.DUMMYFUNCTION("""COMPUTED_VALUE"""),"Uncle Sams Cider (11/12/2021) (Blue)")</f>
        <v>Uncle Sams Cider (11/12/2021) (Blue)</v>
      </c>
      <c r="H4559" s="19"/>
    </row>
    <row r="4560">
      <c r="A4560" s="9"/>
      <c r="B4560" s="15"/>
      <c r="C4560" s="9">
        <f>IFERROR(__xludf.DUMMYFUNCTION("""COMPUTED_VALUE"""),44557.6973352893)</f>
        <v>44557.69734</v>
      </c>
      <c r="D4560" s="15">
        <f>IFERROR(__xludf.DUMMYFUNCTION("""COMPUTED_VALUE"""),1.009)</f>
        <v>1.009</v>
      </c>
      <c r="E4560" s="16">
        <f>IFERROR(__xludf.DUMMYFUNCTION("""COMPUTED_VALUE"""),63.0)</f>
        <v>63</v>
      </c>
      <c r="F4560" s="19" t="str">
        <f>IFERROR(__xludf.DUMMYFUNCTION("""COMPUTED_VALUE"""),"BLUE")</f>
        <v>BLUE</v>
      </c>
      <c r="G4560" s="20" t="str">
        <f>IFERROR(__xludf.DUMMYFUNCTION("""COMPUTED_VALUE"""),"Uncle Sams Cider (11/12/2021) (Blue)")</f>
        <v>Uncle Sams Cider (11/12/2021) (Blue)</v>
      </c>
      <c r="H4560" s="19"/>
    </row>
    <row r="4561">
      <c r="A4561" s="9"/>
      <c r="B4561" s="15"/>
      <c r="C4561" s="9">
        <f>IFERROR(__xludf.DUMMYFUNCTION("""COMPUTED_VALUE"""),44557.686914699)</f>
        <v>44557.68691</v>
      </c>
      <c r="D4561" s="15">
        <f>IFERROR(__xludf.DUMMYFUNCTION("""COMPUTED_VALUE"""),1.009)</f>
        <v>1.009</v>
      </c>
      <c r="E4561" s="16">
        <f>IFERROR(__xludf.DUMMYFUNCTION("""COMPUTED_VALUE"""),63.0)</f>
        <v>63</v>
      </c>
      <c r="F4561" s="19" t="str">
        <f>IFERROR(__xludf.DUMMYFUNCTION("""COMPUTED_VALUE"""),"BLUE")</f>
        <v>BLUE</v>
      </c>
      <c r="G4561" s="20" t="str">
        <f>IFERROR(__xludf.DUMMYFUNCTION("""COMPUTED_VALUE"""),"Uncle Sams Cider (11/12/2021) (Blue)")</f>
        <v>Uncle Sams Cider (11/12/2021) (Blue)</v>
      </c>
      <c r="H4561" s="19"/>
    </row>
    <row r="4562">
      <c r="A4562" s="9"/>
      <c r="B4562" s="15"/>
      <c r="C4562" s="9">
        <f>IFERROR(__xludf.DUMMYFUNCTION("""COMPUTED_VALUE"""),44557.676493449)</f>
        <v>44557.67649</v>
      </c>
      <c r="D4562" s="15">
        <f>IFERROR(__xludf.DUMMYFUNCTION("""COMPUTED_VALUE"""),1.009)</f>
        <v>1.009</v>
      </c>
      <c r="E4562" s="16">
        <f>IFERROR(__xludf.DUMMYFUNCTION("""COMPUTED_VALUE"""),63.0)</f>
        <v>63</v>
      </c>
      <c r="F4562" s="19" t="str">
        <f>IFERROR(__xludf.DUMMYFUNCTION("""COMPUTED_VALUE"""),"BLUE")</f>
        <v>BLUE</v>
      </c>
      <c r="G4562" s="20" t="str">
        <f>IFERROR(__xludf.DUMMYFUNCTION("""COMPUTED_VALUE"""),"Uncle Sams Cider (11/12/2021) (Blue)")</f>
        <v>Uncle Sams Cider (11/12/2021) (Blue)</v>
      </c>
      <c r="H4562" s="19"/>
    </row>
    <row r="4563">
      <c r="A4563" s="9"/>
      <c r="B4563" s="15"/>
      <c r="C4563" s="9">
        <f>IFERROR(__xludf.DUMMYFUNCTION("""COMPUTED_VALUE"""),44557.6660713657)</f>
        <v>44557.66607</v>
      </c>
      <c r="D4563" s="15">
        <f>IFERROR(__xludf.DUMMYFUNCTION("""COMPUTED_VALUE"""),1.009)</f>
        <v>1.009</v>
      </c>
      <c r="E4563" s="16">
        <f>IFERROR(__xludf.DUMMYFUNCTION("""COMPUTED_VALUE"""),63.0)</f>
        <v>63</v>
      </c>
      <c r="F4563" s="19" t="str">
        <f>IFERROR(__xludf.DUMMYFUNCTION("""COMPUTED_VALUE"""),"BLUE")</f>
        <v>BLUE</v>
      </c>
      <c r="G4563" s="20" t="str">
        <f>IFERROR(__xludf.DUMMYFUNCTION("""COMPUTED_VALUE"""),"Uncle Sams Cider (11/12/2021) (Blue)")</f>
        <v>Uncle Sams Cider (11/12/2021) (Blue)</v>
      </c>
      <c r="H4563" s="19"/>
    </row>
    <row r="4564">
      <c r="A4564" s="9"/>
      <c r="B4564" s="15"/>
      <c r="C4564" s="9">
        <f>IFERROR(__xludf.DUMMYFUNCTION("""COMPUTED_VALUE"""),44557.6556504861)</f>
        <v>44557.65565</v>
      </c>
      <c r="D4564" s="15">
        <f>IFERROR(__xludf.DUMMYFUNCTION("""COMPUTED_VALUE"""),1.009)</f>
        <v>1.009</v>
      </c>
      <c r="E4564" s="16">
        <f>IFERROR(__xludf.DUMMYFUNCTION("""COMPUTED_VALUE"""),63.0)</f>
        <v>63</v>
      </c>
      <c r="F4564" s="19" t="str">
        <f>IFERROR(__xludf.DUMMYFUNCTION("""COMPUTED_VALUE"""),"BLUE")</f>
        <v>BLUE</v>
      </c>
      <c r="G4564" s="20" t="str">
        <f>IFERROR(__xludf.DUMMYFUNCTION("""COMPUTED_VALUE"""),"Uncle Sams Cider (11/12/2021) (Blue)")</f>
        <v>Uncle Sams Cider (11/12/2021) (Blue)</v>
      </c>
      <c r="H4564" s="19"/>
    </row>
    <row r="4565">
      <c r="A4565" s="9"/>
      <c r="B4565" s="15"/>
      <c r="C4565" s="9">
        <f>IFERROR(__xludf.DUMMYFUNCTION("""COMPUTED_VALUE"""),44557.6452283796)</f>
        <v>44557.64523</v>
      </c>
      <c r="D4565" s="15">
        <f>IFERROR(__xludf.DUMMYFUNCTION("""COMPUTED_VALUE"""),1.009)</f>
        <v>1.009</v>
      </c>
      <c r="E4565" s="16">
        <f>IFERROR(__xludf.DUMMYFUNCTION("""COMPUTED_VALUE"""),63.0)</f>
        <v>63</v>
      </c>
      <c r="F4565" s="19" t="str">
        <f>IFERROR(__xludf.DUMMYFUNCTION("""COMPUTED_VALUE"""),"BLUE")</f>
        <v>BLUE</v>
      </c>
      <c r="G4565" s="20" t="str">
        <f>IFERROR(__xludf.DUMMYFUNCTION("""COMPUTED_VALUE"""),"Uncle Sams Cider (11/12/2021) (Blue)")</f>
        <v>Uncle Sams Cider (11/12/2021) (Blue)</v>
      </c>
      <c r="H4565" s="19"/>
    </row>
    <row r="4566">
      <c r="A4566" s="9"/>
      <c r="B4566" s="15"/>
      <c r="C4566" s="9">
        <f>IFERROR(__xludf.DUMMYFUNCTION("""COMPUTED_VALUE"""),44557.6348083564)</f>
        <v>44557.63481</v>
      </c>
      <c r="D4566" s="15">
        <f>IFERROR(__xludf.DUMMYFUNCTION("""COMPUTED_VALUE"""),1.009)</f>
        <v>1.009</v>
      </c>
      <c r="E4566" s="16">
        <f>IFERROR(__xludf.DUMMYFUNCTION("""COMPUTED_VALUE"""),63.0)</f>
        <v>63</v>
      </c>
      <c r="F4566" s="19" t="str">
        <f>IFERROR(__xludf.DUMMYFUNCTION("""COMPUTED_VALUE"""),"BLUE")</f>
        <v>BLUE</v>
      </c>
      <c r="G4566" s="20" t="str">
        <f>IFERROR(__xludf.DUMMYFUNCTION("""COMPUTED_VALUE"""),"Uncle Sams Cider (11/12/2021) (Blue)")</f>
        <v>Uncle Sams Cider (11/12/2021) (Blue)</v>
      </c>
      <c r="H4566" s="19"/>
    </row>
    <row r="4567">
      <c r="A4567" s="9"/>
      <c r="B4567" s="15"/>
      <c r="C4567" s="9">
        <f>IFERROR(__xludf.DUMMYFUNCTION("""COMPUTED_VALUE"""),44557.6243860301)</f>
        <v>44557.62439</v>
      </c>
      <c r="D4567" s="15">
        <f>IFERROR(__xludf.DUMMYFUNCTION("""COMPUTED_VALUE"""),1.009)</f>
        <v>1.009</v>
      </c>
      <c r="E4567" s="16">
        <f>IFERROR(__xludf.DUMMYFUNCTION("""COMPUTED_VALUE"""),63.0)</f>
        <v>63</v>
      </c>
      <c r="F4567" s="19" t="str">
        <f>IFERROR(__xludf.DUMMYFUNCTION("""COMPUTED_VALUE"""),"BLUE")</f>
        <v>BLUE</v>
      </c>
      <c r="G4567" s="20" t="str">
        <f>IFERROR(__xludf.DUMMYFUNCTION("""COMPUTED_VALUE"""),"Uncle Sams Cider (11/12/2021) (Blue)")</f>
        <v>Uncle Sams Cider (11/12/2021) (Blue)</v>
      </c>
      <c r="H4567" s="19"/>
    </row>
    <row r="4568">
      <c r="A4568" s="9"/>
      <c r="B4568" s="15"/>
      <c r="C4568" s="9">
        <f>IFERROR(__xludf.DUMMYFUNCTION("""COMPUTED_VALUE"""),44557.6139659722)</f>
        <v>44557.61397</v>
      </c>
      <c r="D4568" s="15">
        <f>IFERROR(__xludf.DUMMYFUNCTION("""COMPUTED_VALUE"""),1.009)</f>
        <v>1.009</v>
      </c>
      <c r="E4568" s="16">
        <f>IFERROR(__xludf.DUMMYFUNCTION("""COMPUTED_VALUE"""),63.0)</f>
        <v>63</v>
      </c>
      <c r="F4568" s="19" t="str">
        <f>IFERROR(__xludf.DUMMYFUNCTION("""COMPUTED_VALUE"""),"BLUE")</f>
        <v>BLUE</v>
      </c>
      <c r="G4568" s="20" t="str">
        <f>IFERROR(__xludf.DUMMYFUNCTION("""COMPUTED_VALUE"""),"Uncle Sams Cider (11/12/2021) (Blue)")</f>
        <v>Uncle Sams Cider (11/12/2021) (Blue)</v>
      </c>
      <c r="H4568" s="19"/>
    </row>
    <row r="4569">
      <c r="A4569" s="9"/>
      <c r="B4569" s="15"/>
      <c r="C4569" s="9">
        <f>IFERROR(__xludf.DUMMYFUNCTION("""COMPUTED_VALUE"""),44557.6035332754)</f>
        <v>44557.60353</v>
      </c>
      <c r="D4569" s="15">
        <f>IFERROR(__xludf.DUMMYFUNCTION("""COMPUTED_VALUE"""),1.009)</f>
        <v>1.009</v>
      </c>
      <c r="E4569" s="16">
        <f>IFERROR(__xludf.DUMMYFUNCTION("""COMPUTED_VALUE"""),63.0)</f>
        <v>63</v>
      </c>
      <c r="F4569" s="19" t="str">
        <f>IFERROR(__xludf.DUMMYFUNCTION("""COMPUTED_VALUE"""),"BLUE")</f>
        <v>BLUE</v>
      </c>
      <c r="G4569" s="20" t="str">
        <f>IFERROR(__xludf.DUMMYFUNCTION("""COMPUTED_VALUE"""),"Uncle Sams Cider (11/12/2021) (Blue)")</f>
        <v>Uncle Sams Cider (11/12/2021) (Blue)</v>
      </c>
      <c r="H4569" s="19"/>
    </row>
    <row r="4570">
      <c r="A4570" s="9"/>
      <c r="B4570" s="15"/>
      <c r="C4570" s="9">
        <f>IFERROR(__xludf.DUMMYFUNCTION("""COMPUTED_VALUE"""),44557.5931118981)</f>
        <v>44557.59311</v>
      </c>
      <c r="D4570" s="15">
        <f>IFERROR(__xludf.DUMMYFUNCTION("""COMPUTED_VALUE"""),1.009)</f>
        <v>1.009</v>
      </c>
      <c r="E4570" s="16">
        <f>IFERROR(__xludf.DUMMYFUNCTION("""COMPUTED_VALUE"""),63.0)</f>
        <v>63</v>
      </c>
      <c r="F4570" s="19" t="str">
        <f>IFERROR(__xludf.DUMMYFUNCTION("""COMPUTED_VALUE"""),"BLUE")</f>
        <v>BLUE</v>
      </c>
      <c r="G4570" s="20" t="str">
        <f>IFERROR(__xludf.DUMMYFUNCTION("""COMPUTED_VALUE"""),"Uncle Sams Cider (11/12/2021) (Blue)")</f>
        <v>Uncle Sams Cider (11/12/2021) (Blue)</v>
      </c>
      <c r="H4570" s="19"/>
    </row>
    <row r="4571">
      <c r="A4571" s="9"/>
      <c r="B4571" s="15"/>
      <c r="C4571" s="9">
        <f>IFERROR(__xludf.DUMMYFUNCTION("""COMPUTED_VALUE"""),44557.582666412)</f>
        <v>44557.58267</v>
      </c>
      <c r="D4571" s="15">
        <f>IFERROR(__xludf.DUMMYFUNCTION("""COMPUTED_VALUE"""),1.009)</f>
        <v>1.009</v>
      </c>
      <c r="E4571" s="16">
        <f>IFERROR(__xludf.DUMMYFUNCTION("""COMPUTED_VALUE"""),63.0)</f>
        <v>63</v>
      </c>
      <c r="F4571" s="19" t="str">
        <f>IFERROR(__xludf.DUMMYFUNCTION("""COMPUTED_VALUE"""),"BLUE")</f>
        <v>BLUE</v>
      </c>
      <c r="G4571" s="20" t="str">
        <f>IFERROR(__xludf.DUMMYFUNCTION("""COMPUTED_VALUE"""),"Uncle Sams Cider (11/12/2021) (Blue)")</f>
        <v>Uncle Sams Cider (11/12/2021) (Blue)</v>
      </c>
      <c r="H4571" s="19"/>
    </row>
    <row r="4572">
      <c r="A4572" s="9"/>
      <c r="B4572" s="15"/>
      <c r="C4572" s="9">
        <f>IFERROR(__xludf.DUMMYFUNCTION("""COMPUTED_VALUE"""),44557.5722443055)</f>
        <v>44557.57224</v>
      </c>
      <c r="D4572" s="15">
        <f>IFERROR(__xludf.DUMMYFUNCTION("""COMPUTED_VALUE"""),1.009)</f>
        <v>1.009</v>
      </c>
      <c r="E4572" s="16">
        <f>IFERROR(__xludf.DUMMYFUNCTION("""COMPUTED_VALUE"""),63.0)</f>
        <v>63</v>
      </c>
      <c r="F4572" s="19" t="str">
        <f>IFERROR(__xludf.DUMMYFUNCTION("""COMPUTED_VALUE"""),"BLUE")</f>
        <v>BLUE</v>
      </c>
      <c r="G4572" s="20" t="str">
        <f>IFERROR(__xludf.DUMMYFUNCTION("""COMPUTED_VALUE"""),"Uncle Sams Cider (11/12/2021) (Blue)")</f>
        <v>Uncle Sams Cider (11/12/2021) (Blue)</v>
      </c>
      <c r="H4572" s="19"/>
    </row>
    <row r="4573">
      <c r="A4573" s="9"/>
      <c r="B4573" s="15"/>
      <c r="C4573" s="9">
        <f>IFERROR(__xludf.DUMMYFUNCTION("""COMPUTED_VALUE"""),44557.5618007291)</f>
        <v>44557.5618</v>
      </c>
      <c r="D4573" s="15">
        <f>IFERROR(__xludf.DUMMYFUNCTION("""COMPUTED_VALUE"""),1.009)</f>
        <v>1.009</v>
      </c>
      <c r="E4573" s="16">
        <f>IFERROR(__xludf.DUMMYFUNCTION("""COMPUTED_VALUE"""),63.0)</f>
        <v>63</v>
      </c>
      <c r="F4573" s="19" t="str">
        <f>IFERROR(__xludf.DUMMYFUNCTION("""COMPUTED_VALUE"""),"BLUE")</f>
        <v>BLUE</v>
      </c>
      <c r="G4573" s="20" t="str">
        <f>IFERROR(__xludf.DUMMYFUNCTION("""COMPUTED_VALUE"""),"Uncle Sams Cider (11/12/2021) (Blue)")</f>
        <v>Uncle Sams Cider (11/12/2021) (Blue)</v>
      </c>
      <c r="H4573" s="19"/>
    </row>
    <row r="4574">
      <c r="A4574" s="9"/>
      <c r="B4574" s="15"/>
      <c r="C4574" s="9">
        <f>IFERROR(__xludf.DUMMYFUNCTION("""COMPUTED_VALUE"""),44557.5513700463)</f>
        <v>44557.55137</v>
      </c>
      <c r="D4574" s="15">
        <f>IFERROR(__xludf.DUMMYFUNCTION("""COMPUTED_VALUE"""),1.009)</f>
        <v>1.009</v>
      </c>
      <c r="E4574" s="16">
        <f>IFERROR(__xludf.DUMMYFUNCTION("""COMPUTED_VALUE"""),63.0)</f>
        <v>63</v>
      </c>
      <c r="F4574" s="19" t="str">
        <f>IFERROR(__xludf.DUMMYFUNCTION("""COMPUTED_VALUE"""),"BLUE")</f>
        <v>BLUE</v>
      </c>
      <c r="G4574" s="20" t="str">
        <f>IFERROR(__xludf.DUMMYFUNCTION("""COMPUTED_VALUE"""),"Uncle Sams Cider (11/12/2021) (Blue)")</f>
        <v>Uncle Sams Cider (11/12/2021) (Blue)</v>
      </c>
      <c r="H4574" s="19"/>
    </row>
    <row r="4575">
      <c r="A4575" s="9"/>
      <c r="B4575" s="15"/>
      <c r="C4575" s="9">
        <f>IFERROR(__xludf.DUMMYFUNCTION("""COMPUTED_VALUE"""),44557.5409480208)</f>
        <v>44557.54095</v>
      </c>
      <c r="D4575" s="15">
        <f>IFERROR(__xludf.DUMMYFUNCTION("""COMPUTED_VALUE"""),1.009)</f>
        <v>1.009</v>
      </c>
      <c r="E4575" s="16">
        <f>IFERROR(__xludf.DUMMYFUNCTION("""COMPUTED_VALUE"""),63.0)</f>
        <v>63</v>
      </c>
      <c r="F4575" s="19" t="str">
        <f>IFERROR(__xludf.DUMMYFUNCTION("""COMPUTED_VALUE"""),"BLUE")</f>
        <v>BLUE</v>
      </c>
      <c r="G4575" s="20" t="str">
        <f>IFERROR(__xludf.DUMMYFUNCTION("""COMPUTED_VALUE"""),"Uncle Sams Cider (11/12/2021) (Blue)")</f>
        <v>Uncle Sams Cider (11/12/2021) (Blue)</v>
      </c>
      <c r="H4575" s="19"/>
    </row>
    <row r="4576">
      <c r="A4576" s="9"/>
      <c r="B4576" s="15"/>
      <c r="C4576" s="9">
        <f>IFERROR(__xludf.DUMMYFUNCTION("""COMPUTED_VALUE"""),44557.530528287)</f>
        <v>44557.53053</v>
      </c>
      <c r="D4576" s="15">
        <f>IFERROR(__xludf.DUMMYFUNCTION("""COMPUTED_VALUE"""),1.009)</f>
        <v>1.009</v>
      </c>
      <c r="E4576" s="16">
        <f>IFERROR(__xludf.DUMMYFUNCTION("""COMPUTED_VALUE"""),63.0)</f>
        <v>63</v>
      </c>
      <c r="F4576" s="19" t="str">
        <f>IFERROR(__xludf.DUMMYFUNCTION("""COMPUTED_VALUE"""),"BLUE")</f>
        <v>BLUE</v>
      </c>
      <c r="G4576" s="20" t="str">
        <f>IFERROR(__xludf.DUMMYFUNCTION("""COMPUTED_VALUE"""),"Uncle Sams Cider (11/12/2021) (Blue)")</f>
        <v>Uncle Sams Cider (11/12/2021) (Blue)</v>
      </c>
      <c r="H4576" s="19"/>
    </row>
    <row r="4577">
      <c r="A4577" s="9"/>
      <c r="B4577" s="15"/>
      <c r="C4577" s="9">
        <f>IFERROR(__xludf.DUMMYFUNCTION("""COMPUTED_VALUE"""),44557.5201093055)</f>
        <v>44557.52011</v>
      </c>
      <c r="D4577" s="15">
        <f>IFERROR(__xludf.DUMMYFUNCTION("""COMPUTED_VALUE"""),1.009)</f>
        <v>1.009</v>
      </c>
      <c r="E4577" s="16">
        <f>IFERROR(__xludf.DUMMYFUNCTION("""COMPUTED_VALUE"""),63.0)</f>
        <v>63</v>
      </c>
      <c r="F4577" s="19" t="str">
        <f>IFERROR(__xludf.DUMMYFUNCTION("""COMPUTED_VALUE"""),"BLUE")</f>
        <v>BLUE</v>
      </c>
      <c r="G4577" s="20" t="str">
        <f>IFERROR(__xludf.DUMMYFUNCTION("""COMPUTED_VALUE"""),"Uncle Sams Cider (11/12/2021) (Blue)")</f>
        <v>Uncle Sams Cider (11/12/2021) (Blue)</v>
      </c>
      <c r="H4577" s="19"/>
    </row>
    <row r="4578">
      <c r="A4578" s="9"/>
      <c r="B4578" s="15"/>
      <c r="C4578" s="9">
        <f>IFERROR(__xludf.DUMMYFUNCTION("""COMPUTED_VALUE"""),44557.5096886226)</f>
        <v>44557.50969</v>
      </c>
      <c r="D4578" s="15">
        <f>IFERROR(__xludf.DUMMYFUNCTION("""COMPUTED_VALUE"""),1.009)</f>
        <v>1.009</v>
      </c>
      <c r="E4578" s="16">
        <f>IFERROR(__xludf.DUMMYFUNCTION("""COMPUTED_VALUE"""),63.0)</f>
        <v>63</v>
      </c>
      <c r="F4578" s="19" t="str">
        <f>IFERROR(__xludf.DUMMYFUNCTION("""COMPUTED_VALUE"""),"BLUE")</f>
        <v>BLUE</v>
      </c>
      <c r="G4578" s="20" t="str">
        <f>IFERROR(__xludf.DUMMYFUNCTION("""COMPUTED_VALUE"""),"Uncle Sams Cider (11/12/2021) (Blue)")</f>
        <v>Uncle Sams Cider (11/12/2021) (Blue)</v>
      </c>
      <c r="H4578" s="19"/>
    </row>
    <row r="4579">
      <c r="A4579" s="9"/>
      <c r="B4579" s="15"/>
      <c r="C4579" s="9">
        <f>IFERROR(__xludf.DUMMYFUNCTION("""COMPUTED_VALUE"""),44557.4992692824)</f>
        <v>44557.49927</v>
      </c>
      <c r="D4579" s="15">
        <f>IFERROR(__xludf.DUMMYFUNCTION("""COMPUTED_VALUE"""),1.009)</f>
        <v>1.009</v>
      </c>
      <c r="E4579" s="16">
        <f>IFERROR(__xludf.DUMMYFUNCTION("""COMPUTED_VALUE"""),63.0)</f>
        <v>63</v>
      </c>
      <c r="F4579" s="19" t="str">
        <f>IFERROR(__xludf.DUMMYFUNCTION("""COMPUTED_VALUE"""),"BLUE")</f>
        <v>BLUE</v>
      </c>
      <c r="G4579" s="20" t="str">
        <f>IFERROR(__xludf.DUMMYFUNCTION("""COMPUTED_VALUE"""),"Uncle Sams Cider (11/12/2021) (Blue)")</f>
        <v>Uncle Sams Cider (11/12/2021) (Blue)</v>
      </c>
      <c r="H4579" s="19"/>
    </row>
    <row r="4580">
      <c r="A4580" s="9"/>
      <c r="B4580" s="15"/>
      <c r="C4580" s="9">
        <f>IFERROR(__xludf.DUMMYFUNCTION("""COMPUTED_VALUE"""),44557.4888481597)</f>
        <v>44557.48885</v>
      </c>
      <c r="D4580" s="15">
        <f>IFERROR(__xludf.DUMMYFUNCTION("""COMPUTED_VALUE"""),1.009)</f>
        <v>1.009</v>
      </c>
      <c r="E4580" s="16">
        <f>IFERROR(__xludf.DUMMYFUNCTION("""COMPUTED_VALUE"""),63.0)</f>
        <v>63</v>
      </c>
      <c r="F4580" s="19" t="str">
        <f>IFERROR(__xludf.DUMMYFUNCTION("""COMPUTED_VALUE"""),"BLUE")</f>
        <v>BLUE</v>
      </c>
      <c r="G4580" s="20" t="str">
        <f>IFERROR(__xludf.DUMMYFUNCTION("""COMPUTED_VALUE"""),"Uncle Sams Cider (11/12/2021) (Blue)")</f>
        <v>Uncle Sams Cider (11/12/2021) (Blue)</v>
      </c>
      <c r="H4580" s="19"/>
    </row>
    <row r="4581">
      <c r="A4581" s="9"/>
      <c r="B4581" s="15"/>
      <c r="C4581" s="9">
        <f>IFERROR(__xludf.DUMMYFUNCTION("""COMPUTED_VALUE"""),44557.478427743)</f>
        <v>44557.47843</v>
      </c>
      <c r="D4581" s="15">
        <f>IFERROR(__xludf.DUMMYFUNCTION("""COMPUTED_VALUE"""),1.009)</f>
        <v>1.009</v>
      </c>
      <c r="E4581" s="16">
        <f>IFERROR(__xludf.DUMMYFUNCTION("""COMPUTED_VALUE"""),63.0)</f>
        <v>63</v>
      </c>
      <c r="F4581" s="19" t="str">
        <f>IFERROR(__xludf.DUMMYFUNCTION("""COMPUTED_VALUE"""),"BLUE")</f>
        <v>BLUE</v>
      </c>
      <c r="G4581" s="20" t="str">
        <f>IFERROR(__xludf.DUMMYFUNCTION("""COMPUTED_VALUE"""),"Uncle Sams Cider (11/12/2021) (Blue)")</f>
        <v>Uncle Sams Cider (11/12/2021) (Blue)</v>
      </c>
      <c r="H4581" s="19"/>
    </row>
    <row r="4582">
      <c r="A4582" s="9"/>
      <c r="B4582" s="15"/>
      <c r="C4582" s="9">
        <f>IFERROR(__xludf.DUMMYFUNCTION("""COMPUTED_VALUE"""),44557.4680079398)</f>
        <v>44557.46801</v>
      </c>
      <c r="D4582" s="15">
        <f>IFERROR(__xludf.DUMMYFUNCTION("""COMPUTED_VALUE"""),1.009)</f>
        <v>1.009</v>
      </c>
      <c r="E4582" s="16">
        <f>IFERROR(__xludf.DUMMYFUNCTION("""COMPUTED_VALUE"""),63.0)</f>
        <v>63</v>
      </c>
      <c r="F4582" s="19" t="str">
        <f>IFERROR(__xludf.DUMMYFUNCTION("""COMPUTED_VALUE"""),"BLUE")</f>
        <v>BLUE</v>
      </c>
      <c r="G4582" s="20" t="str">
        <f>IFERROR(__xludf.DUMMYFUNCTION("""COMPUTED_VALUE"""),"Uncle Sams Cider (11/12/2021) (Blue)")</f>
        <v>Uncle Sams Cider (11/12/2021) (Blue)</v>
      </c>
      <c r="H4582" s="19"/>
    </row>
    <row r="4583">
      <c r="A4583" s="9"/>
      <c r="B4583" s="15"/>
      <c r="C4583" s="9">
        <f>IFERROR(__xludf.DUMMYFUNCTION("""COMPUTED_VALUE"""),44557.4575644213)</f>
        <v>44557.45756</v>
      </c>
      <c r="D4583" s="15">
        <f>IFERROR(__xludf.DUMMYFUNCTION("""COMPUTED_VALUE"""),1.009)</f>
        <v>1.009</v>
      </c>
      <c r="E4583" s="16">
        <f>IFERROR(__xludf.DUMMYFUNCTION("""COMPUTED_VALUE"""),63.0)</f>
        <v>63</v>
      </c>
      <c r="F4583" s="19" t="str">
        <f>IFERROR(__xludf.DUMMYFUNCTION("""COMPUTED_VALUE"""),"BLUE")</f>
        <v>BLUE</v>
      </c>
      <c r="G4583" s="20" t="str">
        <f>IFERROR(__xludf.DUMMYFUNCTION("""COMPUTED_VALUE"""),"Uncle Sams Cider (11/12/2021) (Blue)")</f>
        <v>Uncle Sams Cider (11/12/2021) (Blue)</v>
      </c>
      <c r="H4583" s="19"/>
    </row>
    <row r="4584">
      <c r="A4584" s="9"/>
      <c r="B4584" s="15"/>
      <c r="C4584" s="9">
        <f>IFERROR(__xludf.DUMMYFUNCTION("""COMPUTED_VALUE"""),44557.4471435879)</f>
        <v>44557.44714</v>
      </c>
      <c r="D4584" s="15">
        <f>IFERROR(__xludf.DUMMYFUNCTION("""COMPUTED_VALUE"""),1.009)</f>
        <v>1.009</v>
      </c>
      <c r="E4584" s="16">
        <f>IFERROR(__xludf.DUMMYFUNCTION("""COMPUTED_VALUE"""),63.0)</f>
        <v>63</v>
      </c>
      <c r="F4584" s="19" t="str">
        <f>IFERROR(__xludf.DUMMYFUNCTION("""COMPUTED_VALUE"""),"BLUE")</f>
        <v>BLUE</v>
      </c>
      <c r="G4584" s="20" t="str">
        <f>IFERROR(__xludf.DUMMYFUNCTION("""COMPUTED_VALUE"""),"Uncle Sams Cider (11/12/2021) (Blue)")</f>
        <v>Uncle Sams Cider (11/12/2021) (Blue)</v>
      </c>
      <c r="H4584" s="19"/>
    </row>
    <row r="4585">
      <c r="A4585" s="9"/>
      <c r="B4585" s="15"/>
      <c r="C4585" s="9">
        <f>IFERROR(__xludf.DUMMYFUNCTION("""COMPUTED_VALUE"""),44557.4367235185)</f>
        <v>44557.43672</v>
      </c>
      <c r="D4585" s="15">
        <f>IFERROR(__xludf.DUMMYFUNCTION("""COMPUTED_VALUE"""),1.009)</f>
        <v>1.009</v>
      </c>
      <c r="E4585" s="16">
        <f>IFERROR(__xludf.DUMMYFUNCTION("""COMPUTED_VALUE"""),63.0)</f>
        <v>63</v>
      </c>
      <c r="F4585" s="19" t="str">
        <f>IFERROR(__xludf.DUMMYFUNCTION("""COMPUTED_VALUE"""),"BLUE")</f>
        <v>BLUE</v>
      </c>
      <c r="G4585" s="20" t="str">
        <f>IFERROR(__xludf.DUMMYFUNCTION("""COMPUTED_VALUE"""),"Uncle Sams Cider (11/12/2021) (Blue)")</f>
        <v>Uncle Sams Cider (11/12/2021) (Blue)</v>
      </c>
      <c r="H4585" s="19"/>
    </row>
    <row r="4586">
      <c r="A4586" s="9"/>
      <c r="B4586" s="15"/>
      <c r="C4586" s="9">
        <f>IFERROR(__xludf.DUMMYFUNCTION("""COMPUTED_VALUE"""),44557.4262784374)</f>
        <v>44557.42628</v>
      </c>
      <c r="D4586" s="15">
        <f>IFERROR(__xludf.DUMMYFUNCTION("""COMPUTED_VALUE"""),1.009)</f>
        <v>1.009</v>
      </c>
      <c r="E4586" s="16">
        <f>IFERROR(__xludf.DUMMYFUNCTION("""COMPUTED_VALUE"""),63.0)</f>
        <v>63</v>
      </c>
      <c r="F4586" s="19" t="str">
        <f>IFERROR(__xludf.DUMMYFUNCTION("""COMPUTED_VALUE"""),"BLUE")</f>
        <v>BLUE</v>
      </c>
      <c r="G4586" s="20" t="str">
        <f>IFERROR(__xludf.DUMMYFUNCTION("""COMPUTED_VALUE"""),"Uncle Sams Cider (11/12/2021) (Blue)")</f>
        <v>Uncle Sams Cider (11/12/2021) (Blue)</v>
      </c>
      <c r="H4586" s="19"/>
    </row>
    <row r="4587">
      <c r="A4587" s="9"/>
      <c r="B4587" s="15"/>
      <c r="C4587" s="9">
        <f>IFERROR(__xludf.DUMMYFUNCTION("""COMPUTED_VALUE"""),44557.4158582986)</f>
        <v>44557.41586</v>
      </c>
      <c r="D4587" s="15">
        <f>IFERROR(__xludf.DUMMYFUNCTION("""COMPUTED_VALUE"""),1.009)</f>
        <v>1.009</v>
      </c>
      <c r="E4587" s="16">
        <f>IFERROR(__xludf.DUMMYFUNCTION("""COMPUTED_VALUE"""),63.0)</f>
        <v>63</v>
      </c>
      <c r="F4587" s="19" t="str">
        <f>IFERROR(__xludf.DUMMYFUNCTION("""COMPUTED_VALUE"""),"BLUE")</f>
        <v>BLUE</v>
      </c>
      <c r="G4587" s="20" t="str">
        <f>IFERROR(__xludf.DUMMYFUNCTION("""COMPUTED_VALUE"""),"Uncle Sams Cider (11/12/2021) (Blue)")</f>
        <v>Uncle Sams Cider (11/12/2021) (Blue)</v>
      </c>
      <c r="H4587" s="19"/>
    </row>
    <row r="4588">
      <c r="A4588" s="9"/>
      <c r="B4588" s="15"/>
      <c r="C4588" s="9">
        <f>IFERROR(__xludf.DUMMYFUNCTION("""COMPUTED_VALUE"""),44557.4054377893)</f>
        <v>44557.40544</v>
      </c>
      <c r="D4588" s="15">
        <f>IFERROR(__xludf.DUMMYFUNCTION("""COMPUTED_VALUE"""),1.009)</f>
        <v>1.009</v>
      </c>
      <c r="E4588" s="16">
        <f>IFERROR(__xludf.DUMMYFUNCTION("""COMPUTED_VALUE"""),63.0)</f>
        <v>63</v>
      </c>
      <c r="F4588" s="19" t="str">
        <f>IFERROR(__xludf.DUMMYFUNCTION("""COMPUTED_VALUE"""),"BLUE")</f>
        <v>BLUE</v>
      </c>
      <c r="G4588" s="20" t="str">
        <f>IFERROR(__xludf.DUMMYFUNCTION("""COMPUTED_VALUE"""),"Uncle Sams Cider (11/12/2021) (Blue)")</f>
        <v>Uncle Sams Cider (11/12/2021) (Blue)</v>
      </c>
      <c r="H4588" s="19"/>
    </row>
    <row r="4589">
      <c r="A4589" s="9"/>
      <c r="B4589" s="15"/>
      <c r="C4589" s="9">
        <f>IFERROR(__xludf.DUMMYFUNCTION("""COMPUTED_VALUE"""),44557.3950159259)</f>
        <v>44557.39502</v>
      </c>
      <c r="D4589" s="15">
        <f>IFERROR(__xludf.DUMMYFUNCTION("""COMPUTED_VALUE"""),1.009)</f>
        <v>1.009</v>
      </c>
      <c r="E4589" s="16">
        <f>IFERROR(__xludf.DUMMYFUNCTION("""COMPUTED_VALUE"""),63.0)</f>
        <v>63</v>
      </c>
      <c r="F4589" s="19" t="str">
        <f>IFERROR(__xludf.DUMMYFUNCTION("""COMPUTED_VALUE"""),"BLUE")</f>
        <v>BLUE</v>
      </c>
      <c r="G4589" s="20" t="str">
        <f>IFERROR(__xludf.DUMMYFUNCTION("""COMPUTED_VALUE"""),"Uncle Sams Cider (11/12/2021) (Blue)")</f>
        <v>Uncle Sams Cider (11/12/2021) (Blue)</v>
      </c>
      <c r="H4589" s="19"/>
    </row>
    <row r="4590">
      <c r="A4590" s="9"/>
      <c r="B4590" s="15"/>
      <c r="C4590" s="9">
        <f>IFERROR(__xludf.DUMMYFUNCTION("""COMPUTED_VALUE"""),44557.3845933564)</f>
        <v>44557.38459</v>
      </c>
      <c r="D4590" s="15">
        <f>IFERROR(__xludf.DUMMYFUNCTION("""COMPUTED_VALUE"""),1.009)</f>
        <v>1.009</v>
      </c>
      <c r="E4590" s="16">
        <f>IFERROR(__xludf.DUMMYFUNCTION("""COMPUTED_VALUE"""),63.0)</f>
        <v>63</v>
      </c>
      <c r="F4590" s="19" t="str">
        <f>IFERROR(__xludf.DUMMYFUNCTION("""COMPUTED_VALUE"""),"BLUE")</f>
        <v>BLUE</v>
      </c>
      <c r="G4590" s="20" t="str">
        <f>IFERROR(__xludf.DUMMYFUNCTION("""COMPUTED_VALUE"""),"Uncle Sams Cider (11/12/2021) (Blue)")</f>
        <v>Uncle Sams Cider (11/12/2021) (Blue)</v>
      </c>
      <c r="H4590" s="19"/>
    </row>
    <row r="4591">
      <c r="A4591" s="9"/>
      <c r="B4591" s="15"/>
      <c r="C4591" s="9">
        <f>IFERROR(__xludf.DUMMYFUNCTION("""COMPUTED_VALUE"""),44557.3741729398)</f>
        <v>44557.37417</v>
      </c>
      <c r="D4591" s="15">
        <f>IFERROR(__xludf.DUMMYFUNCTION("""COMPUTED_VALUE"""),1.009)</f>
        <v>1.009</v>
      </c>
      <c r="E4591" s="16">
        <f>IFERROR(__xludf.DUMMYFUNCTION("""COMPUTED_VALUE"""),63.0)</f>
        <v>63</v>
      </c>
      <c r="F4591" s="19" t="str">
        <f>IFERROR(__xludf.DUMMYFUNCTION("""COMPUTED_VALUE"""),"BLUE")</f>
        <v>BLUE</v>
      </c>
      <c r="G4591" s="20" t="str">
        <f>IFERROR(__xludf.DUMMYFUNCTION("""COMPUTED_VALUE"""),"Uncle Sams Cider (11/12/2021) (Blue)")</f>
        <v>Uncle Sams Cider (11/12/2021) (Blue)</v>
      </c>
      <c r="H4591" s="19"/>
    </row>
    <row r="4592">
      <c r="A4592" s="9"/>
      <c r="B4592" s="15"/>
      <c r="C4592" s="9">
        <f>IFERROR(__xludf.DUMMYFUNCTION("""COMPUTED_VALUE"""),44557.3637529861)</f>
        <v>44557.36375</v>
      </c>
      <c r="D4592" s="15">
        <f>IFERROR(__xludf.DUMMYFUNCTION("""COMPUTED_VALUE"""),1.009)</f>
        <v>1.009</v>
      </c>
      <c r="E4592" s="16">
        <f>IFERROR(__xludf.DUMMYFUNCTION("""COMPUTED_VALUE"""),63.0)</f>
        <v>63</v>
      </c>
      <c r="F4592" s="19" t="str">
        <f>IFERROR(__xludf.DUMMYFUNCTION("""COMPUTED_VALUE"""),"BLUE")</f>
        <v>BLUE</v>
      </c>
      <c r="G4592" s="20" t="str">
        <f>IFERROR(__xludf.DUMMYFUNCTION("""COMPUTED_VALUE"""),"Uncle Sams Cider (11/12/2021) (Blue)")</f>
        <v>Uncle Sams Cider (11/12/2021) (Blue)</v>
      </c>
      <c r="H4592" s="19"/>
    </row>
    <row r="4593">
      <c r="A4593" s="9"/>
      <c r="B4593" s="15"/>
      <c r="C4593" s="9">
        <f>IFERROR(__xludf.DUMMYFUNCTION("""COMPUTED_VALUE"""),44557.3533314351)</f>
        <v>44557.35333</v>
      </c>
      <c r="D4593" s="15">
        <f>IFERROR(__xludf.DUMMYFUNCTION("""COMPUTED_VALUE"""),1.009)</f>
        <v>1.009</v>
      </c>
      <c r="E4593" s="16">
        <f>IFERROR(__xludf.DUMMYFUNCTION("""COMPUTED_VALUE"""),63.0)</f>
        <v>63</v>
      </c>
      <c r="F4593" s="19" t="str">
        <f>IFERROR(__xludf.DUMMYFUNCTION("""COMPUTED_VALUE"""),"BLUE")</f>
        <v>BLUE</v>
      </c>
      <c r="G4593" s="20" t="str">
        <f>IFERROR(__xludf.DUMMYFUNCTION("""COMPUTED_VALUE"""),"Uncle Sams Cider (11/12/2021) (Blue)")</f>
        <v>Uncle Sams Cider (11/12/2021) (Blue)</v>
      </c>
      <c r="H4593" s="19"/>
    </row>
    <row r="4594">
      <c r="A4594" s="9"/>
      <c r="B4594" s="15"/>
      <c r="C4594" s="9">
        <f>IFERROR(__xludf.DUMMYFUNCTION("""COMPUTED_VALUE"""),44557.3429000231)</f>
        <v>44557.3429</v>
      </c>
      <c r="D4594" s="15">
        <f>IFERROR(__xludf.DUMMYFUNCTION("""COMPUTED_VALUE"""),1.009)</f>
        <v>1.009</v>
      </c>
      <c r="E4594" s="16">
        <f>IFERROR(__xludf.DUMMYFUNCTION("""COMPUTED_VALUE"""),63.0)</f>
        <v>63</v>
      </c>
      <c r="F4594" s="19" t="str">
        <f>IFERROR(__xludf.DUMMYFUNCTION("""COMPUTED_VALUE"""),"BLUE")</f>
        <v>BLUE</v>
      </c>
      <c r="G4594" s="20" t="str">
        <f>IFERROR(__xludf.DUMMYFUNCTION("""COMPUTED_VALUE"""),"Uncle Sams Cider (11/12/2021) (Blue)")</f>
        <v>Uncle Sams Cider (11/12/2021) (Blue)</v>
      </c>
      <c r="H4594" s="19"/>
    </row>
    <row r="4595">
      <c r="A4595" s="9"/>
      <c r="B4595" s="15"/>
      <c r="C4595" s="9">
        <f>IFERROR(__xludf.DUMMYFUNCTION("""COMPUTED_VALUE"""),44557.3324530671)</f>
        <v>44557.33245</v>
      </c>
      <c r="D4595" s="15">
        <f>IFERROR(__xludf.DUMMYFUNCTION("""COMPUTED_VALUE"""),1.009)</f>
        <v>1.009</v>
      </c>
      <c r="E4595" s="16">
        <f>IFERROR(__xludf.DUMMYFUNCTION("""COMPUTED_VALUE"""),63.0)</f>
        <v>63</v>
      </c>
      <c r="F4595" s="19" t="str">
        <f>IFERROR(__xludf.DUMMYFUNCTION("""COMPUTED_VALUE"""),"BLUE")</f>
        <v>BLUE</v>
      </c>
      <c r="G4595" s="20" t="str">
        <f>IFERROR(__xludf.DUMMYFUNCTION("""COMPUTED_VALUE"""),"Uncle Sams Cider (11/12/2021) (Blue)")</f>
        <v>Uncle Sams Cider (11/12/2021) (Blue)</v>
      </c>
      <c r="H4595" s="19"/>
    </row>
    <row r="4596">
      <c r="A4596" s="9"/>
      <c r="B4596" s="15"/>
      <c r="C4596" s="9">
        <f>IFERROR(__xludf.DUMMYFUNCTION("""COMPUTED_VALUE"""),44557.3220205671)</f>
        <v>44557.32202</v>
      </c>
      <c r="D4596" s="15">
        <f>IFERROR(__xludf.DUMMYFUNCTION("""COMPUTED_VALUE"""),1.009)</f>
        <v>1.009</v>
      </c>
      <c r="E4596" s="16">
        <f>IFERROR(__xludf.DUMMYFUNCTION("""COMPUTED_VALUE"""),63.0)</f>
        <v>63</v>
      </c>
      <c r="F4596" s="19" t="str">
        <f>IFERROR(__xludf.DUMMYFUNCTION("""COMPUTED_VALUE"""),"BLUE")</f>
        <v>BLUE</v>
      </c>
      <c r="G4596" s="20" t="str">
        <f>IFERROR(__xludf.DUMMYFUNCTION("""COMPUTED_VALUE"""),"Uncle Sams Cider (11/12/2021) (Blue)")</f>
        <v>Uncle Sams Cider (11/12/2021) (Blue)</v>
      </c>
      <c r="H4596" s="19"/>
    </row>
    <row r="4597">
      <c r="A4597" s="9"/>
      <c r="B4597" s="15"/>
      <c r="C4597" s="9">
        <f>IFERROR(__xludf.DUMMYFUNCTION("""COMPUTED_VALUE"""),44557.3115984374)</f>
        <v>44557.3116</v>
      </c>
      <c r="D4597" s="15">
        <f>IFERROR(__xludf.DUMMYFUNCTION("""COMPUTED_VALUE"""),1.009)</f>
        <v>1.009</v>
      </c>
      <c r="E4597" s="16">
        <f>IFERROR(__xludf.DUMMYFUNCTION("""COMPUTED_VALUE"""),63.0)</f>
        <v>63</v>
      </c>
      <c r="F4597" s="19" t="str">
        <f>IFERROR(__xludf.DUMMYFUNCTION("""COMPUTED_VALUE"""),"BLUE")</f>
        <v>BLUE</v>
      </c>
      <c r="G4597" s="20" t="str">
        <f>IFERROR(__xludf.DUMMYFUNCTION("""COMPUTED_VALUE"""),"Uncle Sams Cider (11/12/2021) (Blue)")</f>
        <v>Uncle Sams Cider (11/12/2021) (Blue)</v>
      </c>
      <c r="H4597" s="19"/>
    </row>
    <row r="4598">
      <c r="A4598" s="9"/>
      <c r="B4598" s="15"/>
      <c r="C4598" s="9">
        <f>IFERROR(__xludf.DUMMYFUNCTION("""COMPUTED_VALUE"""),44557.3011763425)</f>
        <v>44557.30118</v>
      </c>
      <c r="D4598" s="15">
        <f>IFERROR(__xludf.DUMMYFUNCTION("""COMPUTED_VALUE"""),1.009)</f>
        <v>1.009</v>
      </c>
      <c r="E4598" s="16">
        <f>IFERROR(__xludf.DUMMYFUNCTION("""COMPUTED_VALUE"""),63.0)</f>
        <v>63</v>
      </c>
      <c r="F4598" s="19" t="str">
        <f>IFERROR(__xludf.DUMMYFUNCTION("""COMPUTED_VALUE"""),"BLUE")</f>
        <v>BLUE</v>
      </c>
      <c r="G4598" s="20" t="str">
        <f>IFERROR(__xludf.DUMMYFUNCTION("""COMPUTED_VALUE"""),"Uncle Sams Cider (11/12/2021) (Blue)")</f>
        <v>Uncle Sams Cider (11/12/2021) (Blue)</v>
      </c>
      <c r="H4598" s="19"/>
    </row>
    <row r="4599">
      <c r="A4599" s="9"/>
      <c r="B4599" s="15"/>
      <c r="C4599" s="9">
        <f>IFERROR(__xludf.DUMMYFUNCTION("""COMPUTED_VALUE"""),44557.2907558101)</f>
        <v>44557.29076</v>
      </c>
      <c r="D4599" s="15">
        <f>IFERROR(__xludf.DUMMYFUNCTION("""COMPUTED_VALUE"""),1.009)</f>
        <v>1.009</v>
      </c>
      <c r="E4599" s="16">
        <f>IFERROR(__xludf.DUMMYFUNCTION("""COMPUTED_VALUE"""),63.0)</f>
        <v>63</v>
      </c>
      <c r="F4599" s="19" t="str">
        <f>IFERROR(__xludf.DUMMYFUNCTION("""COMPUTED_VALUE"""),"BLUE")</f>
        <v>BLUE</v>
      </c>
      <c r="G4599" s="20" t="str">
        <f>IFERROR(__xludf.DUMMYFUNCTION("""COMPUTED_VALUE"""),"Uncle Sams Cider (11/12/2021) (Blue)")</f>
        <v>Uncle Sams Cider (11/12/2021) (Blue)</v>
      </c>
      <c r="H4599" s="19"/>
    </row>
    <row r="4600">
      <c r="A4600" s="9"/>
      <c r="B4600" s="15"/>
      <c r="C4600" s="9">
        <f>IFERROR(__xludf.DUMMYFUNCTION("""COMPUTED_VALUE"""),44557.2803349189)</f>
        <v>44557.28033</v>
      </c>
      <c r="D4600" s="15">
        <f>IFERROR(__xludf.DUMMYFUNCTION("""COMPUTED_VALUE"""),1.009)</f>
        <v>1.009</v>
      </c>
      <c r="E4600" s="16">
        <f>IFERROR(__xludf.DUMMYFUNCTION("""COMPUTED_VALUE"""),63.0)</f>
        <v>63</v>
      </c>
      <c r="F4600" s="19" t="str">
        <f>IFERROR(__xludf.DUMMYFUNCTION("""COMPUTED_VALUE"""),"BLUE")</f>
        <v>BLUE</v>
      </c>
      <c r="G4600" s="20" t="str">
        <f>IFERROR(__xludf.DUMMYFUNCTION("""COMPUTED_VALUE"""),"Uncle Sams Cider (11/12/2021) (Blue)")</f>
        <v>Uncle Sams Cider (11/12/2021) (Blue)</v>
      </c>
      <c r="H4600" s="19"/>
    </row>
    <row r="4601">
      <c r="A4601" s="9"/>
      <c r="B4601" s="15"/>
      <c r="C4601" s="9">
        <f>IFERROR(__xludf.DUMMYFUNCTION("""COMPUTED_VALUE"""),44557.2699025231)</f>
        <v>44557.2699</v>
      </c>
      <c r="D4601" s="15">
        <f>IFERROR(__xludf.DUMMYFUNCTION("""COMPUTED_VALUE"""),1.009)</f>
        <v>1.009</v>
      </c>
      <c r="E4601" s="16">
        <f>IFERROR(__xludf.DUMMYFUNCTION("""COMPUTED_VALUE"""),63.0)</f>
        <v>63</v>
      </c>
      <c r="F4601" s="19" t="str">
        <f>IFERROR(__xludf.DUMMYFUNCTION("""COMPUTED_VALUE"""),"BLUE")</f>
        <v>BLUE</v>
      </c>
      <c r="G4601" s="20" t="str">
        <f>IFERROR(__xludf.DUMMYFUNCTION("""COMPUTED_VALUE"""),"Uncle Sams Cider (11/12/2021) (Blue)")</f>
        <v>Uncle Sams Cider (11/12/2021) (Blue)</v>
      </c>
      <c r="H4601" s="19"/>
    </row>
    <row r="4602">
      <c r="A4602" s="9"/>
      <c r="B4602" s="15"/>
      <c r="C4602" s="9">
        <f>IFERROR(__xludf.DUMMYFUNCTION("""COMPUTED_VALUE"""),44557.2594826736)</f>
        <v>44557.25948</v>
      </c>
      <c r="D4602" s="15">
        <f>IFERROR(__xludf.DUMMYFUNCTION("""COMPUTED_VALUE"""),1.009)</f>
        <v>1.009</v>
      </c>
      <c r="E4602" s="16">
        <f>IFERROR(__xludf.DUMMYFUNCTION("""COMPUTED_VALUE"""),63.0)</f>
        <v>63</v>
      </c>
      <c r="F4602" s="19" t="str">
        <f>IFERROR(__xludf.DUMMYFUNCTION("""COMPUTED_VALUE"""),"BLUE")</f>
        <v>BLUE</v>
      </c>
      <c r="G4602" s="20" t="str">
        <f>IFERROR(__xludf.DUMMYFUNCTION("""COMPUTED_VALUE"""),"Uncle Sams Cider (11/12/2021) (Blue)")</f>
        <v>Uncle Sams Cider (11/12/2021) (Blue)</v>
      </c>
      <c r="H4602" s="19"/>
    </row>
    <row r="4603">
      <c r="A4603" s="9"/>
      <c r="B4603" s="15"/>
      <c r="C4603" s="9">
        <f>IFERROR(__xludf.DUMMYFUNCTION("""COMPUTED_VALUE"""),44557.2490526736)</f>
        <v>44557.24905</v>
      </c>
      <c r="D4603" s="15">
        <f>IFERROR(__xludf.DUMMYFUNCTION("""COMPUTED_VALUE"""),1.009)</f>
        <v>1.009</v>
      </c>
      <c r="E4603" s="16">
        <f>IFERROR(__xludf.DUMMYFUNCTION("""COMPUTED_VALUE"""),63.0)</f>
        <v>63</v>
      </c>
      <c r="F4603" s="19" t="str">
        <f>IFERROR(__xludf.DUMMYFUNCTION("""COMPUTED_VALUE"""),"BLUE")</f>
        <v>BLUE</v>
      </c>
      <c r="G4603" s="20" t="str">
        <f>IFERROR(__xludf.DUMMYFUNCTION("""COMPUTED_VALUE"""),"Uncle Sams Cider (11/12/2021) (Blue)")</f>
        <v>Uncle Sams Cider (11/12/2021) (Blue)</v>
      </c>
      <c r="H4603" s="19"/>
    </row>
    <row r="4604">
      <c r="A4604" s="9"/>
      <c r="B4604" s="15"/>
      <c r="C4604" s="9">
        <f>IFERROR(__xludf.DUMMYFUNCTION("""COMPUTED_VALUE"""),44557.238631412)</f>
        <v>44557.23863</v>
      </c>
      <c r="D4604" s="15">
        <f>IFERROR(__xludf.DUMMYFUNCTION("""COMPUTED_VALUE"""),1.009)</f>
        <v>1.009</v>
      </c>
      <c r="E4604" s="16">
        <f>IFERROR(__xludf.DUMMYFUNCTION("""COMPUTED_VALUE"""),63.0)</f>
        <v>63</v>
      </c>
      <c r="F4604" s="19" t="str">
        <f>IFERROR(__xludf.DUMMYFUNCTION("""COMPUTED_VALUE"""),"BLUE")</f>
        <v>BLUE</v>
      </c>
      <c r="G4604" s="20" t="str">
        <f>IFERROR(__xludf.DUMMYFUNCTION("""COMPUTED_VALUE"""),"Uncle Sams Cider (11/12/2021) (Blue)")</f>
        <v>Uncle Sams Cider (11/12/2021) (Blue)</v>
      </c>
      <c r="H4604" s="19"/>
    </row>
    <row r="4605">
      <c r="A4605" s="9"/>
      <c r="B4605" s="15"/>
      <c r="C4605" s="9">
        <f>IFERROR(__xludf.DUMMYFUNCTION("""COMPUTED_VALUE"""),44557.2281967939)</f>
        <v>44557.2282</v>
      </c>
      <c r="D4605" s="15">
        <f>IFERROR(__xludf.DUMMYFUNCTION("""COMPUTED_VALUE"""),1.009)</f>
        <v>1.009</v>
      </c>
      <c r="E4605" s="16">
        <f>IFERROR(__xludf.DUMMYFUNCTION("""COMPUTED_VALUE"""),63.0)</f>
        <v>63</v>
      </c>
      <c r="F4605" s="19" t="str">
        <f>IFERROR(__xludf.DUMMYFUNCTION("""COMPUTED_VALUE"""),"BLUE")</f>
        <v>BLUE</v>
      </c>
      <c r="G4605" s="20" t="str">
        <f>IFERROR(__xludf.DUMMYFUNCTION("""COMPUTED_VALUE"""),"Uncle Sams Cider (11/12/2021) (Blue)")</f>
        <v>Uncle Sams Cider (11/12/2021) (Blue)</v>
      </c>
      <c r="H4605" s="19"/>
    </row>
    <row r="4606">
      <c r="A4606" s="9"/>
      <c r="B4606" s="15"/>
      <c r="C4606" s="9">
        <f>IFERROR(__xludf.DUMMYFUNCTION("""COMPUTED_VALUE"""),44557.2177758911)</f>
        <v>44557.21778</v>
      </c>
      <c r="D4606" s="15">
        <f>IFERROR(__xludf.DUMMYFUNCTION("""COMPUTED_VALUE"""),1.009)</f>
        <v>1.009</v>
      </c>
      <c r="E4606" s="16">
        <f>IFERROR(__xludf.DUMMYFUNCTION("""COMPUTED_VALUE"""),63.0)</f>
        <v>63</v>
      </c>
      <c r="F4606" s="19" t="str">
        <f>IFERROR(__xludf.DUMMYFUNCTION("""COMPUTED_VALUE"""),"BLUE")</f>
        <v>BLUE</v>
      </c>
      <c r="G4606" s="20" t="str">
        <f>IFERROR(__xludf.DUMMYFUNCTION("""COMPUTED_VALUE"""),"Uncle Sams Cider (11/12/2021) (Blue)")</f>
        <v>Uncle Sams Cider (11/12/2021) (Blue)</v>
      </c>
      <c r="H4606" s="19"/>
    </row>
    <row r="4607">
      <c r="A4607" s="9"/>
      <c r="B4607" s="15"/>
      <c r="C4607" s="9">
        <f>IFERROR(__xludf.DUMMYFUNCTION("""COMPUTED_VALUE"""),44557.2073542592)</f>
        <v>44557.20735</v>
      </c>
      <c r="D4607" s="15">
        <f>IFERROR(__xludf.DUMMYFUNCTION("""COMPUTED_VALUE"""),1.009)</f>
        <v>1.009</v>
      </c>
      <c r="E4607" s="16">
        <f>IFERROR(__xludf.DUMMYFUNCTION("""COMPUTED_VALUE"""),63.0)</f>
        <v>63</v>
      </c>
      <c r="F4607" s="19" t="str">
        <f>IFERROR(__xludf.DUMMYFUNCTION("""COMPUTED_VALUE"""),"BLUE")</f>
        <v>BLUE</v>
      </c>
      <c r="G4607" s="20" t="str">
        <f>IFERROR(__xludf.DUMMYFUNCTION("""COMPUTED_VALUE"""),"Uncle Sams Cider (11/12/2021) (Blue)")</f>
        <v>Uncle Sams Cider (11/12/2021) (Blue)</v>
      </c>
      <c r="H4607" s="19"/>
    </row>
    <row r="4608">
      <c r="A4608" s="9"/>
      <c r="B4608" s="15"/>
      <c r="C4608" s="9">
        <f>IFERROR(__xludf.DUMMYFUNCTION("""COMPUTED_VALUE"""),44557.1969206134)</f>
        <v>44557.19692</v>
      </c>
      <c r="D4608" s="15">
        <f>IFERROR(__xludf.DUMMYFUNCTION("""COMPUTED_VALUE"""),1.009)</f>
        <v>1.009</v>
      </c>
      <c r="E4608" s="16">
        <f>IFERROR(__xludf.DUMMYFUNCTION("""COMPUTED_VALUE"""),63.0)</f>
        <v>63</v>
      </c>
      <c r="F4608" s="19" t="str">
        <f>IFERROR(__xludf.DUMMYFUNCTION("""COMPUTED_VALUE"""),"BLUE")</f>
        <v>BLUE</v>
      </c>
      <c r="G4608" s="20" t="str">
        <f>IFERROR(__xludf.DUMMYFUNCTION("""COMPUTED_VALUE"""),"Uncle Sams Cider (11/12/2021) (Blue)")</f>
        <v>Uncle Sams Cider (11/12/2021) (Blue)</v>
      </c>
      <c r="H4608" s="19"/>
    </row>
    <row r="4609">
      <c r="A4609" s="9"/>
      <c r="B4609" s="15"/>
      <c r="C4609" s="9">
        <f>IFERROR(__xludf.DUMMYFUNCTION("""COMPUTED_VALUE"""),44557.1864880902)</f>
        <v>44557.18649</v>
      </c>
      <c r="D4609" s="15">
        <f>IFERROR(__xludf.DUMMYFUNCTION("""COMPUTED_VALUE"""),1.009)</f>
        <v>1.009</v>
      </c>
      <c r="E4609" s="16">
        <f>IFERROR(__xludf.DUMMYFUNCTION("""COMPUTED_VALUE"""),63.0)</f>
        <v>63</v>
      </c>
      <c r="F4609" s="19" t="str">
        <f>IFERROR(__xludf.DUMMYFUNCTION("""COMPUTED_VALUE"""),"BLUE")</f>
        <v>BLUE</v>
      </c>
      <c r="G4609" s="20" t="str">
        <f>IFERROR(__xludf.DUMMYFUNCTION("""COMPUTED_VALUE"""),"Uncle Sams Cider (11/12/2021) (Blue)")</f>
        <v>Uncle Sams Cider (11/12/2021) (Blue)</v>
      </c>
      <c r="H4609" s="19"/>
    </row>
    <row r="4610">
      <c r="A4610" s="9"/>
      <c r="B4610" s="15"/>
      <c r="C4610" s="9">
        <f>IFERROR(__xludf.DUMMYFUNCTION("""COMPUTED_VALUE"""),44557.176066875)</f>
        <v>44557.17607</v>
      </c>
      <c r="D4610" s="15">
        <f>IFERROR(__xludf.DUMMYFUNCTION("""COMPUTED_VALUE"""),1.009)</f>
        <v>1.009</v>
      </c>
      <c r="E4610" s="16">
        <f>IFERROR(__xludf.DUMMYFUNCTION("""COMPUTED_VALUE"""),63.0)</f>
        <v>63</v>
      </c>
      <c r="F4610" s="19" t="str">
        <f>IFERROR(__xludf.DUMMYFUNCTION("""COMPUTED_VALUE"""),"BLUE")</f>
        <v>BLUE</v>
      </c>
      <c r="G4610" s="20" t="str">
        <f>IFERROR(__xludf.DUMMYFUNCTION("""COMPUTED_VALUE"""),"Uncle Sams Cider (11/12/2021) (Blue)")</f>
        <v>Uncle Sams Cider (11/12/2021) (Blue)</v>
      </c>
      <c r="H4610" s="19"/>
    </row>
    <row r="4611">
      <c r="A4611" s="9"/>
      <c r="B4611" s="15"/>
      <c r="C4611" s="9">
        <f>IFERROR(__xludf.DUMMYFUNCTION("""COMPUTED_VALUE"""),44557.1656444675)</f>
        <v>44557.16564</v>
      </c>
      <c r="D4611" s="15">
        <f>IFERROR(__xludf.DUMMYFUNCTION("""COMPUTED_VALUE"""),1.009)</f>
        <v>1.009</v>
      </c>
      <c r="E4611" s="16">
        <f>IFERROR(__xludf.DUMMYFUNCTION("""COMPUTED_VALUE"""),64.0)</f>
        <v>64</v>
      </c>
      <c r="F4611" s="19" t="str">
        <f>IFERROR(__xludf.DUMMYFUNCTION("""COMPUTED_VALUE"""),"BLUE")</f>
        <v>BLUE</v>
      </c>
      <c r="G4611" s="20" t="str">
        <f>IFERROR(__xludf.DUMMYFUNCTION("""COMPUTED_VALUE"""),"Uncle Sams Cider (11/12/2021) (Blue)")</f>
        <v>Uncle Sams Cider (11/12/2021) (Blue)</v>
      </c>
      <c r="H4611" s="19"/>
    </row>
    <row r="4612">
      <c r="A4612" s="9"/>
      <c r="B4612" s="15"/>
      <c r="C4612" s="9">
        <f>IFERROR(__xludf.DUMMYFUNCTION("""COMPUTED_VALUE"""),44557.1552217592)</f>
        <v>44557.15522</v>
      </c>
      <c r="D4612" s="15">
        <f>IFERROR(__xludf.DUMMYFUNCTION("""COMPUTED_VALUE"""),1.009)</f>
        <v>1.009</v>
      </c>
      <c r="E4612" s="16">
        <f>IFERROR(__xludf.DUMMYFUNCTION("""COMPUTED_VALUE"""),64.0)</f>
        <v>64</v>
      </c>
      <c r="F4612" s="19" t="str">
        <f>IFERROR(__xludf.DUMMYFUNCTION("""COMPUTED_VALUE"""),"BLUE")</f>
        <v>BLUE</v>
      </c>
      <c r="G4612" s="20" t="str">
        <f>IFERROR(__xludf.DUMMYFUNCTION("""COMPUTED_VALUE"""),"Uncle Sams Cider (11/12/2021) (Blue)")</f>
        <v>Uncle Sams Cider (11/12/2021) (Blue)</v>
      </c>
      <c r="H4612" s="19"/>
    </row>
    <row r="4613">
      <c r="A4613" s="9"/>
      <c r="B4613" s="15"/>
      <c r="C4613" s="9">
        <f>IFERROR(__xludf.DUMMYFUNCTION("""COMPUTED_VALUE"""),44557.1447994444)</f>
        <v>44557.1448</v>
      </c>
      <c r="D4613" s="15">
        <f>IFERROR(__xludf.DUMMYFUNCTION("""COMPUTED_VALUE"""),1.009)</f>
        <v>1.009</v>
      </c>
      <c r="E4613" s="16">
        <f>IFERROR(__xludf.DUMMYFUNCTION("""COMPUTED_VALUE"""),64.0)</f>
        <v>64</v>
      </c>
      <c r="F4613" s="19" t="str">
        <f>IFERROR(__xludf.DUMMYFUNCTION("""COMPUTED_VALUE"""),"BLUE")</f>
        <v>BLUE</v>
      </c>
      <c r="G4613" s="20" t="str">
        <f>IFERROR(__xludf.DUMMYFUNCTION("""COMPUTED_VALUE"""),"Uncle Sams Cider (11/12/2021) (Blue)")</f>
        <v>Uncle Sams Cider (11/12/2021) (Blue)</v>
      </c>
      <c r="H4613" s="19"/>
    </row>
    <row r="4614">
      <c r="A4614" s="9"/>
      <c r="B4614" s="15"/>
      <c r="C4614" s="9">
        <f>IFERROR(__xludf.DUMMYFUNCTION("""COMPUTED_VALUE"""),44557.1343780092)</f>
        <v>44557.13438</v>
      </c>
      <c r="D4614" s="15">
        <f>IFERROR(__xludf.DUMMYFUNCTION("""COMPUTED_VALUE"""),1.009)</f>
        <v>1.009</v>
      </c>
      <c r="E4614" s="16">
        <f>IFERROR(__xludf.DUMMYFUNCTION("""COMPUTED_VALUE"""),64.0)</f>
        <v>64</v>
      </c>
      <c r="F4614" s="19" t="str">
        <f>IFERROR(__xludf.DUMMYFUNCTION("""COMPUTED_VALUE"""),"BLUE")</f>
        <v>BLUE</v>
      </c>
      <c r="G4614" s="20" t="str">
        <f>IFERROR(__xludf.DUMMYFUNCTION("""COMPUTED_VALUE"""),"Uncle Sams Cider (11/12/2021) (Blue)")</f>
        <v>Uncle Sams Cider (11/12/2021) (Blue)</v>
      </c>
      <c r="H4614" s="19"/>
    </row>
    <row r="4615">
      <c r="A4615" s="9"/>
      <c r="B4615" s="15"/>
      <c r="C4615" s="9">
        <f>IFERROR(__xludf.DUMMYFUNCTION("""COMPUTED_VALUE"""),44557.1239554861)</f>
        <v>44557.12396</v>
      </c>
      <c r="D4615" s="15">
        <f>IFERROR(__xludf.DUMMYFUNCTION("""COMPUTED_VALUE"""),1.009)</f>
        <v>1.009</v>
      </c>
      <c r="E4615" s="16">
        <f>IFERROR(__xludf.DUMMYFUNCTION("""COMPUTED_VALUE"""),64.0)</f>
        <v>64</v>
      </c>
      <c r="F4615" s="19" t="str">
        <f>IFERROR(__xludf.DUMMYFUNCTION("""COMPUTED_VALUE"""),"BLUE")</f>
        <v>BLUE</v>
      </c>
      <c r="G4615" s="20" t="str">
        <f>IFERROR(__xludf.DUMMYFUNCTION("""COMPUTED_VALUE"""),"Uncle Sams Cider (11/12/2021) (Blue)")</f>
        <v>Uncle Sams Cider (11/12/2021) (Blue)</v>
      </c>
      <c r="H4615" s="19"/>
    </row>
    <row r="4616">
      <c r="A4616" s="9"/>
      <c r="B4616" s="15"/>
      <c r="C4616" s="9">
        <f>IFERROR(__xludf.DUMMYFUNCTION("""COMPUTED_VALUE"""),44557.1135228009)</f>
        <v>44557.11352</v>
      </c>
      <c r="D4616" s="15">
        <f>IFERROR(__xludf.DUMMYFUNCTION("""COMPUTED_VALUE"""),1.009)</f>
        <v>1.009</v>
      </c>
      <c r="E4616" s="16">
        <f>IFERROR(__xludf.DUMMYFUNCTION("""COMPUTED_VALUE"""),64.0)</f>
        <v>64</v>
      </c>
      <c r="F4616" s="19" t="str">
        <f>IFERROR(__xludf.DUMMYFUNCTION("""COMPUTED_VALUE"""),"BLUE")</f>
        <v>BLUE</v>
      </c>
      <c r="G4616" s="20" t="str">
        <f>IFERROR(__xludf.DUMMYFUNCTION("""COMPUTED_VALUE"""),"Uncle Sams Cider (11/12/2021) (Blue)")</f>
        <v>Uncle Sams Cider (11/12/2021) (Blue)</v>
      </c>
      <c r="H4616" s="19"/>
    </row>
    <row r="4617">
      <c r="A4617" s="9"/>
      <c r="B4617" s="15"/>
      <c r="C4617" s="9">
        <f>IFERROR(__xludf.DUMMYFUNCTION("""COMPUTED_VALUE"""),44557.1031029976)</f>
        <v>44557.1031</v>
      </c>
      <c r="D4617" s="15">
        <f>IFERROR(__xludf.DUMMYFUNCTION("""COMPUTED_VALUE"""),1.009)</f>
        <v>1.009</v>
      </c>
      <c r="E4617" s="16">
        <f>IFERROR(__xludf.DUMMYFUNCTION("""COMPUTED_VALUE"""),64.0)</f>
        <v>64</v>
      </c>
      <c r="F4617" s="19" t="str">
        <f>IFERROR(__xludf.DUMMYFUNCTION("""COMPUTED_VALUE"""),"BLUE")</f>
        <v>BLUE</v>
      </c>
      <c r="G4617" s="20" t="str">
        <f>IFERROR(__xludf.DUMMYFUNCTION("""COMPUTED_VALUE"""),"Uncle Sams Cider (11/12/2021) (Blue)")</f>
        <v>Uncle Sams Cider (11/12/2021) (Blue)</v>
      </c>
      <c r="H4617" s="19"/>
    </row>
    <row r="4618">
      <c r="A4618" s="9"/>
      <c r="B4618" s="15"/>
      <c r="C4618" s="9">
        <f>IFERROR(__xludf.DUMMYFUNCTION("""COMPUTED_VALUE"""),44557.0926828587)</f>
        <v>44557.09268</v>
      </c>
      <c r="D4618" s="15">
        <f>IFERROR(__xludf.DUMMYFUNCTION("""COMPUTED_VALUE"""),1.009)</f>
        <v>1.009</v>
      </c>
      <c r="E4618" s="16">
        <f>IFERROR(__xludf.DUMMYFUNCTION("""COMPUTED_VALUE"""),64.0)</f>
        <v>64</v>
      </c>
      <c r="F4618" s="19" t="str">
        <f>IFERROR(__xludf.DUMMYFUNCTION("""COMPUTED_VALUE"""),"BLUE")</f>
        <v>BLUE</v>
      </c>
      <c r="G4618" s="20" t="str">
        <f>IFERROR(__xludf.DUMMYFUNCTION("""COMPUTED_VALUE"""),"Uncle Sams Cider (11/12/2021) (Blue)")</f>
        <v>Uncle Sams Cider (11/12/2021) (Blue)</v>
      </c>
      <c r="H4618" s="19"/>
    </row>
    <row r="4619">
      <c r="A4619" s="9"/>
      <c r="B4619" s="15"/>
      <c r="C4619" s="9">
        <f>IFERROR(__xludf.DUMMYFUNCTION("""COMPUTED_VALUE"""),44557.0822624074)</f>
        <v>44557.08226</v>
      </c>
      <c r="D4619" s="15">
        <f>IFERROR(__xludf.DUMMYFUNCTION("""COMPUTED_VALUE"""),1.009)</f>
        <v>1.009</v>
      </c>
      <c r="E4619" s="16">
        <f>IFERROR(__xludf.DUMMYFUNCTION("""COMPUTED_VALUE"""),64.0)</f>
        <v>64</v>
      </c>
      <c r="F4619" s="19" t="str">
        <f>IFERROR(__xludf.DUMMYFUNCTION("""COMPUTED_VALUE"""),"BLUE")</f>
        <v>BLUE</v>
      </c>
      <c r="G4619" s="20" t="str">
        <f>IFERROR(__xludf.DUMMYFUNCTION("""COMPUTED_VALUE"""),"Uncle Sams Cider (11/12/2021) (Blue)")</f>
        <v>Uncle Sams Cider (11/12/2021) (Blue)</v>
      </c>
      <c r="H4619" s="19"/>
    </row>
    <row r="4620">
      <c r="A4620" s="9"/>
      <c r="B4620" s="15"/>
      <c r="C4620" s="9">
        <f>IFERROR(__xludf.DUMMYFUNCTION("""COMPUTED_VALUE"""),44557.0718409606)</f>
        <v>44557.07184</v>
      </c>
      <c r="D4620" s="15">
        <f>IFERROR(__xludf.DUMMYFUNCTION("""COMPUTED_VALUE"""),1.009)</f>
        <v>1.009</v>
      </c>
      <c r="E4620" s="16">
        <f>IFERROR(__xludf.DUMMYFUNCTION("""COMPUTED_VALUE"""),64.0)</f>
        <v>64</v>
      </c>
      <c r="F4620" s="19" t="str">
        <f>IFERROR(__xludf.DUMMYFUNCTION("""COMPUTED_VALUE"""),"BLUE")</f>
        <v>BLUE</v>
      </c>
      <c r="G4620" s="20" t="str">
        <f>IFERROR(__xludf.DUMMYFUNCTION("""COMPUTED_VALUE"""),"Uncle Sams Cider (11/12/2021) (Blue)")</f>
        <v>Uncle Sams Cider (11/12/2021) (Blue)</v>
      </c>
      <c r="H4620" s="19"/>
    </row>
    <row r="4621">
      <c r="A4621" s="9"/>
      <c r="B4621" s="15"/>
      <c r="C4621" s="9">
        <f>IFERROR(__xludf.DUMMYFUNCTION("""COMPUTED_VALUE"""),44557.0614211574)</f>
        <v>44557.06142</v>
      </c>
      <c r="D4621" s="15">
        <f>IFERROR(__xludf.DUMMYFUNCTION("""COMPUTED_VALUE"""),1.009)</f>
        <v>1.009</v>
      </c>
      <c r="E4621" s="16">
        <f>IFERROR(__xludf.DUMMYFUNCTION("""COMPUTED_VALUE"""),64.0)</f>
        <v>64</v>
      </c>
      <c r="F4621" s="19" t="str">
        <f>IFERROR(__xludf.DUMMYFUNCTION("""COMPUTED_VALUE"""),"BLUE")</f>
        <v>BLUE</v>
      </c>
      <c r="G4621" s="20" t="str">
        <f>IFERROR(__xludf.DUMMYFUNCTION("""COMPUTED_VALUE"""),"Uncle Sams Cider (11/12/2021) (Blue)")</f>
        <v>Uncle Sams Cider (11/12/2021) (Blue)</v>
      </c>
      <c r="H4621" s="19"/>
    </row>
    <row r="4622">
      <c r="A4622" s="9"/>
      <c r="B4622" s="15"/>
      <c r="C4622" s="9">
        <f>IFERROR(__xludf.DUMMYFUNCTION("""COMPUTED_VALUE"""),44557.0509999652)</f>
        <v>44557.051</v>
      </c>
      <c r="D4622" s="15">
        <f>IFERROR(__xludf.DUMMYFUNCTION("""COMPUTED_VALUE"""),1.009)</f>
        <v>1.009</v>
      </c>
      <c r="E4622" s="16">
        <f>IFERROR(__xludf.DUMMYFUNCTION("""COMPUTED_VALUE"""),64.0)</f>
        <v>64</v>
      </c>
      <c r="F4622" s="19" t="str">
        <f>IFERROR(__xludf.DUMMYFUNCTION("""COMPUTED_VALUE"""),"BLUE")</f>
        <v>BLUE</v>
      </c>
      <c r="G4622" s="20" t="str">
        <f>IFERROR(__xludf.DUMMYFUNCTION("""COMPUTED_VALUE"""),"Uncle Sams Cider (11/12/2021) (Blue)")</f>
        <v>Uncle Sams Cider (11/12/2021) (Blue)</v>
      </c>
      <c r="H4622" s="19"/>
    </row>
    <row r="4623">
      <c r="A4623" s="9"/>
      <c r="B4623" s="15"/>
      <c r="C4623" s="9">
        <f>IFERROR(__xludf.DUMMYFUNCTION("""COMPUTED_VALUE"""),44557.0405691782)</f>
        <v>44557.04057</v>
      </c>
      <c r="D4623" s="15">
        <f>IFERROR(__xludf.DUMMYFUNCTION("""COMPUTED_VALUE"""),1.009)</f>
        <v>1.009</v>
      </c>
      <c r="E4623" s="16">
        <f>IFERROR(__xludf.DUMMYFUNCTION("""COMPUTED_VALUE"""),64.0)</f>
        <v>64</v>
      </c>
      <c r="F4623" s="19" t="str">
        <f>IFERROR(__xludf.DUMMYFUNCTION("""COMPUTED_VALUE"""),"BLUE")</f>
        <v>BLUE</v>
      </c>
      <c r="G4623" s="20" t="str">
        <f>IFERROR(__xludf.DUMMYFUNCTION("""COMPUTED_VALUE"""),"Uncle Sams Cider (11/12/2021) (Blue)")</f>
        <v>Uncle Sams Cider (11/12/2021) (Blue)</v>
      </c>
      <c r="H4623" s="19"/>
    </row>
    <row r="4624">
      <c r="A4624" s="9"/>
      <c r="B4624" s="15"/>
      <c r="C4624" s="9">
        <f>IFERROR(__xludf.DUMMYFUNCTION("""COMPUTED_VALUE"""),44557.0301481712)</f>
        <v>44557.03015</v>
      </c>
      <c r="D4624" s="15">
        <f>IFERROR(__xludf.DUMMYFUNCTION("""COMPUTED_VALUE"""),1.009)</f>
        <v>1.009</v>
      </c>
      <c r="E4624" s="16">
        <f>IFERROR(__xludf.DUMMYFUNCTION("""COMPUTED_VALUE"""),64.0)</f>
        <v>64</v>
      </c>
      <c r="F4624" s="19" t="str">
        <f>IFERROR(__xludf.DUMMYFUNCTION("""COMPUTED_VALUE"""),"BLUE")</f>
        <v>BLUE</v>
      </c>
      <c r="G4624" s="20" t="str">
        <f>IFERROR(__xludf.DUMMYFUNCTION("""COMPUTED_VALUE"""),"Uncle Sams Cider (11/12/2021) (Blue)")</f>
        <v>Uncle Sams Cider (11/12/2021) (Blue)</v>
      </c>
      <c r="H4624" s="19"/>
    </row>
    <row r="4625">
      <c r="A4625" s="9"/>
      <c r="B4625" s="15"/>
      <c r="C4625" s="9">
        <f>IFERROR(__xludf.DUMMYFUNCTION("""COMPUTED_VALUE"""),44557.0197281597)</f>
        <v>44557.01973</v>
      </c>
      <c r="D4625" s="15">
        <f>IFERROR(__xludf.DUMMYFUNCTION("""COMPUTED_VALUE"""),1.009)</f>
        <v>1.009</v>
      </c>
      <c r="E4625" s="16">
        <f>IFERROR(__xludf.DUMMYFUNCTION("""COMPUTED_VALUE"""),64.0)</f>
        <v>64</v>
      </c>
      <c r="F4625" s="19" t="str">
        <f>IFERROR(__xludf.DUMMYFUNCTION("""COMPUTED_VALUE"""),"BLUE")</f>
        <v>BLUE</v>
      </c>
      <c r="G4625" s="20" t="str">
        <f>IFERROR(__xludf.DUMMYFUNCTION("""COMPUTED_VALUE"""),"Uncle Sams Cider (11/12/2021) (Blue)")</f>
        <v>Uncle Sams Cider (11/12/2021) (Blue)</v>
      </c>
      <c r="H4625" s="19"/>
    </row>
    <row r="4626">
      <c r="A4626" s="9"/>
      <c r="B4626" s="15"/>
      <c r="C4626" s="9">
        <f>IFERROR(__xludf.DUMMYFUNCTION("""COMPUTED_VALUE"""),44557.0093073263)</f>
        <v>44557.00931</v>
      </c>
      <c r="D4626" s="15">
        <f>IFERROR(__xludf.DUMMYFUNCTION("""COMPUTED_VALUE"""),1.009)</f>
        <v>1.009</v>
      </c>
      <c r="E4626" s="16">
        <f>IFERROR(__xludf.DUMMYFUNCTION("""COMPUTED_VALUE"""),64.0)</f>
        <v>64</v>
      </c>
      <c r="F4626" s="19" t="str">
        <f>IFERROR(__xludf.DUMMYFUNCTION("""COMPUTED_VALUE"""),"BLUE")</f>
        <v>BLUE</v>
      </c>
      <c r="G4626" s="20" t="str">
        <f>IFERROR(__xludf.DUMMYFUNCTION("""COMPUTED_VALUE"""),"Uncle Sams Cider (11/12/2021) (Blue)")</f>
        <v>Uncle Sams Cider (11/12/2021) (Blue)</v>
      </c>
      <c r="H4626" s="19"/>
    </row>
    <row r="4627">
      <c r="A4627" s="9"/>
      <c r="B4627" s="15"/>
      <c r="C4627" s="9">
        <f>IFERROR(__xludf.DUMMYFUNCTION("""COMPUTED_VALUE"""),44556.9988869097)</f>
        <v>44556.99889</v>
      </c>
      <c r="D4627" s="15">
        <f>IFERROR(__xludf.DUMMYFUNCTION("""COMPUTED_VALUE"""),1.009)</f>
        <v>1.009</v>
      </c>
      <c r="E4627" s="16">
        <f>IFERROR(__xludf.DUMMYFUNCTION("""COMPUTED_VALUE"""),64.0)</f>
        <v>64</v>
      </c>
      <c r="F4627" s="19" t="str">
        <f>IFERROR(__xludf.DUMMYFUNCTION("""COMPUTED_VALUE"""),"BLUE")</f>
        <v>BLUE</v>
      </c>
      <c r="G4627" s="20" t="str">
        <f>IFERROR(__xludf.DUMMYFUNCTION("""COMPUTED_VALUE"""),"Uncle Sams Cider (11/12/2021) (Blue)")</f>
        <v>Uncle Sams Cider (11/12/2021) (Blue)</v>
      </c>
      <c r="H4627" s="19"/>
    </row>
    <row r="4628">
      <c r="A4628" s="9"/>
      <c r="B4628" s="15"/>
      <c r="C4628" s="9">
        <f>IFERROR(__xludf.DUMMYFUNCTION("""COMPUTED_VALUE"""),44556.9884546412)</f>
        <v>44556.98845</v>
      </c>
      <c r="D4628" s="15">
        <f>IFERROR(__xludf.DUMMYFUNCTION("""COMPUTED_VALUE"""),1.009)</f>
        <v>1.009</v>
      </c>
      <c r="E4628" s="16">
        <f>IFERROR(__xludf.DUMMYFUNCTION("""COMPUTED_VALUE"""),64.0)</f>
        <v>64</v>
      </c>
      <c r="F4628" s="19" t="str">
        <f>IFERROR(__xludf.DUMMYFUNCTION("""COMPUTED_VALUE"""),"BLUE")</f>
        <v>BLUE</v>
      </c>
      <c r="G4628" s="20" t="str">
        <f>IFERROR(__xludf.DUMMYFUNCTION("""COMPUTED_VALUE"""),"Uncle Sams Cider (11/12/2021) (Blue)")</f>
        <v>Uncle Sams Cider (11/12/2021) (Blue)</v>
      </c>
      <c r="H4628" s="19"/>
    </row>
    <row r="4629">
      <c r="A4629" s="9"/>
      <c r="B4629" s="15"/>
      <c r="C4629" s="9">
        <f>IFERROR(__xludf.DUMMYFUNCTION("""COMPUTED_VALUE"""),44556.9780342592)</f>
        <v>44556.97803</v>
      </c>
      <c r="D4629" s="15">
        <f>IFERROR(__xludf.DUMMYFUNCTION("""COMPUTED_VALUE"""),1.009)</f>
        <v>1.009</v>
      </c>
      <c r="E4629" s="16">
        <f>IFERROR(__xludf.DUMMYFUNCTION("""COMPUTED_VALUE"""),64.0)</f>
        <v>64</v>
      </c>
      <c r="F4629" s="19" t="str">
        <f>IFERROR(__xludf.DUMMYFUNCTION("""COMPUTED_VALUE"""),"BLUE")</f>
        <v>BLUE</v>
      </c>
      <c r="G4629" s="20" t="str">
        <f>IFERROR(__xludf.DUMMYFUNCTION("""COMPUTED_VALUE"""),"Uncle Sams Cider (11/12/2021) (Blue)")</f>
        <v>Uncle Sams Cider (11/12/2021) (Blue)</v>
      </c>
      <c r="H4629" s="19"/>
    </row>
    <row r="4630">
      <c r="A4630" s="9"/>
      <c r="B4630" s="15"/>
      <c r="C4630" s="9">
        <f>IFERROR(__xludf.DUMMYFUNCTION("""COMPUTED_VALUE"""),44556.9676126736)</f>
        <v>44556.96761</v>
      </c>
      <c r="D4630" s="15">
        <f>IFERROR(__xludf.DUMMYFUNCTION("""COMPUTED_VALUE"""),1.009)</f>
        <v>1.009</v>
      </c>
      <c r="E4630" s="16">
        <f>IFERROR(__xludf.DUMMYFUNCTION("""COMPUTED_VALUE"""),64.0)</f>
        <v>64</v>
      </c>
      <c r="F4630" s="19" t="str">
        <f>IFERROR(__xludf.DUMMYFUNCTION("""COMPUTED_VALUE"""),"BLUE")</f>
        <v>BLUE</v>
      </c>
      <c r="G4630" s="20" t="str">
        <f>IFERROR(__xludf.DUMMYFUNCTION("""COMPUTED_VALUE"""),"Uncle Sams Cider (11/12/2021) (Blue)")</f>
        <v>Uncle Sams Cider (11/12/2021) (Blue)</v>
      </c>
      <c r="H4630" s="19"/>
    </row>
    <row r="4631">
      <c r="A4631" s="9"/>
      <c r="B4631" s="15"/>
      <c r="C4631" s="9">
        <f>IFERROR(__xludf.DUMMYFUNCTION("""COMPUTED_VALUE"""),44556.95718)</f>
        <v>44556.95718</v>
      </c>
      <c r="D4631" s="15">
        <f>IFERROR(__xludf.DUMMYFUNCTION("""COMPUTED_VALUE"""),1.009)</f>
        <v>1.009</v>
      </c>
      <c r="E4631" s="16">
        <f>IFERROR(__xludf.DUMMYFUNCTION("""COMPUTED_VALUE"""),64.0)</f>
        <v>64</v>
      </c>
      <c r="F4631" s="19" t="str">
        <f>IFERROR(__xludf.DUMMYFUNCTION("""COMPUTED_VALUE"""),"BLUE")</f>
        <v>BLUE</v>
      </c>
      <c r="G4631" s="20" t="str">
        <f>IFERROR(__xludf.DUMMYFUNCTION("""COMPUTED_VALUE"""),"Uncle Sams Cider (11/12/2021) (Blue)")</f>
        <v>Uncle Sams Cider (11/12/2021) (Blue)</v>
      </c>
      <c r="H4631" s="19"/>
    </row>
    <row r="4632">
      <c r="A4632" s="9"/>
      <c r="B4632" s="15"/>
      <c r="C4632" s="9">
        <f>IFERROR(__xludf.DUMMYFUNCTION("""COMPUTED_VALUE"""),44556.9467562268)</f>
        <v>44556.94676</v>
      </c>
      <c r="D4632" s="15">
        <f>IFERROR(__xludf.DUMMYFUNCTION("""COMPUTED_VALUE"""),1.009)</f>
        <v>1.009</v>
      </c>
      <c r="E4632" s="16">
        <f>IFERROR(__xludf.DUMMYFUNCTION("""COMPUTED_VALUE"""),64.0)</f>
        <v>64</v>
      </c>
      <c r="F4632" s="19" t="str">
        <f>IFERROR(__xludf.DUMMYFUNCTION("""COMPUTED_VALUE"""),"BLUE")</f>
        <v>BLUE</v>
      </c>
      <c r="G4632" s="20" t="str">
        <f>IFERROR(__xludf.DUMMYFUNCTION("""COMPUTED_VALUE"""),"Uncle Sams Cider (11/12/2021) (Blue)")</f>
        <v>Uncle Sams Cider (11/12/2021) (Blue)</v>
      </c>
      <c r="H4632" s="19"/>
    </row>
    <row r="4633">
      <c r="A4633" s="9"/>
      <c r="B4633" s="15"/>
      <c r="C4633" s="9">
        <f>IFERROR(__xludf.DUMMYFUNCTION("""COMPUTED_VALUE"""),44556.9363366435)</f>
        <v>44556.93634</v>
      </c>
      <c r="D4633" s="15">
        <f>IFERROR(__xludf.DUMMYFUNCTION("""COMPUTED_VALUE"""),1.009)</f>
        <v>1.009</v>
      </c>
      <c r="E4633" s="16">
        <f>IFERROR(__xludf.DUMMYFUNCTION("""COMPUTED_VALUE"""),64.0)</f>
        <v>64</v>
      </c>
      <c r="F4633" s="19" t="str">
        <f>IFERROR(__xludf.DUMMYFUNCTION("""COMPUTED_VALUE"""),"BLUE")</f>
        <v>BLUE</v>
      </c>
      <c r="G4633" s="20" t="str">
        <f>IFERROR(__xludf.DUMMYFUNCTION("""COMPUTED_VALUE"""),"Uncle Sams Cider (11/12/2021) (Blue)")</f>
        <v>Uncle Sams Cider (11/12/2021) (Blue)</v>
      </c>
      <c r="H4633" s="19"/>
    </row>
    <row r="4634">
      <c r="A4634" s="9"/>
      <c r="B4634" s="15"/>
      <c r="C4634" s="9">
        <f>IFERROR(__xludf.DUMMYFUNCTION("""COMPUTED_VALUE"""),44556.9259148148)</f>
        <v>44556.92591</v>
      </c>
      <c r="D4634" s="15">
        <f>IFERROR(__xludf.DUMMYFUNCTION("""COMPUTED_VALUE"""),1.009)</f>
        <v>1.009</v>
      </c>
      <c r="E4634" s="16">
        <f>IFERROR(__xludf.DUMMYFUNCTION("""COMPUTED_VALUE"""),64.0)</f>
        <v>64</v>
      </c>
      <c r="F4634" s="19" t="str">
        <f>IFERROR(__xludf.DUMMYFUNCTION("""COMPUTED_VALUE"""),"BLUE")</f>
        <v>BLUE</v>
      </c>
      <c r="G4634" s="20" t="str">
        <f>IFERROR(__xludf.DUMMYFUNCTION("""COMPUTED_VALUE"""),"Uncle Sams Cider (11/12/2021) (Blue)")</f>
        <v>Uncle Sams Cider (11/12/2021) (Blue)</v>
      </c>
      <c r="H4634" s="19"/>
    </row>
    <row r="4635">
      <c r="A4635" s="9"/>
      <c r="B4635" s="15"/>
      <c r="C4635" s="9">
        <f>IFERROR(__xludf.DUMMYFUNCTION("""COMPUTED_VALUE"""),44556.9154935416)</f>
        <v>44556.91549</v>
      </c>
      <c r="D4635" s="15">
        <f>IFERROR(__xludf.DUMMYFUNCTION("""COMPUTED_VALUE"""),1.009)</f>
        <v>1.009</v>
      </c>
      <c r="E4635" s="16">
        <f>IFERROR(__xludf.DUMMYFUNCTION("""COMPUTED_VALUE"""),64.0)</f>
        <v>64</v>
      </c>
      <c r="F4635" s="19" t="str">
        <f>IFERROR(__xludf.DUMMYFUNCTION("""COMPUTED_VALUE"""),"BLUE")</f>
        <v>BLUE</v>
      </c>
      <c r="G4635" s="20" t="str">
        <f>IFERROR(__xludf.DUMMYFUNCTION("""COMPUTED_VALUE"""),"Uncle Sams Cider (11/12/2021) (Blue)")</f>
        <v>Uncle Sams Cider (11/12/2021) (Blue)</v>
      </c>
      <c r="H4635" s="19"/>
    </row>
    <row r="4636">
      <c r="A4636" s="9"/>
      <c r="B4636" s="15"/>
      <c r="C4636" s="9">
        <f>IFERROR(__xludf.DUMMYFUNCTION("""COMPUTED_VALUE"""),44556.9050737152)</f>
        <v>44556.90507</v>
      </c>
      <c r="D4636" s="15">
        <f>IFERROR(__xludf.DUMMYFUNCTION("""COMPUTED_VALUE"""),1.009)</f>
        <v>1.009</v>
      </c>
      <c r="E4636" s="16">
        <f>IFERROR(__xludf.DUMMYFUNCTION("""COMPUTED_VALUE"""),64.0)</f>
        <v>64</v>
      </c>
      <c r="F4636" s="19" t="str">
        <f>IFERROR(__xludf.DUMMYFUNCTION("""COMPUTED_VALUE"""),"BLUE")</f>
        <v>BLUE</v>
      </c>
      <c r="G4636" s="20" t="str">
        <f>IFERROR(__xludf.DUMMYFUNCTION("""COMPUTED_VALUE"""),"Uncle Sams Cider (11/12/2021) (Blue)")</f>
        <v>Uncle Sams Cider (11/12/2021) (Blue)</v>
      </c>
      <c r="H4636" s="19"/>
    </row>
    <row r="4637">
      <c r="A4637" s="9"/>
      <c r="B4637" s="15"/>
      <c r="C4637" s="9">
        <f>IFERROR(__xludf.DUMMYFUNCTION("""COMPUTED_VALUE"""),44556.8946506828)</f>
        <v>44556.89465</v>
      </c>
      <c r="D4637" s="15">
        <f>IFERROR(__xludf.DUMMYFUNCTION("""COMPUTED_VALUE"""),1.009)</f>
        <v>1.009</v>
      </c>
      <c r="E4637" s="16">
        <f>IFERROR(__xludf.DUMMYFUNCTION("""COMPUTED_VALUE"""),64.0)</f>
        <v>64</v>
      </c>
      <c r="F4637" s="19" t="str">
        <f>IFERROR(__xludf.DUMMYFUNCTION("""COMPUTED_VALUE"""),"BLUE")</f>
        <v>BLUE</v>
      </c>
      <c r="G4637" s="20" t="str">
        <f>IFERROR(__xludf.DUMMYFUNCTION("""COMPUTED_VALUE"""),"Uncle Sams Cider (11/12/2021) (Blue)")</f>
        <v>Uncle Sams Cider (11/12/2021) (Blue)</v>
      </c>
      <c r="H4637" s="19"/>
    </row>
    <row r="4638">
      <c r="A4638" s="9"/>
      <c r="B4638" s="15"/>
      <c r="C4638" s="9">
        <f>IFERROR(__xludf.DUMMYFUNCTION("""COMPUTED_VALUE"""),44556.8842298958)</f>
        <v>44556.88423</v>
      </c>
      <c r="D4638" s="15">
        <f>IFERROR(__xludf.DUMMYFUNCTION("""COMPUTED_VALUE"""),1.009)</f>
        <v>1.009</v>
      </c>
      <c r="E4638" s="16">
        <f>IFERROR(__xludf.DUMMYFUNCTION("""COMPUTED_VALUE"""),64.0)</f>
        <v>64</v>
      </c>
      <c r="F4638" s="19" t="str">
        <f>IFERROR(__xludf.DUMMYFUNCTION("""COMPUTED_VALUE"""),"BLUE")</f>
        <v>BLUE</v>
      </c>
      <c r="G4638" s="20" t="str">
        <f>IFERROR(__xludf.DUMMYFUNCTION("""COMPUTED_VALUE"""),"Uncle Sams Cider (11/12/2021) (Blue)")</f>
        <v>Uncle Sams Cider (11/12/2021) (Blue)</v>
      </c>
      <c r="H4638" s="19"/>
    </row>
    <row r="4639">
      <c r="A4639" s="9"/>
      <c r="B4639" s="15"/>
      <c r="C4639" s="9">
        <f>IFERROR(__xludf.DUMMYFUNCTION("""COMPUTED_VALUE"""),44556.8737737615)</f>
        <v>44556.87377</v>
      </c>
      <c r="D4639" s="15">
        <f>IFERROR(__xludf.DUMMYFUNCTION("""COMPUTED_VALUE"""),1.009)</f>
        <v>1.009</v>
      </c>
      <c r="E4639" s="16">
        <f>IFERROR(__xludf.DUMMYFUNCTION("""COMPUTED_VALUE"""),64.0)</f>
        <v>64</v>
      </c>
      <c r="F4639" s="19" t="str">
        <f>IFERROR(__xludf.DUMMYFUNCTION("""COMPUTED_VALUE"""),"BLUE")</f>
        <v>BLUE</v>
      </c>
      <c r="G4639" s="20" t="str">
        <f>IFERROR(__xludf.DUMMYFUNCTION("""COMPUTED_VALUE"""),"Uncle Sams Cider (11/12/2021) (Blue)")</f>
        <v>Uncle Sams Cider (11/12/2021) (Blue)</v>
      </c>
      <c r="H4639" s="19"/>
    </row>
    <row r="4640">
      <c r="A4640" s="9"/>
      <c r="B4640" s="15"/>
      <c r="C4640" s="9">
        <f>IFERROR(__xludf.DUMMYFUNCTION("""COMPUTED_VALUE"""),44556.8633516087)</f>
        <v>44556.86335</v>
      </c>
      <c r="D4640" s="15">
        <f>IFERROR(__xludf.DUMMYFUNCTION("""COMPUTED_VALUE"""),1.009)</f>
        <v>1.009</v>
      </c>
      <c r="E4640" s="16">
        <f>IFERROR(__xludf.DUMMYFUNCTION("""COMPUTED_VALUE"""),64.0)</f>
        <v>64</v>
      </c>
      <c r="F4640" s="19" t="str">
        <f>IFERROR(__xludf.DUMMYFUNCTION("""COMPUTED_VALUE"""),"BLUE")</f>
        <v>BLUE</v>
      </c>
      <c r="G4640" s="20" t="str">
        <f>IFERROR(__xludf.DUMMYFUNCTION("""COMPUTED_VALUE"""),"Uncle Sams Cider (11/12/2021) (Blue)")</f>
        <v>Uncle Sams Cider (11/12/2021) (Blue)</v>
      </c>
      <c r="H4640" s="19"/>
    </row>
    <row r="4641">
      <c r="A4641" s="9"/>
      <c r="B4641" s="15"/>
      <c r="C4641" s="9">
        <f>IFERROR(__xludf.DUMMYFUNCTION("""COMPUTED_VALUE"""),44556.8529210185)</f>
        <v>44556.85292</v>
      </c>
      <c r="D4641" s="15">
        <f>IFERROR(__xludf.DUMMYFUNCTION("""COMPUTED_VALUE"""),1.009)</f>
        <v>1.009</v>
      </c>
      <c r="E4641" s="16">
        <f>IFERROR(__xludf.DUMMYFUNCTION("""COMPUTED_VALUE"""),64.0)</f>
        <v>64</v>
      </c>
      <c r="F4641" s="19" t="str">
        <f>IFERROR(__xludf.DUMMYFUNCTION("""COMPUTED_VALUE"""),"BLUE")</f>
        <v>BLUE</v>
      </c>
      <c r="G4641" s="20" t="str">
        <f>IFERROR(__xludf.DUMMYFUNCTION("""COMPUTED_VALUE"""),"Uncle Sams Cider (11/12/2021) (Blue)")</f>
        <v>Uncle Sams Cider (11/12/2021) (Blue)</v>
      </c>
      <c r="H4641" s="19"/>
    </row>
    <row r="4642">
      <c r="A4642" s="9"/>
      <c r="B4642" s="15"/>
      <c r="C4642" s="9">
        <f>IFERROR(__xludf.DUMMYFUNCTION("""COMPUTED_VALUE"""),44556.8424983912)</f>
        <v>44556.8425</v>
      </c>
      <c r="D4642" s="15">
        <f>IFERROR(__xludf.DUMMYFUNCTION("""COMPUTED_VALUE"""),1.009)</f>
        <v>1.009</v>
      </c>
      <c r="E4642" s="16">
        <f>IFERROR(__xludf.DUMMYFUNCTION("""COMPUTED_VALUE"""),64.0)</f>
        <v>64</v>
      </c>
      <c r="F4642" s="19" t="str">
        <f>IFERROR(__xludf.DUMMYFUNCTION("""COMPUTED_VALUE"""),"BLUE")</f>
        <v>BLUE</v>
      </c>
      <c r="G4642" s="20" t="str">
        <f>IFERROR(__xludf.DUMMYFUNCTION("""COMPUTED_VALUE"""),"Uncle Sams Cider (11/12/2021) (Blue)")</f>
        <v>Uncle Sams Cider (11/12/2021) (Blue)</v>
      </c>
      <c r="H4642" s="19"/>
    </row>
    <row r="4643">
      <c r="A4643" s="9"/>
      <c r="B4643" s="15"/>
      <c r="C4643" s="9">
        <f>IFERROR(__xludf.DUMMYFUNCTION("""COMPUTED_VALUE"""),44556.8320645601)</f>
        <v>44556.83206</v>
      </c>
      <c r="D4643" s="15">
        <f>IFERROR(__xludf.DUMMYFUNCTION("""COMPUTED_VALUE"""),1.009)</f>
        <v>1.009</v>
      </c>
      <c r="E4643" s="16">
        <f>IFERROR(__xludf.DUMMYFUNCTION("""COMPUTED_VALUE"""),64.0)</f>
        <v>64</v>
      </c>
      <c r="F4643" s="19" t="str">
        <f>IFERROR(__xludf.DUMMYFUNCTION("""COMPUTED_VALUE"""),"BLUE")</f>
        <v>BLUE</v>
      </c>
      <c r="G4643" s="20" t="str">
        <f>IFERROR(__xludf.DUMMYFUNCTION("""COMPUTED_VALUE"""),"Uncle Sams Cider (11/12/2021) (Blue)")</f>
        <v>Uncle Sams Cider (11/12/2021) (Blue)</v>
      </c>
      <c r="H4643" s="19"/>
    </row>
    <row r="4644">
      <c r="A4644" s="9"/>
      <c r="B4644" s="15"/>
      <c r="C4644" s="9">
        <f>IFERROR(__xludf.DUMMYFUNCTION("""COMPUTED_VALUE"""),44556.8216194444)</f>
        <v>44556.82162</v>
      </c>
      <c r="D4644" s="15">
        <f>IFERROR(__xludf.DUMMYFUNCTION("""COMPUTED_VALUE"""),1.009)</f>
        <v>1.009</v>
      </c>
      <c r="E4644" s="16">
        <f>IFERROR(__xludf.DUMMYFUNCTION("""COMPUTED_VALUE"""),64.0)</f>
        <v>64</v>
      </c>
      <c r="F4644" s="19" t="str">
        <f>IFERROR(__xludf.DUMMYFUNCTION("""COMPUTED_VALUE"""),"BLUE")</f>
        <v>BLUE</v>
      </c>
      <c r="G4644" s="20" t="str">
        <f>IFERROR(__xludf.DUMMYFUNCTION("""COMPUTED_VALUE"""),"Uncle Sams Cider (11/12/2021) (Blue)")</f>
        <v>Uncle Sams Cider (11/12/2021) (Blue)</v>
      </c>
      <c r="H4644" s="19"/>
    </row>
    <row r="4645">
      <c r="A4645" s="9"/>
      <c r="B4645" s="15"/>
      <c r="C4645" s="9">
        <f>IFERROR(__xludf.DUMMYFUNCTION("""COMPUTED_VALUE"""),44556.8111985648)</f>
        <v>44556.8112</v>
      </c>
      <c r="D4645" s="15">
        <f>IFERROR(__xludf.DUMMYFUNCTION("""COMPUTED_VALUE"""),1.009)</f>
        <v>1.009</v>
      </c>
      <c r="E4645" s="16">
        <f>IFERROR(__xludf.DUMMYFUNCTION("""COMPUTED_VALUE"""),64.0)</f>
        <v>64</v>
      </c>
      <c r="F4645" s="19" t="str">
        <f>IFERROR(__xludf.DUMMYFUNCTION("""COMPUTED_VALUE"""),"BLUE")</f>
        <v>BLUE</v>
      </c>
      <c r="G4645" s="20" t="str">
        <f>IFERROR(__xludf.DUMMYFUNCTION("""COMPUTED_VALUE"""),"Uncle Sams Cider (11/12/2021) (Blue)")</f>
        <v>Uncle Sams Cider (11/12/2021) (Blue)</v>
      </c>
      <c r="H4645" s="19"/>
    </row>
    <row r="4646">
      <c r="A4646" s="9"/>
      <c r="B4646" s="15"/>
      <c r="C4646" s="9">
        <f>IFERROR(__xludf.DUMMYFUNCTION("""COMPUTED_VALUE"""),44556.8007788773)</f>
        <v>44556.80078</v>
      </c>
      <c r="D4646" s="15">
        <f>IFERROR(__xludf.DUMMYFUNCTION("""COMPUTED_VALUE"""),1.009)</f>
        <v>1.009</v>
      </c>
      <c r="E4646" s="16">
        <f>IFERROR(__xludf.DUMMYFUNCTION("""COMPUTED_VALUE"""),64.0)</f>
        <v>64</v>
      </c>
      <c r="F4646" s="19" t="str">
        <f>IFERROR(__xludf.DUMMYFUNCTION("""COMPUTED_VALUE"""),"BLUE")</f>
        <v>BLUE</v>
      </c>
      <c r="G4646" s="20" t="str">
        <f>IFERROR(__xludf.DUMMYFUNCTION("""COMPUTED_VALUE"""),"Uncle Sams Cider (11/12/2021) (Blue)")</f>
        <v>Uncle Sams Cider (11/12/2021) (Blue)</v>
      </c>
      <c r="H4646" s="19"/>
    </row>
    <row r="4647">
      <c r="A4647" s="9"/>
      <c r="B4647" s="15"/>
      <c r="C4647" s="9">
        <f>IFERROR(__xludf.DUMMYFUNCTION("""COMPUTED_VALUE"""),44556.7903573611)</f>
        <v>44556.79036</v>
      </c>
      <c r="D4647" s="15">
        <f>IFERROR(__xludf.DUMMYFUNCTION("""COMPUTED_VALUE"""),1.009)</f>
        <v>1.009</v>
      </c>
      <c r="E4647" s="16">
        <f>IFERROR(__xludf.DUMMYFUNCTION("""COMPUTED_VALUE"""),64.0)</f>
        <v>64</v>
      </c>
      <c r="F4647" s="19" t="str">
        <f>IFERROR(__xludf.DUMMYFUNCTION("""COMPUTED_VALUE"""),"BLUE")</f>
        <v>BLUE</v>
      </c>
      <c r="G4647" s="20" t="str">
        <f>IFERROR(__xludf.DUMMYFUNCTION("""COMPUTED_VALUE"""),"Uncle Sams Cider (11/12/2021) (Blue)")</f>
        <v>Uncle Sams Cider (11/12/2021) (Blue)</v>
      </c>
      <c r="H4647" s="19"/>
    </row>
    <row r="4648">
      <c r="A4648" s="9"/>
      <c r="B4648" s="15"/>
      <c r="C4648" s="9">
        <f>IFERROR(__xludf.DUMMYFUNCTION("""COMPUTED_VALUE"""),44556.7799354629)</f>
        <v>44556.77994</v>
      </c>
      <c r="D4648" s="15">
        <f>IFERROR(__xludf.DUMMYFUNCTION("""COMPUTED_VALUE"""),1.009)</f>
        <v>1.009</v>
      </c>
      <c r="E4648" s="16">
        <f>IFERROR(__xludf.DUMMYFUNCTION("""COMPUTED_VALUE"""),64.0)</f>
        <v>64</v>
      </c>
      <c r="F4648" s="19" t="str">
        <f>IFERROR(__xludf.DUMMYFUNCTION("""COMPUTED_VALUE"""),"BLUE")</f>
        <v>BLUE</v>
      </c>
      <c r="G4648" s="20" t="str">
        <f>IFERROR(__xludf.DUMMYFUNCTION("""COMPUTED_VALUE"""),"Uncle Sams Cider (11/12/2021) (Blue)")</f>
        <v>Uncle Sams Cider (11/12/2021) (Blue)</v>
      </c>
      <c r="H4648" s="19"/>
    </row>
    <row r="4649">
      <c r="A4649" s="9"/>
      <c r="B4649" s="15"/>
      <c r="C4649" s="9">
        <f>IFERROR(__xludf.DUMMYFUNCTION("""COMPUTED_VALUE"""),44556.7695124537)</f>
        <v>44556.76951</v>
      </c>
      <c r="D4649" s="15">
        <f>IFERROR(__xludf.DUMMYFUNCTION("""COMPUTED_VALUE"""),1.009)</f>
        <v>1.009</v>
      </c>
      <c r="E4649" s="16">
        <f>IFERROR(__xludf.DUMMYFUNCTION("""COMPUTED_VALUE"""),64.0)</f>
        <v>64</v>
      </c>
      <c r="F4649" s="19" t="str">
        <f>IFERROR(__xludf.DUMMYFUNCTION("""COMPUTED_VALUE"""),"BLUE")</f>
        <v>BLUE</v>
      </c>
      <c r="G4649" s="20" t="str">
        <f>IFERROR(__xludf.DUMMYFUNCTION("""COMPUTED_VALUE"""),"Uncle Sams Cider (11/12/2021) (Blue)")</f>
        <v>Uncle Sams Cider (11/12/2021) (Blue)</v>
      </c>
      <c r="H4649" s="19"/>
    </row>
    <row r="4650">
      <c r="A4650" s="9"/>
      <c r="B4650" s="15"/>
      <c r="C4650" s="9">
        <f>IFERROR(__xludf.DUMMYFUNCTION("""COMPUTED_VALUE"""),44556.7590911342)</f>
        <v>44556.75909</v>
      </c>
      <c r="D4650" s="15">
        <f>IFERROR(__xludf.DUMMYFUNCTION("""COMPUTED_VALUE"""),1.009)</f>
        <v>1.009</v>
      </c>
      <c r="E4650" s="16">
        <f>IFERROR(__xludf.DUMMYFUNCTION("""COMPUTED_VALUE"""),64.0)</f>
        <v>64</v>
      </c>
      <c r="F4650" s="19" t="str">
        <f>IFERROR(__xludf.DUMMYFUNCTION("""COMPUTED_VALUE"""),"BLUE")</f>
        <v>BLUE</v>
      </c>
      <c r="G4650" s="20" t="str">
        <f>IFERROR(__xludf.DUMMYFUNCTION("""COMPUTED_VALUE"""),"Uncle Sams Cider (11/12/2021) (Blue)")</f>
        <v>Uncle Sams Cider (11/12/2021) (Blue)</v>
      </c>
      <c r="H4650" s="19"/>
    </row>
    <row r="4651">
      <c r="A4651" s="9"/>
      <c r="B4651" s="15"/>
      <c r="C4651" s="9">
        <f>IFERROR(__xludf.DUMMYFUNCTION("""COMPUTED_VALUE"""),44556.7486717476)</f>
        <v>44556.74867</v>
      </c>
      <c r="D4651" s="15">
        <f>IFERROR(__xludf.DUMMYFUNCTION("""COMPUTED_VALUE"""),1.009)</f>
        <v>1.009</v>
      </c>
      <c r="E4651" s="16">
        <f>IFERROR(__xludf.DUMMYFUNCTION("""COMPUTED_VALUE"""),64.0)</f>
        <v>64</v>
      </c>
      <c r="F4651" s="19" t="str">
        <f>IFERROR(__xludf.DUMMYFUNCTION("""COMPUTED_VALUE"""),"BLUE")</f>
        <v>BLUE</v>
      </c>
      <c r="G4651" s="20" t="str">
        <f>IFERROR(__xludf.DUMMYFUNCTION("""COMPUTED_VALUE"""),"Uncle Sams Cider (11/12/2021) (Blue)")</f>
        <v>Uncle Sams Cider (11/12/2021) (Blue)</v>
      </c>
      <c r="H4651" s="19"/>
    </row>
    <row r="4652">
      <c r="A4652" s="9"/>
      <c r="B4652" s="15"/>
      <c r="C4652" s="9">
        <f>IFERROR(__xludf.DUMMYFUNCTION("""COMPUTED_VALUE"""),44556.7382165162)</f>
        <v>44556.73822</v>
      </c>
      <c r="D4652" s="15">
        <f>IFERROR(__xludf.DUMMYFUNCTION("""COMPUTED_VALUE"""),1.009)</f>
        <v>1.009</v>
      </c>
      <c r="E4652" s="16">
        <f>IFERROR(__xludf.DUMMYFUNCTION("""COMPUTED_VALUE"""),64.0)</f>
        <v>64</v>
      </c>
      <c r="F4652" s="19" t="str">
        <f>IFERROR(__xludf.DUMMYFUNCTION("""COMPUTED_VALUE"""),"BLUE")</f>
        <v>BLUE</v>
      </c>
      <c r="G4652" s="20" t="str">
        <f>IFERROR(__xludf.DUMMYFUNCTION("""COMPUTED_VALUE"""),"Uncle Sams Cider (11/12/2021) (Blue)")</f>
        <v>Uncle Sams Cider (11/12/2021) (Blue)</v>
      </c>
      <c r="H4652" s="19"/>
    </row>
    <row r="4653">
      <c r="A4653" s="9"/>
      <c r="B4653" s="15"/>
      <c r="C4653" s="9">
        <f>IFERROR(__xludf.DUMMYFUNCTION("""COMPUTED_VALUE"""),44556.7277959027)</f>
        <v>44556.7278</v>
      </c>
      <c r="D4653" s="15">
        <f>IFERROR(__xludf.DUMMYFUNCTION("""COMPUTED_VALUE"""),1.009)</f>
        <v>1.009</v>
      </c>
      <c r="E4653" s="16">
        <f>IFERROR(__xludf.DUMMYFUNCTION("""COMPUTED_VALUE"""),64.0)</f>
        <v>64</v>
      </c>
      <c r="F4653" s="19" t="str">
        <f>IFERROR(__xludf.DUMMYFUNCTION("""COMPUTED_VALUE"""),"BLUE")</f>
        <v>BLUE</v>
      </c>
      <c r="G4653" s="20" t="str">
        <f>IFERROR(__xludf.DUMMYFUNCTION("""COMPUTED_VALUE"""),"Uncle Sams Cider (11/12/2021) (Blue)")</f>
        <v>Uncle Sams Cider (11/12/2021) (Blue)</v>
      </c>
      <c r="H4653" s="19"/>
    </row>
    <row r="4654">
      <c r="A4654" s="9"/>
      <c r="B4654" s="15"/>
      <c r="C4654" s="9">
        <f>IFERROR(__xludf.DUMMYFUNCTION("""COMPUTED_VALUE"""),44556.7173748842)</f>
        <v>44556.71737</v>
      </c>
      <c r="D4654" s="15">
        <f>IFERROR(__xludf.DUMMYFUNCTION("""COMPUTED_VALUE"""),1.009)</f>
        <v>1.009</v>
      </c>
      <c r="E4654" s="16">
        <f>IFERROR(__xludf.DUMMYFUNCTION("""COMPUTED_VALUE"""),64.0)</f>
        <v>64</v>
      </c>
      <c r="F4654" s="19" t="str">
        <f>IFERROR(__xludf.DUMMYFUNCTION("""COMPUTED_VALUE"""),"BLUE")</f>
        <v>BLUE</v>
      </c>
      <c r="G4654" s="20" t="str">
        <f>IFERROR(__xludf.DUMMYFUNCTION("""COMPUTED_VALUE"""),"Uncle Sams Cider (11/12/2021) (Blue)")</f>
        <v>Uncle Sams Cider (11/12/2021) (Blue)</v>
      </c>
      <c r="H4654" s="19"/>
    </row>
    <row r="4655">
      <c r="A4655" s="9"/>
      <c r="B4655" s="15"/>
      <c r="C4655" s="9">
        <f>IFERROR(__xludf.DUMMYFUNCTION("""COMPUTED_VALUE"""),44556.7069539814)</f>
        <v>44556.70695</v>
      </c>
      <c r="D4655" s="15">
        <f>IFERROR(__xludf.DUMMYFUNCTION("""COMPUTED_VALUE"""),1.009)</f>
        <v>1.009</v>
      </c>
      <c r="E4655" s="16">
        <f>IFERROR(__xludf.DUMMYFUNCTION("""COMPUTED_VALUE"""),64.0)</f>
        <v>64</v>
      </c>
      <c r="F4655" s="19" t="str">
        <f>IFERROR(__xludf.DUMMYFUNCTION("""COMPUTED_VALUE"""),"BLUE")</f>
        <v>BLUE</v>
      </c>
      <c r="G4655" s="20" t="str">
        <f>IFERROR(__xludf.DUMMYFUNCTION("""COMPUTED_VALUE"""),"Uncle Sams Cider (11/12/2021) (Blue)")</f>
        <v>Uncle Sams Cider (11/12/2021) (Blue)</v>
      </c>
      <c r="H4655" s="19"/>
    </row>
    <row r="4656">
      <c r="A4656" s="9"/>
      <c r="B4656" s="15"/>
      <c r="C4656" s="9">
        <f>IFERROR(__xludf.DUMMYFUNCTION("""COMPUTED_VALUE"""),44556.6965320023)</f>
        <v>44556.69653</v>
      </c>
      <c r="D4656" s="15">
        <f>IFERROR(__xludf.DUMMYFUNCTION("""COMPUTED_VALUE"""),1.009)</f>
        <v>1.009</v>
      </c>
      <c r="E4656" s="16">
        <f>IFERROR(__xludf.DUMMYFUNCTION("""COMPUTED_VALUE"""),64.0)</f>
        <v>64</v>
      </c>
      <c r="F4656" s="19" t="str">
        <f>IFERROR(__xludf.DUMMYFUNCTION("""COMPUTED_VALUE"""),"BLUE")</f>
        <v>BLUE</v>
      </c>
      <c r="G4656" s="20" t="str">
        <f>IFERROR(__xludf.DUMMYFUNCTION("""COMPUTED_VALUE"""),"Uncle Sams Cider (11/12/2021) (Blue)")</f>
        <v>Uncle Sams Cider (11/12/2021) (Blue)</v>
      </c>
      <c r="H4656" s="19"/>
    </row>
    <row r="4657">
      <c r="A4657" s="9"/>
      <c r="B4657" s="15"/>
      <c r="C4657" s="9">
        <f>IFERROR(__xludf.DUMMYFUNCTION("""COMPUTED_VALUE"""),44556.6861111458)</f>
        <v>44556.68611</v>
      </c>
      <c r="D4657" s="15">
        <f>IFERROR(__xludf.DUMMYFUNCTION("""COMPUTED_VALUE"""),1.009)</f>
        <v>1.009</v>
      </c>
      <c r="E4657" s="16">
        <f>IFERROR(__xludf.DUMMYFUNCTION("""COMPUTED_VALUE"""),64.0)</f>
        <v>64</v>
      </c>
      <c r="F4657" s="19" t="str">
        <f>IFERROR(__xludf.DUMMYFUNCTION("""COMPUTED_VALUE"""),"BLUE")</f>
        <v>BLUE</v>
      </c>
      <c r="G4657" s="20" t="str">
        <f>IFERROR(__xludf.DUMMYFUNCTION("""COMPUTED_VALUE"""),"Uncle Sams Cider (11/12/2021) (Blue)")</f>
        <v>Uncle Sams Cider (11/12/2021) (Blue)</v>
      </c>
      <c r="H4657" s="19"/>
    </row>
    <row r="4658">
      <c r="A4658" s="9"/>
      <c r="B4658" s="15"/>
      <c r="C4658" s="9">
        <f>IFERROR(__xludf.DUMMYFUNCTION("""COMPUTED_VALUE"""),44556.6756911111)</f>
        <v>44556.67569</v>
      </c>
      <c r="D4658" s="15">
        <f>IFERROR(__xludf.DUMMYFUNCTION("""COMPUTED_VALUE"""),1.009)</f>
        <v>1.009</v>
      </c>
      <c r="E4658" s="16">
        <f>IFERROR(__xludf.DUMMYFUNCTION("""COMPUTED_VALUE"""),64.0)</f>
        <v>64</v>
      </c>
      <c r="F4658" s="19" t="str">
        <f>IFERROR(__xludf.DUMMYFUNCTION("""COMPUTED_VALUE"""),"BLUE")</f>
        <v>BLUE</v>
      </c>
      <c r="G4658" s="20" t="str">
        <f>IFERROR(__xludf.DUMMYFUNCTION("""COMPUTED_VALUE"""),"Uncle Sams Cider (11/12/2021) (Blue)")</f>
        <v>Uncle Sams Cider (11/12/2021) (Blue)</v>
      </c>
      <c r="H4658" s="19"/>
    </row>
    <row r="4659">
      <c r="A4659" s="9"/>
      <c r="B4659" s="15"/>
      <c r="C4659" s="9">
        <f>IFERROR(__xludf.DUMMYFUNCTION("""COMPUTED_VALUE"""),44556.665235706)</f>
        <v>44556.66524</v>
      </c>
      <c r="D4659" s="15">
        <f>IFERROR(__xludf.DUMMYFUNCTION("""COMPUTED_VALUE"""),1.009)</f>
        <v>1.009</v>
      </c>
      <c r="E4659" s="16">
        <f>IFERROR(__xludf.DUMMYFUNCTION("""COMPUTED_VALUE"""),64.0)</f>
        <v>64</v>
      </c>
      <c r="F4659" s="19" t="str">
        <f>IFERROR(__xludf.DUMMYFUNCTION("""COMPUTED_VALUE"""),"BLUE")</f>
        <v>BLUE</v>
      </c>
      <c r="G4659" s="20" t="str">
        <f>IFERROR(__xludf.DUMMYFUNCTION("""COMPUTED_VALUE"""),"Uncle Sams Cider (11/12/2021) (Blue)")</f>
        <v>Uncle Sams Cider (11/12/2021) (Blue)</v>
      </c>
      <c r="H4659" s="19"/>
    </row>
    <row r="4660">
      <c r="A4660" s="9"/>
      <c r="B4660" s="15"/>
      <c r="C4660" s="9">
        <f>IFERROR(__xludf.DUMMYFUNCTION("""COMPUTED_VALUE"""),44556.6548143402)</f>
        <v>44556.65481</v>
      </c>
      <c r="D4660" s="15">
        <f>IFERROR(__xludf.DUMMYFUNCTION("""COMPUTED_VALUE"""),1.009)</f>
        <v>1.009</v>
      </c>
      <c r="E4660" s="16">
        <f>IFERROR(__xludf.DUMMYFUNCTION("""COMPUTED_VALUE"""),64.0)</f>
        <v>64</v>
      </c>
      <c r="F4660" s="19" t="str">
        <f>IFERROR(__xludf.DUMMYFUNCTION("""COMPUTED_VALUE"""),"BLUE")</f>
        <v>BLUE</v>
      </c>
      <c r="G4660" s="20" t="str">
        <f>IFERROR(__xludf.DUMMYFUNCTION("""COMPUTED_VALUE"""),"Uncle Sams Cider (11/12/2021) (Blue)")</f>
        <v>Uncle Sams Cider (11/12/2021) (Blue)</v>
      </c>
      <c r="H4660" s="19"/>
    </row>
    <row r="4661">
      <c r="A4661" s="9"/>
      <c r="B4661" s="15"/>
      <c r="C4661" s="9">
        <f>IFERROR(__xludf.DUMMYFUNCTION("""COMPUTED_VALUE"""),44556.6443925347)</f>
        <v>44556.64439</v>
      </c>
      <c r="D4661" s="15">
        <f>IFERROR(__xludf.DUMMYFUNCTION("""COMPUTED_VALUE"""),1.009)</f>
        <v>1.009</v>
      </c>
      <c r="E4661" s="16">
        <f>IFERROR(__xludf.DUMMYFUNCTION("""COMPUTED_VALUE"""),64.0)</f>
        <v>64</v>
      </c>
      <c r="F4661" s="19" t="str">
        <f>IFERROR(__xludf.DUMMYFUNCTION("""COMPUTED_VALUE"""),"BLUE")</f>
        <v>BLUE</v>
      </c>
      <c r="G4661" s="20" t="str">
        <f>IFERROR(__xludf.DUMMYFUNCTION("""COMPUTED_VALUE"""),"Uncle Sams Cider (11/12/2021) (Blue)")</f>
        <v>Uncle Sams Cider (11/12/2021) (Blue)</v>
      </c>
      <c r="H4661" s="19"/>
    </row>
    <row r="4662">
      <c r="A4662" s="9"/>
      <c r="B4662" s="15"/>
      <c r="C4662" s="9">
        <f>IFERROR(__xludf.DUMMYFUNCTION("""COMPUTED_VALUE"""),44556.6339718055)</f>
        <v>44556.63397</v>
      </c>
      <c r="D4662" s="15">
        <f>IFERROR(__xludf.DUMMYFUNCTION("""COMPUTED_VALUE"""),1.009)</f>
        <v>1.009</v>
      </c>
      <c r="E4662" s="16">
        <f>IFERROR(__xludf.DUMMYFUNCTION("""COMPUTED_VALUE"""),64.0)</f>
        <v>64</v>
      </c>
      <c r="F4662" s="19" t="str">
        <f>IFERROR(__xludf.DUMMYFUNCTION("""COMPUTED_VALUE"""),"BLUE")</f>
        <v>BLUE</v>
      </c>
      <c r="G4662" s="20" t="str">
        <f>IFERROR(__xludf.DUMMYFUNCTION("""COMPUTED_VALUE"""),"Uncle Sams Cider (11/12/2021) (Blue)")</f>
        <v>Uncle Sams Cider (11/12/2021) (Blue)</v>
      </c>
      <c r="H4662" s="19"/>
    </row>
    <row r="4663">
      <c r="A4663" s="9"/>
      <c r="B4663" s="15"/>
      <c r="C4663" s="9">
        <f>IFERROR(__xludf.DUMMYFUNCTION("""COMPUTED_VALUE"""),44556.6235508796)</f>
        <v>44556.62355</v>
      </c>
      <c r="D4663" s="15">
        <f>IFERROR(__xludf.DUMMYFUNCTION("""COMPUTED_VALUE"""),1.009)</f>
        <v>1.009</v>
      </c>
      <c r="E4663" s="16">
        <f>IFERROR(__xludf.DUMMYFUNCTION("""COMPUTED_VALUE"""),64.0)</f>
        <v>64</v>
      </c>
      <c r="F4663" s="19" t="str">
        <f>IFERROR(__xludf.DUMMYFUNCTION("""COMPUTED_VALUE"""),"BLUE")</f>
        <v>BLUE</v>
      </c>
      <c r="G4663" s="20" t="str">
        <f>IFERROR(__xludf.DUMMYFUNCTION("""COMPUTED_VALUE"""),"Uncle Sams Cider (11/12/2021) (Blue)")</f>
        <v>Uncle Sams Cider (11/12/2021) (Blue)</v>
      </c>
      <c r="H4663" s="19"/>
    </row>
    <row r="4664">
      <c r="A4664" s="9"/>
      <c r="B4664" s="15"/>
      <c r="C4664" s="9">
        <f>IFERROR(__xludf.DUMMYFUNCTION("""COMPUTED_VALUE"""),44556.6131294675)</f>
        <v>44556.61313</v>
      </c>
      <c r="D4664" s="15">
        <f>IFERROR(__xludf.DUMMYFUNCTION("""COMPUTED_VALUE"""),1.009)</f>
        <v>1.009</v>
      </c>
      <c r="E4664" s="16">
        <f>IFERROR(__xludf.DUMMYFUNCTION("""COMPUTED_VALUE"""),64.0)</f>
        <v>64</v>
      </c>
      <c r="F4664" s="19" t="str">
        <f>IFERROR(__xludf.DUMMYFUNCTION("""COMPUTED_VALUE"""),"BLUE")</f>
        <v>BLUE</v>
      </c>
      <c r="G4664" s="20" t="str">
        <f>IFERROR(__xludf.DUMMYFUNCTION("""COMPUTED_VALUE"""),"Uncle Sams Cider (11/12/2021) (Blue)")</f>
        <v>Uncle Sams Cider (11/12/2021) (Blue)</v>
      </c>
      <c r="H4664" s="19"/>
    </row>
    <row r="4665">
      <c r="A4665" s="9"/>
      <c r="B4665" s="15"/>
      <c r="C4665" s="9">
        <f>IFERROR(__xludf.DUMMYFUNCTION("""COMPUTED_VALUE"""),44556.6027072338)</f>
        <v>44556.60271</v>
      </c>
      <c r="D4665" s="15">
        <f>IFERROR(__xludf.DUMMYFUNCTION("""COMPUTED_VALUE"""),1.009)</f>
        <v>1.009</v>
      </c>
      <c r="E4665" s="16">
        <f>IFERROR(__xludf.DUMMYFUNCTION("""COMPUTED_VALUE"""),64.0)</f>
        <v>64</v>
      </c>
      <c r="F4665" s="19" t="str">
        <f>IFERROR(__xludf.DUMMYFUNCTION("""COMPUTED_VALUE"""),"BLUE")</f>
        <v>BLUE</v>
      </c>
      <c r="G4665" s="20" t="str">
        <f>IFERROR(__xludf.DUMMYFUNCTION("""COMPUTED_VALUE"""),"Uncle Sams Cider (11/12/2021) (Blue)")</f>
        <v>Uncle Sams Cider (11/12/2021) (Blue)</v>
      </c>
      <c r="H4665" s="19"/>
    </row>
    <row r="4666">
      <c r="A4666" s="9"/>
      <c r="B4666" s="15"/>
      <c r="C4666" s="9">
        <f>IFERROR(__xludf.DUMMYFUNCTION("""COMPUTED_VALUE"""),44556.5922863078)</f>
        <v>44556.59229</v>
      </c>
      <c r="D4666" s="15">
        <f>IFERROR(__xludf.DUMMYFUNCTION("""COMPUTED_VALUE"""),1.009)</f>
        <v>1.009</v>
      </c>
      <c r="E4666" s="16">
        <f>IFERROR(__xludf.DUMMYFUNCTION("""COMPUTED_VALUE"""),64.0)</f>
        <v>64</v>
      </c>
      <c r="F4666" s="19" t="str">
        <f>IFERROR(__xludf.DUMMYFUNCTION("""COMPUTED_VALUE"""),"BLUE")</f>
        <v>BLUE</v>
      </c>
      <c r="G4666" s="20" t="str">
        <f>IFERROR(__xludf.DUMMYFUNCTION("""COMPUTED_VALUE"""),"Uncle Sams Cider (11/12/2021) (Blue)")</f>
        <v>Uncle Sams Cider (11/12/2021) (Blue)</v>
      </c>
      <c r="H4666" s="19"/>
    </row>
    <row r="4667">
      <c r="A4667" s="9"/>
      <c r="B4667" s="15"/>
      <c r="C4667" s="9">
        <f>IFERROR(__xludf.DUMMYFUNCTION("""COMPUTED_VALUE"""),44556.5818661458)</f>
        <v>44556.58187</v>
      </c>
      <c r="D4667" s="15">
        <f>IFERROR(__xludf.DUMMYFUNCTION("""COMPUTED_VALUE"""),1.009)</f>
        <v>1.009</v>
      </c>
      <c r="E4667" s="16">
        <f>IFERROR(__xludf.DUMMYFUNCTION("""COMPUTED_VALUE"""),64.0)</f>
        <v>64</v>
      </c>
      <c r="F4667" s="19" t="str">
        <f>IFERROR(__xludf.DUMMYFUNCTION("""COMPUTED_VALUE"""),"BLUE")</f>
        <v>BLUE</v>
      </c>
      <c r="G4667" s="20" t="str">
        <f>IFERROR(__xludf.DUMMYFUNCTION("""COMPUTED_VALUE"""),"Uncle Sams Cider (11/12/2021) (Blue)")</f>
        <v>Uncle Sams Cider (11/12/2021) (Blue)</v>
      </c>
      <c r="H4667" s="19"/>
    </row>
    <row r="4668">
      <c r="A4668" s="9"/>
      <c r="B4668" s="15"/>
      <c r="C4668" s="9">
        <f>IFERROR(__xludf.DUMMYFUNCTION("""COMPUTED_VALUE"""),44556.5714430671)</f>
        <v>44556.57144</v>
      </c>
      <c r="D4668" s="15">
        <f>IFERROR(__xludf.DUMMYFUNCTION("""COMPUTED_VALUE"""),1.009)</f>
        <v>1.009</v>
      </c>
      <c r="E4668" s="16">
        <f>IFERROR(__xludf.DUMMYFUNCTION("""COMPUTED_VALUE"""),64.0)</f>
        <v>64</v>
      </c>
      <c r="F4668" s="19" t="str">
        <f>IFERROR(__xludf.DUMMYFUNCTION("""COMPUTED_VALUE"""),"BLUE")</f>
        <v>BLUE</v>
      </c>
      <c r="G4668" s="20" t="str">
        <f>IFERROR(__xludf.DUMMYFUNCTION("""COMPUTED_VALUE"""),"Uncle Sams Cider (11/12/2021) (Blue)")</f>
        <v>Uncle Sams Cider (11/12/2021) (Blue)</v>
      </c>
      <c r="H4668" s="19"/>
    </row>
    <row r="4669">
      <c r="A4669" s="9"/>
      <c r="B4669" s="15"/>
      <c r="C4669" s="9">
        <f>IFERROR(__xludf.DUMMYFUNCTION("""COMPUTED_VALUE"""),44556.5609977314)</f>
        <v>44556.561</v>
      </c>
      <c r="D4669" s="15">
        <f>IFERROR(__xludf.DUMMYFUNCTION("""COMPUTED_VALUE"""),1.009)</f>
        <v>1.009</v>
      </c>
      <c r="E4669" s="16">
        <f>IFERROR(__xludf.DUMMYFUNCTION("""COMPUTED_VALUE"""),64.0)</f>
        <v>64</v>
      </c>
      <c r="F4669" s="19" t="str">
        <f>IFERROR(__xludf.DUMMYFUNCTION("""COMPUTED_VALUE"""),"BLUE")</f>
        <v>BLUE</v>
      </c>
      <c r="G4669" s="20" t="str">
        <f>IFERROR(__xludf.DUMMYFUNCTION("""COMPUTED_VALUE"""),"Uncle Sams Cider (11/12/2021) (Blue)")</f>
        <v>Uncle Sams Cider (11/12/2021) (Blue)</v>
      </c>
      <c r="H4669" s="19"/>
    </row>
    <row r="4670">
      <c r="A4670" s="9"/>
      <c r="B4670" s="15"/>
      <c r="C4670" s="9">
        <f>IFERROR(__xludf.DUMMYFUNCTION("""COMPUTED_VALUE"""),44556.5505677893)</f>
        <v>44556.55057</v>
      </c>
      <c r="D4670" s="15">
        <f>IFERROR(__xludf.DUMMYFUNCTION("""COMPUTED_VALUE"""),1.009)</f>
        <v>1.009</v>
      </c>
      <c r="E4670" s="16">
        <f>IFERROR(__xludf.DUMMYFUNCTION("""COMPUTED_VALUE"""),64.0)</f>
        <v>64</v>
      </c>
      <c r="F4670" s="19" t="str">
        <f>IFERROR(__xludf.DUMMYFUNCTION("""COMPUTED_VALUE"""),"BLUE")</f>
        <v>BLUE</v>
      </c>
      <c r="G4670" s="20" t="str">
        <f>IFERROR(__xludf.DUMMYFUNCTION("""COMPUTED_VALUE"""),"Uncle Sams Cider (11/12/2021) (Blue)")</f>
        <v>Uncle Sams Cider (11/12/2021) (Blue)</v>
      </c>
      <c r="H4670" s="19"/>
    </row>
    <row r="4671">
      <c r="A4671" s="9"/>
      <c r="B4671" s="15"/>
      <c r="C4671" s="9">
        <f>IFERROR(__xludf.DUMMYFUNCTION("""COMPUTED_VALUE"""),44556.5401340972)</f>
        <v>44556.54013</v>
      </c>
      <c r="D4671" s="15">
        <f>IFERROR(__xludf.DUMMYFUNCTION("""COMPUTED_VALUE"""),1.009)</f>
        <v>1.009</v>
      </c>
      <c r="E4671" s="16">
        <f>IFERROR(__xludf.DUMMYFUNCTION("""COMPUTED_VALUE"""),64.0)</f>
        <v>64</v>
      </c>
      <c r="F4671" s="19" t="str">
        <f>IFERROR(__xludf.DUMMYFUNCTION("""COMPUTED_VALUE"""),"BLUE")</f>
        <v>BLUE</v>
      </c>
      <c r="G4671" s="20" t="str">
        <f>IFERROR(__xludf.DUMMYFUNCTION("""COMPUTED_VALUE"""),"Uncle Sams Cider (11/12/2021) (Blue)")</f>
        <v>Uncle Sams Cider (11/12/2021) (Blue)</v>
      </c>
      <c r="H4671" s="19"/>
    </row>
    <row r="4672">
      <c r="A4672" s="9"/>
      <c r="B4672" s="15"/>
      <c r="C4672" s="9">
        <f>IFERROR(__xludf.DUMMYFUNCTION("""COMPUTED_VALUE"""),44556.5297125115)</f>
        <v>44556.52971</v>
      </c>
      <c r="D4672" s="15">
        <f>IFERROR(__xludf.DUMMYFUNCTION("""COMPUTED_VALUE"""),1.009)</f>
        <v>1.009</v>
      </c>
      <c r="E4672" s="16">
        <f>IFERROR(__xludf.DUMMYFUNCTION("""COMPUTED_VALUE"""),64.0)</f>
        <v>64</v>
      </c>
      <c r="F4672" s="19" t="str">
        <f>IFERROR(__xludf.DUMMYFUNCTION("""COMPUTED_VALUE"""),"BLUE")</f>
        <v>BLUE</v>
      </c>
      <c r="G4672" s="20" t="str">
        <f>IFERROR(__xludf.DUMMYFUNCTION("""COMPUTED_VALUE"""),"Uncle Sams Cider (11/12/2021) (Blue)")</f>
        <v>Uncle Sams Cider (11/12/2021) (Blue)</v>
      </c>
      <c r="H4672" s="19"/>
    </row>
    <row r="4673">
      <c r="A4673" s="9"/>
      <c r="B4673" s="15"/>
      <c r="C4673" s="9">
        <f>IFERROR(__xludf.DUMMYFUNCTION("""COMPUTED_VALUE"""),44556.5192921064)</f>
        <v>44556.51929</v>
      </c>
      <c r="D4673" s="15">
        <f>IFERROR(__xludf.DUMMYFUNCTION("""COMPUTED_VALUE"""),1.009)</f>
        <v>1.009</v>
      </c>
      <c r="E4673" s="16">
        <f>IFERROR(__xludf.DUMMYFUNCTION("""COMPUTED_VALUE"""),64.0)</f>
        <v>64</v>
      </c>
      <c r="F4673" s="19" t="str">
        <f>IFERROR(__xludf.DUMMYFUNCTION("""COMPUTED_VALUE"""),"BLUE")</f>
        <v>BLUE</v>
      </c>
      <c r="G4673" s="20" t="str">
        <f>IFERROR(__xludf.DUMMYFUNCTION("""COMPUTED_VALUE"""),"Uncle Sams Cider (11/12/2021) (Blue)")</f>
        <v>Uncle Sams Cider (11/12/2021) (Blue)</v>
      </c>
      <c r="H4673" s="19"/>
    </row>
    <row r="4674">
      <c r="A4674" s="9"/>
      <c r="B4674" s="15"/>
      <c r="C4674" s="9">
        <f>IFERROR(__xludf.DUMMYFUNCTION("""COMPUTED_VALUE"""),44556.5088719907)</f>
        <v>44556.50887</v>
      </c>
      <c r="D4674" s="15">
        <f>IFERROR(__xludf.DUMMYFUNCTION("""COMPUTED_VALUE"""),1.009)</f>
        <v>1.009</v>
      </c>
      <c r="E4674" s="16">
        <f>IFERROR(__xludf.DUMMYFUNCTION("""COMPUTED_VALUE"""),64.0)</f>
        <v>64</v>
      </c>
      <c r="F4674" s="19" t="str">
        <f>IFERROR(__xludf.DUMMYFUNCTION("""COMPUTED_VALUE"""),"BLUE")</f>
        <v>BLUE</v>
      </c>
      <c r="G4674" s="20" t="str">
        <f>IFERROR(__xludf.DUMMYFUNCTION("""COMPUTED_VALUE"""),"Uncle Sams Cider (11/12/2021) (Blue)")</f>
        <v>Uncle Sams Cider (11/12/2021) (Blue)</v>
      </c>
      <c r="H4674" s="19"/>
    </row>
    <row r="4675">
      <c r="A4675" s="9"/>
      <c r="B4675" s="15"/>
      <c r="C4675" s="9">
        <f>IFERROR(__xludf.DUMMYFUNCTION("""COMPUTED_VALUE"""),44556.4984509837)</f>
        <v>44556.49845</v>
      </c>
      <c r="D4675" s="15">
        <f>IFERROR(__xludf.DUMMYFUNCTION("""COMPUTED_VALUE"""),1.009)</f>
        <v>1.009</v>
      </c>
      <c r="E4675" s="16">
        <f>IFERROR(__xludf.DUMMYFUNCTION("""COMPUTED_VALUE"""),64.0)</f>
        <v>64</v>
      </c>
      <c r="F4675" s="19" t="str">
        <f>IFERROR(__xludf.DUMMYFUNCTION("""COMPUTED_VALUE"""),"BLUE")</f>
        <v>BLUE</v>
      </c>
      <c r="G4675" s="20" t="str">
        <f>IFERROR(__xludf.DUMMYFUNCTION("""COMPUTED_VALUE"""),"Uncle Sams Cider (11/12/2021) (Blue)")</f>
        <v>Uncle Sams Cider (11/12/2021) (Blue)</v>
      </c>
      <c r="H4675" s="19"/>
    </row>
    <row r="4676">
      <c r="A4676" s="9"/>
      <c r="B4676" s="15"/>
      <c r="C4676" s="9">
        <f>IFERROR(__xludf.DUMMYFUNCTION("""COMPUTED_VALUE"""),44556.4880298379)</f>
        <v>44556.48803</v>
      </c>
      <c r="D4676" s="15">
        <f>IFERROR(__xludf.DUMMYFUNCTION("""COMPUTED_VALUE"""),1.009)</f>
        <v>1.009</v>
      </c>
      <c r="E4676" s="16">
        <f>IFERROR(__xludf.DUMMYFUNCTION("""COMPUTED_VALUE"""),64.0)</f>
        <v>64</v>
      </c>
      <c r="F4676" s="19" t="str">
        <f>IFERROR(__xludf.DUMMYFUNCTION("""COMPUTED_VALUE"""),"BLUE")</f>
        <v>BLUE</v>
      </c>
      <c r="G4676" s="20" t="str">
        <f>IFERROR(__xludf.DUMMYFUNCTION("""COMPUTED_VALUE"""),"Uncle Sams Cider (11/12/2021) (Blue)")</f>
        <v>Uncle Sams Cider (11/12/2021) (Blue)</v>
      </c>
      <c r="H4676" s="19"/>
    </row>
    <row r="4677">
      <c r="A4677" s="9"/>
      <c r="B4677" s="15"/>
      <c r="C4677" s="9">
        <f>IFERROR(__xludf.DUMMYFUNCTION("""COMPUTED_VALUE"""),44556.47760875)</f>
        <v>44556.47761</v>
      </c>
      <c r="D4677" s="15">
        <f>IFERROR(__xludf.DUMMYFUNCTION("""COMPUTED_VALUE"""),1.009)</f>
        <v>1.009</v>
      </c>
      <c r="E4677" s="16">
        <f>IFERROR(__xludf.DUMMYFUNCTION("""COMPUTED_VALUE"""),64.0)</f>
        <v>64</v>
      </c>
      <c r="F4677" s="19" t="str">
        <f>IFERROR(__xludf.DUMMYFUNCTION("""COMPUTED_VALUE"""),"BLUE")</f>
        <v>BLUE</v>
      </c>
      <c r="G4677" s="20" t="str">
        <f>IFERROR(__xludf.DUMMYFUNCTION("""COMPUTED_VALUE"""),"Uncle Sams Cider (11/12/2021) (Blue)")</f>
        <v>Uncle Sams Cider (11/12/2021) (Blue)</v>
      </c>
      <c r="H4677" s="19"/>
    </row>
    <row r="4678">
      <c r="A4678" s="9"/>
      <c r="B4678" s="15"/>
      <c r="C4678" s="9">
        <f>IFERROR(__xludf.DUMMYFUNCTION("""COMPUTED_VALUE"""),44556.4671754745)</f>
        <v>44556.46718</v>
      </c>
      <c r="D4678" s="15">
        <f>IFERROR(__xludf.DUMMYFUNCTION("""COMPUTED_VALUE"""),1.009)</f>
        <v>1.009</v>
      </c>
      <c r="E4678" s="16">
        <f>IFERROR(__xludf.DUMMYFUNCTION("""COMPUTED_VALUE"""),64.0)</f>
        <v>64</v>
      </c>
      <c r="F4678" s="19" t="str">
        <f>IFERROR(__xludf.DUMMYFUNCTION("""COMPUTED_VALUE"""),"BLUE")</f>
        <v>BLUE</v>
      </c>
      <c r="G4678" s="20" t="str">
        <f>IFERROR(__xludf.DUMMYFUNCTION("""COMPUTED_VALUE"""),"Uncle Sams Cider (11/12/2021) (Blue)")</f>
        <v>Uncle Sams Cider (11/12/2021) (Blue)</v>
      </c>
      <c r="H4678" s="19"/>
    </row>
    <row r="4679">
      <c r="A4679" s="9"/>
      <c r="B4679" s="15"/>
      <c r="C4679" s="9">
        <f>IFERROR(__xludf.DUMMYFUNCTION("""COMPUTED_VALUE"""),44556.4567540162)</f>
        <v>44556.45675</v>
      </c>
      <c r="D4679" s="15">
        <f>IFERROR(__xludf.DUMMYFUNCTION("""COMPUTED_VALUE"""),1.009)</f>
        <v>1.009</v>
      </c>
      <c r="E4679" s="16">
        <f>IFERROR(__xludf.DUMMYFUNCTION("""COMPUTED_VALUE"""),64.0)</f>
        <v>64</v>
      </c>
      <c r="F4679" s="19" t="str">
        <f>IFERROR(__xludf.DUMMYFUNCTION("""COMPUTED_VALUE"""),"BLUE")</f>
        <v>BLUE</v>
      </c>
      <c r="G4679" s="20" t="str">
        <f>IFERROR(__xludf.DUMMYFUNCTION("""COMPUTED_VALUE"""),"Uncle Sams Cider (11/12/2021) (Blue)")</f>
        <v>Uncle Sams Cider (11/12/2021) (Blue)</v>
      </c>
      <c r="H4679" s="19"/>
    </row>
    <row r="4680">
      <c r="A4680" s="9"/>
      <c r="B4680" s="15"/>
      <c r="C4680" s="9">
        <f>IFERROR(__xludf.DUMMYFUNCTION("""COMPUTED_VALUE"""),44556.4463306481)</f>
        <v>44556.44633</v>
      </c>
      <c r="D4680" s="15">
        <f>IFERROR(__xludf.DUMMYFUNCTION("""COMPUTED_VALUE"""),1.009)</f>
        <v>1.009</v>
      </c>
      <c r="E4680" s="16">
        <f>IFERROR(__xludf.DUMMYFUNCTION("""COMPUTED_VALUE"""),64.0)</f>
        <v>64</v>
      </c>
      <c r="F4680" s="19" t="str">
        <f>IFERROR(__xludf.DUMMYFUNCTION("""COMPUTED_VALUE"""),"BLUE")</f>
        <v>BLUE</v>
      </c>
      <c r="G4680" s="20" t="str">
        <f>IFERROR(__xludf.DUMMYFUNCTION("""COMPUTED_VALUE"""),"Uncle Sams Cider (11/12/2021) (Blue)")</f>
        <v>Uncle Sams Cider (11/12/2021) (Blue)</v>
      </c>
      <c r="H4680" s="19"/>
    </row>
    <row r="4681">
      <c r="A4681" s="9"/>
      <c r="B4681" s="15"/>
      <c r="C4681" s="9">
        <f>IFERROR(__xludf.DUMMYFUNCTION("""COMPUTED_VALUE"""),44556.4359104282)</f>
        <v>44556.43591</v>
      </c>
      <c r="D4681" s="15">
        <f>IFERROR(__xludf.DUMMYFUNCTION("""COMPUTED_VALUE"""),1.009)</f>
        <v>1.009</v>
      </c>
      <c r="E4681" s="16">
        <f>IFERROR(__xludf.DUMMYFUNCTION("""COMPUTED_VALUE"""),64.0)</f>
        <v>64</v>
      </c>
      <c r="F4681" s="19" t="str">
        <f>IFERROR(__xludf.DUMMYFUNCTION("""COMPUTED_VALUE"""),"BLUE")</f>
        <v>BLUE</v>
      </c>
      <c r="G4681" s="20" t="str">
        <f>IFERROR(__xludf.DUMMYFUNCTION("""COMPUTED_VALUE"""),"Uncle Sams Cider (11/12/2021) (Blue)")</f>
        <v>Uncle Sams Cider (11/12/2021) (Blue)</v>
      </c>
      <c r="H4681" s="19"/>
    </row>
    <row r="4682">
      <c r="A4682" s="9"/>
      <c r="B4682" s="15"/>
      <c r="C4682" s="9">
        <f>IFERROR(__xludf.DUMMYFUNCTION("""COMPUTED_VALUE"""),44556.425490868)</f>
        <v>44556.42549</v>
      </c>
      <c r="D4682" s="15">
        <f>IFERROR(__xludf.DUMMYFUNCTION("""COMPUTED_VALUE"""),1.009)</f>
        <v>1.009</v>
      </c>
      <c r="E4682" s="16">
        <f>IFERROR(__xludf.DUMMYFUNCTION("""COMPUTED_VALUE"""),64.0)</f>
        <v>64</v>
      </c>
      <c r="F4682" s="19" t="str">
        <f>IFERROR(__xludf.DUMMYFUNCTION("""COMPUTED_VALUE"""),"BLUE")</f>
        <v>BLUE</v>
      </c>
      <c r="G4682" s="20" t="str">
        <f>IFERROR(__xludf.DUMMYFUNCTION("""COMPUTED_VALUE"""),"Uncle Sams Cider (11/12/2021) (Blue)")</f>
        <v>Uncle Sams Cider (11/12/2021) (Blue)</v>
      </c>
      <c r="H4682" s="19"/>
    </row>
    <row r="4683">
      <c r="A4683" s="9"/>
      <c r="B4683" s="15"/>
      <c r="C4683" s="9">
        <f>IFERROR(__xludf.DUMMYFUNCTION("""COMPUTED_VALUE"""),44556.4150702199)</f>
        <v>44556.41507</v>
      </c>
      <c r="D4683" s="15">
        <f>IFERROR(__xludf.DUMMYFUNCTION("""COMPUTED_VALUE"""),1.009)</f>
        <v>1.009</v>
      </c>
      <c r="E4683" s="16">
        <f>IFERROR(__xludf.DUMMYFUNCTION("""COMPUTED_VALUE"""),64.0)</f>
        <v>64</v>
      </c>
      <c r="F4683" s="19" t="str">
        <f>IFERROR(__xludf.DUMMYFUNCTION("""COMPUTED_VALUE"""),"BLUE")</f>
        <v>BLUE</v>
      </c>
      <c r="G4683" s="20" t="str">
        <f>IFERROR(__xludf.DUMMYFUNCTION("""COMPUTED_VALUE"""),"Uncle Sams Cider (11/12/2021) (Blue)")</f>
        <v>Uncle Sams Cider (11/12/2021) (Blue)</v>
      </c>
      <c r="H4683" s="19"/>
    </row>
    <row r="4684">
      <c r="A4684" s="9"/>
      <c r="B4684" s="15"/>
      <c r="C4684" s="9">
        <f>IFERROR(__xludf.DUMMYFUNCTION("""COMPUTED_VALUE"""),44556.4046498726)</f>
        <v>44556.40465</v>
      </c>
      <c r="D4684" s="15">
        <f>IFERROR(__xludf.DUMMYFUNCTION("""COMPUTED_VALUE"""),1.009)</f>
        <v>1.009</v>
      </c>
      <c r="E4684" s="16">
        <f>IFERROR(__xludf.DUMMYFUNCTION("""COMPUTED_VALUE"""),64.0)</f>
        <v>64</v>
      </c>
      <c r="F4684" s="19" t="str">
        <f>IFERROR(__xludf.DUMMYFUNCTION("""COMPUTED_VALUE"""),"BLUE")</f>
        <v>BLUE</v>
      </c>
      <c r="G4684" s="20" t="str">
        <f>IFERROR(__xludf.DUMMYFUNCTION("""COMPUTED_VALUE"""),"Uncle Sams Cider (11/12/2021) (Blue)")</f>
        <v>Uncle Sams Cider (11/12/2021) (Blue)</v>
      </c>
      <c r="H4684" s="19"/>
    </row>
    <row r="4685">
      <c r="A4685" s="9"/>
      <c r="B4685" s="15"/>
      <c r="C4685" s="9">
        <f>IFERROR(__xludf.DUMMYFUNCTION("""COMPUTED_VALUE"""),44556.3942294907)</f>
        <v>44556.39423</v>
      </c>
      <c r="D4685" s="15">
        <f>IFERROR(__xludf.DUMMYFUNCTION("""COMPUTED_VALUE"""),1.009)</f>
        <v>1.009</v>
      </c>
      <c r="E4685" s="16">
        <f>IFERROR(__xludf.DUMMYFUNCTION("""COMPUTED_VALUE"""),64.0)</f>
        <v>64</v>
      </c>
      <c r="F4685" s="19" t="str">
        <f>IFERROR(__xludf.DUMMYFUNCTION("""COMPUTED_VALUE"""),"BLUE")</f>
        <v>BLUE</v>
      </c>
      <c r="G4685" s="20" t="str">
        <f>IFERROR(__xludf.DUMMYFUNCTION("""COMPUTED_VALUE"""),"Uncle Sams Cider (11/12/2021) (Blue)")</f>
        <v>Uncle Sams Cider (11/12/2021) (Blue)</v>
      </c>
      <c r="H4685" s="19"/>
    </row>
    <row r="4686">
      <c r="A4686" s="9"/>
      <c r="B4686" s="15"/>
      <c r="C4686" s="9">
        <f>IFERROR(__xludf.DUMMYFUNCTION("""COMPUTED_VALUE"""),44556.3838060069)</f>
        <v>44556.38381</v>
      </c>
      <c r="D4686" s="15">
        <f>IFERROR(__xludf.DUMMYFUNCTION("""COMPUTED_VALUE"""),1.009)</f>
        <v>1.009</v>
      </c>
      <c r="E4686" s="16">
        <f>IFERROR(__xludf.DUMMYFUNCTION("""COMPUTED_VALUE"""),64.0)</f>
        <v>64</v>
      </c>
      <c r="F4686" s="19" t="str">
        <f>IFERROR(__xludf.DUMMYFUNCTION("""COMPUTED_VALUE"""),"BLUE")</f>
        <v>BLUE</v>
      </c>
      <c r="G4686" s="20" t="str">
        <f>IFERROR(__xludf.DUMMYFUNCTION("""COMPUTED_VALUE"""),"Uncle Sams Cider (11/12/2021) (Blue)")</f>
        <v>Uncle Sams Cider (11/12/2021) (Blue)</v>
      </c>
      <c r="H4686" s="19"/>
    </row>
    <row r="4687">
      <c r="A4687" s="9"/>
      <c r="B4687" s="15"/>
      <c r="C4687" s="9">
        <f>IFERROR(__xludf.DUMMYFUNCTION("""COMPUTED_VALUE"""),44556.3733843634)</f>
        <v>44556.37338</v>
      </c>
      <c r="D4687" s="15">
        <f>IFERROR(__xludf.DUMMYFUNCTION("""COMPUTED_VALUE"""),1.009)</f>
        <v>1.009</v>
      </c>
      <c r="E4687" s="16">
        <f>IFERROR(__xludf.DUMMYFUNCTION("""COMPUTED_VALUE"""),64.0)</f>
        <v>64</v>
      </c>
      <c r="F4687" s="19" t="str">
        <f>IFERROR(__xludf.DUMMYFUNCTION("""COMPUTED_VALUE"""),"BLUE")</f>
        <v>BLUE</v>
      </c>
      <c r="G4687" s="20" t="str">
        <f>IFERROR(__xludf.DUMMYFUNCTION("""COMPUTED_VALUE"""),"Uncle Sams Cider (11/12/2021) (Blue)")</f>
        <v>Uncle Sams Cider (11/12/2021) (Blue)</v>
      </c>
      <c r="H4687" s="19"/>
    </row>
    <row r="4688">
      <c r="A4688" s="9"/>
      <c r="B4688" s="15"/>
      <c r="C4688" s="9">
        <f>IFERROR(__xludf.DUMMYFUNCTION("""COMPUTED_VALUE"""),44556.3629635879)</f>
        <v>44556.36296</v>
      </c>
      <c r="D4688" s="15">
        <f>IFERROR(__xludf.DUMMYFUNCTION("""COMPUTED_VALUE"""),1.009)</f>
        <v>1.009</v>
      </c>
      <c r="E4688" s="16">
        <f>IFERROR(__xludf.DUMMYFUNCTION("""COMPUTED_VALUE"""),64.0)</f>
        <v>64</v>
      </c>
      <c r="F4688" s="19" t="str">
        <f>IFERROR(__xludf.DUMMYFUNCTION("""COMPUTED_VALUE"""),"BLUE")</f>
        <v>BLUE</v>
      </c>
      <c r="G4688" s="20" t="str">
        <f>IFERROR(__xludf.DUMMYFUNCTION("""COMPUTED_VALUE"""),"Uncle Sams Cider (11/12/2021) (Blue)")</f>
        <v>Uncle Sams Cider (11/12/2021) (Blue)</v>
      </c>
      <c r="H4688" s="19"/>
    </row>
    <row r="4689">
      <c r="A4689" s="9"/>
      <c r="B4689" s="15"/>
      <c r="C4689" s="9">
        <f>IFERROR(__xludf.DUMMYFUNCTION("""COMPUTED_VALUE"""),44556.3525418402)</f>
        <v>44556.35254</v>
      </c>
      <c r="D4689" s="15">
        <f>IFERROR(__xludf.DUMMYFUNCTION("""COMPUTED_VALUE"""),1.009)</f>
        <v>1.009</v>
      </c>
      <c r="E4689" s="16">
        <f>IFERROR(__xludf.DUMMYFUNCTION("""COMPUTED_VALUE"""),64.0)</f>
        <v>64</v>
      </c>
      <c r="F4689" s="19" t="str">
        <f>IFERROR(__xludf.DUMMYFUNCTION("""COMPUTED_VALUE"""),"BLUE")</f>
        <v>BLUE</v>
      </c>
      <c r="G4689" s="20" t="str">
        <f>IFERROR(__xludf.DUMMYFUNCTION("""COMPUTED_VALUE"""),"Uncle Sams Cider (11/12/2021) (Blue)")</f>
        <v>Uncle Sams Cider (11/12/2021) (Blue)</v>
      </c>
      <c r="H4689" s="19"/>
    </row>
    <row r="4690">
      <c r="A4690" s="9"/>
      <c r="B4690" s="15"/>
      <c r="C4690" s="9">
        <f>IFERROR(__xludf.DUMMYFUNCTION("""COMPUTED_VALUE"""),44556.3421208796)</f>
        <v>44556.34212</v>
      </c>
      <c r="D4690" s="15">
        <f>IFERROR(__xludf.DUMMYFUNCTION("""COMPUTED_VALUE"""),1.009)</f>
        <v>1.009</v>
      </c>
      <c r="E4690" s="16">
        <f>IFERROR(__xludf.DUMMYFUNCTION("""COMPUTED_VALUE"""),64.0)</f>
        <v>64</v>
      </c>
      <c r="F4690" s="19" t="str">
        <f>IFERROR(__xludf.DUMMYFUNCTION("""COMPUTED_VALUE"""),"BLUE")</f>
        <v>BLUE</v>
      </c>
      <c r="G4690" s="20" t="str">
        <f>IFERROR(__xludf.DUMMYFUNCTION("""COMPUTED_VALUE"""),"Uncle Sams Cider (11/12/2021) (Blue)")</f>
        <v>Uncle Sams Cider (11/12/2021) (Blue)</v>
      </c>
      <c r="H4690" s="19"/>
    </row>
    <row r="4691">
      <c r="A4691" s="9"/>
      <c r="B4691" s="15"/>
      <c r="C4691" s="9">
        <f>IFERROR(__xludf.DUMMYFUNCTION("""COMPUTED_VALUE"""),44556.3317011342)</f>
        <v>44556.3317</v>
      </c>
      <c r="D4691" s="15">
        <f>IFERROR(__xludf.DUMMYFUNCTION("""COMPUTED_VALUE"""),1.009)</f>
        <v>1.009</v>
      </c>
      <c r="E4691" s="16">
        <f>IFERROR(__xludf.DUMMYFUNCTION("""COMPUTED_VALUE"""),64.0)</f>
        <v>64</v>
      </c>
      <c r="F4691" s="19" t="str">
        <f>IFERROR(__xludf.DUMMYFUNCTION("""COMPUTED_VALUE"""),"BLUE")</f>
        <v>BLUE</v>
      </c>
      <c r="G4691" s="20" t="str">
        <f>IFERROR(__xludf.DUMMYFUNCTION("""COMPUTED_VALUE"""),"Uncle Sams Cider (11/12/2021) (Blue)")</f>
        <v>Uncle Sams Cider (11/12/2021) (Blue)</v>
      </c>
      <c r="H4691" s="19"/>
    </row>
    <row r="4692">
      <c r="A4692" s="9"/>
      <c r="B4692" s="15"/>
      <c r="C4692" s="9">
        <f>IFERROR(__xludf.DUMMYFUNCTION("""COMPUTED_VALUE"""),44556.3212781134)</f>
        <v>44556.32128</v>
      </c>
      <c r="D4692" s="15">
        <f>IFERROR(__xludf.DUMMYFUNCTION("""COMPUTED_VALUE"""),1.009)</f>
        <v>1.009</v>
      </c>
      <c r="E4692" s="16">
        <f>IFERROR(__xludf.DUMMYFUNCTION("""COMPUTED_VALUE"""),64.0)</f>
        <v>64</v>
      </c>
      <c r="F4692" s="19" t="str">
        <f>IFERROR(__xludf.DUMMYFUNCTION("""COMPUTED_VALUE"""),"BLUE")</f>
        <v>BLUE</v>
      </c>
      <c r="G4692" s="20" t="str">
        <f>IFERROR(__xludf.DUMMYFUNCTION("""COMPUTED_VALUE"""),"Uncle Sams Cider (11/12/2021) (Blue)")</f>
        <v>Uncle Sams Cider (11/12/2021) (Blue)</v>
      </c>
      <c r="H4692" s="19"/>
    </row>
    <row r="4693">
      <c r="A4693" s="9"/>
      <c r="B4693" s="15"/>
      <c r="C4693" s="9">
        <f>IFERROR(__xludf.DUMMYFUNCTION("""COMPUTED_VALUE"""),44556.3108564004)</f>
        <v>44556.31086</v>
      </c>
      <c r="D4693" s="15">
        <f>IFERROR(__xludf.DUMMYFUNCTION("""COMPUTED_VALUE"""),1.009)</f>
        <v>1.009</v>
      </c>
      <c r="E4693" s="16">
        <f>IFERROR(__xludf.DUMMYFUNCTION("""COMPUTED_VALUE"""),64.0)</f>
        <v>64</v>
      </c>
      <c r="F4693" s="19" t="str">
        <f>IFERROR(__xludf.DUMMYFUNCTION("""COMPUTED_VALUE"""),"BLUE")</f>
        <v>BLUE</v>
      </c>
      <c r="G4693" s="20" t="str">
        <f>IFERROR(__xludf.DUMMYFUNCTION("""COMPUTED_VALUE"""),"Uncle Sams Cider (11/12/2021) (Blue)")</f>
        <v>Uncle Sams Cider (11/12/2021) (Blue)</v>
      </c>
      <c r="H4693" s="19"/>
    </row>
    <row r="4694">
      <c r="A4694" s="9"/>
      <c r="B4694" s="15"/>
      <c r="C4694" s="9">
        <f>IFERROR(__xludf.DUMMYFUNCTION("""COMPUTED_VALUE"""),44556.3004361574)</f>
        <v>44556.30044</v>
      </c>
      <c r="D4694" s="15">
        <f>IFERROR(__xludf.DUMMYFUNCTION("""COMPUTED_VALUE"""),1.009)</f>
        <v>1.009</v>
      </c>
      <c r="E4694" s="16">
        <f>IFERROR(__xludf.DUMMYFUNCTION("""COMPUTED_VALUE"""),64.0)</f>
        <v>64</v>
      </c>
      <c r="F4694" s="19" t="str">
        <f>IFERROR(__xludf.DUMMYFUNCTION("""COMPUTED_VALUE"""),"BLUE")</f>
        <v>BLUE</v>
      </c>
      <c r="G4694" s="20" t="str">
        <f>IFERROR(__xludf.DUMMYFUNCTION("""COMPUTED_VALUE"""),"Uncle Sams Cider (11/12/2021) (Blue)")</f>
        <v>Uncle Sams Cider (11/12/2021) (Blue)</v>
      </c>
      <c r="H4694" s="19"/>
    </row>
    <row r="4695">
      <c r="A4695" s="9"/>
      <c r="B4695" s="15"/>
      <c r="C4695" s="9">
        <f>IFERROR(__xludf.DUMMYFUNCTION("""COMPUTED_VALUE"""),44556.2900138194)</f>
        <v>44556.29001</v>
      </c>
      <c r="D4695" s="15">
        <f>IFERROR(__xludf.DUMMYFUNCTION("""COMPUTED_VALUE"""),1.009)</f>
        <v>1.009</v>
      </c>
      <c r="E4695" s="16">
        <f>IFERROR(__xludf.DUMMYFUNCTION("""COMPUTED_VALUE"""),64.0)</f>
        <v>64</v>
      </c>
      <c r="F4695" s="19" t="str">
        <f>IFERROR(__xludf.DUMMYFUNCTION("""COMPUTED_VALUE"""),"BLUE")</f>
        <v>BLUE</v>
      </c>
      <c r="G4695" s="20" t="str">
        <f>IFERROR(__xludf.DUMMYFUNCTION("""COMPUTED_VALUE"""),"Uncle Sams Cider (11/12/2021) (Blue)")</f>
        <v>Uncle Sams Cider (11/12/2021) (Blue)</v>
      </c>
      <c r="H4695" s="19"/>
    </row>
    <row r="4696">
      <c r="A4696" s="9"/>
      <c r="B4696" s="15"/>
      <c r="C4696" s="9">
        <f>IFERROR(__xludf.DUMMYFUNCTION("""COMPUTED_VALUE"""),44556.2795931944)</f>
        <v>44556.27959</v>
      </c>
      <c r="D4696" s="15">
        <f>IFERROR(__xludf.DUMMYFUNCTION("""COMPUTED_VALUE"""),1.009)</f>
        <v>1.009</v>
      </c>
      <c r="E4696" s="16">
        <f>IFERROR(__xludf.DUMMYFUNCTION("""COMPUTED_VALUE"""),64.0)</f>
        <v>64</v>
      </c>
      <c r="F4696" s="19" t="str">
        <f>IFERROR(__xludf.DUMMYFUNCTION("""COMPUTED_VALUE"""),"BLUE")</f>
        <v>BLUE</v>
      </c>
      <c r="G4696" s="20" t="str">
        <f>IFERROR(__xludf.DUMMYFUNCTION("""COMPUTED_VALUE"""),"Uncle Sams Cider (11/12/2021) (Blue)")</f>
        <v>Uncle Sams Cider (11/12/2021) (Blue)</v>
      </c>
      <c r="H4696" s="19"/>
    </row>
    <row r="4697">
      <c r="A4697" s="9"/>
      <c r="B4697" s="15"/>
      <c r="C4697" s="9">
        <f>IFERROR(__xludf.DUMMYFUNCTION("""COMPUTED_VALUE"""),44556.2691501504)</f>
        <v>44556.26915</v>
      </c>
      <c r="D4697" s="15">
        <f>IFERROR(__xludf.DUMMYFUNCTION("""COMPUTED_VALUE"""),1.009)</f>
        <v>1.009</v>
      </c>
      <c r="E4697" s="16">
        <f>IFERROR(__xludf.DUMMYFUNCTION("""COMPUTED_VALUE"""),64.0)</f>
        <v>64</v>
      </c>
      <c r="F4697" s="19" t="str">
        <f>IFERROR(__xludf.DUMMYFUNCTION("""COMPUTED_VALUE"""),"BLUE")</f>
        <v>BLUE</v>
      </c>
      <c r="G4697" s="20" t="str">
        <f>IFERROR(__xludf.DUMMYFUNCTION("""COMPUTED_VALUE"""),"Uncle Sams Cider (11/12/2021) (Blue)")</f>
        <v>Uncle Sams Cider (11/12/2021) (Blue)</v>
      </c>
      <c r="H4697" s="19"/>
    </row>
    <row r="4698">
      <c r="A4698" s="9"/>
      <c r="B4698" s="15"/>
      <c r="C4698" s="9">
        <f>IFERROR(__xludf.DUMMYFUNCTION("""COMPUTED_VALUE"""),44556.2587175925)</f>
        <v>44556.25872</v>
      </c>
      <c r="D4698" s="15">
        <f>IFERROR(__xludf.DUMMYFUNCTION("""COMPUTED_VALUE"""),1.009)</f>
        <v>1.009</v>
      </c>
      <c r="E4698" s="16">
        <f>IFERROR(__xludf.DUMMYFUNCTION("""COMPUTED_VALUE"""),64.0)</f>
        <v>64</v>
      </c>
      <c r="F4698" s="19" t="str">
        <f>IFERROR(__xludf.DUMMYFUNCTION("""COMPUTED_VALUE"""),"BLUE")</f>
        <v>BLUE</v>
      </c>
      <c r="G4698" s="20" t="str">
        <f>IFERROR(__xludf.DUMMYFUNCTION("""COMPUTED_VALUE"""),"Uncle Sams Cider (11/12/2021) (Blue)")</f>
        <v>Uncle Sams Cider (11/12/2021) (Blue)</v>
      </c>
      <c r="H4698" s="19"/>
    </row>
    <row r="4699">
      <c r="A4699" s="9"/>
      <c r="B4699" s="15"/>
      <c r="C4699" s="9">
        <f>IFERROR(__xludf.DUMMYFUNCTION("""COMPUTED_VALUE"""),44556.2482955671)</f>
        <v>44556.2483</v>
      </c>
      <c r="D4699" s="15">
        <f>IFERROR(__xludf.DUMMYFUNCTION("""COMPUTED_VALUE"""),1.009)</f>
        <v>1.009</v>
      </c>
      <c r="E4699" s="16">
        <f>IFERROR(__xludf.DUMMYFUNCTION("""COMPUTED_VALUE"""),64.0)</f>
        <v>64</v>
      </c>
      <c r="F4699" s="19" t="str">
        <f>IFERROR(__xludf.DUMMYFUNCTION("""COMPUTED_VALUE"""),"BLUE")</f>
        <v>BLUE</v>
      </c>
      <c r="G4699" s="20" t="str">
        <f>IFERROR(__xludf.DUMMYFUNCTION("""COMPUTED_VALUE"""),"Uncle Sams Cider (11/12/2021) (Blue)")</f>
        <v>Uncle Sams Cider (11/12/2021) (Blue)</v>
      </c>
      <c r="H4699" s="19"/>
    </row>
    <row r="4700">
      <c r="A4700" s="9"/>
      <c r="B4700" s="15"/>
      <c r="C4700" s="9">
        <f>IFERROR(__xludf.DUMMYFUNCTION("""COMPUTED_VALUE"""),44556.2378752546)</f>
        <v>44556.23788</v>
      </c>
      <c r="D4700" s="15">
        <f>IFERROR(__xludf.DUMMYFUNCTION("""COMPUTED_VALUE"""),1.009)</f>
        <v>1.009</v>
      </c>
      <c r="E4700" s="16">
        <f>IFERROR(__xludf.DUMMYFUNCTION("""COMPUTED_VALUE"""),64.0)</f>
        <v>64</v>
      </c>
      <c r="F4700" s="19" t="str">
        <f>IFERROR(__xludf.DUMMYFUNCTION("""COMPUTED_VALUE"""),"BLUE")</f>
        <v>BLUE</v>
      </c>
      <c r="G4700" s="20" t="str">
        <f>IFERROR(__xludf.DUMMYFUNCTION("""COMPUTED_VALUE"""),"Uncle Sams Cider (11/12/2021) (Blue)")</f>
        <v>Uncle Sams Cider (11/12/2021) (Blue)</v>
      </c>
      <c r="H4700" s="19"/>
    </row>
    <row r="4701">
      <c r="A4701" s="9"/>
      <c r="B4701" s="15"/>
      <c r="C4701" s="9">
        <f>IFERROR(__xludf.DUMMYFUNCTION("""COMPUTED_VALUE"""),44556.2274400694)</f>
        <v>44556.22744</v>
      </c>
      <c r="D4701" s="15">
        <f>IFERROR(__xludf.DUMMYFUNCTION("""COMPUTED_VALUE"""),1.009)</f>
        <v>1.009</v>
      </c>
      <c r="E4701" s="16">
        <f>IFERROR(__xludf.DUMMYFUNCTION("""COMPUTED_VALUE"""),64.0)</f>
        <v>64</v>
      </c>
      <c r="F4701" s="19" t="str">
        <f>IFERROR(__xludf.DUMMYFUNCTION("""COMPUTED_VALUE"""),"BLUE")</f>
        <v>BLUE</v>
      </c>
      <c r="G4701" s="20" t="str">
        <f>IFERROR(__xludf.DUMMYFUNCTION("""COMPUTED_VALUE"""),"Uncle Sams Cider (11/12/2021) (Blue)")</f>
        <v>Uncle Sams Cider (11/12/2021) (Blue)</v>
      </c>
      <c r="H4701" s="19"/>
    </row>
    <row r="4702">
      <c r="A4702" s="9"/>
      <c r="B4702" s="15"/>
      <c r="C4702" s="9">
        <f>IFERROR(__xludf.DUMMYFUNCTION("""COMPUTED_VALUE"""),44556.2170192245)</f>
        <v>44556.21702</v>
      </c>
      <c r="D4702" s="15">
        <f>IFERROR(__xludf.DUMMYFUNCTION("""COMPUTED_VALUE"""),1.009)</f>
        <v>1.009</v>
      </c>
      <c r="E4702" s="16">
        <f>IFERROR(__xludf.DUMMYFUNCTION("""COMPUTED_VALUE"""),64.0)</f>
        <v>64</v>
      </c>
      <c r="F4702" s="19" t="str">
        <f>IFERROR(__xludf.DUMMYFUNCTION("""COMPUTED_VALUE"""),"BLUE")</f>
        <v>BLUE</v>
      </c>
      <c r="G4702" s="20" t="str">
        <f>IFERROR(__xludf.DUMMYFUNCTION("""COMPUTED_VALUE"""),"Uncle Sams Cider (11/12/2021) (Blue)")</f>
        <v>Uncle Sams Cider (11/12/2021) (Blue)</v>
      </c>
      <c r="H4702" s="19"/>
    </row>
    <row r="4703">
      <c r="A4703" s="9"/>
      <c r="B4703" s="15"/>
      <c r="C4703" s="9">
        <f>IFERROR(__xludf.DUMMYFUNCTION("""COMPUTED_VALUE"""),44556.2065869444)</f>
        <v>44556.20659</v>
      </c>
      <c r="D4703" s="15">
        <f>IFERROR(__xludf.DUMMYFUNCTION("""COMPUTED_VALUE"""),1.009)</f>
        <v>1.009</v>
      </c>
      <c r="E4703" s="16">
        <f>IFERROR(__xludf.DUMMYFUNCTION("""COMPUTED_VALUE"""),64.0)</f>
        <v>64</v>
      </c>
      <c r="F4703" s="19" t="str">
        <f>IFERROR(__xludf.DUMMYFUNCTION("""COMPUTED_VALUE"""),"BLUE")</f>
        <v>BLUE</v>
      </c>
      <c r="G4703" s="20" t="str">
        <f>IFERROR(__xludf.DUMMYFUNCTION("""COMPUTED_VALUE"""),"Uncle Sams Cider (11/12/2021) (Blue)")</f>
        <v>Uncle Sams Cider (11/12/2021) (Blue)</v>
      </c>
      <c r="H4703" s="19"/>
    </row>
    <row r="4704">
      <c r="A4704" s="9"/>
      <c r="B4704" s="15"/>
      <c r="C4704" s="9">
        <f>IFERROR(__xludf.DUMMYFUNCTION("""COMPUTED_VALUE"""),44556.1961537384)</f>
        <v>44556.19615</v>
      </c>
      <c r="D4704" s="15">
        <f>IFERROR(__xludf.DUMMYFUNCTION("""COMPUTED_VALUE"""),1.009)</f>
        <v>1.009</v>
      </c>
      <c r="E4704" s="16">
        <f>IFERROR(__xludf.DUMMYFUNCTION("""COMPUTED_VALUE"""),64.0)</f>
        <v>64</v>
      </c>
      <c r="F4704" s="19" t="str">
        <f>IFERROR(__xludf.DUMMYFUNCTION("""COMPUTED_VALUE"""),"BLUE")</f>
        <v>BLUE</v>
      </c>
      <c r="G4704" s="20" t="str">
        <f>IFERROR(__xludf.DUMMYFUNCTION("""COMPUTED_VALUE"""),"Uncle Sams Cider (11/12/2021) (Blue)")</f>
        <v>Uncle Sams Cider (11/12/2021) (Blue)</v>
      </c>
      <c r="H4704" s="19"/>
    </row>
    <row r="4705">
      <c r="A4705" s="9"/>
      <c r="B4705" s="15"/>
      <c r="C4705" s="9">
        <f>IFERROR(__xludf.DUMMYFUNCTION("""COMPUTED_VALUE"""),44556.1857326504)</f>
        <v>44556.18573</v>
      </c>
      <c r="D4705" s="15">
        <f>IFERROR(__xludf.DUMMYFUNCTION("""COMPUTED_VALUE"""),1.009)</f>
        <v>1.009</v>
      </c>
      <c r="E4705" s="16">
        <f>IFERROR(__xludf.DUMMYFUNCTION("""COMPUTED_VALUE"""),64.0)</f>
        <v>64</v>
      </c>
      <c r="F4705" s="19" t="str">
        <f>IFERROR(__xludf.DUMMYFUNCTION("""COMPUTED_VALUE"""),"BLUE")</f>
        <v>BLUE</v>
      </c>
      <c r="G4705" s="20" t="str">
        <f>IFERROR(__xludf.DUMMYFUNCTION("""COMPUTED_VALUE"""),"Uncle Sams Cider (11/12/2021) (Blue)")</f>
        <v>Uncle Sams Cider (11/12/2021) (Blue)</v>
      </c>
      <c r="H4705" s="19"/>
    </row>
    <row r="4706">
      <c r="A4706" s="9"/>
      <c r="B4706" s="15"/>
      <c r="C4706" s="9">
        <f>IFERROR(__xludf.DUMMYFUNCTION("""COMPUTED_VALUE"""),44556.1753100925)</f>
        <v>44556.17531</v>
      </c>
      <c r="D4706" s="15">
        <f>IFERROR(__xludf.DUMMYFUNCTION("""COMPUTED_VALUE"""),1.009)</f>
        <v>1.009</v>
      </c>
      <c r="E4706" s="16">
        <f>IFERROR(__xludf.DUMMYFUNCTION("""COMPUTED_VALUE"""),64.0)</f>
        <v>64</v>
      </c>
      <c r="F4706" s="19" t="str">
        <f>IFERROR(__xludf.DUMMYFUNCTION("""COMPUTED_VALUE"""),"BLUE")</f>
        <v>BLUE</v>
      </c>
      <c r="G4706" s="20" t="str">
        <f>IFERROR(__xludf.DUMMYFUNCTION("""COMPUTED_VALUE"""),"Uncle Sams Cider (11/12/2021) (Blue)")</f>
        <v>Uncle Sams Cider (11/12/2021) (Blue)</v>
      </c>
      <c r="H4706" s="19"/>
    </row>
    <row r="4707">
      <c r="A4707" s="9"/>
      <c r="B4707" s="15"/>
      <c r="C4707" s="9">
        <f>IFERROR(__xludf.DUMMYFUNCTION("""COMPUTED_VALUE"""),44556.1648891435)</f>
        <v>44556.16489</v>
      </c>
      <c r="D4707" s="15">
        <f>IFERROR(__xludf.DUMMYFUNCTION("""COMPUTED_VALUE"""),1.009)</f>
        <v>1.009</v>
      </c>
      <c r="E4707" s="16">
        <f>IFERROR(__xludf.DUMMYFUNCTION("""COMPUTED_VALUE"""),64.0)</f>
        <v>64</v>
      </c>
      <c r="F4707" s="19" t="str">
        <f>IFERROR(__xludf.DUMMYFUNCTION("""COMPUTED_VALUE"""),"BLUE")</f>
        <v>BLUE</v>
      </c>
      <c r="G4707" s="20" t="str">
        <f>IFERROR(__xludf.DUMMYFUNCTION("""COMPUTED_VALUE"""),"Uncle Sams Cider (11/12/2021) (Blue)")</f>
        <v>Uncle Sams Cider (11/12/2021) (Blue)</v>
      </c>
      <c r="H4707" s="19"/>
    </row>
    <row r="4708">
      <c r="A4708" s="9"/>
      <c r="B4708" s="15"/>
      <c r="C4708" s="9">
        <f>IFERROR(__xludf.DUMMYFUNCTION("""COMPUTED_VALUE"""),44556.1544668171)</f>
        <v>44556.15447</v>
      </c>
      <c r="D4708" s="15">
        <f>IFERROR(__xludf.DUMMYFUNCTION("""COMPUTED_VALUE"""),1.009)</f>
        <v>1.009</v>
      </c>
      <c r="E4708" s="16">
        <f>IFERROR(__xludf.DUMMYFUNCTION("""COMPUTED_VALUE"""),64.0)</f>
        <v>64</v>
      </c>
      <c r="F4708" s="19" t="str">
        <f>IFERROR(__xludf.DUMMYFUNCTION("""COMPUTED_VALUE"""),"BLUE")</f>
        <v>BLUE</v>
      </c>
      <c r="G4708" s="20" t="str">
        <f>IFERROR(__xludf.DUMMYFUNCTION("""COMPUTED_VALUE"""),"Uncle Sams Cider (11/12/2021) (Blue)")</f>
        <v>Uncle Sams Cider (11/12/2021) (Blue)</v>
      </c>
      <c r="H4708" s="19"/>
    </row>
    <row r="4709">
      <c r="A4709" s="9"/>
      <c r="B4709" s="15"/>
      <c r="C4709" s="9">
        <f>IFERROR(__xludf.DUMMYFUNCTION("""COMPUTED_VALUE"""),44556.144046331)</f>
        <v>44556.14405</v>
      </c>
      <c r="D4709" s="15">
        <f>IFERROR(__xludf.DUMMYFUNCTION("""COMPUTED_VALUE"""),1.009)</f>
        <v>1.009</v>
      </c>
      <c r="E4709" s="16">
        <f>IFERROR(__xludf.DUMMYFUNCTION("""COMPUTED_VALUE"""),64.0)</f>
        <v>64</v>
      </c>
      <c r="F4709" s="19" t="str">
        <f>IFERROR(__xludf.DUMMYFUNCTION("""COMPUTED_VALUE"""),"BLUE")</f>
        <v>BLUE</v>
      </c>
      <c r="G4709" s="20" t="str">
        <f>IFERROR(__xludf.DUMMYFUNCTION("""COMPUTED_VALUE"""),"Uncle Sams Cider (11/12/2021) (Blue)")</f>
        <v>Uncle Sams Cider (11/12/2021) (Blue)</v>
      </c>
      <c r="H4709" s="19"/>
    </row>
    <row r="4710">
      <c r="A4710" s="9"/>
      <c r="B4710" s="15"/>
      <c r="C4710" s="9">
        <f>IFERROR(__xludf.DUMMYFUNCTION("""COMPUTED_VALUE"""),44556.1336243055)</f>
        <v>44556.13362</v>
      </c>
      <c r="D4710" s="15">
        <f>IFERROR(__xludf.DUMMYFUNCTION("""COMPUTED_VALUE"""),1.009)</f>
        <v>1.009</v>
      </c>
      <c r="E4710" s="16">
        <f>IFERROR(__xludf.DUMMYFUNCTION("""COMPUTED_VALUE"""),64.0)</f>
        <v>64</v>
      </c>
      <c r="F4710" s="19" t="str">
        <f>IFERROR(__xludf.DUMMYFUNCTION("""COMPUTED_VALUE"""),"BLUE")</f>
        <v>BLUE</v>
      </c>
      <c r="G4710" s="20" t="str">
        <f>IFERROR(__xludf.DUMMYFUNCTION("""COMPUTED_VALUE"""),"Uncle Sams Cider (11/12/2021) (Blue)")</f>
        <v>Uncle Sams Cider (11/12/2021) (Blue)</v>
      </c>
      <c r="H4710" s="19"/>
    </row>
    <row r="4711">
      <c r="A4711" s="9"/>
      <c r="B4711" s="15"/>
      <c r="C4711" s="9">
        <f>IFERROR(__xludf.DUMMYFUNCTION("""COMPUTED_VALUE"""),44556.1232017476)</f>
        <v>44556.1232</v>
      </c>
      <c r="D4711" s="15">
        <f>IFERROR(__xludf.DUMMYFUNCTION("""COMPUTED_VALUE"""),1.009)</f>
        <v>1.009</v>
      </c>
      <c r="E4711" s="16">
        <f>IFERROR(__xludf.DUMMYFUNCTION("""COMPUTED_VALUE"""),64.0)</f>
        <v>64</v>
      </c>
      <c r="F4711" s="19" t="str">
        <f>IFERROR(__xludf.DUMMYFUNCTION("""COMPUTED_VALUE"""),"BLUE")</f>
        <v>BLUE</v>
      </c>
      <c r="G4711" s="20" t="str">
        <f>IFERROR(__xludf.DUMMYFUNCTION("""COMPUTED_VALUE"""),"Uncle Sams Cider (11/12/2021) (Blue)")</f>
        <v>Uncle Sams Cider (11/12/2021) (Blue)</v>
      </c>
      <c r="H4711" s="19"/>
    </row>
    <row r="4712">
      <c r="A4712" s="9"/>
      <c r="B4712" s="15"/>
      <c r="C4712" s="9">
        <f>IFERROR(__xludf.DUMMYFUNCTION("""COMPUTED_VALUE"""),44556.1127786342)</f>
        <v>44556.11278</v>
      </c>
      <c r="D4712" s="15">
        <f>IFERROR(__xludf.DUMMYFUNCTION("""COMPUTED_VALUE"""),1.009)</f>
        <v>1.009</v>
      </c>
      <c r="E4712" s="16">
        <f>IFERROR(__xludf.DUMMYFUNCTION("""COMPUTED_VALUE"""),64.0)</f>
        <v>64</v>
      </c>
      <c r="F4712" s="19" t="str">
        <f>IFERROR(__xludf.DUMMYFUNCTION("""COMPUTED_VALUE"""),"BLUE")</f>
        <v>BLUE</v>
      </c>
      <c r="G4712" s="20" t="str">
        <f>IFERROR(__xludf.DUMMYFUNCTION("""COMPUTED_VALUE"""),"Uncle Sams Cider (11/12/2021) (Blue)")</f>
        <v>Uncle Sams Cider (11/12/2021) (Blue)</v>
      </c>
      <c r="H4712" s="19"/>
    </row>
    <row r="4713">
      <c r="A4713" s="9"/>
      <c r="B4713" s="15"/>
      <c r="C4713" s="9">
        <f>IFERROR(__xludf.DUMMYFUNCTION("""COMPUTED_VALUE"""),44556.1023593287)</f>
        <v>44556.10236</v>
      </c>
      <c r="D4713" s="15">
        <f>IFERROR(__xludf.DUMMYFUNCTION("""COMPUTED_VALUE"""),1.009)</f>
        <v>1.009</v>
      </c>
      <c r="E4713" s="16">
        <f>IFERROR(__xludf.DUMMYFUNCTION("""COMPUTED_VALUE"""),64.0)</f>
        <v>64</v>
      </c>
      <c r="F4713" s="19" t="str">
        <f>IFERROR(__xludf.DUMMYFUNCTION("""COMPUTED_VALUE"""),"BLUE")</f>
        <v>BLUE</v>
      </c>
      <c r="G4713" s="20" t="str">
        <f>IFERROR(__xludf.DUMMYFUNCTION("""COMPUTED_VALUE"""),"Uncle Sams Cider (11/12/2021) (Blue)")</f>
        <v>Uncle Sams Cider (11/12/2021) (Blue)</v>
      </c>
      <c r="H4713" s="19"/>
    </row>
    <row r="4714">
      <c r="A4714" s="9"/>
      <c r="B4714" s="15"/>
      <c r="C4714" s="9">
        <f>IFERROR(__xludf.DUMMYFUNCTION("""COMPUTED_VALUE"""),44556.0919381944)</f>
        <v>44556.09194</v>
      </c>
      <c r="D4714" s="15">
        <f>IFERROR(__xludf.DUMMYFUNCTION("""COMPUTED_VALUE"""),1.009)</f>
        <v>1.009</v>
      </c>
      <c r="E4714" s="16">
        <f>IFERROR(__xludf.DUMMYFUNCTION("""COMPUTED_VALUE"""),64.0)</f>
        <v>64</v>
      </c>
      <c r="F4714" s="19" t="str">
        <f>IFERROR(__xludf.DUMMYFUNCTION("""COMPUTED_VALUE"""),"BLUE")</f>
        <v>BLUE</v>
      </c>
      <c r="G4714" s="20" t="str">
        <f>IFERROR(__xludf.DUMMYFUNCTION("""COMPUTED_VALUE"""),"Uncle Sams Cider (11/12/2021) (Blue)")</f>
        <v>Uncle Sams Cider (11/12/2021) (Blue)</v>
      </c>
      <c r="H4714" s="19"/>
    </row>
    <row r="4715">
      <c r="A4715" s="9"/>
      <c r="B4715" s="15"/>
      <c r="C4715" s="9">
        <f>IFERROR(__xludf.DUMMYFUNCTION("""COMPUTED_VALUE"""),44556.0815148611)</f>
        <v>44556.08151</v>
      </c>
      <c r="D4715" s="15">
        <f>IFERROR(__xludf.DUMMYFUNCTION("""COMPUTED_VALUE"""),1.009)</f>
        <v>1.009</v>
      </c>
      <c r="E4715" s="16">
        <f>IFERROR(__xludf.DUMMYFUNCTION("""COMPUTED_VALUE"""),64.0)</f>
        <v>64</v>
      </c>
      <c r="F4715" s="19" t="str">
        <f>IFERROR(__xludf.DUMMYFUNCTION("""COMPUTED_VALUE"""),"BLUE")</f>
        <v>BLUE</v>
      </c>
      <c r="G4715" s="20" t="str">
        <f>IFERROR(__xludf.DUMMYFUNCTION("""COMPUTED_VALUE"""),"Uncle Sams Cider (11/12/2021) (Blue)")</f>
        <v>Uncle Sams Cider (11/12/2021) (Blue)</v>
      </c>
      <c r="H4715" s="19"/>
    </row>
    <row r="4716">
      <c r="A4716" s="9"/>
      <c r="B4716" s="15"/>
      <c r="C4716" s="9">
        <f>IFERROR(__xludf.DUMMYFUNCTION("""COMPUTED_VALUE"""),44556.0710935532)</f>
        <v>44556.07109</v>
      </c>
      <c r="D4716" s="15">
        <f>IFERROR(__xludf.DUMMYFUNCTION("""COMPUTED_VALUE"""),1.009)</f>
        <v>1.009</v>
      </c>
      <c r="E4716" s="16">
        <f>IFERROR(__xludf.DUMMYFUNCTION("""COMPUTED_VALUE"""),64.0)</f>
        <v>64</v>
      </c>
      <c r="F4716" s="19" t="str">
        <f>IFERROR(__xludf.DUMMYFUNCTION("""COMPUTED_VALUE"""),"BLUE")</f>
        <v>BLUE</v>
      </c>
      <c r="G4716" s="20" t="str">
        <f>IFERROR(__xludf.DUMMYFUNCTION("""COMPUTED_VALUE"""),"Uncle Sams Cider (11/12/2021) (Blue)")</f>
        <v>Uncle Sams Cider (11/12/2021) (Blue)</v>
      </c>
      <c r="H4716" s="19"/>
    </row>
    <row r="4717">
      <c r="A4717" s="9"/>
      <c r="B4717" s="15"/>
      <c r="C4717" s="9">
        <f>IFERROR(__xludf.DUMMYFUNCTION("""COMPUTED_VALUE"""),44556.0606719444)</f>
        <v>44556.06067</v>
      </c>
      <c r="D4717" s="15">
        <f>IFERROR(__xludf.DUMMYFUNCTION("""COMPUTED_VALUE"""),1.009)</f>
        <v>1.009</v>
      </c>
      <c r="E4717" s="16">
        <f>IFERROR(__xludf.DUMMYFUNCTION("""COMPUTED_VALUE"""),65.0)</f>
        <v>65</v>
      </c>
      <c r="F4717" s="19" t="str">
        <f>IFERROR(__xludf.DUMMYFUNCTION("""COMPUTED_VALUE"""),"BLUE")</f>
        <v>BLUE</v>
      </c>
      <c r="G4717" s="20" t="str">
        <f>IFERROR(__xludf.DUMMYFUNCTION("""COMPUTED_VALUE"""),"Uncle Sams Cider (11/12/2021) (Blue)")</f>
        <v>Uncle Sams Cider (11/12/2021) (Blue)</v>
      </c>
      <c r="H4717" s="19"/>
    </row>
    <row r="4718">
      <c r="A4718" s="9"/>
      <c r="B4718" s="15"/>
      <c r="C4718" s="9">
        <f>IFERROR(__xludf.DUMMYFUNCTION("""COMPUTED_VALUE"""),44556.0502514004)</f>
        <v>44556.05025</v>
      </c>
      <c r="D4718" s="15">
        <f>IFERROR(__xludf.DUMMYFUNCTION("""COMPUTED_VALUE"""),1.009)</f>
        <v>1.009</v>
      </c>
      <c r="E4718" s="16">
        <f>IFERROR(__xludf.DUMMYFUNCTION("""COMPUTED_VALUE"""),65.0)</f>
        <v>65</v>
      </c>
      <c r="F4718" s="19" t="str">
        <f>IFERROR(__xludf.DUMMYFUNCTION("""COMPUTED_VALUE"""),"BLUE")</f>
        <v>BLUE</v>
      </c>
      <c r="G4718" s="20" t="str">
        <f>IFERROR(__xludf.DUMMYFUNCTION("""COMPUTED_VALUE"""),"Uncle Sams Cider (11/12/2021) (Blue)")</f>
        <v>Uncle Sams Cider (11/12/2021) (Blue)</v>
      </c>
      <c r="H4718" s="19"/>
    </row>
    <row r="4719">
      <c r="A4719" s="9"/>
      <c r="B4719" s="15"/>
      <c r="C4719" s="9">
        <f>IFERROR(__xludf.DUMMYFUNCTION("""COMPUTED_VALUE"""),44556.0398304398)</f>
        <v>44556.03983</v>
      </c>
      <c r="D4719" s="15">
        <f>IFERROR(__xludf.DUMMYFUNCTION("""COMPUTED_VALUE"""),1.01)</f>
        <v>1.01</v>
      </c>
      <c r="E4719" s="16">
        <f>IFERROR(__xludf.DUMMYFUNCTION("""COMPUTED_VALUE"""),65.0)</f>
        <v>65</v>
      </c>
      <c r="F4719" s="19" t="str">
        <f>IFERROR(__xludf.DUMMYFUNCTION("""COMPUTED_VALUE"""),"BLUE")</f>
        <v>BLUE</v>
      </c>
      <c r="G4719" s="20" t="str">
        <f>IFERROR(__xludf.DUMMYFUNCTION("""COMPUTED_VALUE"""),"Uncle Sams Cider (11/12/2021) (Blue)")</f>
        <v>Uncle Sams Cider (11/12/2021) (Blue)</v>
      </c>
      <c r="H4719" s="19"/>
    </row>
    <row r="4720">
      <c r="A4720" s="9"/>
      <c r="B4720" s="15"/>
      <c r="C4720" s="9">
        <f>IFERROR(__xludf.DUMMYFUNCTION("""COMPUTED_VALUE"""),44556.029398368)</f>
        <v>44556.0294</v>
      </c>
      <c r="D4720" s="15">
        <f>IFERROR(__xludf.DUMMYFUNCTION("""COMPUTED_VALUE"""),1.009)</f>
        <v>1.009</v>
      </c>
      <c r="E4720" s="16">
        <f>IFERROR(__xludf.DUMMYFUNCTION("""COMPUTED_VALUE"""),65.0)</f>
        <v>65</v>
      </c>
      <c r="F4720" s="19" t="str">
        <f>IFERROR(__xludf.DUMMYFUNCTION("""COMPUTED_VALUE"""),"BLUE")</f>
        <v>BLUE</v>
      </c>
      <c r="G4720" s="20" t="str">
        <f>IFERROR(__xludf.DUMMYFUNCTION("""COMPUTED_VALUE"""),"Uncle Sams Cider (11/12/2021) (Blue)")</f>
        <v>Uncle Sams Cider (11/12/2021) (Blue)</v>
      </c>
      <c r="H4720" s="19"/>
    </row>
    <row r="4721">
      <c r="A4721" s="9"/>
      <c r="B4721" s="15"/>
      <c r="C4721" s="9">
        <f>IFERROR(__xludf.DUMMYFUNCTION("""COMPUTED_VALUE"""),44556.0189794328)</f>
        <v>44556.01898</v>
      </c>
      <c r="D4721" s="15">
        <f>IFERROR(__xludf.DUMMYFUNCTION("""COMPUTED_VALUE"""),1.009)</f>
        <v>1.009</v>
      </c>
      <c r="E4721" s="16">
        <f>IFERROR(__xludf.DUMMYFUNCTION("""COMPUTED_VALUE"""),64.0)</f>
        <v>64</v>
      </c>
      <c r="F4721" s="19" t="str">
        <f>IFERROR(__xludf.DUMMYFUNCTION("""COMPUTED_VALUE"""),"BLUE")</f>
        <v>BLUE</v>
      </c>
      <c r="G4721" s="20" t="str">
        <f>IFERROR(__xludf.DUMMYFUNCTION("""COMPUTED_VALUE"""),"Uncle Sams Cider (11/12/2021) (Blue)")</f>
        <v>Uncle Sams Cider (11/12/2021) (Blue)</v>
      </c>
      <c r="H4721" s="19"/>
    </row>
    <row r="4722">
      <c r="A4722" s="9"/>
      <c r="B4722" s="15"/>
      <c r="C4722" s="9">
        <f>IFERROR(__xludf.DUMMYFUNCTION("""COMPUTED_VALUE"""),44556.0085472916)</f>
        <v>44556.00855</v>
      </c>
      <c r="D4722" s="15">
        <f>IFERROR(__xludf.DUMMYFUNCTION("""COMPUTED_VALUE"""),1.009)</f>
        <v>1.009</v>
      </c>
      <c r="E4722" s="16">
        <f>IFERROR(__xludf.DUMMYFUNCTION("""COMPUTED_VALUE"""),65.0)</f>
        <v>65</v>
      </c>
      <c r="F4722" s="19" t="str">
        <f>IFERROR(__xludf.DUMMYFUNCTION("""COMPUTED_VALUE"""),"BLUE")</f>
        <v>BLUE</v>
      </c>
      <c r="G4722" s="20" t="str">
        <f>IFERROR(__xludf.DUMMYFUNCTION("""COMPUTED_VALUE"""),"Uncle Sams Cider (11/12/2021) (Blue)")</f>
        <v>Uncle Sams Cider (11/12/2021) (Blue)</v>
      </c>
      <c r="H4722" s="19"/>
    </row>
    <row r="4723">
      <c r="A4723" s="9"/>
      <c r="B4723" s="15"/>
      <c r="C4723" s="9">
        <f>IFERROR(__xludf.DUMMYFUNCTION("""COMPUTED_VALUE"""),44555.9981271064)</f>
        <v>44555.99813</v>
      </c>
      <c r="D4723" s="15">
        <f>IFERROR(__xludf.DUMMYFUNCTION("""COMPUTED_VALUE"""),1.009)</f>
        <v>1.009</v>
      </c>
      <c r="E4723" s="16">
        <f>IFERROR(__xludf.DUMMYFUNCTION("""COMPUTED_VALUE"""),65.0)</f>
        <v>65</v>
      </c>
      <c r="F4723" s="19" t="str">
        <f>IFERROR(__xludf.DUMMYFUNCTION("""COMPUTED_VALUE"""),"BLUE")</f>
        <v>BLUE</v>
      </c>
      <c r="G4723" s="20" t="str">
        <f>IFERROR(__xludf.DUMMYFUNCTION("""COMPUTED_VALUE"""),"Uncle Sams Cider (11/12/2021) (Blue)")</f>
        <v>Uncle Sams Cider (11/12/2021) (Blue)</v>
      </c>
      <c r="H4723" s="19"/>
    </row>
    <row r="4724">
      <c r="A4724" s="9"/>
      <c r="B4724" s="15"/>
      <c r="C4724" s="9">
        <f>IFERROR(__xludf.DUMMYFUNCTION("""COMPUTED_VALUE"""),44555.9877057523)</f>
        <v>44555.98771</v>
      </c>
      <c r="D4724" s="15">
        <f>IFERROR(__xludf.DUMMYFUNCTION("""COMPUTED_VALUE"""),1.009)</f>
        <v>1.009</v>
      </c>
      <c r="E4724" s="16">
        <f>IFERROR(__xludf.DUMMYFUNCTION("""COMPUTED_VALUE"""),65.0)</f>
        <v>65</v>
      </c>
      <c r="F4724" s="19" t="str">
        <f>IFERROR(__xludf.DUMMYFUNCTION("""COMPUTED_VALUE"""),"BLUE")</f>
        <v>BLUE</v>
      </c>
      <c r="G4724" s="20" t="str">
        <f>IFERROR(__xludf.DUMMYFUNCTION("""COMPUTED_VALUE"""),"Uncle Sams Cider (11/12/2021) (Blue)")</f>
        <v>Uncle Sams Cider (11/12/2021) (Blue)</v>
      </c>
      <c r="H4724" s="19"/>
    </row>
    <row r="4725">
      <c r="A4725" s="9"/>
      <c r="B4725" s="15"/>
      <c r="C4725" s="9">
        <f>IFERROR(__xludf.DUMMYFUNCTION("""COMPUTED_VALUE"""),44555.9772822453)</f>
        <v>44555.97728</v>
      </c>
      <c r="D4725" s="15">
        <f>IFERROR(__xludf.DUMMYFUNCTION("""COMPUTED_VALUE"""),1.009)</f>
        <v>1.009</v>
      </c>
      <c r="E4725" s="16">
        <f>IFERROR(__xludf.DUMMYFUNCTION("""COMPUTED_VALUE"""),65.0)</f>
        <v>65</v>
      </c>
      <c r="F4725" s="19" t="str">
        <f>IFERROR(__xludf.DUMMYFUNCTION("""COMPUTED_VALUE"""),"BLUE")</f>
        <v>BLUE</v>
      </c>
      <c r="G4725" s="20" t="str">
        <f>IFERROR(__xludf.DUMMYFUNCTION("""COMPUTED_VALUE"""),"Uncle Sams Cider (11/12/2021) (Blue)")</f>
        <v>Uncle Sams Cider (11/12/2021) (Blue)</v>
      </c>
      <c r="H4725" s="19"/>
    </row>
    <row r="4726">
      <c r="A4726" s="9"/>
      <c r="B4726" s="15"/>
      <c r="C4726" s="9">
        <f>IFERROR(__xludf.DUMMYFUNCTION("""COMPUTED_VALUE"""),44555.9668598495)</f>
        <v>44555.96686</v>
      </c>
      <c r="D4726" s="15">
        <f>IFERROR(__xludf.DUMMYFUNCTION("""COMPUTED_VALUE"""),1.009)</f>
        <v>1.009</v>
      </c>
      <c r="E4726" s="16">
        <f>IFERROR(__xludf.DUMMYFUNCTION("""COMPUTED_VALUE"""),65.0)</f>
        <v>65</v>
      </c>
      <c r="F4726" s="19" t="str">
        <f>IFERROR(__xludf.DUMMYFUNCTION("""COMPUTED_VALUE"""),"BLUE")</f>
        <v>BLUE</v>
      </c>
      <c r="G4726" s="20" t="str">
        <f>IFERROR(__xludf.DUMMYFUNCTION("""COMPUTED_VALUE"""),"Uncle Sams Cider (11/12/2021) (Blue)")</f>
        <v>Uncle Sams Cider (11/12/2021) (Blue)</v>
      </c>
      <c r="H4726" s="19"/>
    </row>
    <row r="4727">
      <c r="A4727" s="9"/>
      <c r="B4727" s="15"/>
      <c r="C4727" s="9">
        <f>IFERROR(__xludf.DUMMYFUNCTION("""COMPUTED_VALUE"""),44555.9564264583)</f>
        <v>44555.95643</v>
      </c>
      <c r="D4727" s="15">
        <f>IFERROR(__xludf.DUMMYFUNCTION("""COMPUTED_VALUE"""),1.009)</f>
        <v>1.009</v>
      </c>
      <c r="E4727" s="16">
        <f>IFERROR(__xludf.DUMMYFUNCTION("""COMPUTED_VALUE"""),65.0)</f>
        <v>65</v>
      </c>
      <c r="F4727" s="19" t="str">
        <f>IFERROR(__xludf.DUMMYFUNCTION("""COMPUTED_VALUE"""),"BLUE")</f>
        <v>BLUE</v>
      </c>
      <c r="G4727" s="20" t="str">
        <f>IFERROR(__xludf.DUMMYFUNCTION("""COMPUTED_VALUE"""),"Uncle Sams Cider (11/12/2021) (Blue)")</f>
        <v>Uncle Sams Cider (11/12/2021) (Blue)</v>
      </c>
      <c r="H4727" s="19"/>
    </row>
    <row r="4728">
      <c r="A4728" s="9"/>
      <c r="B4728" s="15"/>
      <c r="C4728" s="9">
        <f>IFERROR(__xludf.DUMMYFUNCTION("""COMPUTED_VALUE"""),44555.946005868)</f>
        <v>44555.94601</v>
      </c>
      <c r="D4728" s="15">
        <f>IFERROR(__xludf.DUMMYFUNCTION("""COMPUTED_VALUE"""),1.009)</f>
        <v>1.009</v>
      </c>
      <c r="E4728" s="16">
        <f>IFERROR(__xludf.DUMMYFUNCTION("""COMPUTED_VALUE"""),65.0)</f>
        <v>65</v>
      </c>
      <c r="F4728" s="19" t="str">
        <f>IFERROR(__xludf.DUMMYFUNCTION("""COMPUTED_VALUE"""),"BLUE")</f>
        <v>BLUE</v>
      </c>
      <c r="G4728" s="20" t="str">
        <f>IFERROR(__xludf.DUMMYFUNCTION("""COMPUTED_VALUE"""),"Uncle Sams Cider (11/12/2021) (Blue)")</f>
        <v>Uncle Sams Cider (11/12/2021) (Blue)</v>
      </c>
      <c r="H4728" s="19"/>
    </row>
    <row r="4729">
      <c r="A4729" s="9"/>
      <c r="B4729" s="15"/>
      <c r="C4729" s="9">
        <f>IFERROR(__xludf.DUMMYFUNCTION("""COMPUTED_VALUE"""),44555.9355829629)</f>
        <v>44555.93558</v>
      </c>
      <c r="D4729" s="15">
        <f>IFERROR(__xludf.DUMMYFUNCTION("""COMPUTED_VALUE"""),1.009)</f>
        <v>1.009</v>
      </c>
      <c r="E4729" s="16">
        <f>IFERROR(__xludf.DUMMYFUNCTION("""COMPUTED_VALUE"""),65.0)</f>
        <v>65</v>
      </c>
      <c r="F4729" s="19" t="str">
        <f>IFERROR(__xludf.DUMMYFUNCTION("""COMPUTED_VALUE"""),"BLUE")</f>
        <v>BLUE</v>
      </c>
      <c r="G4729" s="20" t="str">
        <f>IFERROR(__xludf.DUMMYFUNCTION("""COMPUTED_VALUE"""),"Uncle Sams Cider (11/12/2021) (Blue)")</f>
        <v>Uncle Sams Cider (11/12/2021) (Blue)</v>
      </c>
      <c r="H4729" s="19"/>
    </row>
    <row r="4730">
      <c r="A4730" s="9"/>
      <c r="B4730" s="15"/>
      <c r="C4730" s="9">
        <f>IFERROR(__xludf.DUMMYFUNCTION("""COMPUTED_VALUE"""),44555.9251621412)</f>
        <v>44555.92516</v>
      </c>
      <c r="D4730" s="15">
        <f>IFERROR(__xludf.DUMMYFUNCTION("""COMPUTED_VALUE"""),1.009)</f>
        <v>1.009</v>
      </c>
      <c r="E4730" s="16">
        <f>IFERROR(__xludf.DUMMYFUNCTION("""COMPUTED_VALUE"""),65.0)</f>
        <v>65</v>
      </c>
      <c r="F4730" s="19" t="str">
        <f>IFERROR(__xludf.DUMMYFUNCTION("""COMPUTED_VALUE"""),"BLUE")</f>
        <v>BLUE</v>
      </c>
      <c r="G4730" s="20" t="str">
        <f>IFERROR(__xludf.DUMMYFUNCTION("""COMPUTED_VALUE"""),"Uncle Sams Cider (11/12/2021) (Blue)")</f>
        <v>Uncle Sams Cider (11/12/2021) (Blue)</v>
      </c>
      <c r="H4730" s="19"/>
    </row>
    <row r="4731">
      <c r="A4731" s="9"/>
      <c r="B4731" s="15"/>
      <c r="C4731" s="9">
        <f>IFERROR(__xludf.DUMMYFUNCTION("""COMPUTED_VALUE"""),44555.9147406365)</f>
        <v>44555.91474</v>
      </c>
      <c r="D4731" s="15">
        <f>IFERROR(__xludf.DUMMYFUNCTION("""COMPUTED_VALUE"""),1.01)</f>
        <v>1.01</v>
      </c>
      <c r="E4731" s="16">
        <f>IFERROR(__xludf.DUMMYFUNCTION("""COMPUTED_VALUE"""),65.0)</f>
        <v>65</v>
      </c>
      <c r="F4731" s="19" t="str">
        <f>IFERROR(__xludf.DUMMYFUNCTION("""COMPUTED_VALUE"""),"BLUE")</f>
        <v>BLUE</v>
      </c>
      <c r="G4731" s="20" t="str">
        <f>IFERROR(__xludf.DUMMYFUNCTION("""COMPUTED_VALUE"""),"Uncle Sams Cider (11/12/2021) (Blue)")</f>
        <v>Uncle Sams Cider (11/12/2021) (Blue)</v>
      </c>
      <c r="H4731" s="19"/>
    </row>
    <row r="4732">
      <c r="A4732" s="9"/>
      <c r="B4732" s="15"/>
      <c r="C4732" s="9">
        <f>IFERROR(__xludf.DUMMYFUNCTION("""COMPUTED_VALUE"""),44555.9043180787)</f>
        <v>44555.90432</v>
      </c>
      <c r="D4732" s="15">
        <f>IFERROR(__xludf.DUMMYFUNCTION("""COMPUTED_VALUE"""),1.009)</f>
        <v>1.009</v>
      </c>
      <c r="E4732" s="16">
        <f>IFERROR(__xludf.DUMMYFUNCTION("""COMPUTED_VALUE"""),65.0)</f>
        <v>65</v>
      </c>
      <c r="F4732" s="19" t="str">
        <f>IFERROR(__xludf.DUMMYFUNCTION("""COMPUTED_VALUE"""),"BLUE")</f>
        <v>BLUE</v>
      </c>
      <c r="G4732" s="20" t="str">
        <f>IFERROR(__xludf.DUMMYFUNCTION("""COMPUTED_VALUE"""),"Uncle Sams Cider (11/12/2021) (Blue)")</f>
        <v>Uncle Sams Cider (11/12/2021) (Blue)</v>
      </c>
      <c r="H4732" s="19"/>
    </row>
    <row r="4733">
      <c r="A4733" s="9"/>
      <c r="B4733" s="15"/>
      <c r="C4733" s="9">
        <f>IFERROR(__xludf.DUMMYFUNCTION("""COMPUTED_VALUE"""),44555.8938975694)</f>
        <v>44555.8939</v>
      </c>
      <c r="D4733" s="15">
        <f>IFERROR(__xludf.DUMMYFUNCTION("""COMPUTED_VALUE"""),1.009)</f>
        <v>1.009</v>
      </c>
      <c r="E4733" s="16">
        <f>IFERROR(__xludf.DUMMYFUNCTION("""COMPUTED_VALUE"""),65.0)</f>
        <v>65</v>
      </c>
      <c r="F4733" s="19" t="str">
        <f>IFERROR(__xludf.DUMMYFUNCTION("""COMPUTED_VALUE"""),"BLUE")</f>
        <v>BLUE</v>
      </c>
      <c r="G4733" s="20" t="str">
        <f>IFERROR(__xludf.DUMMYFUNCTION("""COMPUTED_VALUE"""),"Uncle Sams Cider (11/12/2021) (Blue)")</f>
        <v>Uncle Sams Cider (11/12/2021) (Blue)</v>
      </c>
      <c r="H4733" s="19"/>
    </row>
    <row r="4734">
      <c r="A4734" s="9"/>
      <c r="B4734" s="15"/>
      <c r="C4734" s="9">
        <f>IFERROR(__xludf.DUMMYFUNCTION("""COMPUTED_VALUE"""),44555.8834645486)</f>
        <v>44555.88346</v>
      </c>
      <c r="D4734" s="15">
        <f>IFERROR(__xludf.DUMMYFUNCTION("""COMPUTED_VALUE"""),1.009)</f>
        <v>1.009</v>
      </c>
      <c r="E4734" s="16">
        <f>IFERROR(__xludf.DUMMYFUNCTION("""COMPUTED_VALUE"""),65.0)</f>
        <v>65</v>
      </c>
      <c r="F4734" s="19" t="str">
        <f>IFERROR(__xludf.DUMMYFUNCTION("""COMPUTED_VALUE"""),"BLUE")</f>
        <v>BLUE</v>
      </c>
      <c r="G4734" s="20" t="str">
        <f>IFERROR(__xludf.DUMMYFUNCTION("""COMPUTED_VALUE"""),"Uncle Sams Cider (11/12/2021) (Blue)")</f>
        <v>Uncle Sams Cider (11/12/2021) (Blue)</v>
      </c>
      <c r="H4734" s="19"/>
    </row>
    <row r="4735">
      <c r="A4735" s="9"/>
      <c r="B4735" s="15"/>
      <c r="C4735" s="9">
        <f>IFERROR(__xludf.DUMMYFUNCTION("""COMPUTED_VALUE"""),44555.8730442245)</f>
        <v>44555.87304</v>
      </c>
      <c r="D4735" s="15">
        <f>IFERROR(__xludf.DUMMYFUNCTION("""COMPUTED_VALUE"""),1.009)</f>
        <v>1.009</v>
      </c>
      <c r="E4735" s="16">
        <f>IFERROR(__xludf.DUMMYFUNCTION("""COMPUTED_VALUE"""),65.0)</f>
        <v>65</v>
      </c>
      <c r="F4735" s="19" t="str">
        <f>IFERROR(__xludf.DUMMYFUNCTION("""COMPUTED_VALUE"""),"BLUE")</f>
        <v>BLUE</v>
      </c>
      <c r="G4735" s="20" t="str">
        <f>IFERROR(__xludf.DUMMYFUNCTION("""COMPUTED_VALUE"""),"Uncle Sams Cider (11/12/2021) (Blue)")</f>
        <v>Uncle Sams Cider (11/12/2021) (Blue)</v>
      </c>
      <c r="H4735" s="19"/>
    </row>
    <row r="4736">
      <c r="A4736" s="9"/>
      <c r="B4736" s="15"/>
      <c r="C4736" s="9">
        <f>IFERROR(__xludf.DUMMYFUNCTION("""COMPUTED_VALUE"""),44555.8626220717)</f>
        <v>44555.86262</v>
      </c>
      <c r="D4736" s="15">
        <f>IFERROR(__xludf.DUMMYFUNCTION("""COMPUTED_VALUE"""),1.009)</f>
        <v>1.009</v>
      </c>
      <c r="E4736" s="16">
        <f>IFERROR(__xludf.DUMMYFUNCTION("""COMPUTED_VALUE"""),65.0)</f>
        <v>65</v>
      </c>
      <c r="F4736" s="19" t="str">
        <f>IFERROR(__xludf.DUMMYFUNCTION("""COMPUTED_VALUE"""),"BLUE")</f>
        <v>BLUE</v>
      </c>
      <c r="G4736" s="20" t="str">
        <f>IFERROR(__xludf.DUMMYFUNCTION("""COMPUTED_VALUE"""),"Uncle Sams Cider (11/12/2021) (Blue)")</f>
        <v>Uncle Sams Cider (11/12/2021) (Blue)</v>
      </c>
      <c r="H4736" s="19"/>
    </row>
    <row r="4737">
      <c r="A4737" s="9"/>
      <c r="B4737" s="15"/>
      <c r="C4737" s="9">
        <f>IFERROR(__xludf.DUMMYFUNCTION("""COMPUTED_VALUE"""),44555.852189074)</f>
        <v>44555.85219</v>
      </c>
      <c r="D4737" s="15">
        <f>IFERROR(__xludf.DUMMYFUNCTION("""COMPUTED_VALUE"""),1.009)</f>
        <v>1.009</v>
      </c>
      <c r="E4737" s="16">
        <f>IFERROR(__xludf.DUMMYFUNCTION("""COMPUTED_VALUE"""),65.0)</f>
        <v>65</v>
      </c>
      <c r="F4737" s="19" t="str">
        <f>IFERROR(__xludf.DUMMYFUNCTION("""COMPUTED_VALUE"""),"BLUE")</f>
        <v>BLUE</v>
      </c>
      <c r="G4737" s="20" t="str">
        <f>IFERROR(__xludf.DUMMYFUNCTION("""COMPUTED_VALUE"""),"Uncle Sams Cider (11/12/2021) (Blue)")</f>
        <v>Uncle Sams Cider (11/12/2021) (Blue)</v>
      </c>
      <c r="H4737" s="19"/>
    </row>
    <row r="4738">
      <c r="A4738" s="9"/>
      <c r="B4738" s="15"/>
      <c r="C4738" s="9">
        <f>IFERROR(__xludf.DUMMYFUNCTION("""COMPUTED_VALUE"""),44555.8417683449)</f>
        <v>44555.84177</v>
      </c>
      <c r="D4738" s="15">
        <f>IFERROR(__xludf.DUMMYFUNCTION("""COMPUTED_VALUE"""),1.009)</f>
        <v>1.009</v>
      </c>
      <c r="E4738" s="16">
        <f>IFERROR(__xludf.DUMMYFUNCTION("""COMPUTED_VALUE"""),65.0)</f>
        <v>65</v>
      </c>
      <c r="F4738" s="19" t="str">
        <f>IFERROR(__xludf.DUMMYFUNCTION("""COMPUTED_VALUE"""),"BLUE")</f>
        <v>BLUE</v>
      </c>
      <c r="G4738" s="20" t="str">
        <f>IFERROR(__xludf.DUMMYFUNCTION("""COMPUTED_VALUE"""),"Uncle Sams Cider (11/12/2021) (Blue)")</f>
        <v>Uncle Sams Cider (11/12/2021) (Blue)</v>
      </c>
      <c r="H4738" s="19"/>
    </row>
    <row r="4739">
      <c r="A4739" s="9"/>
      <c r="B4739" s="15"/>
      <c r="C4739" s="9">
        <f>IFERROR(__xludf.DUMMYFUNCTION("""COMPUTED_VALUE"""),44555.8313462268)</f>
        <v>44555.83135</v>
      </c>
      <c r="D4739" s="15">
        <f>IFERROR(__xludf.DUMMYFUNCTION("""COMPUTED_VALUE"""),1.009)</f>
        <v>1.009</v>
      </c>
      <c r="E4739" s="16">
        <f>IFERROR(__xludf.DUMMYFUNCTION("""COMPUTED_VALUE"""),65.0)</f>
        <v>65</v>
      </c>
      <c r="F4739" s="19" t="str">
        <f>IFERROR(__xludf.DUMMYFUNCTION("""COMPUTED_VALUE"""),"BLUE")</f>
        <v>BLUE</v>
      </c>
      <c r="G4739" s="20" t="str">
        <f>IFERROR(__xludf.DUMMYFUNCTION("""COMPUTED_VALUE"""),"Uncle Sams Cider (11/12/2021) (Blue)")</f>
        <v>Uncle Sams Cider (11/12/2021) (Blue)</v>
      </c>
      <c r="H4739" s="19"/>
    </row>
    <row r="4740">
      <c r="A4740" s="9"/>
      <c r="B4740" s="15"/>
      <c r="C4740" s="9">
        <f>IFERROR(__xludf.DUMMYFUNCTION("""COMPUTED_VALUE"""),44555.8209253587)</f>
        <v>44555.82093</v>
      </c>
      <c r="D4740" s="15">
        <f>IFERROR(__xludf.DUMMYFUNCTION("""COMPUTED_VALUE"""),1.01)</f>
        <v>1.01</v>
      </c>
      <c r="E4740" s="16">
        <f>IFERROR(__xludf.DUMMYFUNCTION("""COMPUTED_VALUE"""),65.0)</f>
        <v>65</v>
      </c>
      <c r="F4740" s="19" t="str">
        <f>IFERROR(__xludf.DUMMYFUNCTION("""COMPUTED_VALUE"""),"BLUE")</f>
        <v>BLUE</v>
      </c>
      <c r="G4740" s="20" t="str">
        <f>IFERROR(__xludf.DUMMYFUNCTION("""COMPUTED_VALUE"""),"Uncle Sams Cider (11/12/2021) (Blue)")</f>
        <v>Uncle Sams Cider (11/12/2021) (Blue)</v>
      </c>
      <c r="H4740" s="19"/>
    </row>
    <row r="4741">
      <c r="A4741" s="9"/>
      <c r="B4741" s="15"/>
      <c r="C4741" s="9">
        <f>IFERROR(__xludf.DUMMYFUNCTION("""COMPUTED_VALUE"""),44555.8105055092)</f>
        <v>44555.81051</v>
      </c>
      <c r="D4741" s="15">
        <f>IFERROR(__xludf.DUMMYFUNCTION("""COMPUTED_VALUE"""),1.009)</f>
        <v>1.009</v>
      </c>
      <c r="E4741" s="16">
        <f>IFERROR(__xludf.DUMMYFUNCTION("""COMPUTED_VALUE"""),65.0)</f>
        <v>65</v>
      </c>
      <c r="F4741" s="19" t="str">
        <f>IFERROR(__xludf.DUMMYFUNCTION("""COMPUTED_VALUE"""),"BLUE")</f>
        <v>BLUE</v>
      </c>
      <c r="G4741" s="20" t="str">
        <f>IFERROR(__xludf.DUMMYFUNCTION("""COMPUTED_VALUE"""),"Uncle Sams Cider (11/12/2021) (Blue)")</f>
        <v>Uncle Sams Cider (11/12/2021) (Blue)</v>
      </c>
      <c r="H4741" s="19"/>
    </row>
    <row r="4742">
      <c r="A4742" s="9"/>
      <c r="B4742" s="15"/>
      <c r="C4742" s="9">
        <f>IFERROR(__xludf.DUMMYFUNCTION("""COMPUTED_VALUE"""),44555.800085)</f>
        <v>44555.80009</v>
      </c>
      <c r="D4742" s="15">
        <f>IFERROR(__xludf.DUMMYFUNCTION("""COMPUTED_VALUE"""),1.009)</f>
        <v>1.009</v>
      </c>
      <c r="E4742" s="16">
        <f>IFERROR(__xludf.DUMMYFUNCTION("""COMPUTED_VALUE"""),65.0)</f>
        <v>65</v>
      </c>
      <c r="F4742" s="19" t="str">
        <f>IFERROR(__xludf.DUMMYFUNCTION("""COMPUTED_VALUE"""),"BLUE")</f>
        <v>BLUE</v>
      </c>
      <c r="G4742" s="20" t="str">
        <f>IFERROR(__xludf.DUMMYFUNCTION("""COMPUTED_VALUE"""),"Uncle Sams Cider (11/12/2021) (Blue)")</f>
        <v>Uncle Sams Cider (11/12/2021) (Blue)</v>
      </c>
      <c r="H4742" s="19"/>
    </row>
    <row r="4743">
      <c r="A4743" s="9"/>
      <c r="B4743" s="15"/>
      <c r="C4743" s="9">
        <f>IFERROR(__xludf.DUMMYFUNCTION("""COMPUTED_VALUE"""),44555.7896653819)</f>
        <v>44555.78967</v>
      </c>
      <c r="D4743" s="15">
        <f>IFERROR(__xludf.DUMMYFUNCTION("""COMPUTED_VALUE"""),1.009)</f>
        <v>1.009</v>
      </c>
      <c r="E4743" s="16">
        <f>IFERROR(__xludf.DUMMYFUNCTION("""COMPUTED_VALUE"""),65.0)</f>
        <v>65</v>
      </c>
      <c r="F4743" s="19" t="str">
        <f>IFERROR(__xludf.DUMMYFUNCTION("""COMPUTED_VALUE"""),"BLUE")</f>
        <v>BLUE</v>
      </c>
      <c r="G4743" s="20" t="str">
        <f>IFERROR(__xludf.DUMMYFUNCTION("""COMPUTED_VALUE"""),"Uncle Sams Cider (11/12/2021) (Blue)")</f>
        <v>Uncle Sams Cider (11/12/2021) (Blue)</v>
      </c>
      <c r="H4743" s="19"/>
    </row>
    <row r="4744">
      <c r="A4744" s="9"/>
      <c r="B4744" s="15"/>
      <c r="C4744" s="9">
        <f>IFERROR(__xludf.DUMMYFUNCTION("""COMPUTED_VALUE"""),44555.7792450231)</f>
        <v>44555.77925</v>
      </c>
      <c r="D4744" s="15">
        <f>IFERROR(__xludf.DUMMYFUNCTION("""COMPUTED_VALUE"""),1.01)</f>
        <v>1.01</v>
      </c>
      <c r="E4744" s="16">
        <f>IFERROR(__xludf.DUMMYFUNCTION("""COMPUTED_VALUE"""),65.0)</f>
        <v>65</v>
      </c>
      <c r="F4744" s="19" t="str">
        <f>IFERROR(__xludf.DUMMYFUNCTION("""COMPUTED_VALUE"""),"BLUE")</f>
        <v>BLUE</v>
      </c>
      <c r="G4744" s="20" t="str">
        <f>IFERROR(__xludf.DUMMYFUNCTION("""COMPUTED_VALUE"""),"Uncle Sams Cider (11/12/2021) (Blue)")</f>
        <v>Uncle Sams Cider (11/12/2021) (Blue)</v>
      </c>
      <c r="H4744" s="19"/>
    </row>
    <row r="4745">
      <c r="A4745" s="9"/>
      <c r="B4745" s="15"/>
      <c r="C4745" s="9">
        <f>IFERROR(__xludf.DUMMYFUNCTION("""COMPUTED_VALUE"""),44555.7688126388)</f>
        <v>44555.76881</v>
      </c>
      <c r="D4745" s="15">
        <f>IFERROR(__xludf.DUMMYFUNCTION("""COMPUTED_VALUE"""),1.01)</f>
        <v>1.01</v>
      </c>
      <c r="E4745" s="16">
        <f>IFERROR(__xludf.DUMMYFUNCTION("""COMPUTED_VALUE"""),65.0)</f>
        <v>65</v>
      </c>
      <c r="F4745" s="19" t="str">
        <f>IFERROR(__xludf.DUMMYFUNCTION("""COMPUTED_VALUE"""),"BLUE")</f>
        <v>BLUE</v>
      </c>
      <c r="G4745" s="20" t="str">
        <f>IFERROR(__xludf.DUMMYFUNCTION("""COMPUTED_VALUE"""),"Uncle Sams Cider (11/12/2021) (Blue)")</f>
        <v>Uncle Sams Cider (11/12/2021) (Blue)</v>
      </c>
      <c r="H4745" s="19"/>
    </row>
    <row r="4746">
      <c r="A4746" s="9"/>
      <c r="B4746" s="15"/>
      <c r="C4746" s="9">
        <f>IFERROR(__xludf.DUMMYFUNCTION("""COMPUTED_VALUE"""),44555.7583915509)</f>
        <v>44555.75839</v>
      </c>
      <c r="D4746" s="15">
        <f>IFERROR(__xludf.DUMMYFUNCTION("""COMPUTED_VALUE"""),1.009)</f>
        <v>1.009</v>
      </c>
      <c r="E4746" s="16">
        <f>IFERROR(__xludf.DUMMYFUNCTION("""COMPUTED_VALUE"""),65.0)</f>
        <v>65</v>
      </c>
      <c r="F4746" s="19" t="str">
        <f>IFERROR(__xludf.DUMMYFUNCTION("""COMPUTED_VALUE"""),"BLUE")</f>
        <v>BLUE</v>
      </c>
      <c r="G4746" s="20" t="str">
        <f>IFERROR(__xludf.DUMMYFUNCTION("""COMPUTED_VALUE"""),"Uncle Sams Cider (11/12/2021) (Blue)")</f>
        <v>Uncle Sams Cider (11/12/2021) (Blue)</v>
      </c>
      <c r="H4746" s="19"/>
    </row>
    <row r="4747">
      <c r="A4747" s="9"/>
      <c r="B4747" s="15"/>
      <c r="C4747" s="9">
        <f>IFERROR(__xludf.DUMMYFUNCTION("""COMPUTED_VALUE"""),44555.7479692361)</f>
        <v>44555.74797</v>
      </c>
      <c r="D4747" s="15">
        <f>IFERROR(__xludf.DUMMYFUNCTION("""COMPUTED_VALUE"""),1.009)</f>
        <v>1.009</v>
      </c>
      <c r="E4747" s="16">
        <f>IFERROR(__xludf.DUMMYFUNCTION("""COMPUTED_VALUE"""),65.0)</f>
        <v>65</v>
      </c>
      <c r="F4747" s="19" t="str">
        <f>IFERROR(__xludf.DUMMYFUNCTION("""COMPUTED_VALUE"""),"BLUE")</f>
        <v>BLUE</v>
      </c>
      <c r="G4747" s="20" t="str">
        <f>IFERROR(__xludf.DUMMYFUNCTION("""COMPUTED_VALUE"""),"Uncle Sams Cider (11/12/2021) (Blue)")</f>
        <v>Uncle Sams Cider (11/12/2021) (Blue)</v>
      </c>
      <c r="H4747" s="19"/>
    </row>
    <row r="4748">
      <c r="A4748" s="9"/>
      <c r="B4748" s="15"/>
      <c r="C4748" s="9">
        <f>IFERROR(__xludf.DUMMYFUNCTION("""COMPUTED_VALUE"""),44555.7375466898)</f>
        <v>44555.73755</v>
      </c>
      <c r="D4748" s="15">
        <f>IFERROR(__xludf.DUMMYFUNCTION("""COMPUTED_VALUE"""),1.009)</f>
        <v>1.009</v>
      </c>
      <c r="E4748" s="16">
        <f>IFERROR(__xludf.DUMMYFUNCTION("""COMPUTED_VALUE"""),65.0)</f>
        <v>65</v>
      </c>
      <c r="F4748" s="19" t="str">
        <f>IFERROR(__xludf.DUMMYFUNCTION("""COMPUTED_VALUE"""),"BLUE")</f>
        <v>BLUE</v>
      </c>
      <c r="G4748" s="20" t="str">
        <f>IFERROR(__xludf.DUMMYFUNCTION("""COMPUTED_VALUE"""),"Uncle Sams Cider (11/12/2021) (Blue)")</f>
        <v>Uncle Sams Cider (11/12/2021) (Blue)</v>
      </c>
      <c r="H4748" s="19"/>
    </row>
    <row r="4749">
      <c r="A4749" s="9"/>
      <c r="B4749" s="15"/>
      <c r="C4749" s="9">
        <f>IFERROR(__xludf.DUMMYFUNCTION("""COMPUTED_VALUE"""),44555.7271123726)</f>
        <v>44555.72711</v>
      </c>
      <c r="D4749" s="15">
        <f>IFERROR(__xludf.DUMMYFUNCTION("""COMPUTED_VALUE"""),1.009)</f>
        <v>1.009</v>
      </c>
      <c r="E4749" s="16">
        <f>IFERROR(__xludf.DUMMYFUNCTION("""COMPUTED_VALUE"""),65.0)</f>
        <v>65</v>
      </c>
      <c r="F4749" s="19" t="str">
        <f>IFERROR(__xludf.DUMMYFUNCTION("""COMPUTED_VALUE"""),"BLUE")</f>
        <v>BLUE</v>
      </c>
      <c r="G4749" s="20" t="str">
        <f>IFERROR(__xludf.DUMMYFUNCTION("""COMPUTED_VALUE"""),"Uncle Sams Cider (11/12/2021) (Blue)")</f>
        <v>Uncle Sams Cider (11/12/2021) (Blue)</v>
      </c>
      <c r="H4749" s="19"/>
    </row>
    <row r="4750">
      <c r="A4750" s="9"/>
      <c r="B4750" s="15"/>
      <c r="C4750" s="9">
        <f>IFERROR(__xludf.DUMMYFUNCTION("""COMPUTED_VALUE"""),44555.7166781944)</f>
        <v>44555.71668</v>
      </c>
      <c r="D4750" s="15">
        <f>IFERROR(__xludf.DUMMYFUNCTION("""COMPUTED_VALUE"""),1.009)</f>
        <v>1.009</v>
      </c>
      <c r="E4750" s="16">
        <f>IFERROR(__xludf.DUMMYFUNCTION("""COMPUTED_VALUE"""),65.0)</f>
        <v>65</v>
      </c>
      <c r="F4750" s="19" t="str">
        <f>IFERROR(__xludf.DUMMYFUNCTION("""COMPUTED_VALUE"""),"BLUE")</f>
        <v>BLUE</v>
      </c>
      <c r="G4750" s="20" t="str">
        <f>IFERROR(__xludf.DUMMYFUNCTION("""COMPUTED_VALUE"""),"Uncle Sams Cider (11/12/2021) (Blue)")</f>
        <v>Uncle Sams Cider (11/12/2021) (Blue)</v>
      </c>
      <c r="H4750" s="19"/>
    </row>
    <row r="4751">
      <c r="A4751" s="9"/>
      <c r="B4751" s="15"/>
      <c r="C4751" s="9">
        <f>IFERROR(__xludf.DUMMYFUNCTION("""COMPUTED_VALUE"""),44555.7062478703)</f>
        <v>44555.70625</v>
      </c>
      <c r="D4751" s="15">
        <f>IFERROR(__xludf.DUMMYFUNCTION("""COMPUTED_VALUE"""),1.009)</f>
        <v>1.009</v>
      </c>
      <c r="E4751" s="16">
        <f>IFERROR(__xludf.DUMMYFUNCTION("""COMPUTED_VALUE"""),65.0)</f>
        <v>65</v>
      </c>
      <c r="F4751" s="19" t="str">
        <f>IFERROR(__xludf.DUMMYFUNCTION("""COMPUTED_VALUE"""),"BLUE")</f>
        <v>BLUE</v>
      </c>
      <c r="G4751" s="20" t="str">
        <f>IFERROR(__xludf.DUMMYFUNCTION("""COMPUTED_VALUE"""),"Uncle Sams Cider (11/12/2021) (Blue)")</f>
        <v>Uncle Sams Cider (11/12/2021) (Blue)</v>
      </c>
      <c r="H4751" s="19"/>
    </row>
    <row r="4752">
      <c r="A4752" s="9"/>
      <c r="B4752" s="15"/>
      <c r="C4752" s="9">
        <f>IFERROR(__xludf.DUMMYFUNCTION("""COMPUTED_VALUE"""),44555.6958154513)</f>
        <v>44555.69582</v>
      </c>
      <c r="D4752" s="15">
        <f>IFERROR(__xludf.DUMMYFUNCTION("""COMPUTED_VALUE"""),1.009)</f>
        <v>1.009</v>
      </c>
      <c r="E4752" s="16">
        <f>IFERROR(__xludf.DUMMYFUNCTION("""COMPUTED_VALUE"""),65.0)</f>
        <v>65</v>
      </c>
      <c r="F4752" s="19" t="str">
        <f>IFERROR(__xludf.DUMMYFUNCTION("""COMPUTED_VALUE"""),"BLUE")</f>
        <v>BLUE</v>
      </c>
      <c r="G4752" s="20" t="str">
        <f>IFERROR(__xludf.DUMMYFUNCTION("""COMPUTED_VALUE"""),"Uncle Sams Cider (11/12/2021) (Blue)")</f>
        <v>Uncle Sams Cider (11/12/2021) (Blue)</v>
      </c>
      <c r="H4752" s="19"/>
    </row>
    <row r="4753">
      <c r="A4753" s="9"/>
      <c r="B4753" s="15"/>
      <c r="C4753" s="9">
        <f>IFERROR(__xludf.DUMMYFUNCTION("""COMPUTED_VALUE"""),44555.6853823263)</f>
        <v>44555.68538</v>
      </c>
      <c r="D4753" s="15">
        <f>IFERROR(__xludf.DUMMYFUNCTION("""COMPUTED_VALUE"""),1.009)</f>
        <v>1.009</v>
      </c>
      <c r="E4753" s="16">
        <f>IFERROR(__xludf.DUMMYFUNCTION("""COMPUTED_VALUE"""),65.0)</f>
        <v>65</v>
      </c>
      <c r="F4753" s="19" t="str">
        <f>IFERROR(__xludf.DUMMYFUNCTION("""COMPUTED_VALUE"""),"BLUE")</f>
        <v>BLUE</v>
      </c>
      <c r="G4753" s="20" t="str">
        <f>IFERROR(__xludf.DUMMYFUNCTION("""COMPUTED_VALUE"""),"Uncle Sams Cider (11/12/2021) (Blue)")</f>
        <v>Uncle Sams Cider (11/12/2021) (Blue)</v>
      </c>
      <c r="H4753" s="19"/>
    </row>
    <row r="4754">
      <c r="A4754" s="9"/>
      <c r="B4754" s="15"/>
      <c r="C4754" s="9">
        <f>IFERROR(__xludf.DUMMYFUNCTION("""COMPUTED_VALUE"""),44555.6749614467)</f>
        <v>44555.67496</v>
      </c>
      <c r="D4754" s="15">
        <f>IFERROR(__xludf.DUMMYFUNCTION("""COMPUTED_VALUE"""),1.01)</f>
        <v>1.01</v>
      </c>
      <c r="E4754" s="16">
        <f>IFERROR(__xludf.DUMMYFUNCTION("""COMPUTED_VALUE"""),65.0)</f>
        <v>65</v>
      </c>
      <c r="F4754" s="19" t="str">
        <f>IFERROR(__xludf.DUMMYFUNCTION("""COMPUTED_VALUE"""),"BLUE")</f>
        <v>BLUE</v>
      </c>
      <c r="G4754" s="20" t="str">
        <f>IFERROR(__xludf.DUMMYFUNCTION("""COMPUTED_VALUE"""),"Uncle Sams Cider (11/12/2021) (Blue)")</f>
        <v>Uncle Sams Cider (11/12/2021) (Blue)</v>
      </c>
      <c r="H4754" s="19"/>
    </row>
    <row r="4755">
      <c r="A4755" s="9"/>
      <c r="B4755" s="15"/>
      <c r="C4755" s="9">
        <f>IFERROR(__xludf.DUMMYFUNCTION("""COMPUTED_VALUE"""),44555.6645411805)</f>
        <v>44555.66454</v>
      </c>
      <c r="D4755" s="15">
        <f>IFERROR(__xludf.DUMMYFUNCTION("""COMPUTED_VALUE"""),1.009)</f>
        <v>1.009</v>
      </c>
      <c r="E4755" s="16">
        <f>IFERROR(__xludf.DUMMYFUNCTION("""COMPUTED_VALUE"""),65.0)</f>
        <v>65</v>
      </c>
      <c r="F4755" s="19" t="str">
        <f>IFERROR(__xludf.DUMMYFUNCTION("""COMPUTED_VALUE"""),"BLUE")</f>
        <v>BLUE</v>
      </c>
      <c r="G4755" s="20" t="str">
        <f>IFERROR(__xludf.DUMMYFUNCTION("""COMPUTED_VALUE"""),"Uncle Sams Cider (11/12/2021) (Blue)")</f>
        <v>Uncle Sams Cider (11/12/2021) (Blue)</v>
      </c>
      <c r="H4755" s="19"/>
    </row>
    <row r="4756">
      <c r="A4756" s="9"/>
      <c r="B4756" s="15"/>
      <c r="C4756" s="9">
        <f>IFERROR(__xludf.DUMMYFUNCTION("""COMPUTED_VALUE"""),44555.6541204976)</f>
        <v>44555.65412</v>
      </c>
      <c r="D4756" s="15">
        <f>IFERROR(__xludf.DUMMYFUNCTION("""COMPUTED_VALUE"""),1.009)</f>
        <v>1.009</v>
      </c>
      <c r="E4756" s="16">
        <f>IFERROR(__xludf.DUMMYFUNCTION("""COMPUTED_VALUE"""),65.0)</f>
        <v>65</v>
      </c>
      <c r="F4756" s="19" t="str">
        <f>IFERROR(__xludf.DUMMYFUNCTION("""COMPUTED_VALUE"""),"BLUE")</f>
        <v>BLUE</v>
      </c>
      <c r="G4756" s="20" t="str">
        <f>IFERROR(__xludf.DUMMYFUNCTION("""COMPUTED_VALUE"""),"Uncle Sams Cider (11/12/2021) (Blue)")</f>
        <v>Uncle Sams Cider (11/12/2021) (Blue)</v>
      </c>
      <c r="H4756" s="19"/>
    </row>
    <row r="4757">
      <c r="A4757" s="9"/>
      <c r="B4757" s="15"/>
      <c r="C4757" s="9">
        <f>IFERROR(__xludf.DUMMYFUNCTION("""COMPUTED_VALUE"""),44555.6436877314)</f>
        <v>44555.64369</v>
      </c>
      <c r="D4757" s="15">
        <f>IFERROR(__xludf.DUMMYFUNCTION("""COMPUTED_VALUE"""),1.01)</f>
        <v>1.01</v>
      </c>
      <c r="E4757" s="16">
        <f>IFERROR(__xludf.DUMMYFUNCTION("""COMPUTED_VALUE"""),65.0)</f>
        <v>65</v>
      </c>
      <c r="F4757" s="19" t="str">
        <f>IFERROR(__xludf.DUMMYFUNCTION("""COMPUTED_VALUE"""),"BLUE")</f>
        <v>BLUE</v>
      </c>
      <c r="G4757" s="20" t="str">
        <f>IFERROR(__xludf.DUMMYFUNCTION("""COMPUTED_VALUE"""),"Uncle Sams Cider (11/12/2021) (Blue)")</f>
        <v>Uncle Sams Cider (11/12/2021) (Blue)</v>
      </c>
      <c r="H4757" s="19"/>
    </row>
    <row r="4758">
      <c r="A4758" s="9"/>
      <c r="B4758" s="15"/>
      <c r="C4758" s="9">
        <f>IFERROR(__xludf.DUMMYFUNCTION("""COMPUTED_VALUE"""),44555.6332557175)</f>
        <v>44555.63326</v>
      </c>
      <c r="D4758" s="15">
        <f>IFERROR(__xludf.DUMMYFUNCTION("""COMPUTED_VALUE"""),1.009)</f>
        <v>1.009</v>
      </c>
      <c r="E4758" s="16">
        <f>IFERROR(__xludf.DUMMYFUNCTION("""COMPUTED_VALUE"""),65.0)</f>
        <v>65</v>
      </c>
      <c r="F4758" s="19" t="str">
        <f>IFERROR(__xludf.DUMMYFUNCTION("""COMPUTED_VALUE"""),"BLUE")</f>
        <v>BLUE</v>
      </c>
      <c r="G4758" s="20" t="str">
        <f>IFERROR(__xludf.DUMMYFUNCTION("""COMPUTED_VALUE"""),"Uncle Sams Cider (11/12/2021) (Blue)")</f>
        <v>Uncle Sams Cider (11/12/2021) (Blue)</v>
      </c>
      <c r="H4758" s="19"/>
    </row>
    <row r="4759">
      <c r="A4759" s="9"/>
      <c r="B4759" s="15"/>
      <c r="C4759" s="9">
        <f>IFERROR(__xludf.DUMMYFUNCTION("""COMPUTED_VALUE"""),44555.6228353009)</f>
        <v>44555.62284</v>
      </c>
      <c r="D4759" s="15">
        <f>IFERROR(__xludf.DUMMYFUNCTION("""COMPUTED_VALUE"""),1.01)</f>
        <v>1.01</v>
      </c>
      <c r="E4759" s="16">
        <f>IFERROR(__xludf.DUMMYFUNCTION("""COMPUTED_VALUE"""),65.0)</f>
        <v>65</v>
      </c>
      <c r="F4759" s="19" t="str">
        <f>IFERROR(__xludf.DUMMYFUNCTION("""COMPUTED_VALUE"""),"BLUE")</f>
        <v>BLUE</v>
      </c>
      <c r="G4759" s="20" t="str">
        <f>IFERROR(__xludf.DUMMYFUNCTION("""COMPUTED_VALUE"""),"Uncle Sams Cider (11/12/2021) (Blue)")</f>
        <v>Uncle Sams Cider (11/12/2021) (Blue)</v>
      </c>
      <c r="H4759" s="19"/>
    </row>
    <row r="4760">
      <c r="A4760" s="9"/>
      <c r="B4760" s="15"/>
      <c r="C4760" s="9">
        <f>IFERROR(__xludf.DUMMYFUNCTION("""COMPUTED_VALUE"""),44555.6124137152)</f>
        <v>44555.61241</v>
      </c>
      <c r="D4760" s="15">
        <f>IFERROR(__xludf.DUMMYFUNCTION("""COMPUTED_VALUE"""),1.01)</f>
        <v>1.01</v>
      </c>
      <c r="E4760" s="16">
        <f>IFERROR(__xludf.DUMMYFUNCTION("""COMPUTED_VALUE"""),65.0)</f>
        <v>65</v>
      </c>
      <c r="F4760" s="19" t="str">
        <f>IFERROR(__xludf.DUMMYFUNCTION("""COMPUTED_VALUE"""),"BLUE")</f>
        <v>BLUE</v>
      </c>
      <c r="G4760" s="20" t="str">
        <f>IFERROR(__xludf.DUMMYFUNCTION("""COMPUTED_VALUE"""),"Uncle Sams Cider (11/12/2021) (Blue)")</f>
        <v>Uncle Sams Cider (11/12/2021) (Blue)</v>
      </c>
      <c r="H4760" s="19"/>
    </row>
    <row r="4761">
      <c r="A4761" s="9"/>
      <c r="B4761" s="15"/>
      <c r="C4761" s="9">
        <f>IFERROR(__xludf.DUMMYFUNCTION("""COMPUTED_VALUE"""),44555.6019913888)</f>
        <v>44555.60199</v>
      </c>
      <c r="D4761" s="15">
        <f>IFERROR(__xludf.DUMMYFUNCTION("""COMPUTED_VALUE"""),1.01)</f>
        <v>1.01</v>
      </c>
      <c r="E4761" s="16">
        <f>IFERROR(__xludf.DUMMYFUNCTION("""COMPUTED_VALUE"""),65.0)</f>
        <v>65</v>
      </c>
      <c r="F4761" s="19" t="str">
        <f>IFERROR(__xludf.DUMMYFUNCTION("""COMPUTED_VALUE"""),"BLUE")</f>
        <v>BLUE</v>
      </c>
      <c r="G4761" s="20" t="str">
        <f>IFERROR(__xludf.DUMMYFUNCTION("""COMPUTED_VALUE"""),"Uncle Sams Cider (11/12/2021) (Blue)")</f>
        <v>Uncle Sams Cider (11/12/2021) (Blue)</v>
      </c>
      <c r="H4761" s="19"/>
    </row>
    <row r="4762">
      <c r="A4762" s="9"/>
      <c r="B4762" s="15"/>
      <c r="C4762" s="9">
        <f>IFERROR(__xludf.DUMMYFUNCTION("""COMPUTED_VALUE"""),44555.5915467245)</f>
        <v>44555.59155</v>
      </c>
      <c r="D4762" s="15">
        <f>IFERROR(__xludf.DUMMYFUNCTION("""COMPUTED_VALUE"""),1.01)</f>
        <v>1.01</v>
      </c>
      <c r="E4762" s="16">
        <f>IFERROR(__xludf.DUMMYFUNCTION("""COMPUTED_VALUE"""),65.0)</f>
        <v>65</v>
      </c>
      <c r="F4762" s="19" t="str">
        <f>IFERROR(__xludf.DUMMYFUNCTION("""COMPUTED_VALUE"""),"BLUE")</f>
        <v>BLUE</v>
      </c>
      <c r="G4762" s="20" t="str">
        <f>IFERROR(__xludf.DUMMYFUNCTION("""COMPUTED_VALUE"""),"Uncle Sams Cider (11/12/2021) (Blue)")</f>
        <v>Uncle Sams Cider (11/12/2021) (Blue)</v>
      </c>
      <c r="H4762" s="19"/>
    </row>
    <row r="4763">
      <c r="A4763" s="9"/>
      <c r="B4763" s="15"/>
      <c r="C4763" s="9">
        <f>IFERROR(__xludf.DUMMYFUNCTION("""COMPUTED_VALUE"""),44555.5811248611)</f>
        <v>44555.58112</v>
      </c>
      <c r="D4763" s="15">
        <f>IFERROR(__xludf.DUMMYFUNCTION("""COMPUTED_VALUE"""),1.009)</f>
        <v>1.009</v>
      </c>
      <c r="E4763" s="16">
        <f>IFERROR(__xludf.DUMMYFUNCTION("""COMPUTED_VALUE"""),65.0)</f>
        <v>65</v>
      </c>
      <c r="F4763" s="19" t="str">
        <f>IFERROR(__xludf.DUMMYFUNCTION("""COMPUTED_VALUE"""),"BLUE")</f>
        <v>BLUE</v>
      </c>
      <c r="G4763" s="20" t="str">
        <f>IFERROR(__xludf.DUMMYFUNCTION("""COMPUTED_VALUE"""),"Uncle Sams Cider (11/12/2021) (Blue)")</f>
        <v>Uncle Sams Cider (11/12/2021) (Blue)</v>
      </c>
      <c r="H4763" s="19"/>
    </row>
    <row r="4764">
      <c r="A4764" s="9"/>
      <c r="B4764" s="15"/>
      <c r="C4764" s="9">
        <f>IFERROR(__xludf.DUMMYFUNCTION("""COMPUTED_VALUE"""),44555.5707021412)</f>
        <v>44555.5707</v>
      </c>
      <c r="D4764" s="15">
        <f>IFERROR(__xludf.DUMMYFUNCTION("""COMPUTED_VALUE"""),1.01)</f>
        <v>1.01</v>
      </c>
      <c r="E4764" s="16">
        <f>IFERROR(__xludf.DUMMYFUNCTION("""COMPUTED_VALUE"""),65.0)</f>
        <v>65</v>
      </c>
      <c r="F4764" s="19" t="str">
        <f>IFERROR(__xludf.DUMMYFUNCTION("""COMPUTED_VALUE"""),"BLUE")</f>
        <v>BLUE</v>
      </c>
      <c r="G4764" s="20" t="str">
        <f>IFERROR(__xludf.DUMMYFUNCTION("""COMPUTED_VALUE"""),"Uncle Sams Cider (11/12/2021) (Blue)")</f>
        <v>Uncle Sams Cider (11/12/2021) (Blue)</v>
      </c>
      <c r="H4764" s="19"/>
    </row>
    <row r="4765">
      <c r="A4765" s="9"/>
      <c r="B4765" s="15"/>
      <c r="C4765" s="9">
        <f>IFERROR(__xludf.DUMMYFUNCTION("""COMPUTED_VALUE"""),44555.5602792592)</f>
        <v>44555.56028</v>
      </c>
      <c r="D4765" s="15">
        <f>IFERROR(__xludf.DUMMYFUNCTION("""COMPUTED_VALUE"""),1.01)</f>
        <v>1.01</v>
      </c>
      <c r="E4765" s="16">
        <f>IFERROR(__xludf.DUMMYFUNCTION("""COMPUTED_VALUE"""),65.0)</f>
        <v>65</v>
      </c>
      <c r="F4765" s="19" t="str">
        <f>IFERROR(__xludf.DUMMYFUNCTION("""COMPUTED_VALUE"""),"BLUE")</f>
        <v>BLUE</v>
      </c>
      <c r="G4765" s="20" t="str">
        <f>IFERROR(__xludf.DUMMYFUNCTION("""COMPUTED_VALUE"""),"Uncle Sams Cider (11/12/2021) (Blue)")</f>
        <v>Uncle Sams Cider (11/12/2021) (Blue)</v>
      </c>
      <c r="H4765" s="19"/>
    </row>
    <row r="4766">
      <c r="A4766" s="9"/>
      <c r="B4766" s="15"/>
      <c r="C4766" s="9">
        <f>IFERROR(__xludf.DUMMYFUNCTION("""COMPUTED_VALUE"""),44555.5498469213)</f>
        <v>44555.54985</v>
      </c>
      <c r="D4766" s="15">
        <f>IFERROR(__xludf.DUMMYFUNCTION("""COMPUTED_VALUE"""),1.01)</f>
        <v>1.01</v>
      </c>
      <c r="E4766" s="16">
        <f>IFERROR(__xludf.DUMMYFUNCTION("""COMPUTED_VALUE"""),65.0)</f>
        <v>65</v>
      </c>
      <c r="F4766" s="19" t="str">
        <f>IFERROR(__xludf.DUMMYFUNCTION("""COMPUTED_VALUE"""),"BLUE")</f>
        <v>BLUE</v>
      </c>
      <c r="G4766" s="20" t="str">
        <f>IFERROR(__xludf.DUMMYFUNCTION("""COMPUTED_VALUE"""),"Uncle Sams Cider (11/12/2021) (Blue)")</f>
        <v>Uncle Sams Cider (11/12/2021) (Blue)</v>
      </c>
      <c r="H4766" s="19"/>
    </row>
    <row r="4767">
      <c r="A4767" s="9"/>
      <c r="B4767" s="15"/>
      <c r="C4767" s="9">
        <f>IFERROR(__xludf.DUMMYFUNCTION("""COMPUTED_VALUE"""),44555.5394151967)</f>
        <v>44555.53942</v>
      </c>
      <c r="D4767" s="15">
        <f>IFERROR(__xludf.DUMMYFUNCTION("""COMPUTED_VALUE"""),1.01)</f>
        <v>1.01</v>
      </c>
      <c r="E4767" s="16">
        <f>IFERROR(__xludf.DUMMYFUNCTION("""COMPUTED_VALUE"""),65.0)</f>
        <v>65</v>
      </c>
      <c r="F4767" s="19" t="str">
        <f>IFERROR(__xludf.DUMMYFUNCTION("""COMPUTED_VALUE"""),"BLUE")</f>
        <v>BLUE</v>
      </c>
      <c r="G4767" s="20" t="str">
        <f>IFERROR(__xludf.DUMMYFUNCTION("""COMPUTED_VALUE"""),"Uncle Sams Cider (11/12/2021) (Blue)")</f>
        <v>Uncle Sams Cider (11/12/2021) (Blue)</v>
      </c>
      <c r="H4767" s="19"/>
    </row>
    <row r="4768">
      <c r="A4768" s="9"/>
      <c r="B4768" s="15"/>
      <c r="C4768" s="9">
        <f>IFERROR(__xludf.DUMMYFUNCTION("""COMPUTED_VALUE"""),44555.5289958333)</f>
        <v>44555.529</v>
      </c>
      <c r="D4768" s="15">
        <f>IFERROR(__xludf.DUMMYFUNCTION("""COMPUTED_VALUE"""),1.01)</f>
        <v>1.01</v>
      </c>
      <c r="E4768" s="16">
        <f>IFERROR(__xludf.DUMMYFUNCTION("""COMPUTED_VALUE"""),65.0)</f>
        <v>65</v>
      </c>
      <c r="F4768" s="19" t="str">
        <f>IFERROR(__xludf.DUMMYFUNCTION("""COMPUTED_VALUE"""),"BLUE")</f>
        <v>BLUE</v>
      </c>
      <c r="G4768" s="20" t="str">
        <f>IFERROR(__xludf.DUMMYFUNCTION("""COMPUTED_VALUE"""),"Uncle Sams Cider (11/12/2021) (Blue)")</f>
        <v>Uncle Sams Cider (11/12/2021) (Blue)</v>
      </c>
      <c r="H4768" s="19"/>
    </row>
    <row r="4769">
      <c r="A4769" s="9"/>
      <c r="B4769" s="15"/>
      <c r="C4769" s="9">
        <f>IFERROR(__xludf.DUMMYFUNCTION("""COMPUTED_VALUE"""),44555.5185640624)</f>
        <v>44555.51856</v>
      </c>
      <c r="D4769" s="15">
        <f>IFERROR(__xludf.DUMMYFUNCTION("""COMPUTED_VALUE"""),1.01)</f>
        <v>1.01</v>
      </c>
      <c r="E4769" s="16">
        <f>IFERROR(__xludf.DUMMYFUNCTION("""COMPUTED_VALUE"""),65.0)</f>
        <v>65</v>
      </c>
      <c r="F4769" s="19" t="str">
        <f>IFERROR(__xludf.DUMMYFUNCTION("""COMPUTED_VALUE"""),"BLUE")</f>
        <v>BLUE</v>
      </c>
      <c r="G4769" s="20" t="str">
        <f>IFERROR(__xludf.DUMMYFUNCTION("""COMPUTED_VALUE"""),"Uncle Sams Cider (11/12/2021) (Blue)")</f>
        <v>Uncle Sams Cider (11/12/2021) (Blue)</v>
      </c>
      <c r="H4769" s="19"/>
    </row>
    <row r="4770">
      <c r="A4770" s="9"/>
      <c r="B4770" s="15"/>
      <c r="C4770" s="9">
        <f>IFERROR(__xludf.DUMMYFUNCTION("""COMPUTED_VALUE"""),44555.5081315162)</f>
        <v>44555.50813</v>
      </c>
      <c r="D4770" s="15">
        <f>IFERROR(__xludf.DUMMYFUNCTION("""COMPUTED_VALUE"""),1.01)</f>
        <v>1.01</v>
      </c>
      <c r="E4770" s="16">
        <f>IFERROR(__xludf.DUMMYFUNCTION("""COMPUTED_VALUE"""),65.0)</f>
        <v>65</v>
      </c>
      <c r="F4770" s="19" t="str">
        <f>IFERROR(__xludf.DUMMYFUNCTION("""COMPUTED_VALUE"""),"BLUE")</f>
        <v>BLUE</v>
      </c>
      <c r="G4770" s="20" t="str">
        <f>IFERROR(__xludf.DUMMYFUNCTION("""COMPUTED_VALUE"""),"Uncle Sams Cider (11/12/2021) (Blue)")</f>
        <v>Uncle Sams Cider (11/12/2021) (Blue)</v>
      </c>
      <c r="H4770" s="19"/>
    </row>
    <row r="4771">
      <c r="A4771" s="9"/>
      <c r="B4771" s="15"/>
      <c r="C4771" s="9">
        <f>IFERROR(__xludf.DUMMYFUNCTION("""COMPUTED_VALUE"""),44555.4976862268)</f>
        <v>44555.49769</v>
      </c>
      <c r="D4771" s="15">
        <f>IFERROR(__xludf.DUMMYFUNCTION("""COMPUTED_VALUE"""),1.01)</f>
        <v>1.01</v>
      </c>
      <c r="E4771" s="16">
        <f>IFERROR(__xludf.DUMMYFUNCTION("""COMPUTED_VALUE"""),65.0)</f>
        <v>65</v>
      </c>
      <c r="F4771" s="19" t="str">
        <f>IFERROR(__xludf.DUMMYFUNCTION("""COMPUTED_VALUE"""),"BLUE")</f>
        <v>BLUE</v>
      </c>
      <c r="G4771" s="20" t="str">
        <f>IFERROR(__xludf.DUMMYFUNCTION("""COMPUTED_VALUE"""),"Uncle Sams Cider (11/12/2021) (Blue)")</f>
        <v>Uncle Sams Cider (11/12/2021) (Blue)</v>
      </c>
      <c r="H4771" s="19"/>
    </row>
    <row r="4772">
      <c r="A4772" s="9"/>
      <c r="B4772" s="15"/>
      <c r="C4772" s="9">
        <f>IFERROR(__xludf.DUMMYFUNCTION("""COMPUTED_VALUE"""),44555.4872662037)</f>
        <v>44555.48727</v>
      </c>
      <c r="D4772" s="15">
        <f>IFERROR(__xludf.DUMMYFUNCTION("""COMPUTED_VALUE"""),1.01)</f>
        <v>1.01</v>
      </c>
      <c r="E4772" s="16">
        <f>IFERROR(__xludf.DUMMYFUNCTION("""COMPUTED_VALUE"""),65.0)</f>
        <v>65</v>
      </c>
      <c r="F4772" s="19" t="str">
        <f>IFERROR(__xludf.DUMMYFUNCTION("""COMPUTED_VALUE"""),"BLUE")</f>
        <v>BLUE</v>
      </c>
      <c r="G4772" s="20" t="str">
        <f>IFERROR(__xludf.DUMMYFUNCTION("""COMPUTED_VALUE"""),"Uncle Sams Cider (11/12/2021) (Blue)")</f>
        <v>Uncle Sams Cider (11/12/2021) (Blue)</v>
      </c>
      <c r="H4772" s="19"/>
    </row>
    <row r="4773">
      <c r="A4773" s="9"/>
      <c r="B4773" s="15"/>
      <c r="C4773" s="9">
        <f>IFERROR(__xludf.DUMMYFUNCTION("""COMPUTED_VALUE"""),44555.476832581)</f>
        <v>44555.47683</v>
      </c>
      <c r="D4773" s="15">
        <f>IFERROR(__xludf.DUMMYFUNCTION("""COMPUTED_VALUE"""),1.01)</f>
        <v>1.01</v>
      </c>
      <c r="E4773" s="16">
        <f>IFERROR(__xludf.DUMMYFUNCTION("""COMPUTED_VALUE"""),65.0)</f>
        <v>65</v>
      </c>
      <c r="F4773" s="19" t="str">
        <f>IFERROR(__xludf.DUMMYFUNCTION("""COMPUTED_VALUE"""),"BLUE")</f>
        <v>BLUE</v>
      </c>
      <c r="G4773" s="20" t="str">
        <f>IFERROR(__xludf.DUMMYFUNCTION("""COMPUTED_VALUE"""),"Uncle Sams Cider (11/12/2021) (Blue)")</f>
        <v>Uncle Sams Cider (11/12/2021) (Blue)</v>
      </c>
      <c r="H4773" s="19"/>
    </row>
    <row r="4774">
      <c r="A4774" s="9"/>
      <c r="B4774" s="15"/>
      <c r="C4774" s="9">
        <f>IFERROR(__xludf.DUMMYFUNCTION("""COMPUTED_VALUE"""),44555.4664130439)</f>
        <v>44555.46641</v>
      </c>
      <c r="D4774" s="15">
        <f>IFERROR(__xludf.DUMMYFUNCTION("""COMPUTED_VALUE"""),1.009)</f>
        <v>1.009</v>
      </c>
      <c r="E4774" s="16">
        <f>IFERROR(__xludf.DUMMYFUNCTION("""COMPUTED_VALUE"""),65.0)</f>
        <v>65</v>
      </c>
      <c r="F4774" s="19" t="str">
        <f>IFERROR(__xludf.DUMMYFUNCTION("""COMPUTED_VALUE"""),"BLUE")</f>
        <v>BLUE</v>
      </c>
      <c r="G4774" s="20" t="str">
        <f>IFERROR(__xludf.DUMMYFUNCTION("""COMPUTED_VALUE"""),"Uncle Sams Cider (11/12/2021) (Blue)")</f>
        <v>Uncle Sams Cider (11/12/2021) (Blue)</v>
      </c>
      <c r="H4774" s="19"/>
    </row>
    <row r="4775">
      <c r="A4775" s="9"/>
      <c r="B4775" s="15"/>
      <c r="C4775" s="9">
        <f>IFERROR(__xludf.DUMMYFUNCTION("""COMPUTED_VALUE"""),44555.4559915277)</f>
        <v>44555.45599</v>
      </c>
      <c r="D4775" s="15">
        <f>IFERROR(__xludf.DUMMYFUNCTION("""COMPUTED_VALUE"""),1.01)</f>
        <v>1.01</v>
      </c>
      <c r="E4775" s="16">
        <f>IFERROR(__xludf.DUMMYFUNCTION("""COMPUTED_VALUE"""),65.0)</f>
        <v>65</v>
      </c>
      <c r="F4775" s="19" t="str">
        <f>IFERROR(__xludf.DUMMYFUNCTION("""COMPUTED_VALUE"""),"BLUE")</f>
        <v>BLUE</v>
      </c>
      <c r="G4775" s="20" t="str">
        <f>IFERROR(__xludf.DUMMYFUNCTION("""COMPUTED_VALUE"""),"Uncle Sams Cider (11/12/2021) (Blue)")</f>
        <v>Uncle Sams Cider (11/12/2021) (Blue)</v>
      </c>
      <c r="H4775" s="19"/>
    </row>
    <row r="4776">
      <c r="A4776" s="9"/>
      <c r="B4776" s="15"/>
      <c r="C4776" s="9">
        <f>IFERROR(__xludf.DUMMYFUNCTION("""COMPUTED_VALUE"""),44555.4455695023)</f>
        <v>44555.44557</v>
      </c>
      <c r="D4776" s="15">
        <f>IFERROR(__xludf.DUMMYFUNCTION("""COMPUTED_VALUE"""),1.009)</f>
        <v>1.009</v>
      </c>
      <c r="E4776" s="16">
        <f>IFERROR(__xludf.DUMMYFUNCTION("""COMPUTED_VALUE"""),65.0)</f>
        <v>65</v>
      </c>
      <c r="F4776" s="19" t="str">
        <f>IFERROR(__xludf.DUMMYFUNCTION("""COMPUTED_VALUE"""),"BLUE")</f>
        <v>BLUE</v>
      </c>
      <c r="G4776" s="20" t="str">
        <f>IFERROR(__xludf.DUMMYFUNCTION("""COMPUTED_VALUE"""),"Uncle Sams Cider (11/12/2021) (Blue)")</f>
        <v>Uncle Sams Cider (11/12/2021) (Blue)</v>
      </c>
      <c r="H4776" s="19"/>
    </row>
    <row r="4777">
      <c r="A4777" s="9"/>
      <c r="B4777" s="15"/>
      <c r="C4777" s="9">
        <f>IFERROR(__xludf.DUMMYFUNCTION("""COMPUTED_VALUE"""),44555.4351365509)</f>
        <v>44555.43514</v>
      </c>
      <c r="D4777" s="15">
        <f>IFERROR(__xludf.DUMMYFUNCTION("""COMPUTED_VALUE"""),1.01)</f>
        <v>1.01</v>
      </c>
      <c r="E4777" s="16">
        <f>IFERROR(__xludf.DUMMYFUNCTION("""COMPUTED_VALUE"""),65.0)</f>
        <v>65</v>
      </c>
      <c r="F4777" s="19" t="str">
        <f>IFERROR(__xludf.DUMMYFUNCTION("""COMPUTED_VALUE"""),"BLUE")</f>
        <v>BLUE</v>
      </c>
      <c r="G4777" s="20" t="str">
        <f>IFERROR(__xludf.DUMMYFUNCTION("""COMPUTED_VALUE"""),"Uncle Sams Cider (11/12/2021) (Blue)")</f>
        <v>Uncle Sams Cider (11/12/2021) (Blue)</v>
      </c>
      <c r="H4777" s="19"/>
    </row>
    <row r="4778">
      <c r="A4778" s="9"/>
      <c r="B4778" s="15"/>
      <c r="C4778" s="9">
        <f>IFERROR(__xludf.DUMMYFUNCTION("""COMPUTED_VALUE"""),44555.4247174537)</f>
        <v>44555.42472</v>
      </c>
      <c r="D4778" s="15">
        <f>IFERROR(__xludf.DUMMYFUNCTION("""COMPUTED_VALUE"""),1.009)</f>
        <v>1.009</v>
      </c>
      <c r="E4778" s="16">
        <f>IFERROR(__xludf.DUMMYFUNCTION("""COMPUTED_VALUE"""),65.0)</f>
        <v>65</v>
      </c>
      <c r="F4778" s="19" t="str">
        <f>IFERROR(__xludf.DUMMYFUNCTION("""COMPUTED_VALUE"""),"BLUE")</f>
        <v>BLUE</v>
      </c>
      <c r="G4778" s="20" t="str">
        <f>IFERROR(__xludf.DUMMYFUNCTION("""COMPUTED_VALUE"""),"Uncle Sams Cider (11/12/2021) (Blue)")</f>
        <v>Uncle Sams Cider (11/12/2021) (Blue)</v>
      </c>
      <c r="H4778" s="19"/>
    </row>
    <row r="4779">
      <c r="A4779" s="9"/>
      <c r="B4779" s="15"/>
      <c r="C4779" s="9">
        <f>IFERROR(__xludf.DUMMYFUNCTION("""COMPUTED_VALUE"""),44555.4142721064)</f>
        <v>44555.41427</v>
      </c>
      <c r="D4779" s="15">
        <f>IFERROR(__xludf.DUMMYFUNCTION("""COMPUTED_VALUE"""),1.01)</f>
        <v>1.01</v>
      </c>
      <c r="E4779" s="16">
        <f>IFERROR(__xludf.DUMMYFUNCTION("""COMPUTED_VALUE"""),65.0)</f>
        <v>65</v>
      </c>
      <c r="F4779" s="19" t="str">
        <f>IFERROR(__xludf.DUMMYFUNCTION("""COMPUTED_VALUE"""),"BLUE")</f>
        <v>BLUE</v>
      </c>
      <c r="G4779" s="20" t="str">
        <f>IFERROR(__xludf.DUMMYFUNCTION("""COMPUTED_VALUE"""),"Uncle Sams Cider (11/12/2021) (Blue)")</f>
        <v>Uncle Sams Cider (11/12/2021) (Blue)</v>
      </c>
      <c r="H4779" s="19"/>
    </row>
    <row r="4780">
      <c r="A4780" s="9"/>
      <c r="B4780" s="15"/>
      <c r="C4780" s="9">
        <f>IFERROR(__xludf.DUMMYFUNCTION("""COMPUTED_VALUE"""),44555.4038520486)</f>
        <v>44555.40385</v>
      </c>
      <c r="D4780" s="15">
        <f>IFERROR(__xludf.DUMMYFUNCTION("""COMPUTED_VALUE"""),1.009)</f>
        <v>1.009</v>
      </c>
      <c r="E4780" s="16">
        <f>IFERROR(__xludf.DUMMYFUNCTION("""COMPUTED_VALUE"""),65.0)</f>
        <v>65</v>
      </c>
      <c r="F4780" s="19" t="str">
        <f>IFERROR(__xludf.DUMMYFUNCTION("""COMPUTED_VALUE"""),"BLUE")</f>
        <v>BLUE</v>
      </c>
      <c r="G4780" s="20" t="str">
        <f>IFERROR(__xludf.DUMMYFUNCTION("""COMPUTED_VALUE"""),"Uncle Sams Cider (11/12/2021) (Blue)")</f>
        <v>Uncle Sams Cider (11/12/2021) (Blue)</v>
      </c>
      <c r="H4780" s="19"/>
    </row>
    <row r="4781">
      <c r="A4781" s="9"/>
      <c r="B4781" s="15"/>
      <c r="C4781" s="9">
        <f>IFERROR(__xludf.DUMMYFUNCTION("""COMPUTED_VALUE"""),44555.3934302314)</f>
        <v>44555.39343</v>
      </c>
      <c r="D4781" s="15">
        <f>IFERROR(__xludf.DUMMYFUNCTION("""COMPUTED_VALUE"""),1.009)</f>
        <v>1.009</v>
      </c>
      <c r="E4781" s="16">
        <f>IFERROR(__xludf.DUMMYFUNCTION("""COMPUTED_VALUE"""),65.0)</f>
        <v>65</v>
      </c>
      <c r="F4781" s="19" t="str">
        <f>IFERROR(__xludf.DUMMYFUNCTION("""COMPUTED_VALUE"""),"BLUE")</f>
        <v>BLUE</v>
      </c>
      <c r="G4781" s="20" t="str">
        <f>IFERROR(__xludf.DUMMYFUNCTION("""COMPUTED_VALUE"""),"Uncle Sams Cider (11/12/2021) (Blue)")</f>
        <v>Uncle Sams Cider (11/12/2021) (Blue)</v>
      </c>
      <c r="H4781" s="19"/>
    </row>
    <row r="4782">
      <c r="A4782" s="9"/>
      <c r="B4782" s="15"/>
      <c r="C4782" s="9">
        <f>IFERROR(__xludf.DUMMYFUNCTION("""COMPUTED_VALUE"""),44555.3830114351)</f>
        <v>44555.38301</v>
      </c>
      <c r="D4782" s="15">
        <f>IFERROR(__xludf.DUMMYFUNCTION("""COMPUTED_VALUE"""),1.01)</f>
        <v>1.01</v>
      </c>
      <c r="E4782" s="16">
        <f>IFERROR(__xludf.DUMMYFUNCTION("""COMPUTED_VALUE"""),65.0)</f>
        <v>65</v>
      </c>
      <c r="F4782" s="19" t="str">
        <f>IFERROR(__xludf.DUMMYFUNCTION("""COMPUTED_VALUE"""),"BLUE")</f>
        <v>BLUE</v>
      </c>
      <c r="G4782" s="20" t="str">
        <f>IFERROR(__xludf.DUMMYFUNCTION("""COMPUTED_VALUE"""),"Uncle Sams Cider (11/12/2021) (Blue)")</f>
        <v>Uncle Sams Cider (11/12/2021) (Blue)</v>
      </c>
      <c r="H4782" s="19"/>
    </row>
    <row r="4783">
      <c r="A4783" s="9"/>
      <c r="B4783" s="15"/>
      <c r="C4783" s="9">
        <f>IFERROR(__xludf.DUMMYFUNCTION("""COMPUTED_VALUE"""),44555.3725764351)</f>
        <v>44555.37258</v>
      </c>
      <c r="D4783" s="15">
        <f>IFERROR(__xludf.DUMMYFUNCTION("""COMPUTED_VALUE"""),1.009)</f>
        <v>1.009</v>
      </c>
      <c r="E4783" s="16">
        <f>IFERROR(__xludf.DUMMYFUNCTION("""COMPUTED_VALUE"""),65.0)</f>
        <v>65</v>
      </c>
      <c r="F4783" s="19" t="str">
        <f>IFERROR(__xludf.DUMMYFUNCTION("""COMPUTED_VALUE"""),"BLUE")</f>
        <v>BLUE</v>
      </c>
      <c r="G4783" s="20" t="str">
        <f>IFERROR(__xludf.DUMMYFUNCTION("""COMPUTED_VALUE"""),"Uncle Sams Cider (11/12/2021) (Blue)")</f>
        <v>Uncle Sams Cider (11/12/2021) (Blue)</v>
      </c>
      <c r="H4783" s="19"/>
    </row>
    <row r="4784">
      <c r="A4784" s="9"/>
      <c r="B4784" s="15"/>
      <c r="C4784" s="9">
        <f>IFERROR(__xludf.DUMMYFUNCTION("""COMPUTED_VALUE"""),44555.362157199)</f>
        <v>44555.36216</v>
      </c>
      <c r="D4784" s="15">
        <f>IFERROR(__xludf.DUMMYFUNCTION("""COMPUTED_VALUE"""),1.009)</f>
        <v>1.009</v>
      </c>
      <c r="E4784" s="16">
        <f>IFERROR(__xludf.DUMMYFUNCTION("""COMPUTED_VALUE"""),65.0)</f>
        <v>65</v>
      </c>
      <c r="F4784" s="19" t="str">
        <f>IFERROR(__xludf.DUMMYFUNCTION("""COMPUTED_VALUE"""),"BLUE")</f>
        <v>BLUE</v>
      </c>
      <c r="G4784" s="20" t="str">
        <f>IFERROR(__xludf.DUMMYFUNCTION("""COMPUTED_VALUE"""),"Uncle Sams Cider (11/12/2021) (Blue)")</f>
        <v>Uncle Sams Cider (11/12/2021) (Blue)</v>
      </c>
      <c r="H4784" s="19"/>
    </row>
    <row r="4785">
      <c r="A4785" s="9"/>
      <c r="B4785" s="15"/>
      <c r="C4785" s="9">
        <f>IFERROR(__xludf.DUMMYFUNCTION("""COMPUTED_VALUE"""),44555.3517269907)</f>
        <v>44555.35173</v>
      </c>
      <c r="D4785" s="15">
        <f>IFERROR(__xludf.DUMMYFUNCTION("""COMPUTED_VALUE"""),1.01)</f>
        <v>1.01</v>
      </c>
      <c r="E4785" s="16">
        <f>IFERROR(__xludf.DUMMYFUNCTION("""COMPUTED_VALUE"""),65.0)</f>
        <v>65</v>
      </c>
      <c r="F4785" s="19" t="str">
        <f>IFERROR(__xludf.DUMMYFUNCTION("""COMPUTED_VALUE"""),"BLUE")</f>
        <v>BLUE</v>
      </c>
      <c r="G4785" s="20" t="str">
        <f>IFERROR(__xludf.DUMMYFUNCTION("""COMPUTED_VALUE"""),"Uncle Sams Cider (11/12/2021) (Blue)")</f>
        <v>Uncle Sams Cider (11/12/2021) (Blue)</v>
      </c>
      <c r="H4785" s="19"/>
    </row>
    <row r="4786">
      <c r="A4786" s="9"/>
      <c r="B4786" s="15"/>
      <c r="C4786" s="9">
        <f>IFERROR(__xludf.DUMMYFUNCTION("""COMPUTED_VALUE"""),44555.3413046759)</f>
        <v>44555.3413</v>
      </c>
      <c r="D4786" s="15">
        <f>IFERROR(__xludf.DUMMYFUNCTION("""COMPUTED_VALUE"""),1.01)</f>
        <v>1.01</v>
      </c>
      <c r="E4786" s="16">
        <f>IFERROR(__xludf.DUMMYFUNCTION("""COMPUTED_VALUE"""),66.0)</f>
        <v>66</v>
      </c>
      <c r="F4786" s="19" t="str">
        <f>IFERROR(__xludf.DUMMYFUNCTION("""COMPUTED_VALUE"""),"BLUE")</f>
        <v>BLUE</v>
      </c>
      <c r="G4786" s="20" t="str">
        <f>IFERROR(__xludf.DUMMYFUNCTION("""COMPUTED_VALUE"""),"Uncle Sams Cider (11/12/2021) (Blue)")</f>
        <v>Uncle Sams Cider (11/12/2021) (Blue)</v>
      </c>
      <c r="H4786" s="19"/>
    </row>
    <row r="4787">
      <c r="A4787" s="9"/>
      <c r="B4787" s="15"/>
      <c r="C4787" s="9">
        <f>IFERROR(__xludf.DUMMYFUNCTION("""COMPUTED_VALUE"""),44555.330870324)</f>
        <v>44555.33087</v>
      </c>
      <c r="D4787" s="15">
        <f>IFERROR(__xludf.DUMMYFUNCTION("""COMPUTED_VALUE"""),1.01)</f>
        <v>1.01</v>
      </c>
      <c r="E4787" s="16">
        <f>IFERROR(__xludf.DUMMYFUNCTION("""COMPUTED_VALUE"""),65.0)</f>
        <v>65</v>
      </c>
      <c r="F4787" s="19" t="str">
        <f>IFERROR(__xludf.DUMMYFUNCTION("""COMPUTED_VALUE"""),"BLUE")</f>
        <v>BLUE</v>
      </c>
      <c r="G4787" s="20" t="str">
        <f>IFERROR(__xludf.DUMMYFUNCTION("""COMPUTED_VALUE"""),"Uncle Sams Cider (11/12/2021) (Blue)")</f>
        <v>Uncle Sams Cider (11/12/2021) (Blue)</v>
      </c>
      <c r="H4787" s="19"/>
    </row>
    <row r="4788">
      <c r="A4788" s="9"/>
      <c r="B4788" s="15"/>
      <c r="C4788" s="9">
        <f>IFERROR(__xludf.DUMMYFUNCTION("""COMPUTED_VALUE"""),44555.3204485763)</f>
        <v>44555.32045</v>
      </c>
      <c r="D4788" s="15">
        <f>IFERROR(__xludf.DUMMYFUNCTION("""COMPUTED_VALUE"""),1.01)</f>
        <v>1.01</v>
      </c>
      <c r="E4788" s="16">
        <f>IFERROR(__xludf.DUMMYFUNCTION("""COMPUTED_VALUE"""),65.0)</f>
        <v>65</v>
      </c>
      <c r="F4788" s="19" t="str">
        <f>IFERROR(__xludf.DUMMYFUNCTION("""COMPUTED_VALUE"""),"BLUE")</f>
        <v>BLUE</v>
      </c>
      <c r="G4788" s="20" t="str">
        <f>IFERROR(__xludf.DUMMYFUNCTION("""COMPUTED_VALUE"""),"Uncle Sams Cider (11/12/2021) (Blue)")</f>
        <v>Uncle Sams Cider (11/12/2021) (Blue)</v>
      </c>
      <c r="H4788" s="19"/>
    </row>
    <row r="4789">
      <c r="A4789" s="9"/>
      <c r="B4789" s="15"/>
      <c r="C4789" s="9">
        <f>IFERROR(__xludf.DUMMYFUNCTION("""COMPUTED_VALUE"""),44555.3100290393)</f>
        <v>44555.31003</v>
      </c>
      <c r="D4789" s="15">
        <f>IFERROR(__xludf.DUMMYFUNCTION("""COMPUTED_VALUE"""),1.01)</f>
        <v>1.01</v>
      </c>
      <c r="E4789" s="16">
        <f>IFERROR(__xludf.DUMMYFUNCTION("""COMPUTED_VALUE"""),65.0)</f>
        <v>65</v>
      </c>
      <c r="F4789" s="19" t="str">
        <f>IFERROR(__xludf.DUMMYFUNCTION("""COMPUTED_VALUE"""),"BLUE")</f>
        <v>BLUE</v>
      </c>
      <c r="G4789" s="20" t="str">
        <f>IFERROR(__xludf.DUMMYFUNCTION("""COMPUTED_VALUE"""),"Uncle Sams Cider (11/12/2021) (Blue)")</f>
        <v>Uncle Sams Cider (11/12/2021) (Blue)</v>
      </c>
      <c r="H4789" s="19"/>
    </row>
    <row r="4790">
      <c r="A4790" s="9"/>
      <c r="B4790" s="15"/>
      <c r="C4790" s="9">
        <f>IFERROR(__xludf.DUMMYFUNCTION("""COMPUTED_VALUE"""),44555.2996092129)</f>
        <v>44555.29961</v>
      </c>
      <c r="D4790" s="15">
        <f>IFERROR(__xludf.DUMMYFUNCTION("""COMPUTED_VALUE"""),1.01)</f>
        <v>1.01</v>
      </c>
      <c r="E4790" s="16">
        <f>IFERROR(__xludf.DUMMYFUNCTION("""COMPUTED_VALUE"""),65.0)</f>
        <v>65</v>
      </c>
      <c r="F4790" s="19" t="str">
        <f>IFERROR(__xludf.DUMMYFUNCTION("""COMPUTED_VALUE"""),"BLUE")</f>
        <v>BLUE</v>
      </c>
      <c r="G4790" s="20" t="str">
        <f>IFERROR(__xludf.DUMMYFUNCTION("""COMPUTED_VALUE"""),"Uncle Sams Cider (11/12/2021) (Blue)")</f>
        <v>Uncle Sams Cider (11/12/2021) (Blue)</v>
      </c>
      <c r="H4790" s="19"/>
    </row>
    <row r="4791">
      <c r="A4791" s="9"/>
      <c r="B4791" s="15"/>
      <c r="C4791" s="9">
        <f>IFERROR(__xludf.DUMMYFUNCTION("""COMPUTED_VALUE"""),44555.2891869675)</f>
        <v>44555.28919</v>
      </c>
      <c r="D4791" s="15">
        <f>IFERROR(__xludf.DUMMYFUNCTION("""COMPUTED_VALUE"""),1.01)</f>
        <v>1.01</v>
      </c>
      <c r="E4791" s="16">
        <f>IFERROR(__xludf.DUMMYFUNCTION("""COMPUTED_VALUE"""),66.0)</f>
        <v>66</v>
      </c>
      <c r="F4791" s="19" t="str">
        <f>IFERROR(__xludf.DUMMYFUNCTION("""COMPUTED_VALUE"""),"BLUE")</f>
        <v>BLUE</v>
      </c>
      <c r="G4791" s="20" t="str">
        <f>IFERROR(__xludf.DUMMYFUNCTION("""COMPUTED_VALUE"""),"Uncle Sams Cider (11/12/2021) (Blue)")</f>
        <v>Uncle Sams Cider (11/12/2021) (Blue)</v>
      </c>
      <c r="H4791" s="19"/>
    </row>
    <row r="4792">
      <c r="A4792" s="9"/>
      <c r="B4792" s="15"/>
      <c r="C4792" s="9">
        <f>IFERROR(__xludf.DUMMYFUNCTION("""COMPUTED_VALUE"""),44555.2787640624)</f>
        <v>44555.27876</v>
      </c>
      <c r="D4792" s="15">
        <f>IFERROR(__xludf.DUMMYFUNCTION("""COMPUTED_VALUE"""),1.01)</f>
        <v>1.01</v>
      </c>
      <c r="E4792" s="16">
        <f>IFERROR(__xludf.DUMMYFUNCTION("""COMPUTED_VALUE"""),66.0)</f>
        <v>66</v>
      </c>
      <c r="F4792" s="19" t="str">
        <f>IFERROR(__xludf.DUMMYFUNCTION("""COMPUTED_VALUE"""),"BLUE")</f>
        <v>BLUE</v>
      </c>
      <c r="G4792" s="20" t="str">
        <f>IFERROR(__xludf.DUMMYFUNCTION("""COMPUTED_VALUE"""),"Uncle Sams Cider (11/12/2021) (Blue)")</f>
        <v>Uncle Sams Cider (11/12/2021) (Blue)</v>
      </c>
      <c r="H4792" s="19"/>
    </row>
    <row r="4793">
      <c r="A4793" s="9"/>
      <c r="B4793" s="15"/>
      <c r="C4793" s="9">
        <f>IFERROR(__xludf.DUMMYFUNCTION("""COMPUTED_VALUE"""),44555.2683412384)</f>
        <v>44555.26834</v>
      </c>
      <c r="D4793" s="15">
        <f>IFERROR(__xludf.DUMMYFUNCTION("""COMPUTED_VALUE"""),1.01)</f>
        <v>1.01</v>
      </c>
      <c r="E4793" s="16">
        <f>IFERROR(__xludf.DUMMYFUNCTION("""COMPUTED_VALUE"""),66.0)</f>
        <v>66</v>
      </c>
      <c r="F4793" s="19" t="str">
        <f>IFERROR(__xludf.DUMMYFUNCTION("""COMPUTED_VALUE"""),"BLUE")</f>
        <v>BLUE</v>
      </c>
      <c r="G4793" s="20" t="str">
        <f>IFERROR(__xludf.DUMMYFUNCTION("""COMPUTED_VALUE"""),"Uncle Sams Cider (11/12/2021) (Blue)")</f>
        <v>Uncle Sams Cider (11/12/2021) (Blue)</v>
      </c>
      <c r="H4793" s="19"/>
    </row>
    <row r="4794">
      <c r="A4794" s="9"/>
      <c r="B4794" s="15"/>
      <c r="C4794" s="9">
        <f>IFERROR(__xludf.DUMMYFUNCTION("""COMPUTED_VALUE"""),44555.2579070138)</f>
        <v>44555.25791</v>
      </c>
      <c r="D4794" s="15">
        <f>IFERROR(__xludf.DUMMYFUNCTION("""COMPUTED_VALUE"""),1.009)</f>
        <v>1.009</v>
      </c>
      <c r="E4794" s="16">
        <f>IFERROR(__xludf.DUMMYFUNCTION("""COMPUTED_VALUE"""),66.0)</f>
        <v>66</v>
      </c>
      <c r="F4794" s="19" t="str">
        <f>IFERROR(__xludf.DUMMYFUNCTION("""COMPUTED_VALUE"""),"BLUE")</f>
        <v>BLUE</v>
      </c>
      <c r="G4794" s="20" t="str">
        <f>IFERROR(__xludf.DUMMYFUNCTION("""COMPUTED_VALUE"""),"Uncle Sams Cider (11/12/2021) (Blue)")</f>
        <v>Uncle Sams Cider (11/12/2021) (Blue)</v>
      </c>
      <c r="H4794" s="19"/>
    </row>
    <row r="4795">
      <c r="A4795" s="9"/>
      <c r="B4795" s="15"/>
      <c r="C4795" s="9">
        <f>IFERROR(__xludf.DUMMYFUNCTION("""COMPUTED_VALUE"""),44555.2474867592)</f>
        <v>44555.24749</v>
      </c>
      <c r="D4795" s="15">
        <f>IFERROR(__xludf.DUMMYFUNCTION("""COMPUTED_VALUE"""),1.01)</f>
        <v>1.01</v>
      </c>
      <c r="E4795" s="16">
        <f>IFERROR(__xludf.DUMMYFUNCTION("""COMPUTED_VALUE"""),66.0)</f>
        <v>66</v>
      </c>
      <c r="F4795" s="19" t="str">
        <f>IFERROR(__xludf.DUMMYFUNCTION("""COMPUTED_VALUE"""),"BLUE")</f>
        <v>BLUE</v>
      </c>
      <c r="G4795" s="20" t="str">
        <f>IFERROR(__xludf.DUMMYFUNCTION("""COMPUTED_VALUE"""),"Uncle Sams Cider (11/12/2021) (Blue)")</f>
        <v>Uncle Sams Cider (11/12/2021) (Blue)</v>
      </c>
      <c r="H4795" s="19"/>
    </row>
    <row r="4796">
      <c r="A4796" s="9"/>
      <c r="B4796" s="15"/>
      <c r="C4796" s="9">
        <f>IFERROR(__xludf.DUMMYFUNCTION("""COMPUTED_VALUE"""),44555.2370662847)</f>
        <v>44555.23707</v>
      </c>
      <c r="D4796" s="15">
        <f>IFERROR(__xludf.DUMMYFUNCTION("""COMPUTED_VALUE"""),1.01)</f>
        <v>1.01</v>
      </c>
      <c r="E4796" s="16">
        <f>IFERROR(__xludf.DUMMYFUNCTION("""COMPUTED_VALUE"""),66.0)</f>
        <v>66</v>
      </c>
      <c r="F4796" s="19" t="str">
        <f>IFERROR(__xludf.DUMMYFUNCTION("""COMPUTED_VALUE"""),"BLUE")</f>
        <v>BLUE</v>
      </c>
      <c r="G4796" s="20" t="str">
        <f>IFERROR(__xludf.DUMMYFUNCTION("""COMPUTED_VALUE"""),"Uncle Sams Cider (11/12/2021) (Blue)")</f>
        <v>Uncle Sams Cider (11/12/2021) (Blue)</v>
      </c>
      <c r="H4796" s="19"/>
    </row>
    <row r="4797">
      <c r="A4797" s="9"/>
      <c r="B4797" s="15"/>
      <c r="C4797" s="9">
        <f>IFERROR(__xludf.DUMMYFUNCTION("""COMPUTED_VALUE"""),44555.2266460185)</f>
        <v>44555.22665</v>
      </c>
      <c r="D4797" s="15">
        <f>IFERROR(__xludf.DUMMYFUNCTION("""COMPUTED_VALUE"""),1.01)</f>
        <v>1.01</v>
      </c>
      <c r="E4797" s="16">
        <f>IFERROR(__xludf.DUMMYFUNCTION("""COMPUTED_VALUE"""),66.0)</f>
        <v>66</v>
      </c>
      <c r="F4797" s="19" t="str">
        <f>IFERROR(__xludf.DUMMYFUNCTION("""COMPUTED_VALUE"""),"BLUE")</f>
        <v>BLUE</v>
      </c>
      <c r="G4797" s="20" t="str">
        <f>IFERROR(__xludf.DUMMYFUNCTION("""COMPUTED_VALUE"""),"Uncle Sams Cider (11/12/2021) (Blue)")</f>
        <v>Uncle Sams Cider (11/12/2021) (Blue)</v>
      </c>
      <c r="H4797" s="19"/>
    </row>
    <row r="4798">
      <c r="A4798" s="9"/>
      <c r="B4798" s="15"/>
      <c r="C4798" s="9">
        <f>IFERROR(__xludf.DUMMYFUNCTION("""COMPUTED_VALUE"""),44555.2162240856)</f>
        <v>44555.21622</v>
      </c>
      <c r="D4798" s="15">
        <f>IFERROR(__xludf.DUMMYFUNCTION("""COMPUTED_VALUE"""),1.01)</f>
        <v>1.01</v>
      </c>
      <c r="E4798" s="16">
        <f>IFERROR(__xludf.DUMMYFUNCTION("""COMPUTED_VALUE"""),66.0)</f>
        <v>66</v>
      </c>
      <c r="F4798" s="19" t="str">
        <f>IFERROR(__xludf.DUMMYFUNCTION("""COMPUTED_VALUE"""),"BLUE")</f>
        <v>BLUE</v>
      </c>
      <c r="G4798" s="20" t="str">
        <f>IFERROR(__xludf.DUMMYFUNCTION("""COMPUTED_VALUE"""),"Uncle Sams Cider (11/12/2021) (Blue)")</f>
        <v>Uncle Sams Cider (11/12/2021) (Blue)</v>
      </c>
      <c r="H4798" s="19"/>
    </row>
    <row r="4799">
      <c r="A4799" s="9"/>
      <c r="B4799" s="15"/>
      <c r="C4799" s="9">
        <f>IFERROR(__xludf.DUMMYFUNCTION("""COMPUTED_VALUE"""),44555.2058028819)</f>
        <v>44555.2058</v>
      </c>
      <c r="D4799" s="15">
        <f>IFERROR(__xludf.DUMMYFUNCTION("""COMPUTED_VALUE"""),1.01)</f>
        <v>1.01</v>
      </c>
      <c r="E4799" s="16">
        <f>IFERROR(__xludf.DUMMYFUNCTION("""COMPUTED_VALUE"""),66.0)</f>
        <v>66</v>
      </c>
      <c r="F4799" s="19" t="str">
        <f>IFERROR(__xludf.DUMMYFUNCTION("""COMPUTED_VALUE"""),"BLUE")</f>
        <v>BLUE</v>
      </c>
      <c r="G4799" s="20" t="str">
        <f>IFERROR(__xludf.DUMMYFUNCTION("""COMPUTED_VALUE"""),"Uncle Sams Cider (11/12/2021) (Blue)")</f>
        <v>Uncle Sams Cider (11/12/2021) (Blue)</v>
      </c>
      <c r="H4799" s="19"/>
    </row>
    <row r="4800">
      <c r="A4800" s="9"/>
      <c r="B4800" s="15"/>
      <c r="C4800" s="9">
        <f>IFERROR(__xludf.DUMMYFUNCTION("""COMPUTED_VALUE"""),44555.1953807291)</f>
        <v>44555.19538</v>
      </c>
      <c r="D4800" s="15">
        <f>IFERROR(__xludf.DUMMYFUNCTION("""COMPUTED_VALUE"""),1.01)</f>
        <v>1.01</v>
      </c>
      <c r="E4800" s="16">
        <f>IFERROR(__xludf.DUMMYFUNCTION("""COMPUTED_VALUE"""),66.0)</f>
        <v>66</v>
      </c>
      <c r="F4800" s="19" t="str">
        <f>IFERROR(__xludf.DUMMYFUNCTION("""COMPUTED_VALUE"""),"BLUE")</f>
        <v>BLUE</v>
      </c>
      <c r="G4800" s="20" t="str">
        <f>IFERROR(__xludf.DUMMYFUNCTION("""COMPUTED_VALUE"""),"Uncle Sams Cider (11/12/2021) (Blue)")</f>
        <v>Uncle Sams Cider (11/12/2021) (Blue)</v>
      </c>
      <c r="H4800" s="19"/>
    </row>
    <row r="4801">
      <c r="A4801" s="9"/>
      <c r="B4801" s="15"/>
      <c r="C4801" s="9">
        <f>IFERROR(__xludf.DUMMYFUNCTION("""COMPUTED_VALUE"""),44555.1849607754)</f>
        <v>44555.18496</v>
      </c>
      <c r="D4801" s="15">
        <f>IFERROR(__xludf.DUMMYFUNCTION("""COMPUTED_VALUE"""),1.01)</f>
        <v>1.01</v>
      </c>
      <c r="E4801" s="16">
        <f>IFERROR(__xludf.DUMMYFUNCTION("""COMPUTED_VALUE"""),66.0)</f>
        <v>66</v>
      </c>
      <c r="F4801" s="19" t="str">
        <f>IFERROR(__xludf.DUMMYFUNCTION("""COMPUTED_VALUE"""),"BLUE")</f>
        <v>BLUE</v>
      </c>
      <c r="G4801" s="20" t="str">
        <f>IFERROR(__xludf.DUMMYFUNCTION("""COMPUTED_VALUE"""),"Uncle Sams Cider (11/12/2021) (Blue)")</f>
        <v>Uncle Sams Cider (11/12/2021) (Blue)</v>
      </c>
      <c r="H4801" s="19"/>
    </row>
    <row r="4802">
      <c r="A4802" s="9"/>
      <c r="B4802" s="15"/>
      <c r="C4802" s="9">
        <f>IFERROR(__xludf.DUMMYFUNCTION("""COMPUTED_VALUE"""),44555.1745390046)</f>
        <v>44555.17454</v>
      </c>
      <c r="D4802" s="15">
        <f>IFERROR(__xludf.DUMMYFUNCTION("""COMPUTED_VALUE"""),1.01)</f>
        <v>1.01</v>
      </c>
      <c r="E4802" s="16">
        <f>IFERROR(__xludf.DUMMYFUNCTION("""COMPUTED_VALUE"""),66.0)</f>
        <v>66</v>
      </c>
      <c r="F4802" s="19" t="str">
        <f>IFERROR(__xludf.DUMMYFUNCTION("""COMPUTED_VALUE"""),"BLUE")</f>
        <v>BLUE</v>
      </c>
      <c r="G4802" s="20" t="str">
        <f>IFERROR(__xludf.DUMMYFUNCTION("""COMPUTED_VALUE"""),"Uncle Sams Cider (11/12/2021) (Blue)")</f>
        <v>Uncle Sams Cider (11/12/2021) (Blue)</v>
      </c>
      <c r="H4802" s="19"/>
    </row>
    <row r="4803">
      <c r="A4803" s="9"/>
      <c r="B4803" s="15"/>
      <c r="C4803" s="9">
        <f>IFERROR(__xludf.DUMMYFUNCTION("""COMPUTED_VALUE"""),44555.1641180787)</f>
        <v>44555.16412</v>
      </c>
      <c r="D4803" s="15">
        <f>IFERROR(__xludf.DUMMYFUNCTION("""COMPUTED_VALUE"""),1.01)</f>
        <v>1.01</v>
      </c>
      <c r="E4803" s="16">
        <f>IFERROR(__xludf.DUMMYFUNCTION("""COMPUTED_VALUE"""),66.0)</f>
        <v>66</v>
      </c>
      <c r="F4803" s="19" t="str">
        <f>IFERROR(__xludf.DUMMYFUNCTION("""COMPUTED_VALUE"""),"BLUE")</f>
        <v>BLUE</v>
      </c>
      <c r="G4803" s="20" t="str">
        <f>IFERROR(__xludf.DUMMYFUNCTION("""COMPUTED_VALUE"""),"Uncle Sams Cider (11/12/2021) (Blue)")</f>
        <v>Uncle Sams Cider (11/12/2021) (Blue)</v>
      </c>
      <c r="H4803" s="19"/>
    </row>
    <row r="4804">
      <c r="A4804" s="9"/>
      <c r="B4804" s="15"/>
      <c r="C4804" s="9">
        <f>IFERROR(__xludf.DUMMYFUNCTION("""COMPUTED_VALUE"""),44555.1536975347)</f>
        <v>44555.1537</v>
      </c>
      <c r="D4804" s="15">
        <f>IFERROR(__xludf.DUMMYFUNCTION("""COMPUTED_VALUE"""),1.01)</f>
        <v>1.01</v>
      </c>
      <c r="E4804" s="16">
        <f>IFERROR(__xludf.DUMMYFUNCTION("""COMPUTED_VALUE"""),66.0)</f>
        <v>66</v>
      </c>
      <c r="F4804" s="19" t="str">
        <f>IFERROR(__xludf.DUMMYFUNCTION("""COMPUTED_VALUE"""),"BLUE")</f>
        <v>BLUE</v>
      </c>
      <c r="G4804" s="20" t="str">
        <f>IFERROR(__xludf.DUMMYFUNCTION("""COMPUTED_VALUE"""),"Uncle Sams Cider (11/12/2021) (Blue)")</f>
        <v>Uncle Sams Cider (11/12/2021) (Blue)</v>
      </c>
      <c r="H4804" s="19"/>
    </row>
    <row r="4805">
      <c r="A4805" s="9"/>
      <c r="B4805" s="15"/>
      <c r="C4805" s="9">
        <f>IFERROR(__xludf.DUMMYFUNCTION("""COMPUTED_VALUE"""),44555.1432641435)</f>
        <v>44555.14326</v>
      </c>
      <c r="D4805" s="15">
        <f>IFERROR(__xludf.DUMMYFUNCTION("""COMPUTED_VALUE"""),1.01)</f>
        <v>1.01</v>
      </c>
      <c r="E4805" s="16">
        <f>IFERROR(__xludf.DUMMYFUNCTION("""COMPUTED_VALUE"""),66.0)</f>
        <v>66</v>
      </c>
      <c r="F4805" s="19" t="str">
        <f>IFERROR(__xludf.DUMMYFUNCTION("""COMPUTED_VALUE"""),"BLUE")</f>
        <v>BLUE</v>
      </c>
      <c r="G4805" s="20" t="str">
        <f>IFERROR(__xludf.DUMMYFUNCTION("""COMPUTED_VALUE"""),"Uncle Sams Cider (11/12/2021) (Blue)")</f>
        <v>Uncle Sams Cider (11/12/2021) (Blue)</v>
      </c>
      <c r="H4805" s="19"/>
    </row>
    <row r="4806">
      <c r="A4806" s="9"/>
      <c r="B4806" s="15"/>
      <c r="C4806" s="9">
        <f>IFERROR(__xludf.DUMMYFUNCTION("""COMPUTED_VALUE"""),44555.1328193981)</f>
        <v>44555.13282</v>
      </c>
      <c r="D4806" s="15">
        <f>IFERROR(__xludf.DUMMYFUNCTION("""COMPUTED_VALUE"""),1.01)</f>
        <v>1.01</v>
      </c>
      <c r="E4806" s="16">
        <f>IFERROR(__xludf.DUMMYFUNCTION("""COMPUTED_VALUE"""),66.0)</f>
        <v>66</v>
      </c>
      <c r="F4806" s="19" t="str">
        <f>IFERROR(__xludf.DUMMYFUNCTION("""COMPUTED_VALUE"""),"BLUE")</f>
        <v>BLUE</v>
      </c>
      <c r="G4806" s="20" t="str">
        <f>IFERROR(__xludf.DUMMYFUNCTION("""COMPUTED_VALUE"""),"Uncle Sams Cider (11/12/2021) (Blue)")</f>
        <v>Uncle Sams Cider (11/12/2021) (Blue)</v>
      </c>
      <c r="H4806" s="19"/>
    </row>
    <row r="4807">
      <c r="A4807" s="9"/>
      <c r="B4807" s="15"/>
      <c r="C4807" s="9">
        <f>IFERROR(__xludf.DUMMYFUNCTION("""COMPUTED_VALUE"""),44555.1223999421)</f>
        <v>44555.1224</v>
      </c>
      <c r="D4807" s="15">
        <f>IFERROR(__xludf.DUMMYFUNCTION("""COMPUTED_VALUE"""),1.01)</f>
        <v>1.01</v>
      </c>
      <c r="E4807" s="16">
        <f>IFERROR(__xludf.DUMMYFUNCTION("""COMPUTED_VALUE"""),66.0)</f>
        <v>66</v>
      </c>
      <c r="F4807" s="19" t="str">
        <f>IFERROR(__xludf.DUMMYFUNCTION("""COMPUTED_VALUE"""),"BLUE")</f>
        <v>BLUE</v>
      </c>
      <c r="G4807" s="20" t="str">
        <f>IFERROR(__xludf.DUMMYFUNCTION("""COMPUTED_VALUE"""),"Uncle Sams Cider (11/12/2021) (Blue)")</f>
        <v>Uncle Sams Cider (11/12/2021) (Blue)</v>
      </c>
      <c r="H4807" s="19"/>
    </row>
    <row r="4808">
      <c r="A4808" s="9"/>
      <c r="B4808" s="15"/>
      <c r="C4808" s="9">
        <f>IFERROR(__xludf.DUMMYFUNCTION("""COMPUTED_VALUE"""),44555.1119778009)</f>
        <v>44555.11198</v>
      </c>
      <c r="D4808" s="15">
        <f>IFERROR(__xludf.DUMMYFUNCTION("""COMPUTED_VALUE"""),1.01)</f>
        <v>1.01</v>
      </c>
      <c r="E4808" s="16">
        <f>IFERROR(__xludf.DUMMYFUNCTION("""COMPUTED_VALUE"""),66.0)</f>
        <v>66</v>
      </c>
      <c r="F4808" s="19" t="str">
        <f>IFERROR(__xludf.DUMMYFUNCTION("""COMPUTED_VALUE"""),"BLUE")</f>
        <v>BLUE</v>
      </c>
      <c r="G4808" s="20" t="str">
        <f>IFERROR(__xludf.DUMMYFUNCTION("""COMPUTED_VALUE"""),"Uncle Sams Cider (11/12/2021) (Blue)")</f>
        <v>Uncle Sams Cider (11/12/2021) (Blue)</v>
      </c>
      <c r="H4808" s="19"/>
    </row>
    <row r="4809">
      <c r="A4809" s="9"/>
      <c r="B4809" s="15"/>
      <c r="C4809" s="9">
        <f>IFERROR(__xludf.DUMMYFUNCTION("""COMPUTED_VALUE"""),44555.1015559027)</f>
        <v>44555.10156</v>
      </c>
      <c r="D4809" s="15">
        <f>IFERROR(__xludf.DUMMYFUNCTION("""COMPUTED_VALUE"""),1.01)</f>
        <v>1.01</v>
      </c>
      <c r="E4809" s="16">
        <f>IFERROR(__xludf.DUMMYFUNCTION("""COMPUTED_VALUE"""),66.0)</f>
        <v>66</v>
      </c>
      <c r="F4809" s="19" t="str">
        <f>IFERROR(__xludf.DUMMYFUNCTION("""COMPUTED_VALUE"""),"BLUE")</f>
        <v>BLUE</v>
      </c>
      <c r="G4809" s="20" t="str">
        <f>IFERROR(__xludf.DUMMYFUNCTION("""COMPUTED_VALUE"""),"Uncle Sams Cider (11/12/2021) (Blue)")</f>
        <v>Uncle Sams Cider (11/12/2021) (Blue)</v>
      </c>
      <c r="H4809" s="19"/>
    </row>
    <row r="4810">
      <c r="A4810" s="9"/>
      <c r="B4810" s="15"/>
      <c r="C4810" s="9">
        <f>IFERROR(__xludf.DUMMYFUNCTION("""COMPUTED_VALUE"""),44555.0911359374)</f>
        <v>44555.09114</v>
      </c>
      <c r="D4810" s="15">
        <f>IFERROR(__xludf.DUMMYFUNCTION("""COMPUTED_VALUE"""),1.01)</f>
        <v>1.01</v>
      </c>
      <c r="E4810" s="16">
        <f>IFERROR(__xludf.DUMMYFUNCTION("""COMPUTED_VALUE"""),66.0)</f>
        <v>66</v>
      </c>
      <c r="F4810" s="19" t="str">
        <f>IFERROR(__xludf.DUMMYFUNCTION("""COMPUTED_VALUE"""),"BLUE")</f>
        <v>BLUE</v>
      </c>
      <c r="G4810" s="20" t="str">
        <f>IFERROR(__xludf.DUMMYFUNCTION("""COMPUTED_VALUE"""),"Uncle Sams Cider (11/12/2021) (Blue)")</f>
        <v>Uncle Sams Cider (11/12/2021) (Blue)</v>
      </c>
      <c r="H4810" s="19"/>
    </row>
    <row r="4811">
      <c r="A4811" s="9"/>
      <c r="B4811" s="15"/>
      <c r="C4811" s="9">
        <f>IFERROR(__xludf.DUMMYFUNCTION("""COMPUTED_VALUE"""),44555.0807138657)</f>
        <v>44555.08071</v>
      </c>
      <c r="D4811" s="15">
        <f>IFERROR(__xludf.DUMMYFUNCTION("""COMPUTED_VALUE"""),1.01)</f>
        <v>1.01</v>
      </c>
      <c r="E4811" s="16">
        <f>IFERROR(__xludf.DUMMYFUNCTION("""COMPUTED_VALUE"""),66.0)</f>
        <v>66</v>
      </c>
      <c r="F4811" s="19" t="str">
        <f>IFERROR(__xludf.DUMMYFUNCTION("""COMPUTED_VALUE"""),"BLUE")</f>
        <v>BLUE</v>
      </c>
      <c r="G4811" s="20" t="str">
        <f>IFERROR(__xludf.DUMMYFUNCTION("""COMPUTED_VALUE"""),"Uncle Sams Cider (11/12/2021) (Blue)")</f>
        <v>Uncle Sams Cider (11/12/2021) (Blue)</v>
      </c>
      <c r="H4811" s="19"/>
    </row>
    <row r="4812">
      <c r="A4812" s="9"/>
      <c r="B4812" s="15"/>
      <c r="C4812" s="9">
        <f>IFERROR(__xludf.DUMMYFUNCTION("""COMPUTED_VALUE"""),44555.0702939004)</f>
        <v>44555.07029</v>
      </c>
      <c r="D4812" s="15">
        <f>IFERROR(__xludf.DUMMYFUNCTION("""COMPUTED_VALUE"""),1.01)</f>
        <v>1.01</v>
      </c>
      <c r="E4812" s="16">
        <f>IFERROR(__xludf.DUMMYFUNCTION("""COMPUTED_VALUE"""),66.0)</f>
        <v>66</v>
      </c>
      <c r="F4812" s="19" t="str">
        <f>IFERROR(__xludf.DUMMYFUNCTION("""COMPUTED_VALUE"""),"BLUE")</f>
        <v>BLUE</v>
      </c>
      <c r="G4812" s="20" t="str">
        <f>IFERROR(__xludf.DUMMYFUNCTION("""COMPUTED_VALUE"""),"Uncle Sams Cider (11/12/2021) (Blue)")</f>
        <v>Uncle Sams Cider (11/12/2021) (Blue)</v>
      </c>
      <c r="H4812" s="19"/>
    </row>
    <row r="4813">
      <c r="A4813" s="9"/>
      <c r="B4813" s="15"/>
      <c r="C4813" s="9">
        <f>IFERROR(__xludf.DUMMYFUNCTION("""COMPUTED_VALUE"""),44555.0598724537)</f>
        <v>44555.05987</v>
      </c>
      <c r="D4813" s="15">
        <f>IFERROR(__xludf.DUMMYFUNCTION("""COMPUTED_VALUE"""),1.01)</f>
        <v>1.01</v>
      </c>
      <c r="E4813" s="16">
        <f>IFERROR(__xludf.DUMMYFUNCTION("""COMPUTED_VALUE"""),66.0)</f>
        <v>66</v>
      </c>
      <c r="F4813" s="19" t="str">
        <f>IFERROR(__xludf.DUMMYFUNCTION("""COMPUTED_VALUE"""),"BLUE")</f>
        <v>BLUE</v>
      </c>
      <c r="G4813" s="20" t="str">
        <f>IFERROR(__xludf.DUMMYFUNCTION("""COMPUTED_VALUE"""),"Uncle Sams Cider (11/12/2021) (Blue)")</f>
        <v>Uncle Sams Cider (11/12/2021) (Blue)</v>
      </c>
      <c r="H4813" s="19"/>
    </row>
    <row r="4814">
      <c r="A4814" s="9"/>
      <c r="B4814" s="15"/>
      <c r="C4814" s="9">
        <f>IFERROR(__xludf.DUMMYFUNCTION("""COMPUTED_VALUE"""),44555.0494269444)</f>
        <v>44555.04943</v>
      </c>
      <c r="D4814" s="15">
        <f>IFERROR(__xludf.DUMMYFUNCTION("""COMPUTED_VALUE"""),1.01)</f>
        <v>1.01</v>
      </c>
      <c r="E4814" s="16">
        <f>IFERROR(__xludf.DUMMYFUNCTION("""COMPUTED_VALUE"""),66.0)</f>
        <v>66</v>
      </c>
      <c r="F4814" s="19" t="str">
        <f>IFERROR(__xludf.DUMMYFUNCTION("""COMPUTED_VALUE"""),"BLUE")</f>
        <v>BLUE</v>
      </c>
      <c r="G4814" s="20" t="str">
        <f>IFERROR(__xludf.DUMMYFUNCTION("""COMPUTED_VALUE"""),"Uncle Sams Cider (11/12/2021) (Blue)")</f>
        <v>Uncle Sams Cider (11/12/2021) (Blue)</v>
      </c>
      <c r="H4814" s="19"/>
    </row>
    <row r="4815">
      <c r="A4815" s="9"/>
      <c r="B4815" s="15"/>
      <c r="C4815" s="9">
        <f>IFERROR(__xludf.DUMMYFUNCTION("""COMPUTED_VALUE"""),44555.0389950231)</f>
        <v>44555.039</v>
      </c>
      <c r="D4815" s="15">
        <f>IFERROR(__xludf.DUMMYFUNCTION("""COMPUTED_VALUE"""),1.01)</f>
        <v>1.01</v>
      </c>
      <c r="E4815" s="16">
        <f>IFERROR(__xludf.DUMMYFUNCTION("""COMPUTED_VALUE"""),66.0)</f>
        <v>66</v>
      </c>
      <c r="F4815" s="19" t="str">
        <f>IFERROR(__xludf.DUMMYFUNCTION("""COMPUTED_VALUE"""),"BLUE")</f>
        <v>BLUE</v>
      </c>
      <c r="G4815" s="20" t="str">
        <f>IFERROR(__xludf.DUMMYFUNCTION("""COMPUTED_VALUE"""),"Uncle Sams Cider (11/12/2021) (Blue)")</f>
        <v>Uncle Sams Cider (11/12/2021) (Blue)</v>
      </c>
      <c r="H4815" s="19"/>
    </row>
    <row r="4816">
      <c r="A4816" s="9"/>
      <c r="B4816" s="15"/>
      <c r="C4816" s="9">
        <f>IFERROR(__xludf.DUMMYFUNCTION("""COMPUTED_VALUE"""),44555.0285736226)</f>
        <v>44555.02857</v>
      </c>
      <c r="D4816" s="15">
        <f>IFERROR(__xludf.DUMMYFUNCTION("""COMPUTED_VALUE"""),1.01)</f>
        <v>1.01</v>
      </c>
      <c r="E4816" s="16">
        <f>IFERROR(__xludf.DUMMYFUNCTION("""COMPUTED_VALUE"""),66.0)</f>
        <v>66</v>
      </c>
      <c r="F4816" s="19" t="str">
        <f>IFERROR(__xludf.DUMMYFUNCTION("""COMPUTED_VALUE"""),"BLUE")</f>
        <v>BLUE</v>
      </c>
      <c r="G4816" s="20" t="str">
        <f>IFERROR(__xludf.DUMMYFUNCTION("""COMPUTED_VALUE"""),"Uncle Sams Cider (11/12/2021) (Blue)")</f>
        <v>Uncle Sams Cider (11/12/2021) (Blue)</v>
      </c>
      <c r="H4816" s="19"/>
    </row>
    <row r="4817">
      <c r="A4817" s="9"/>
      <c r="B4817" s="15"/>
      <c r="C4817" s="9">
        <f>IFERROR(__xludf.DUMMYFUNCTION("""COMPUTED_VALUE"""),44555.0181537384)</f>
        <v>44555.01815</v>
      </c>
      <c r="D4817" s="15">
        <f>IFERROR(__xludf.DUMMYFUNCTION("""COMPUTED_VALUE"""),1.01)</f>
        <v>1.01</v>
      </c>
      <c r="E4817" s="16">
        <f>IFERROR(__xludf.DUMMYFUNCTION("""COMPUTED_VALUE"""),66.0)</f>
        <v>66</v>
      </c>
      <c r="F4817" s="19" t="str">
        <f>IFERROR(__xludf.DUMMYFUNCTION("""COMPUTED_VALUE"""),"BLUE")</f>
        <v>BLUE</v>
      </c>
      <c r="G4817" s="20" t="str">
        <f>IFERROR(__xludf.DUMMYFUNCTION("""COMPUTED_VALUE"""),"Uncle Sams Cider (11/12/2021) (Blue)")</f>
        <v>Uncle Sams Cider (11/12/2021) (Blue)</v>
      </c>
      <c r="H4817" s="19"/>
    </row>
    <row r="4818">
      <c r="A4818" s="9"/>
      <c r="B4818" s="15"/>
      <c r="C4818" s="9">
        <f>IFERROR(__xludf.DUMMYFUNCTION("""COMPUTED_VALUE"""),44555.007732743)</f>
        <v>44555.00773</v>
      </c>
      <c r="D4818" s="15">
        <f>IFERROR(__xludf.DUMMYFUNCTION("""COMPUTED_VALUE"""),1.01)</f>
        <v>1.01</v>
      </c>
      <c r="E4818" s="16">
        <f>IFERROR(__xludf.DUMMYFUNCTION("""COMPUTED_VALUE"""),66.0)</f>
        <v>66</v>
      </c>
      <c r="F4818" s="19" t="str">
        <f>IFERROR(__xludf.DUMMYFUNCTION("""COMPUTED_VALUE"""),"BLUE")</f>
        <v>BLUE</v>
      </c>
      <c r="G4818" s="20" t="str">
        <f>IFERROR(__xludf.DUMMYFUNCTION("""COMPUTED_VALUE"""),"Uncle Sams Cider (11/12/2021) (Blue)")</f>
        <v>Uncle Sams Cider (11/12/2021) (Blue)</v>
      </c>
      <c r="H4818" s="19"/>
    </row>
    <row r="4819">
      <c r="A4819" s="9"/>
      <c r="B4819" s="15"/>
      <c r="C4819" s="9">
        <f>IFERROR(__xludf.DUMMYFUNCTION("""COMPUTED_VALUE"""),44554.9973119675)</f>
        <v>44554.99731</v>
      </c>
      <c r="D4819" s="15">
        <f>IFERROR(__xludf.DUMMYFUNCTION("""COMPUTED_VALUE"""),1.01)</f>
        <v>1.01</v>
      </c>
      <c r="E4819" s="16">
        <f>IFERROR(__xludf.DUMMYFUNCTION("""COMPUTED_VALUE"""),66.0)</f>
        <v>66</v>
      </c>
      <c r="F4819" s="19" t="str">
        <f>IFERROR(__xludf.DUMMYFUNCTION("""COMPUTED_VALUE"""),"BLUE")</f>
        <v>BLUE</v>
      </c>
      <c r="G4819" s="20" t="str">
        <f>IFERROR(__xludf.DUMMYFUNCTION("""COMPUTED_VALUE"""),"Uncle Sams Cider (11/12/2021) (Blue)")</f>
        <v>Uncle Sams Cider (11/12/2021) (Blue)</v>
      </c>
      <c r="H4819" s="19"/>
    </row>
    <row r="4820">
      <c r="A4820" s="9"/>
      <c r="B4820" s="15"/>
      <c r="C4820" s="9">
        <f>IFERROR(__xludf.DUMMYFUNCTION("""COMPUTED_VALUE"""),44554.9868919097)</f>
        <v>44554.98689</v>
      </c>
      <c r="D4820" s="15">
        <f>IFERROR(__xludf.DUMMYFUNCTION("""COMPUTED_VALUE"""),1.01)</f>
        <v>1.01</v>
      </c>
      <c r="E4820" s="16">
        <f>IFERROR(__xludf.DUMMYFUNCTION("""COMPUTED_VALUE"""),66.0)</f>
        <v>66</v>
      </c>
      <c r="F4820" s="19" t="str">
        <f>IFERROR(__xludf.DUMMYFUNCTION("""COMPUTED_VALUE"""),"BLUE")</f>
        <v>BLUE</v>
      </c>
      <c r="G4820" s="20" t="str">
        <f>IFERROR(__xludf.DUMMYFUNCTION("""COMPUTED_VALUE"""),"Uncle Sams Cider (11/12/2021) (Blue)")</f>
        <v>Uncle Sams Cider (11/12/2021) (Blue)</v>
      </c>
      <c r="H4820" s="19"/>
    </row>
    <row r="4821">
      <c r="A4821" s="9"/>
      <c r="B4821" s="15"/>
      <c r="C4821" s="9">
        <f>IFERROR(__xludf.DUMMYFUNCTION("""COMPUTED_VALUE"""),44554.9764699421)</f>
        <v>44554.97647</v>
      </c>
      <c r="D4821" s="15">
        <f>IFERROR(__xludf.DUMMYFUNCTION("""COMPUTED_VALUE"""),1.01)</f>
        <v>1.01</v>
      </c>
      <c r="E4821" s="16">
        <f>IFERROR(__xludf.DUMMYFUNCTION("""COMPUTED_VALUE"""),66.0)</f>
        <v>66</v>
      </c>
      <c r="F4821" s="19" t="str">
        <f>IFERROR(__xludf.DUMMYFUNCTION("""COMPUTED_VALUE"""),"BLUE")</f>
        <v>BLUE</v>
      </c>
      <c r="G4821" s="20" t="str">
        <f>IFERROR(__xludf.DUMMYFUNCTION("""COMPUTED_VALUE"""),"Uncle Sams Cider (11/12/2021) (Blue)")</f>
        <v>Uncle Sams Cider (11/12/2021) (Blue)</v>
      </c>
      <c r="H4821" s="19"/>
    </row>
    <row r="4822">
      <c r="A4822" s="9"/>
      <c r="B4822" s="15"/>
      <c r="C4822" s="9">
        <f>IFERROR(__xludf.DUMMYFUNCTION("""COMPUTED_VALUE"""),44554.9660361689)</f>
        <v>44554.96604</v>
      </c>
      <c r="D4822" s="15">
        <f>IFERROR(__xludf.DUMMYFUNCTION("""COMPUTED_VALUE"""),1.01)</f>
        <v>1.01</v>
      </c>
      <c r="E4822" s="16">
        <f>IFERROR(__xludf.DUMMYFUNCTION("""COMPUTED_VALUE"""),66.0)</f>
        <v>66</v>
      </c>
      <c r="F4822" s="19" t="str">
        <f>IFERROR(__xludf.DUMMYFUNCTION("""COMPUTED_VALUE"""),"BLUE")</f>
        <v>BLUE</v>
      </c>
      <c r="G4822" s="20" t="str">
        <f>IFERROR(__xludf.DUMMYFUNCTION("""COMPUTED_VALUE"""),"Uncle Sams Cider (11/12/2021) (Blue)")</f>
        <v>Uncle Sams Cider (11/12/2021) (Blue)</v>
      </c>
      <c r="H4822" s="19"/>
    </row>
    <row r="4823">
      <c r="A4823" s="9"/>
      <c r="B4823" s="15"/>
      <c r="C4823" s="9">
        <f>IFERROR(__xludf.DUMMYFUNCTION("""COMPUTED_VALUE"""),44554.955615706)</f>
        <v>44554.95562</v>
      </c>
      <c r="D4823" s="15">
        <f>IFERROR(__xludf.DUMMYFUNCTION("""COMPUTED_VALUE"""),1.01)</f>
        <v>1.01</v>
      </c>
      <c r="E4823" s="16">
        <f>IFERROR(__xludf.DUMMYFUNCTION("""COMPUTED_VALUE"""),66.0)</f>
        <v>66</v>
      </c>
      <c r="F4823" s="19" t="str">
        <f>IFERROR(__xludf.DUMMYFUNCTION("""COMPUTED_VALUE"""),"BLUE")</f>
        <v>BLUE</v>
      </c>
      <c r="G4823" s="20" t="str">
        <f>IFERROR(__xludf.DUMMYFUNCTION("""COMPUTED_VALUE"""),"Uncle Sams Cider (11/12/2021) (Blue)")</f>
        <v>Uncle Sams Cider (11/12/2021) (Blue)</v>
      </c>
      <c r="H4823" s="19"/>
    </row>
    <row r="4824">
      <c r="A4824" s="9"/>
      <c r="B4824" s="15"/>
      <c r="C4824" s="9">
        <f>IFERROR(__xludf.DUMMYFUNCTION("""COMPUTED_VALUE"""),44554.9451947453)</f>
        <v>44554.94519</v>
      </c>
      <c r="D4824" s="15">
        <f>IFERROR(__xludf.DUMMYFUNCTION("""COMPUTED_VALUE"""),1.01)</f>
        <v>1.01</v>
      </c>
      <c r="E4824" s="16">
        <f>IFERROR(__xludf.DUMMYFUNCTION("""COMPUTED_VALUE"""),66.0)</f>
        <v>66</v>
      </c>
      <c r="F4824" s="19" t="str">
        <f>IFERROR(__xludf.DUMMYFUNCTION("""COMPUTED_VALUE"""),"BLUE")</f>
        <v>BLUE</v>
      </c>
      <c r="G4824" s="20" t="str">
        <f>IFERROR(__xludf.DUMMYFUNCTION("""COMPUTED_VALUE"""),"Uncle Sams Cider (11/12/2021) (Blue)")</f>
        <v>Uncle Sams Cider (11/12/2021) (Blue)</v>
      </c>
      <c r="H4824" s="19"/>
    </row>
    <row r="4825">
      <c r="A4825" s="9"/>
      <c r="B4825" s="15"/>
      <c r="C4825" s="9">
        <f>IFERROR(__xludf.DUMMYFUNCTION("""COMPUTED_VALUE"""),44554.9347740972)</f>
        <v>44554.93477</v>
      </c>
      <c r="D4825" s="15">
        <f>IFERROR(__xludf.DUMMYFUNCTION("""COMPUTED_VALUE"""),1.01)</f>
        <v>1.01</v>
      </c>
      <c r="E4825" s="16">
        <f>IFERROR(__xludf.DUMMYFUNCTION("""COMPUTED_VALUE"""),66.0)</f>
        <v>66</v>
      </c>
      <c r="F4825" s="19" t="str">
        <f>IFERROR(__xludf.DUMMYFUNCTION("""COMPUTED_VALUE"""),"BLUE")</f>
        <v>BLUE</v>
      </c>
      <c r="G4825" s="20" t="str">
        <f>IFERROR(__xludf.DUMMYFUNCTION("""COMPUTED_VALUE"""),"Uncle Sams Cider (11/12/2021) (Blue)")</f>
        <v>Uncle Sams Cider (11/12/2021) (Blue)</v>
      </c>
      <c r="H4825" s="19"/>
    </row>
    <row r="4826">
      <c r="A4826" s="9"/>
      <c r="B4826" s="15"/>
      <c r="C4826" s="9">
        <f>IFERROR(__xludf.DUMMYFUNCTION("""COMPUTED_VALUE"""),44554.9243542013)</f>
        <v>44554.92435</v>
      </c>
      <c r="D4826" s="15">
        <f>IFERROR(__xludf.DUMMYFUNCTION("""COMPUTED_VALUE"""),1.01)</f>
        <v>1.01</v>
      </c>
      <c r="E4826" s="16">
        <f>IFERROR(__xludf.DUMMYFUNCTION("""COMPUTED_VALUE"""),66.0)</f>
        <v>66</v>
      </c>
      <c r="F4826" s="19" t="str">
        <f>IFERROR(__xludf.DUMMYFUNCTION("""COMPUTED_VALUE"""),"BLUE")</f>
        <v>BLUE</v>
      </c>
      <c r="G4826" s="20" t="str">
        <f>IFERROR(__xludf.DUMMYFUNCTION("""COMPUTED_VALUE"""),"Uncle Sams Cider (11/12/2021) (Blue)")</f>
        <v>Uncle Sams Cider (11/12/2021) (Blue)</v>
      </c>
      <c r="H4826" s="19"/>
    </row>
    <row r="4827">
      <c r="A4827" s="9"/>
      <c r="B4827" s="15"/>
      <c r="C4827" s="9">
        <f>IFERROR(__xludf.DUMMYFUNCTION("""COMPUTED_VALUE"""),44554.9139206944)</f>
        <v>44554.91392</v>
      </c>
      <c r="D4827" s="15">
        <f>IFERROR(__xludf.DUMMYFUNCTION("""COMPUTED_VALUE"""),1.01)</f>
        <v>1.01</v>
      </c>
      <c r="E4827" s="16">
        <f>IFERROR(__xludf.DUMMYFUNCTION("""COMPUTED_VALUE"""),66.0)</f>
        <v>66</v>
      </c>
      <c r="F4827" s="19" t="str">
        <f>IFERROR(__xludf.DUMMYFUNCTION("""COMPUTED_VALUE"""),"BLUE")</f>
        <v>BLUE</v>
      </c>
      <c r="G4827" s="20" t="str">
        <f>IFERROR(__xludf.DUMMYFUNCTION("""COMPUTED_VALUE"""),"Uncle Sams Cider (11/12/2021) (Blue)")</f>
        <v>Uncle Sams Cider (11/12/2021) (Blue)</v>
      </c>
      <c r="H4827" s="19"/>
    </row>
    <row r="4828">
      <c r="A4828" s="9"/>
      <c r="B4828" s="15"/>
      <c r="C4828" s="9">
        <f>IFERROR(__xludf.DUMMYFUNCTION("""COMPUTED_VALUE"""),44554.9034973958)</f>
        <v>44554.9035</v>
      </c>
      <c r="D4828" s="15">
        <f>IFERROR(__xludf.DUMMYFUNCTION("""COMPUTED_VALUE"""),1.01)</f>
        <v>1.01</v>
      </c>
      <c r="E4828" s="16">
        <f>IFERROR(__xludf.DUMMYFUNCTION("""COMPUTED_VALUE"""),66.0)</f>
        <v>66</v>
      </c>
      <c r="F4828" s="19" t="str">
        <f>IFERROR(__xludf.DUMMYFUNCTION("""COMPUTED_VALUE"""),"BLUE")</f>
        <v>BLUE</v>
      </c>
      <c r="G4828" s="20" t="str">
        <f>IFERROR(__xludf.DUMMYFUNCTION("""COMPUTED_VALUE"""),"Uncle Sams Cider (11/12/2021) (Blue)")</f>
        <v>Uncle Sams Cider (11/12/2021) (Blue)</v>
      </c>
      <c r="H4828" s="19"/>
    </row>
    <row r="4829">
      <c r="A4829" s="9"/>
      <c r="B4829" s="15"/>
      <c r="C4829" s="9">
        <f>IFERROR(__xludf.DUMMYFUNCTION("""COMPUTED_VALUE"""),44554.8930791435)</f>
        <v>44554.89308</v>
      </c>
      <c r="D4829" s="15">
        <f>IFERROR(__xludf.DUMMYFUNCTION("""COMPUTED_VALUE"""),1.01)</f>
        <v>1.01</v>
      </c>
      <c r="E4829" s="16">
        <f>IFERROR(__xludf.DUMMYFUNCTION("""COMPUTED_VALUE"""),66.0)</f>
        <v>66</v>
      </c>
      <c r="F4829" s="19" t="str">
        <f>IFERROR(__xludf.DUMMYFUNCTION("""COMPUTED_VALUE"""),"BLUE")</f>
        <v>BLUE</v>
      </c>
      <c r="G4829" s="20" t="str">
        <f>IFERROR(__xludf.DUMMYFUNCTION("""COMPUTED_VALUE"""),"Uncle Sams Cider (11/12/2021) (Blue)")</f>
        <v>Uncle Sams Cider (11/12/2021) (Blue)</v>
      </c>
      <c r="H4829" s="19"/>
    </row>
    <row r="4830">
      <c r="A4830" s="9"/>
      <c r="B4830" s="15"/>
      <c r="C4830" s="9">
        <f>IFERROR(__xludf.DUMMYFUNCTION("""COMPUTED_VALUE"""),44554.8826585185)</f>
        <v>44554.88266</v>
      </c>
      <c r="D4830" s="15">
        <f>IFERROR(__xludf.DUMMYFUNCTION("""COMPUTED_VALUE"""),1.01)</f>
        <v>1.01</v>
      </c>
      <c r="E4830" s="16">
        <f>IFERROR(__xludf.DUMMYFUNCTION("""COMPUTED_VALUE"""),66.0)</f>
        <v>66</v>
      </c>
      <c r="F4830" s="19" t="str">
        <f>IFERROR(__xludf.DUMMYFUNCTION("""COMPUTED_VALUE"""),"BLUE")</f>
        <v>BLUE</v>
      </c>
      <c r="G4830" s="20" t="str">
        <f>IFERROR(__xludf.DUMMYFUNCTION("""COMPUTED_VALUE"""),"Uncle Sams Cider (11/12/2021) (Blue)")</f>
        <v>Uncle Sams Cider (11/12/2021) (Blue)</v>
      </c>
      <c r="H4830" s="19"/>
    </row>
    <row r="4831">
      <c r="A4831" s="9"/>
      <c r="B4831" s="15"/>
      <c r="C4831" s="9">
        <f>IFERROR(__xludf.DUMMYFUNCTION("""COMPUTED_VALUE"""),44554.8722383564)</f>
        <v>44554.87224</v>
      </c>
      <c r="D4831" s="15">
        <f>IFERROR(__xludf.DUMMYFUNCTION("""COMPUTED_VALUE"""),1.01)</f>
        <v>1.01</v>
      </c>
      <c r="E4831" s="16">
        <f>IFERROR(__xludf.DUMMYFUNCTION("""COMPUTED_VALUE"""),66.0)</f>
        <v>66</v>
      </c>
      <c r="F4831" s="19" t="str">
        <f>IFERROR(__xludf.DUMMYFUNCTION("""COMPUTED_VALUE"""),"BLUE")</f>
        <v>BLUE</v>
      </c>
      <c r="G4831" s="20" t="str">
        <f>IFERROR(__xludf.DUMMYFUNCTION("""COMPUTED_VALUE"""),"Uncle Sams Cider (11/12/2021) (Blue)")</f>
        <v>Uncle Sams Cider (11/12/2021) (Blue)</v>
      </c>
      <c r="H4831" s="19"/>
    </row>
    <row r="4832">
      <c r="A4832" s="9"/>
      <c r="B4832" s="15"/>
      <c r="C4832" s="9">
        <f>IFERROR(__xludf.DUMMYFUNCTION("""COMPUTED_VALUE"""),44554.8618173148)</f>
        <v>44554.86182</v>
      </c>
      <c r="D4832" s="15">
        <f>IFERROR(__xludf.DUMMYFUNCTION("""COMPUTED_VALUE"""),1.01)</f>
        <v>1.01</v>
      </c>
      <c r="E4832" s="16">
        <f>IFERROR(__xludf.DUMMYFUNCTION("""COMPUTED_VALUE"""),67.0)</f>
        <v>67</v>
      </c>
      <c r="F4832" s="19" t="str">
        <f>IFERROR(__xludf.DUMMYFUNCTION("""COMPUTED_VALUE"""),"BLUE")</f>
        <v>BLUE</v>
      </c>
      <c r="G4832" s="20" t="str">
        <f>IFERROR(__xludf.DUMMYFUNCTION("""COMPUTED_VALUE"""),"Uncle Sams Cider (11/12/2021) (Blue)")</f>
        <v>Uncle Sams Cider (11/12/2021) (Blue)</v>
      </c>
      <c r="H4832" s="19"/>
    </row>
    <row r="4833">
      <c r="A4833" s="9"/>
      <c r="B4833" s="15"/>
      <c r="C4833" s="9">
        <f>IFERROR(__xludf.DUMMYFUNCTION("""COMPUTED_VALUE"""),44554.8513948495)</f>
        <v>44554.85139</v>
      </c>
      <c r="D4833" s="15">
        <f>IFERROR(__xludf.DUMMYFUNCTION("""COMPUTED_VALUE"""),1.01)</f>
        <v>1.01</v>
      </c>
      <c r="E4833" s="16">
        <f>IFERROR(__xludf.DUMMYFUNCTION("""COMPUTED_VALUE"""),67.0)</f>
        <v>67</v>
      </c>
      <c r="F4833" s="19" t="str">
        <f>IFERROR(__xludf.DUMMYFUNCTION("""COMPUTED_VALUE"""),"BLUE")</f>
        <v>BLUE</v>
      </c>
      <c r="G4833" s="20" t="str">
        <f>IFERROR(__xludf.DUMMYFUNCTION("""COMPUTED_VALUE"""),"Uncle Sams Cider (11/12/2021) (Blue)")</f>
        <v>Uncle Sams Cider (11/12/2021) (Blue)</v>
      </c>
      <c r="H4833" s="19"/>
    </row>
    <row r="4834">
      <c r="A4834" s="9"/>
      <c r="B4834" s="15"/>
      <c r="C4834" s="9">
        <f>IFERROR(__xludf.DUMMYFUNCTION("""COMPUTED_VALUE"""),44554.8409727546)</f>
        <v>44554.84097</v>
      </c>
      <c r="D4834" s="15">
        <f>IFERROR(__xludf.DUMMYFUNCTION("""COMPUTED_VALUE"""),1.01)</f>
        <v>1.01</v>
      </c>
      <c r="E4834" s="16">
        <f>IFERROR(__xludf.DUMMYFUNCTION("""COMPUTED_VALUE"""),67.0)</f>
        <v>67</v>
      </c>
      <c r="F4834" s="19" t="str">
        <f>IFERROR(__xludf.DUMMYFUNCTION("""COMPUTED_VALUE"""),"BLUE")</f>
        <v>BLUE</v>
      </c>
      <c r="G4834" s="20" t="str">
        <f>IFERROR(__xludf.DUMMYFUNCTION("""COMPUTED_VALUE"""),"Uncle Sams Cider (11/12/2021) (Blue)")</f>
        <v>Uncle Sams Cider (11/12/2021) (Blue)</v>
      </c>
      <c r="H4834" s="19"/>
    </row>
    <row r="4835">
      <c r="A4835" s="9"/>
      <c r="B4835" s="15"/>
      <c r="C4835" s="9">
        <f>IFERROR(__xludf.DUMMYFUNCTION("""COMPUTED_VALUE"""),44554.8305405324)</f>
        <v>44554.83054</v>
      </c>
      <c r="D4835" s="15">
        <f>IFERROR(__xludf.DUMMYFUNCTION("""COMPUTED_VALUE"""),1.01)</f>
        <v>1.01</v>
      </c>
      <c r="E4835" s="16">
        <f>IFERROR(__xludf.DUMMYFUNCTION("""COMPUTED_VALUE"""),67.0)</f>
        <v>67</v>
      </c>
      <c r="F4835" s="19" t="str">
        <f>IFERROR(__xludf.DUMMYFUNCTION("""COMPUTED_VALUE"""),"BLUE")</f>
        <v>BLUE</v>
      </c>
      <c r="G4835" s="20" t="str">
        <f>IFERROR(__xludf.DUMMYFUNCTION("""COMPUTED_VALUE"""),"Uncle Sams Cider (11/12/2021) (Blue)")</f>
        <v>Uncle Sams Cider (11/12/2021) (Blue)</v>
      </c>
      <c r="H4835" s="19"/>
    </row>
    <row r="4836">
      <c r="A4836" s="9"/>
      <c r="B4836" s="15"/>
      <c r="C4836" s="9">
        <f>IFERROR(__xludf.DUMMYFUNCTION("""COMPUTED_VALUE"""),44554.8201192361)</f>
        <v>44554.82012</v>
      </c>
      <c r="D4836" s="15">
        <f>IFERROR(__xludf.DUMMYFUNCTION("""COMPUTED_VALUE"""),1.01)</f>
        <v>1.01</v>
      </c>
      <c r="E4836" s="16">
        <f>IFERROR(__xludf.DUMMYFUNCTION("""COMPUTED_VALUE"""),67.0)</f>
        <v>67</v>
      </c>
      <c r="F4836" s="19" t="str">
        <f>IFERROR(__xludf.DUMMYFUNCTION("""COMPUTED_VALUE"""),"BLUE")</f>
        <v>BLUE</v>
      </c>
      <c r="G4836" s="20" t="str">
        <f>IFERROR(__xludf.DUMMYFUNCTION("""COMPUTED_VALUE"""),"Uncle Sams Cider (11/12/2021) (Blue)")</f>
        <v>Uncle Sams Cider (11/12/2021) (Blue)</v>
      </c>
      <c r="H4836" s="19"/>
    </row>
    <row r="4837">
      <c r="A4837" s="9"/>
      <c r="B4837" s="15"/>
      <c r="C4837" s="9">
        <f>IFERROR(__xludf.DUMMYFUNCTION("""COMPUTED_VALUE"""),44554.8096982175)</f>
        <v>44554.8097</v>
      </c>
      <c r="D4837" s="15">
        <f>IFERROR(__xludf.DUMMYFUNCTION("""COMPUTED_VALUE"""),1.01)</f>
        <v>1.01</v>
      </c>
      <c r="E4837" s="16">
        <f>IFERROR(__xludf.DUMMYFUNCTION("""COMPUTED_VALUE"""),67.0)</f>
        <v>67</v>
      </c>
      <c r="F4837" s="19" t="str">
        <f>IFERROR(__xludf.DUMMYFUNCTION("""COMPUTED_VALUE"""),"BLUE")</f>
        <v>BLUE</v>
      </c>
      <c r="G4837" s="20" t="str">
        <f>IFERROR(__xludf.DUMMYFUNCTION("""COMPUTED_VALUE"""),"Uncle Sams Cider (11/12/2021) (Blue)")</f>
        <v>Uncle Sams Cider (11/12/2021) (Blue)</v>
      </c>
      <c r="H4837" s="19"/>
    </row>
    <row r="4838">
      <c r="A4838" s="9"/>
      <c r="B4838" s="15"/>
      <c r="C4838" s="9">
        <f>IFERROR(__xludf.DUMMYFUNCTION("""COMPUTED_VALUE"""),44554.7992781712)</f>
        <v>44554.79928</v>
      </c>
      <c r="D4838" s="15">
        <f>IFERROR(__xludf.DUMMYFUNCTION("""COMPUTED_VALUE"""),1.01)</f>
        <v>1.01</v>
      </c>
      <c r="E4838" s="16">
        <f>IFERROR(__xludf.DUMMYFUNCTION("""COMPUTED_VALUE"""),67.0)</f>
        <v>67</v>
      </c>
      <c r="F4838" s="19" t="str">
        <f>IFERROR(__xludf.DUMMYFUNCTION("""COMPUTED_VALUE"""),"BLUE")</f>
        <v>BLUE</v>
      </c>
      <c r="G4838" s="20" t="str">
        <f>IFERROR(__xludf.DUMMYFUNCTION("""COMPUTED_VALUE"""),"Uncle Sams Cider (11/12/2021) (Blue)")</f>
        <v>Uncle Sams Cider (11/12/2021) (Blue)</v>
      </c>
      <c r="H4838" s="19"/>
    </row>
    <row r="4839">
      <c r="A4839" s="9"/>
      <c r="B4839" s="15"/>
      <c r="C4839" s="9">
        <f>IFERROR(__xludf.DUMMYFUNCTION("""COMPUTED_VALUE"""),44554.788857905)</f>
        <v>44554.78886</v>
      </c>
      <c r="D4839" s="15">
        <f>IFERROR(__xludf.DUMMYFUNCTION("""COMPUTED_VALUE"""),1.01)</f>
        <v>1.01</v>
      </c>
      <c r="E4839" s="16">
        <f>IFERROR(__xludf.DUMMYFUNCTION("""COMPUTED_VALUE"""),67.0)</f>
        <v>67</v>
      </c>
      <c r="F4839" s="19" t="str">
        <f>IFERROR(__xludf.DUMMYFUNCTION("""COMPUTED_VALUE"""),"BLUE")</f>
        <v>BLUE</v>
      </c>
      <c r="G4839" s="20" t="str">
        <f>IFERROR(__xludf.DUMMYFUNCTION("""COMPUTED_VALUE"""),"Uncle Sams Cider (11/12/2021) (Blue)")</f>
        <v>Uncle Sams Cider (11/12/2021) (Blue)</v>
      </c>
      <c r="H4839" s="19"/>
    </row>
    <row r="4840">
      <c r="A4840" s="9"/>
      <c r="B4840" s="15"/>
      <c r="C4840" s="9">
        <f>IFERROR(__xludf.DUMMYFUNCTION("""COMPUTED_VALUE"""),44554.7784371874)</f>
        <v>44554.77844</v>
      </c>
      <c r="D4840" s="15">
        <f>IFERROR(__xludf.DUMMYFUNCTION("""COMPUTED_VALUE"""),1.01)</f>
        <v>1.01</v>
      </c>
      <c r="E4840" s="16">
        <f>IFERROR(__xludf.DUMMYFUNCTION("""COMPUTED_VALUE"""),67.0)</f>
        <v>67</v>
      </c>
      <c r="F4840" s="19" t="str">
        <f>IFERROR(__xludf.DUMMYFUNCTION("""COMPUTED_VALUE"""),"BLUE")</f>
        <v>BLUE</v>
      </c>
      <c r="G4840" s="20" t="str">
        <f>IFERROR(__xludf.DUMMYFUNCTION("""COMPUTED_VALUE"""),"Uncle Sams Cider (11/12/2021) (Blue)")</f>
        <v>Uncle Sams Cider (11/12/2021) (Blue)</v>
      </c>
      <c r="H4840" s="19"/>
    </row>
    <row r="4841">
      <c r="A4841" s="9"/>
      <c r="B4841" s="15"/>
      <c r="C4841" s="9">
        <f>IFERROR(__xludf.DUMMYFUNCTION("""COMPUTED_VALUE"""),44554.7679909606)</f>
        <v>44554.76799</v>
      </c>
      <c r="D4841" s="15">
        <f>IFERROR(__xludf.DUMMYFUNCTION("""COMPUTED_VALUE"""),1.01)</f>
        <v>1.01</v>
      </c>
      <c r="E4841" s="16">
        <f>IFERROR(__xludf.DUMMYFUNCTION("""COMPUTED_VALUE"""),67.0)</f>
        <v>67</v>
      </c>
      <c r="F4841" s="19" t="str">
        <f>IFERROR(__xludf.DUMMYFUNCTION("""COMPUTED_VALUE"""),"BLUE")</f>
        <v>BLUE</v>
      </c>
      <c r="G4841" s="20" t="str">
        <f>IFERROR(__xludf.DUMMYFUNCTION("""COMPUTED_VALUE"""),"Uncle Sams Cider (11/12/2021) (Blue)")</f>
        <v>Uncle Sams Cider (11/12/2021) (Blue)</v>
      </c>
      <c r="H4841" s="19"/>
    </row>
    <row r="4842">
      <c r="A4842" s="9"/>
      <c r="B4842" s="15"/>
      <c r="C4842" s="9">
        <f>IFERROR(__xludf.DUMMYFUNCTION("""COMPUTED_VALUE"""),44554.7575713078)</f>
        <v>44554.75757</v>
      </c>
      <c r="D4842" s="15">
        <f>IFERROR(__xludf.DUMMYFUNCTION("""COMPUTED_VALUE"""),1.01)</f>
        <v>1.01</v>
      </c>
      <c r="E4842" s="16">
        <f>IFERROR(__xludf.DUMMYFUNCTION("""COMPUTED_VALUE"""),67.0)</f>
        <v>67</v>
      </c>
      <c r="F4842" s="19" t="str">
        <f>IFERROR(__xludf.DUMMYFUNCTION("""COMPUTED_VALUE"""),"BLUE")</f>
        <v>BLUE</v>
      </c>
      <c r="G4842" s="20" t="str">
        <f>IFERROR(__xludf.DUMMYFUNCTION("""COMPUTED_VALUE"""),"Uncle Sams Cider (11/12/2021) (Blue)")</f>
        <v>Uncle Sams Cider (11/12/2021) (Blue)</v>
      </c>
      <c r="H4842" s="19"/>
    </row>
    <row r="4843">
      <c r="A4843" s="9"/>
      <c r="B4843" s="15"/>
      <c r="C4843" s="9">
        <f>IFERROR(__xludf.DUMMYFUNCTION("""COMPUTED_VALUE"""),44554.747141574)</f>
        <v>44554.74714</v>
      </c>
      <c r="D4843" s="15">
        <f>IFERROR(__xludf.DUMMYFUNCTION("""COMPUTED_VALUE"""),1.01)</f>
        <v>1.01</v>
      </c>
      <c r="E4843" s="16">
        <f>IFERROR(__xludf.DUMMYFUNCTION("""COMPUTED_VALUE"""),67.0)</f>
        <v>67</v>
      </c>
      <c r="F4843" s="19" t="str">
        <f>IFERROR(__xludf.DUMMYFUNCTION("""COMPUTED_VALUE"""),"BLUE")</f>
        <v>BLUE</v>
      </c>
      <c r="G4843" s="20" t="str">
        <f>IFERROR(__xludf.DUMMYFUNCTION("""COMPUTED_VALUE"""),"Uncle Sams Cider (11/12/2021) (Blue)")</f>
        <v>Uncle Sams Cider (11/12/2021) (Blue)</v>
      </c>
      <c r="H4843" s="19"/>
    </row>
    <row r="4844">
      <c r="A4844" s="9"/>
      <c r="B4844" s="15"/>
      <c r="C4844" s="9">
        <f>IFERROR(__xludf.DUMMYFUNCTION("""COMPUTED_VALUE"""),44554.7367223611)</f>
        <v>44554.73672</v>
      </c>
      <c r="D4844" s="15">
        <f>IFERROR(__xludf.DUMMYFUNCTION("""COMPUTED_VALUE"""),1.01)</f>
        <v>1.01</v>
      </c>
      <c r="E4844" s="16">
        <f>IFERROR(__xludf.DUMMYFUNCTION("""COMPUTED_VALUE"""),67.0)</f>
        <v>67</v>
      </c>
      <c r="F4844" s="19" t="str">
        <f>IFERROR(__xludf.DUMMYFUNCTION("""COMPUTED_VALUE"""),"BLUE")</f>
        <v>BLUE</v>
      </c>
      <c r="G4844" s="20" t="str">
        <f>IFERROR(__xludf.DUMMYFUNCTION("""COMPUTED_VALUE"""),"Uncle Sams Cider (11/12/2021) (Blue)")</f>
        <v>Uncle Sams Cider (11/12/2021) (Blue)</v>
      </c>
      <c r="H4844" s="19"/>
    </row>
    <row r="4845">
      <c r="A4845" s="9"/>
      <c r="B4845" s="15"/>
      <c r="C4845" s="9">
        <f>IFERROR(__xludf.DUMMYFUNCTION("""COMPUTED_VALUE"""),44554.7263026157)</f>
        <v>44554.7263</v>
      </c>
      <c r="D4845" s="15">
        <f>IFERROR(__xludf.DUMMYFUNCTION("""COMPUTED_VALUE"""),1.01)</f>
        <v>1.01</v>
      </c>
      <c r="E4845" s="16">
        <f>IFERROR(__xludf.DUMMYFUNCTION("""COMPUTED_VALUE"""),67.0)</f>
        <v>67</v>
      </c>
      <c r="F4845" s="19" t="str">
        <f>IFERROR(__xludf.DUMMYFUNCTION("""COMPUTED_VALUE"""),"BLUE")</f>
        <v>BLUE</v>
      </c>
      <c r="G4845" s="20" t="str">
        <f>IFERROR(__xludf.DUMMYFUNCTION("""COMPUTED_VALUE"""),"Uncle Sams Cider (11/12/2021) (Blue)")</f>
        <v>Uncle Sams Cider (11/12/2021) (Blue)</v>
      </c>
      <c r="H4845" s="19"/>
    </row>
    <row r="4846">
      <c r="A4846" s="9"/>
      <c r="B4846" s="15"/>
      <c r="C4846" s="9">
        <f>IFERROR(__xludf.DUMMYFUNCTION("""COMPUTED_VALUE"""),44554.7158795023)</f>
        <v>44554.71588</v>
      </c>
      <c r="D4846" s="15">
        <f>IFERROR(__xludf.DUMMYFUNCTION("""COMPUTED_VALUE"""),1.01)</f>
        <v>1.01</v>
      </c>
      <c r="E4846" s="16">
        <f>IFERROR(__xludf.DUMMYFUNCTION("""COMPUTED_VALUE"""),67.0)</f>
        <v>67</v>
      </c>
      <c r="F4846" s="19" t="str">
        <f>IFERROR(__xludf.DUMMYFUNCTION("""COMPUTED_VALUE"""),"BLUE")</f>
        <v>BLUE</v>
      </c>
      <c r="G4846" s="20" t="str">
        <f>IFERROR(__xludf.DUMMYFUNCTION("""COMPUTED_VALUE"""),"Uncle Sams Cider (11/12/2021) (Blue)")</f>
        <v>Uncle Sams Cider (11/12/2021) (Blue)</v>
      </c>
      <c r="H4846" s="19"/>
    </row>
    <row r="4847">
      <c r="A4847" s="9"/>
      <c r="B4847" s="15"/>
      <c r="C4847" s="9">
        <f>IFERROR(__xludf.DUMMYFUNCTION("""COMPUTED_VALUE"""),44554.7054454513)</f>
        <v>44554.70545</v>
      </c>
      <c r="D4847" s="15">
        <f>IFERROR(__xludf.DUMMYFUNCTION("""COMPUTED_VALUE"""),1.01)</f>
        <v>1.01</v>
      </c>
      <c r="E4847" s="16">
        <f>IFERROR(__xludf.DUMMYFUNCTION("""COMPUTED_VALUE"""),67.0)</f>
        <v>67</v>
      </c>
      <c r="F4847" s="19" t="str">
        <f>IFERROR(__xludf.DUMMYFUNCTION("""COMPUTED_VALUE"""),"BLUE")</f>
        <v>BLUE</v>
      </c>
      <c r="G4847" s="20" t="str">
        <f>IFERROR(__xludf.DUMMYFUNCTION("""COMPUTED_VALUE"""),"Uncle Sams Cider (11/12/2021) (Blue)")</f>
        <v>Uncle Sams Cider (11/12/2021) (Blue)</v>
      </c>
      <c r="H4847" s="19"/>
    </row>
    <row r="4848">
      <c r="A4848" s="9"/>
      <c r="B4848" s="15"/>
      <c r="C4848" s="9">
        <f>IFERROR(__xludf.DUMMYFUNCTION("""COMPUTED_VALUE"""),44554.6950235879)</f>
        <v>44554.69502</v>
      </c>
      <c r="D4848" s="15">
        <f>IFERROR(__xludf.DUMMYFUNCTION("""COMPUTED_VALUE"""),1.01)</f>
        <v>1.01</v>
      </c>
      <c r="E4848" s="16">
        <f>IFERROR(__xludf.DUMMYFUNCTION("""COMPUTED_VALUE"""),67.0)</f>
        <v>67</v>
      </c>
      <c r="F4848" s="19" t="str">
        <f>IFERROR(__xludf.DUMMYFUNCTION("""COMPUTED_VALUE"""),"BLUE")</f>
        <v>BLUE</v>
      </c>
      <c r="G4848" s="20" t="str">
        <f>IFERROR(__xludf.DUMMYFUNCTION("""COMPUTED_VALUE"""),"Uncle Sams Cider (11/12/2021) (Blue)")</f>
        <v>Uncle Sams Cider (11/12/2021) (Blue)</v>
      </c>
      <c r="H4848" s="19"/>
    </row>
    <row r="4849">
      <c r="A4849" s="9"/>
      <c r="B4849" s="15"/>
      <c r="C4849" s="9">
        <f>IFERROR(__xludf.DUMMYFUNCTION("""COMPUTED_VALUE"""),44554.6846019328)</f>
        <v>44554.6846</v>
      </c>
      <c r="D4849" s="15">
        <f>IFERROR(__xludf.DUMMYFUNCTION("""COMPUTED_VALUE"""),1.01)</f>
        <v>1.01</v>
      </c>
      <c r="E4849" s="16">
        <f>IFERROR(__xludf.DUMMYFUNCTION("""COMPUTED_VALUE"""),67.0)</f>
        <v>67</v>
      </c>
      <c r="F4849" s="19" t="str">
        <f>IFERROR(__xludf.DUMMYFUNCTION("""COMPUTED_VALUE"""),"BLUE")</f>
        <v>BLUE</v>
      </c>
      <c r="G4849" s="20" t="str">
        <f>IFERROR(__xludf.DUMMYFUNCTION("""COMPUTED_VALUE"""),"Uncle Sams Cider (11/12/2021) (Blue)")</f>
        <v>Uncle Sams Cider (11/12/2021) (Blue)</v>
      </c>
      <c r="H4849" s="19"/>
    </row>
    <row r="4850">
      <c r="A4850" s="9"/>
      <c r="B4850" s="15"/>
      <c r="C4850" s="9">
        <f>IFERROR(__xludf.DUMMYFUNCTION("""COMPUTED_VALUE"""),44554.6741814467)</f>
        <v>44554.67418</v>
      </c>
      <c r="D4850" s="15">
        <f>IFERROR(__xludf.DUMMYFUNCTION("""COMPUTED_VALUE"""),1.01)</f>
        <v>1.01</v>
      </c>
      <c r="E4850" s="16">
        <f>IFERROR(__xludf.DUMMYFUNCTION("""COMPUTED_VALUE"""),67.0)</f>
        <v>67</v>
      </c>
      <c r="F4850" s="19" t="str">
        <f>IFERROR(__xludf.DUMMYFUNCTION("""COMPUTED_VALUE"""),"BLUE")</f>
        <v>BLUE</v>
      </c>
      <c r="G4850" s="20" t="str">
        <f>IFERROR(__xludf.DUMMYFUNCTION("""COMPUTED_VALUE"""),"Uncle Sams Cider (11/12/2021) (Blue)")</f>
        <v>Uncle Sams Cider (11/12/2021) (Blue)</v>
      </c>
      <c r="H4850" s="19"/>
    </row>
    <row r="4851">
      <c r="A4851" s="9"/>
      <c r="B4851" s="15"/>
      <c r="C4851" s="9">
        <f>IFERROR(__xludf.DUMMYFUNCTION("""COMPUTED_VALUE"""),44554.6637505092)</f>
        <v>44554.66375</v>
      </c>
      <c r="D4851" s="15">
        <f>IFERROR(__xludf.DUMMYFUNCTION("""COMPUTED_VALUE"""),1.01)</f>
        <v>1.01</v>
      </c>
      <c r="E4851" s="16">
        <f>IFERROR(__xludf.DUMMYFUNCTION("""COMPUTED_VALUE"""),67.0)</f>
        <v>67</v>
      </c>
      <c r="F4851" s="19" t="str">
        <f>IFERROR(__xludf.DUMMYFUNCTION("""COMPUTED_VALUE"""),"BLUE")</f>
        <v>BLUE</v>
      </c>
      <c r="G4851" s="20" t="str">
        <f>IFERROR(__xludf.DUMMYFUNCTION("""COMPUTED_VALUE"""),"Uncle Sams Cider (11/12/2021) (Blue)")</f>
        <v>Uncle Sams Cider (11/12/2021) (Blue)</v>
      </c>
      <c r="H4851" s="19"/>
    </row>
    <row r="4852">
      <c r="A4852" s="9"/>
      <c r="B4852" s="15"/>
      <c r="C4852" s="9">
        <f>IFERROR(__xludf.DUMMYFUNCTION("""COMPUTED_VALUE"""),44554.6533287615)</f>
        <v>44554.65333</v>
      </c>
      <c r="D4852" s="15">
        <f>IFERROR(__xludf.DUMMYFUNCTION("""COMPUTED_VALUE"""),1.01)</f>
        <v>1.01</v>
      </c>
      <c r="E4852" s="16">
        <f>IFERROR(__xludf.DUMMYFUNCTION("""COMPUTED_VALUE"""),67.0)</f>
        <v>67</v>
      </c>
      <c r="F4852" s="19" t="str">
        <f>IFERROR(__xludf.DUMMYFUNCTION("""COMPUTED_VALUE"""),"BLUE")</f>
        <v>BLUE</v>
      </c>
      <c r="G4852" s="20" t="str">
        <f>IFERROR(__xludf.DUMMYFUNCTION("""COMPUTED_VALUE"""),"Uncle Sams Cider (11/12/2021) (Blue)")</f>
        <v>Uncle Sams Cider (11/12/2021) (Blue)</v>
      </c>
      <c r="H4852" s="19"/>
    </row>
    <row r="4853">
      <c r="A4853" s="9"/>
      <c r="B4853" s="15"/>
      <c r="C4853" s="9">
        <f>IFERROR(__xludf.DUMMYFUNCTION("""COMPUTED_VALUE"""),44554.6428956134)</f>
        <v>44554.6429</v>
      </c>
      <c r="D4853" s="15">
        <f>IFERROR(__xludf.DUMMYFUNCTION("""COMPUTED_VALUE"""),1.01)</f>
        <v>1.01</v>
      </c>
      <c r="E4853" s="16">
        <f>IFERROR(__xludf.DUMMYFUNCTION("""COMPUTED_VALUE"""),67.0)</f>
        <v>67</v>
      </c>
      <c r="F4853" s="19" t="str">
        <f>IFERROR(__xludf.DUMMYFUNCTION("""COMPUTED_VALUE"""),"BLUE")</f>
        <v>BLUE</v>
      </c>
      <c r="G4853" s="20" t="str">
        <f>IFERROR(__xludf.DUMMYFUNCTION("""COMPUTED_VALUE"""),"Uncle Sams Cider (11/12/2021) (Blue)")</f>
        <v>Uncle Sams Cider (11/12/2021) (Blue)</v>
      </c>
      <c r="H4853" s="19"/>
    </row>
    <row r="4854">
      <c r="A4854" s="9"/>
      <c r="B4854" s="15"/>
      <c r="C4854" s="9">
        <f>IFERROR(__xludf.DUMMYFUNCTION("""COMPUTED_VALUE"""),44554.6324736921)</f>
        <v>44554.63247</v>
      </c>
      <c r="D4854" s="15">
        <f>IFERROR(__xludf.DUMMYFUNCTION("""COMPUTED_VALUE"""),1.01)</f>
        <v>1.01</v>
      </c>
      <c r="E4854" s="16">
        <f>IFERROR(__xludf.DUMMYFUNCTION("""COMPUTED_VALUE"""),67.0)</f>
        <v>67</v>
      </c>
      <c r="F4854" s="19" t="str">
        <f>IFERROR(__xludf.DUMMYFUNCTION("""COMPUTED_VALUE"""),"BLUE")</f>
        <v>BLUE</v>
      </c>
      <c r="G4854" s="20" t="str">
        <f>IFERROR(__xludf.DUMMYFUNCTION("""COMPUTED_VALUE"""),"Uncle Sams Cider (11/12/2021) (Blue)")</f>
        <v>Uncle Sams Cider (11/12/2021) (Blue)</v>
      </c>
      <c r="H4854" s="19"/>
    </row>
    <row r="4855">
      <c r="A4855" s="9"/>
      <c r="B4855" s="15"/>
      <c r="C4855" s="9">
        <f>IFERROR(__xludf.DUMMYFUNCTION("""COMPUTED_VALUE"""),44554.6220517592)</f>
        <v>44554.62205</v>
      </c>
      <c r="D4855" s="15">
        <f>IFERROR(__xludf.DUMMYFUNCTION("""COMPUTED_VALUE"""),1.01)</f>
        <v>1.01</v>
      </c>
      <c r="E4855" s="16">
        <f>IFERROR(__xludf.DUMMYFUNCTION("""COMPUTED_VALUE"""),67.0)</f>
        <v>67</v>
      </c>
      <c r="F4855" s="19" t="str">
        <f>IFERROR(__xludf.DUMMYFUNCTION("""COMPUTED_VALUE"""),"BLUE")</f>
        <v>BLUE</v>
      </c>
      <c r="G4855" s="20" t="str">
        <f>IFERROR(__xludf.DUMMYFUNCTION("""COMPUTED_VALUE"""),"Uncle Sams Cider (11/12/2021) (Blue)")</f>
        <v>Uncle Sams Cider (11/12/2021) (Blue)</v>
      </c>
      <c r="H4855" s="19"/>
    </row>
    <row r="4856">
      <c r="A4856" s="9"/>
      <c r="B4856" s="15"/>
      <c r="C4856" s="9">
        <f>IFERROR(__xludf.DUMMYFUNCTION("""COMPUTED_VALUE"""),44554.6116185879)</f>
        <v>44554.61162</v>
      </c>
      <c r="D4856" s="15">
        <f>IFERROR(__xludf.DUMMYFUNCTION("""COMPUTED_VALUE"""),1.01)</f>
        <v>1.01</v>
      </c>
      <c r="E4856" s="16">
        <f>IFERROR(__xludf.DUMMYFUNCTION("""COMPUTED_VALUE"""),67.0)</f>
        <v>67</v>
      </c>
      <c r="F4856" s="19" t="str">
        <f>IFERROR(__xludf.DUMMYFUNCTION("""COMPUTED_VALUE"""),"BLUE")</f>
        <v>BLUE</v>
      </c>
      <c r="G4856" s="20" t="str">
        <f>IFERROR(__xludf.DUMMYFUNCTION("""COMPUTED_VALUE"""),"Uncle Sams Cider (11/12/2021) (Blue)")</f>
        <v>Uncle Sams Cider (11/12/2021) (Blue)</v>
      </c>
      <c r="H4856" s="19"/>
    </row>
    <row r="4857">
      <c r="A4857" s="9"/>
      <c r="B4857" s="15"/>
      <c r="C4857" s="9">
        <f>IFERROR(__xludf.DUMMYFUNCTION("""COMPUTED_VALUE"""),44554.6011738657)</f>
        <v>44554.60117</v>
      </c>
      <c r="D4857" s="15">
        <f>IFERROR(__xludf.DUMMYFUNCTION("""COMPUTED_VALUE"""),1.01)</f>
        <v>1.01</v>
      </c>
      <c r="E4857" s="16">
        <f>IFERROR(__xludf.DUMMYFUNCTION("""COMPUTED_VALUE"""),67.0)</f>
        <v>67</v>
      </c>
      <c r="F4857" s="19" t="str">
        <f>IFERROR(__xludf.DUMMYFUNCTION("""COMPUTED_VALUE"""),"BLUE")</f>
        <v>BLUE</v>
      </c>
      <c r="G4857" s="20" t="str">
        <f>IFERROR(__xludf.DUMMYFUNCTION("""COMPUTED_VALUE"""),"Uncle Sams Cider (11/12/2021) (Blue)")</f>
        <v>Uncle Sams Cider (11/12/2021) (Blue)</v>
      </c>
      <c r="H4857" s="19"/>
    </row>
    <row r="4858">
      <c r="A4858" s="9"/>
      <c r="B4858" s="15"/>
      <c r="C4858" s="9">
        <f>IFERROR(__xludf.DUMMYFUNCTION("""COMPUTED_VALUE"""),44554.5907539699)</f>
        <v>44554.59075</v>
      </c>
      <c r="D4858" s="15">
        <f>IFERROR(__xludf.DUMMYFUNCTION("""COMPUTED_VALUE"""),1.01)</f>
        <v>1.01</v>
      </c>
      <c r="E4858" s="16">
        <f>IFERROR(__xludf.DUMMYFUNCTION("""COMPUTED_VALUE"""),67.0)</f>
        <v>67</v>
      </c>
      <c r="F4858" s="19" t="str">
        <f>IFERROR(__xludf.DUMMYFUNCTION("""COMPUTED_VALUE"""),"BLUE")</f>
        <v>BLUE</v>
      </c>
      <c r="G4858" s="20" t="str">
        <f>IFERROR(__xludf.DUMMYFUNCTION("""COMPUTED_VALUE"""),"Uncle Sams Cider (11/12/2021) (Blue)")</f>
        <v>Uncle Sams Cider (11/12/2021) (Blue)</v>
      </c>
      <c r="H4858" s="19"/>
    </row>
    <row r="4859">
      <c r="A4859" s="9"/>
      <c r="B4859" s="15"/>
      <c r="C4859" s="9">
        <f>IFERROR(__xludf.DUMMYFUNCTION("""COMPUTED_VALUE"""),44554.580331655)</f>
        <v>44554.58033</v>
      </c>
      <c r="D4859" s="15">
        <f>IFERROR(__xludf.DUMMYFUNCTION("""COMPUTED_VALUE"""),1.01)</f>
        <v>1.01</v>
      </c>
      <c r="E4859" s="16">
        <f>IFERROR(__xludf.DUMMYFUNCTION("""COMPUTED_VALUE"""),67.0)</f>
        <v>67</v>
      </c>
      <c r="F4859" s="19" t="str">
        <f>IFERROR(__xludf.DUMMYFUNCTION("""COMPUTED_VALUE"""),"BLUE")</f>
        <v>BLUE</v>
      </c>
      <c r="G4859" s="20" t="str">
        <f>IFERROR(__xludf.DUMMYFUNCTION("""COMPUTED_VALUE"""),"Uncle Sams Cider (11/12/2021) (Blue)")</f>
        <v>Uncle Sams Cider (11/12/2021) (Blue)</v>
      </c>
      <c r="H4859" s="19"/>
    </row>
    <row r="4860">
      <c r="A4860" s="9"/>
      <c r="B4860" s="15"/>
      <c r="C4860" s="9">
        <f>IFERROR(__xludf.DUMMYFUNCTION("""COMPUTED_VALUE"""),44554.5699113773)</f>
        <v>44554.56991</v>
      </c>
      <c r="D4860" s="15">
        <f>IFERROR(__xludf.DUMMYFUNCTION("""COMPUTED_VALUE"""),1.01)</f>
        <v>1.01</v>
      </c>
      <c r="E4860" s="16">
        <f>IFERROR(__xludf.DUMMYFUNCTION("""COMPUTED_VALUE"""),67.0)</f>
        <v>67</v>
      </c>
      <c r="F4860" s="19" t="str">
        <f>IFERROR(__xludf.DUMMYFUNCTION("""COMPUTED_VALUE"""),"BLUE")</f>
        <v>BLUE</v>
      </c>
      <c r="G4860" s="20" t="str">
        <f>IFERROR(__xludf.DUMMYFUNCTION("""COMPUTED_VALUE"""),"Uncle Sams Cider (11/12/2021) (Blue)")</f>
        <v>Uncle Sams Cider (11/12/2021) (Blue)</v>
      </c>
      <c r="H4860" s="19"/>
    </row>
    <row r="4861">
      <c r="A4861" s="9"/>
      <c r="B4861" s="15"/>
      <c r="C4861" s="9">
        <f>IFERROR(__xludf.DUMMYFUNCTION("""COMPUTED_VALUE"""),44554.5594902314)</f>
        <v>44554.55949</v>
      </c>
      <c r="D4861" s="15">
        <f>IFERROR(__xludf.DUMMYFUNCTION("""COMPUTED_VALUE"""),1.01)</f>
        <v>1.01</v>
      </c>
      <c r="E4861" s="16">
        <f>IFERROR(__xludf.DUMMYFUNCTION("""COMPUTED_VALUE"""),67.0)</f>
        <v>67</v>
      </c>
      <c r="F4861" s="19" t="str">
        <f>IFERROR(__xludf.DUMMYFUNCTION("""COMPUTED_VALUE"""),"BLUE")</f>
        <v>BLUE</v>
      </c>
      <c r="G4861" s="20" t="str">
        <f>IFERROR(__xludf.DUMMYFUNCTION("""COMPUTED_VALUE"""),"Uncle Sams Cider (11/12/2021) (Blue)")</f>
        <v>Uncle Sams Cider (11/12/2021) (Blue)</v>
      </c>
      <c r="H4861" s="19"/>
    </row>
    <row r="4862">
      <c r="A4862" s="9"/>
      <c r="B4862" s="15"/>
      <c r="C4862" s="9">
        <f>IFERROR(__xludf.DUMMYFUNCTION("""COMPUTED_VALUE"""),44554.5490696875)</f>
        <v>44554.54907</v>
      </c>
      <c r="D4862" s="15">
        <f>IFERROR(__xludf.DUMMYFUNCTION("""COMPUTED_VALUE"""),1.01)</f>
        <v>1.01</v>
      </c>
      <c r="E4862" s="16">
        <f>IFERROR(__xludf.DUMMYFUNCTION("""COMPUTED_VALUE"""),67.0)</f>
        <v>67</v>
      </c>
      <c r="F4862" s="19" t="str">
        <f>IFERROR(__xludf.DUMMYFUNCTION("""COMPUTED_VALUE"""),"BLUE")</f>
        <v>BLUE</v>
      </c>
      <c r="G4862" s="20" t="str">
        <f>IFERROR(__xludf.DUMMYFUNCTION("""COMPUTED_VALUE"""),"Uncle Sams Cider (11/12/2021) (Blue)")</f>
        <v>Uncle Sams Cider (11/12/2021) (Blue)</v>
      </c>
      <c r="H4862" s="19"/>
    </row>
    <row r="4863">
      <c r="A4863" s="9"/>
      <c r="B4863" s="15"/>
      <c r="C4863" s="9">
        <f>IFERROR(__xludf.DUMMYFUNCTION("""COMPUTED_VALUE"""),44554.5386486689)</f>
        <v>44554.53865</v>
      </c>
      <c r="D4863" s="15">
        <f>IFERROR(__xludf.DUMMYFUNCTION("""COMPUTED_VALUE"""),1.01)</f>
        <v>1.01</v>
      </c>
      <c r="E4863" s="16">
        <f>IFERROR(__xludf.DUMMYFUNCTION("""COMPUTED_VALUE"""),67.0)</f>
        <v>67</v>
      </c>
      <c r="F4863" s="19" t="str">
        <f>IFERROR(__xludf.DUMMYFUNCTION("""COMPUTED_VALUE"""),"BLUE")</f>
        <v>BLUE</v>
      </c>
      <c r="G4863" s="20" t="str">
        <f>IFERROR(__xludf.DUMMYFUNCTION("""COMPUTED_VALUE"""),"Uncle Sams Cider (11/12/2021) (Blue)")</f>
        <v>Uncle Sams Cider (11/12/2021) (Blue)</v>
      </c>
      <c r="H4863" s="19"/>
    </row>
    <row r="4864">
      <c r="A4864" s="9"/>
      <c r="B4864" s="15"/>
      <c r="C4864" s="9">
        <f>IFERROR(__xludf.DUMMYFUNCTION("""COMPUTED_VALUE"""),44554.5282165393)</f>
        <v>44554.52822</v>
      </c>
      <c r="D4864" s="15">
        <f>IFERROR(__xludf.DUMMYFUNCTION("""COMPUTED_VALUE"""),1.01)</f>
        <v>1.01</v>
      </c>
      <c r="E4864" s="16">
        <f>IFERROR(__xludf.DUMMYFUNCTION("""COMPUTED_VALUE"""),67.0)</f>
        <v>67</v>
      </c>
      <c r="F4864" s="19" t="str">
        <f>IFERROR(__xludf.DUMMYFUNCTION("""COMPUTED_VALUE"""),"BLUE")</f>
        <v>BLUE</v>
      </c>
      <c r="G4864" s="20" t="str">
        <f>IFERROR(__xludf.DUMMYFUNCTION("""COMPUTED_VALUE"""),"Uncle Sams Cider (11/12/2021) (Blue)")</f>
        <v>Uncle Sams Cider (11/12/2021) (Blue)</v>
      </c>
      <c r="H4864" s="19"/>
    </row>
    <row r="4865">
      <c r="A4865" s="9"/>
      <c r="B4865" s="15"/>
      <c r="C4865" s="9">
        <f>IFERROR(__xludf.DUMMYFUNCTION("""COMPUTED_VALUE"""),44554.5177960648)</f>
        <v>44554.5178</v>
      </c>
      <c r="D4865" s="15">
        <f>IFERROR(__xludf.DUMMYFUNCTION("""COMPUTED_VALUE"""),1.01)</f>
        <v>1.01</v>
      </c>
      <c r="E4865" s="16">
        <f>IFERROR(__xludf.DUMMYFUNCTION("""COMPUTED_VALUE"""),67.0)</f>
        <v>67</v>
      </c>
      <c r="F4865" s="19" t="str">
        <f>IFERROR(__xludf.DUMMYFUNCTION("""COMPUTED_VALUE"""),"BLUE")</f>
        <v>BLUE</v>
      </c>
      <c r="G4865" s="20" t="str">
        <f>IFERROR(__xludf.DUMMYFUNCTION("""COMPUTED_VALUE"""),"Uncle Sams Cider (11/12/2021) (Blue)")</f>
        <v>Uncle Sams Cider (11/12/2021) (Blue)</v>
      </c>
      <c r="H4865" s="19"/>
    </row>
    <row r="4866">
      <c r="A4866" s="9"/>
      <c r="B4866" s="15"/>
      <c r="C4866" s="9">
        <f>IFERROR(__xludf.DUMMYFUNCTION("""COMPUTED_VALUE"""),44554.5073755902)</f>
        <v>44554.50738</v>
      </c>
      <c r="D4866" s="15">
        <f>IFERROR(__xludf.DUMMYFUNCTION("""COMPUTED_VALUE"""),1.01)</f>
        <v>1.01</v>
      </c>
      <c r="E4866" s="16">
        <f>IFERROR(__xludf.DUMMYFUNCTION("""COMPUTED_VALUE"""),67.0)</f>
        <v>67</v>
      </c>
      <c r="F4866" s="19" t="str">
        <f>IFERROR(__xludf.DUMMYFUNCTION("""COMPUTED_VALUE"""),"BLUE")</f>
        <v>BLUE</v>
      </c>
      <c r="G4866" s="20" t="str">
        <f>IFERROR(__xludf.DUMMYFUNCTION("""COMPUTED_VALUE"""),"Uncle Sams Cider (11/12/2021) (Blue)")</f>
        <v>Uncle Sams Cider (11/12/2021) (Blue)</v>
      </c>
      <c r="H4866" s="19"/>
    </row>
    <row r="4867">
      <c r="A4867" s="9"/>
      <c r="B4867" s="15"/>
      <c r="C4867" s="9">
        <f>IFERROR(__xludf.DUMMYFUNCTION("""COMPUTED_VALUE"""),44554.496953993)</f>
        <v>44554.49695</v>
      </c>
      <c r="D4867" s="15">
        <f>IFERROR(__xludf.DUMMYFUNCTION("""COMPUTED_VALUE"""),1.01)</f>
        <v>1.01</v>
      </c>
      <c r="E4867" s="16">
        <f>IFERROR(__xludf.DUMMYFUNCTION("""COMPUTED_VALUE"""),67.0)</f>
        <v>67</v>
      </c>
      <c r="F4867" s="19" t="str">
        <f>IFERROR(__xludf.DUMMYFUNCTION("""COMPUTED_VALUE"""),"BLUE")</f>
        <v>BLUE</v>
      </c>
      <c r="G4867" s="20" t="str">
        <f>IFERROR(__xludf.DUMMYFUNCTION("""COMPUTED_VALUE"""),"Uncle Sams Cider (11/12/2021) (Blue)")</f>
        <v>Uncle Sams Cider (11/12/2021) (Blue)</v>
      </c>
      <c r="H4867" s="19"/>
    </row>
    <row r="4868">
      <c r="A4868" s="9"/>
      <c r="B4868" s="15"/>
      <c r="C4868" s="9">
        <f>IFERROR(__xludf.DUMMYFUNCTION("""COMPUTED_VALUE"""),44554.4865331944)</f>
        <v>44554.48653</v>
      </c>
      <c r="D4868" s="15">
        <f>IFERROR(__xludf.DUMMYFUNCTION("""COMPUTED_VALUE"""),1.01)</f>
        <v>1.01</v>
      </c>
      <c r="E4868" s="16">
        <f>IFERROR(__xludf.DUMMYFUNCTION("""COMPUTED_VALUE"""),67.0)</f>
        <v>67</v>
      </c>
      <c r="F4868" s="19" t="str">
        <f>IFERROR(__xludf.DUMMYFUNCTION("""COMPUTED_VALUE"""),"BLUE")</f>
        <v>BLUE</v>
      </c>
      <c r="G4868" s="20" t="str">
        <f>IFERROR(__xludf.DUMMYFUNCTION("""COMPUTED_VALUE"""),"Uncle Sams Cider (11/12/2021) (Blue)")</f>
        <v>Uncle Sams Cider (11/12/2021) (Blue)</v>
      </c>
      <c r="H4868" s="19"/>
    </row>
    <row r="4869">
      <c r="A4869" s="9"/>
      <c r="B4869" s="15"/>
      <c r="C4869" s="9">
        <f>IFERROR(__xludf.DUMMYFUNCTION("""COMPUTED_VALUE"""),44554.4761114814)</f>
        <v>44554.47611</v>
      </c>
      <c r="D4869" s="15">
        <f>IFERROR(__xludf.DUMMYFUNCTION("""COMPUTED_VALUE"""),1.01)</f>
        <v>1.01</v>
      </c>
      <c r="E4869" s="16">
        <f>IFERROR(__xludf.DUMMYFUNCTION("""COMPUTED_VALUE"""),67.0)</f>
        <v>67</v>
      </c>
      <c r="F4869" s="19" t="str">
        <f>IFERROR(__xludf.DUMMYFUNCTION("""COMPUTED_VALUE"""),"BLUE")</f>
        <v>BLUE</v>
      </c>
      <c r="G4869" s="20" t="str">
        <f>IFERROR(__xludf.DUMMYFUNCTION("""COMPUTED_VALUE"""),"Uncle Sams Cider (11/12/2021) (Blue)")</f>
        <v>Uncle Sams Cider (11/12/2021) (Blue)</v>
      </c>
      <c r="H4869" s="19"/>
    </row>
    <row r="4870">
      <c r="A4870" s="9"/>
      <c r="B4870" s="15"/>
      <c r="C4870" s="9">
        <f>IFERROR(__xludf.DUMMYFUNCTION("""COMPUTED_VALUE"""),44554.4656888541)</f>
        <v>44554.46569</v>
      </c>
      <c r="D4870" s="15">
        <f>IFERROR(__xludf.DUMMYFUNCTION("""COMPUTED_VALUE"""),1.01)</f>
        <v>1.01</v>
      </c>
      <c r="E4870" s="16">
        <f>IFERROR(__xludf.DUMMYFUNCTION("""COMPUTED_VALUE"""),67.0)</f>
        <v>67</v>
      </c>
      <c r="F4870" s="19" t="str">
        <f>IFERROR(__xludf.DUMMYFUNCTION("""COMPUTED_VALUE"""),"BLUE")</f>
        <v>BLUE</v>
      </c>
      <c r="G4870" s="20" t="str">
        <f>IFERROR(__xludf.DUMMYFUNCTION("""COMPUTED_VALUE"""),"Uncle Sams Cider (11/12/2021) (Blue)")</f>
        <v>Uncle Sams Cider (11/12/2021) (Blue)</v>
      </c>
      <c r="H4870" s="19"/>
    </row>
    <row r="4871">
      <c r="A4871" s="9"/>
      <c r="B4871" s="15"/>
      <c r="C4871" s="9">
        <f>IFERROR(__xludf.DUMMYFUNCTION("""COMPUTED_VALUE"""),44554.4552661805)</f>
        <v>44554.45527</v>
      </c>
      <c r="D4871" s="15">
        <f>IFERROR(__xludf.DUMMYFUNCTION("""COMPUTED_VALUE"""),1.01)</f>
        <v>1.01</v>
      </c>
      <c r="E4871" s="16">
        <f>IFERROR(__xludf.DUMMYFUNCTION("""COMPUTED_VALUE"""),67.0)</f>
        <v>67</v>
      </c>
      <c r="F4871" s="19" t="str">
        <f>IFERROR(__xludf.DUMMYFUNCTION("""COMPUTED_VALUE"""),"BLUE")</f>
        <v>BLUE</v>
      </c>
      <c r="G4871" s="20" t="str">
        <f>IFERROR(__xludf.DUMMYFUNCTION("""COMPUTED_VALUE"""),"Uncle Sams Cider (11/12/2021) (Blue)")</f>
        <v>Uncle Sams Cider (11/12/2021) (Blue)</v>
      </c>
      <c r="H4871" s="19"/>
    </row>
    <row r="4872">
      <c r="A4872" s="9"/>
      <c r="B4872" s="15"/>
      <c r="C4872" s="9">
        <f>IFERROR(__xludf.DUMMYFUNCTION("""COMPUTED_VALUE"""),44554.4448466898)</f>
        <v>44554.44485</v>
      </c>
      <c r="D4872" s="15">
        <f>IFERROR(__xludf.DUMMYFUNCTION("""COMPUTED_VALUE"""),1.01)</f>
        <v>1.01</v>
      </c>
      <c r="E4872" s="16">
        <f>IFERROR(__xludf.DUMMYFUNCTION("""COMPUTED_VALUE"""),67.0)</f>
        <v>67</v>
      </c>
      <c r="F4872" s="19" t="str">
        <f>IFERROR(__xludf.DUMMYFUNCTION("""COMPUTED_VALUE"""),"BLUE")</f>
        <v>BLUE</v>
      </c>
      <c r="G4872" s="20" t="str">
        <f>IFERROR(__xludf.DUMMYFUNCTION("""COMPUTED_VALUE"""),"Uncle Sams Cider (11/12/2021) (Blue)")</f>
        <v>Uncle Sams Cider (11/12/2021) (Blue)</v>
      </c>
      <c r="H4872" s="19"/>
    </row>
    <row r="4873">
      <c r="A4873" s="9"/>
      <c r="B4873" s="15"/>
      <c r="C4873" s="9">
        <f>IFERROR(__xludf.DUMMYFUNCTION("""COMPUTED_VALUE"""),44554.434415706)</f>
        <v>44554.43442</v>
      </c>
      <c r="D4873" s="15">
        <f>IFERROR(__xludf.DUMMYFUNCTION("""COMPUTED_VALUE"""),1.01)</f>
        <v>1.01</v>
      </c>
      <c r="E4873" s="16">
        <f>IFERROR(__xludf.DUMMYFUNCTION("""COMPUTED_VALUE"""),67.0)</f>
        <v>67</v>
      </c>
      <c r="F4873" s="19" t="str">
        <f>IFERROR(__xludf.DUMMYFUNCTION("""COMPUTED_VALUE"""),"BLUE")</f>
        <v>BLUE</v>
      </c>
      <c r="G4873" s="20" t="str">
        <f>IFERROR(__xludf.DUMMYFUNCTION("""COMPUTED_VALUE"""),"Uncle Sams Cider (11/12/2021) (Blue)")</f>
        <v>Uncle Sams Cider (11/12/2021) (Blue)</v>
      </c>
      <c r="H4873" s="19"/>
    </row>
    <row r="4874">
      <c r="A4874" s="9"/>
      <c r="B4874" s="15"/>
      <c r="C4874" s="9">
        <f>IFERROR(__xludf.DUMMYFUNCTION("""COMPUTED_VALUE"""),44554.4239955439)</f>
        <v>44554.424</v>
      </c>
      <c r="D4874" s="15">
        <f>IFERROR(__xludf.DUMMYFUNCTION("""COMPUTED_VALUE"""),1.01)</f>
        <v>1.01</v>
      </c>
      <c r="E4874" s="16">
        <f>IFERROR(__xludf.DUMMYFUNCTION("""COMPUTED_VALUE"""),68.0)</f>
        <v>68</v>
      </c>
      <c r="F4874" s="19" t="str">
        <f>IFERROR(__xludf.DUMMYFUNCTION("""COMPUTED_VALUE"""),"BLUE")</f>
        <v>BLUE</v>
      </c>
      <c r="G4874" s="20" t="str">
        <f>IFERROR(__xludf.DUMMYFUNCTION("""COMPUTED_VALUE"""),"Uncle Sams Cider (11/12/2021) (Blue)")</f>
        <v>Uncle Sams Cider (11/12/2021) (Blue)</v>
      </c>
      <c r="H4874" s="19"/>
    </row>
    <row r="4875">
      <c r="A4875" s="9"/>
      <c r="B4875" s="15"/>
      <c r="C4875" s="9">
        <f>IFERROR(__xludf.DUMMYFUNCTION("""COMPUTED_VALUE"""),44554.413562824)</f>
        <v>44554.41356</v>
      </c>
      <c r="D4875" s="15">
        <f>IFERROR(__xludf.DUMMYFUNCTION("""COMPUTED_VALUE"""),1.01)</f>
        <v>1.01</v>
      </c>
      <c r="E4875" s="16">
        <f>IFERROR(__xludf.DUMMYFUNCTION("""COMPUTED_VALUE"""),68.0)</f>
        <v>68</v>
      </c>
      <c r="F4875" s="19" t="str">
        <f>IFERROR(__xludf.DUMMYFUNCTION("""COMPUTED_VALUE"""),"BLUE")</f>
        <v>BLUE</v>
      </c>
      <c r="G4875" s="20" t="str">
        <f>IFERROR(__xludf.DUMMYFUNCTION("""COMPUTED_VALUE"""),"Uncle Sams Cider (11/12/2021) (Blue)")</f>
        <v>Uncle Sams Cider (11/12/2021) (Blue)</v>
      </c>
      <c r="H4875" s="19"/>
    </row>
    <row r="4876">
      <c r="A4876" s="9"/>
      <c r="B4876" s="15"/>
      <c r="C4876" s="9">
        <f>IFERROR(__xludf.DUMMYFUNCTION("""COMPUTED_VALUE"""),44554.4031420717)</f>
        <v>44554.40314</v>
      </c>
      <c r="D4876" s="15">
        <f>IFERROR(__xludf.DUMMYFUNCTION("""COMPUTED_VALUE"""),1.01)</f>
        <v>1.01</v>
      </c>
      <c r="E4876" s="16">
        <f>IFERROR(__xludf.DUMMYFUNCTION("""COMPUTED_VALUE"""),68.0)</f>
        <v>68</v>
      </c>
      <c r="F4876" s="19" t="str">
        <f>IFERROR(__xludf.DUMMYFUNCTION("""COMPUTED_VALUE"""),"BLUE")</f>
        <v>BLUE</v>
      </c>
      <c r="G4876" s="20" t="str">
        <f>IFERROR(__xludf.DUMMYFUNCTION("""COMPUTED_VALUE"""),"Uncle Sams Cider (11/12/2021) (Blue)")</f>
        <v>Uncle Sams Cider (11/12/2021) (Blue)</v>
      </c>
      <c r="H4876" s="19"/>
    </row>
    <row r="4877">
      <c r="A4877" s="9"/>
      <c r="B4877" s="15"/>
      <c r="C4877" s="9">
        <f>IFERROR(__xludf.DUMMYFUNCTION("""COMPUTED_VALUE"""),44554.3927216203)</f>
        <v>44554.39272</v>
      </c>
      <c r="D4877" s="15">
        <f>IFERROR(__xludf.DUMMYFUNCTION("""COMPUTED_VALUE"""),1.01)</f>
        <v>1.01</v>
      </c>
      <c r="E4877" s="16">
        <f>IFERROR(__xludf.DUMMYFUNCTION("""COMPUTED_VALUE"""),68.0)</f>
        <v>68</v>
      </c>
      <c r="F4877" s="19" t="str">
        <f>IFERROR(__xludf.DUMMYFUNCTION("""COMPUTED_VALUE"""),"BLUE")</f>
        <v>BLUE</v>
      </c>
      <c r="G4877" s="20" t="str">
        <f>IFERROR(__xludf.DUMMYFUNCTION("""COMPUTED_VALUE"""),"Uncle Sams Cider (11/12/2021) (Blue)")</f>
        <v>Uncle Sams Cider (11/12/2021) (Blue)</v>
      </c>
      <c r="H4877" s="19"/>
    </row>
    <row r="4878">
      <c r="A4878" s="9"/>
      <c r="B4878" s="15"/>
      <c r="C4878" s="9">
        <f>IFERROR(__xludf.DUMMYFUNCTION("""COMPUTED_VALUE"""),44554.3822996412)</f>
        <v>44554.3823</v>
      </c>
      <c r="D4878" s="15">
        <f>IFERROR(__xludf.DUMMYFUNCTION("""COMPUTED_VALUE"""),1.01)</f>
        <v>1.01</v>
      </c>
      <c r="E4878" s="16">
        <f>IFERROR(__xludf.DUMMYFUNCTION("""COMPUTED_VALUE"""),68.0)</f>
        <v>68</v>
      </c>
      <c r="F4878" s="19" t="str">
        <f>IFERROR(__xludf.DUMMYFUNCTION("""COMPUTED_VALUE"""),"BLUE")</f>
        <v>BLUE</v>
      </c>
      <c r="G4878" s="20" t="str">
        <f>IFERROR(__xludf.DUMMYFUNCTION("""COMPUTED_VALUE"""),"Uncle Sams Cider (11/12/2021) (Blue)")</f>
        <v>Uncle Sams Cider (11/12/2021) (Blue)</v>
      </c>
      <c r="H4878" s="19"/>
    </row>
    <row r="4879">
      <c r="A4879" s="9"/>
      <c r="B4879" s="15"/>
      <c r="C4879" s="9">
        <f>IFERROR(__xludf.DUMMYFUNCTION("""COMPUTED_VALUE"""),44554.3718673842)</f>
        <v>44554.37187</v>
      </c>
      <c r="D4879" s="15">
        <f>IFERROR(__xludf.DUMMYFUNCTION("""COMPUTED_VALUE"""),1.01)</f>
        <v>1.01</v>
      </c>
      <c r="E4879" s="16">
        <f>IFERROR(__xludf.DUMMYFUNCTION("""COMPUTED_VALUE"""),68.0)</f>
        <v>68</v>
      </c>
      <c r="F4879" s="19" t="str">
        <f>IFERROR(__xludf.DUMMYFUNCTION("""COMPUTED_VALUE"""),"BLUE")</f>
        <v>BLUE</v>
      </c>
      <c r="G4879" s="20" t="str">
        <f>IFERROR(__xludf.DUMMYFUNCTION("""COMPUTED_VALUE"""),"Uncle Sams Cider (11/12/2021) (Blue)")</f>
        <v>Uncle Sams Cider (11/12/2021) (Blue)</v>
      </c>
      <c r="H4879" s="19"/>
    </row>
    <row r="4880">
      <c r="A4880" s="9"/>
      <c r="B4880" s="15"/>
      <c r="C4880" s="9">
        <f>IFERROR(__xludf.DUMMYFUNCTION("""COMPUTED_VALUE"""),44554.361447118)</f>
        <v>44554.36145</v>
      </c>
      <c r="D4880" s="15">
        <f>IFERROR(__xludf.DUMMYFUNCTION("""COMPUTED_VALUE"""),1.01)</f>
        <v>1.01</v>
      </c>
      <c r="E4880" s="16">
        <f>IFERROR(__xludf.DUMMYFUNCTION("""COMPUTED_VALUE"""),68.0)</f>
        <v>68</v>
      </c>
      <c r="F4880" s="19" t="str">
        <f>IFERROR(__xludf.DUMMYFUNCTION("""COMPUTED_VALUE"""),"BLUE")</f>
        <v>BLUE</v>
      </c>
      <c r="G4880" s="20" t="str">
        <f>IFERROR(__xludf.DUMMYFUNCTION("""COMPUTED_VALUE"""),"Uncle Sams Cider (11/12/2021) (Blue)")</f>
        <v>Uncle Sams Cider (11/12/2021) (Blue)</v>
      </c>
      <c r="H4880" s="19"/>
    </row>
    <row r="4881">
      <c r="A4881" s="9"/>
      <c r="B4881" s="15"/>
      <c r="C4881" s="9">
        <f>IFERROR(__xludf.DUMMYFUNCTION("""COMPUTED_VALUE"""),44554.3510279166)</f>
        <v>44554.35103</v>
      </c>
      <c r="D4881" s="15">
        <f>IFERROR(__xludf.DUMMYFUNCTION("""COMPUTED_VALUE"""),1.01)</f>
        <v>1.01</v>
      </c>
      <c r="E4881" s="16">
        <f>IFERROR(__xludf.DUMMYFUNCTION("""COMPUTED_VALUE"""),67.0)</f>
        <v>67</v>
      </c>
      <c r="F4881" s="19" t="str">
        <f>IFERROR(__xludf.DUMMYFUNCTION("""COMPUTED_VALUE"""),"BLUE")</f>
        <v>BLUE</v>
      </c>
      <c r="G4881" s="20" t="str">
        <f>IFERROR(__xludf.DUMMYFUNCTION("""COMPUTED_VALUE"""),"Uncle Sams Cider (11/12/2021) (Blue)")</f>
        <v>Uncle Sams Cider (11/12/2021) (Blue)</v>
      </c>
      <c r="H4881" s="19"/>
    </row>
    <row r="4882">
      <c r="A4882" s="9"/>
      <c r="B4882" s="15"/>
      <c r="C4882" s="9">
        <f>IFERROR(__xludf.DUMMYFUNCTION("""COMPUTED_VALUE"""),44554.3405823842)</f>
        <v>44554.34058</v>
      </c>
      <c r="D4882" s="15">
        <f>IFERROR(__xludf.DUMMYFUNCTION("""COMPUTED_VALUE"""),1.01)</f>
        <v>1.01</v>
      </c>
      <c r="E4882" s="16">
        <f>IFERROR(__xludf.DUMMYFUNCTION("""COMPUTED_VALUE"""),67.0)</f>
        <v>67</v>
      </c>
      <c r="F4882" s="19" t="str">
        <f>IFERROR(__xludf.DUMMYFUNCTION("""COMPUTED_VALUE"""),"BLUE")</f>
        <v>BLUE</v>
      </c>
      <c r="G4882" s="20" t="str">
        <f>IFERROR(__xludf.DUMMYFUNCTION("""COMPUTED_VALUE"""),"Uncle Sams Cider (11/12/2021) (Blue)")</f>
        <v>Uncle Sams Cider (11/12/2021) (Blue)</v>
      </c>
      <c r="H4882" s="19"/>
    </row>
    <row r="4883">
      <c r="A4883" s="9"/>
      <c r="B4883" s="15"/>
      <c r="C4883" s="9">
        <f>IFERROR(__xludf.DUMMYFUNCTION("""COMPUTED_VALUE"""),44554.3301596527)</f>
        <v>44554.33016</v>
      </c>
      <c r="D4883" s="15">
        <f>IFERROR(__xludf.DUMMYFUNCTION("""COMPUTED_VALUE"""),1.01)</f>
        <v>1.01</v>
      </c>
      <c r="E4883" s="16">
        <f>IFERROR(__xludf.DUMMYFUNCTION("""COMPUTED_VALUE"""),67.0)</f>
        <v>67</v>
      </c>
      <c r="F4883" s="19" t="str">
        <f>IFERROR(__xludf.DUMMYFUNCTION("""COMPUTED_VALUE"""),"BLUE")</f>
        <v>BLUE</v>
      </c>
      <c r="G4883" s="20" t="str">
        <f>IFERROR(__xludf.DUMMYFUNCTION("""COMPUTED_VALUE"""),"Uncle Sams Cider (11/12/2021) (Blue)")</f>
        <v>Uncle Sams Cider (11/12/2021) (Blue)</v>
      </c>
      <c r="H4883" s="19"/>
    </row>
    <row r="4884">
      <c r="A4884" s="9"/>
      <c r="B4884" s="15"/>
      <c r="C4884" s="9">
        <f>IFERROR(__xludf.DUMMYFUNCTION("""COMPUTED_VALUE"""),44554.3197393055)</f>
        <v>44554.31974</v>
      </c>
      <c r="D4884" s="15">
        <f>IFERROR(__xludf.DUMMYFUNCTION("""COMPUTED_VALUE"""),1.01)</f>
        <v>1.01</v>
      </c>
      <c r="E4884" s="16">
        <f>IFERROR(__xludf.DUMMYFUNCTION("""COMPUTED_VALUE"""),66.0)</f>
        <v>66</v>
      </c>
      <c r="F4884" s="19" t="str">
        <f>IFERROR(__xludf.DUMMYFUNCTION("""COMPUTED_VALUE"""),"BLUE")</f>
        <v>BLUE</v>
      </c>
      <c r="G4884" s="20" t="str">
        <f>IFERROR(__xludf.DUMMYFUNCTION("""COMPUTED_VALUE"""),"Uncle Sams Cider (11/12/2021) (Blue)")</f>
        <v>Uncle Sams Cider (11/12/2021) (Blue)</v>
      </c>
      <c r="H4884" s="19"/>
    </row>
    <row r="4885">
      <c r="A4885" s="9"/>
      <c r="B4885" s="15"/>
      <c r="C4885" s="9">
        <f>IFERROR(__xludf.DUMMYFUNCTION("""COMPUTED_VALUE"""),44554.3093177777)</f>
        <v>44554.30932</v>
      </c>
      <c r="D4885" s="15">
        <f>IFERROR(__xludf.DUMMYFUNCTION("""COMPUTED_VALUE"""),1.01)</f>
        <v>1.01</v>
      </c>
      <c r="E4885" s="16">
        <f>IFERROR(__xludf.DUMMYFUNCTION("""COMPUTED_VALUE"""),66.0)</f>
        <v>66</v>
      </c>
      <c r="F4885" s="19" t="str">
        <f>IFERROR(__xludf.DUMMYFUNCTION("""COMPUTED_VALUE"""),"BLUE")</f>
        <v>BLUE</v>
      </c>
      <c r="G4885" s="20" t="str">
        <f>IFERROR(__xludf.DUMMYFUNCTION("""COMPUTED_VALUE"""),"Uncle Sams Cider (11/12/2021) (Blue)")</f>
        <v>Uncle Sams Cider (11/12/2021) (Blue)</v>
      </c>
      <c r="H4885" s="19"/>
    </row>
    <row r="4886">
      <c r="A4886" s="9"/>
      <c r="B4886" s="15"/>
      <c r="C4886" s="9">
        <f>IFERROR(__xludf.DUMMYFUNCTION("""COMPUTED_VALUE"""),44554.2988969791)</f>
        <v>44554.2989</v>
      </c>
      <c r="D4886" s="15">
        <f>IFERROR(__xludf.DUMMYFUNCTION("""COMPUTED_VALUE"""),1.01)</f>
        <v>1.01</v>
      </c>
      <c r="E4886" s="16">
        <f>IFERROR(__xludf.DUMMYFUNCTION("""COMPUTED_VALUE"""),65.0)</f>
        <v>65</v>
      </c>
      <c r="F4886" s="19" t="str">
        <f>IFERROR(__xludf.DUMMYFUNCTION("""COMPUTED_VALUE"""),"BLUE")</f>
        <v>BLUE</v>
      </c>
      <c r="G4886" s="20" t="str">
        <f>IFERROR(__xludf.DUMMYFUNCTION("""COMPUTED_VALUE"""),"Uncle Sams Cider (11/12/2021) (Blue)")</f>
        <v>Uncle Sams Cider (11/12/2021) (Blue)</v>
      </c>
      <c r="H4886" s="19"/>
    </row>
    <row r="4887">
      <c r="A4887" s="9"/>
      <c r="B4887" s="15"/>
      <c r="C4887" s="9">
        <f>IFERROR(__xludf.DUMMYFUNCTION("""COMPUTED_VALUE"""),44554.2884761226)</f>
        <v>44554.28848</v>
      </c>
      <c r="D4887" s="15">
        <f>IFERROR(__xludf.DUMMYFUNCTION("""COMPUTED_VALUE"""),1.01)</f>
        <v>1.01</v>
      </c>
      <c r="E4887" s="16">
        <f>IFERROR(__xludf.DUMMYFUNCTION("""COMPUTED_VALUE"""),65.0)</f>
        <v>65</v>
      </c>
      <c r="F4887" s="19" t="str">
        <f>IFERROR(__xludf.DUMMYFUNCTION("""COMPUTED_VALUE"""),"BLUE")</f>
        <v>BLUE</v>
      </c>
      <c r="G4887" s="20" t="str">
        <f>IFERROR(__xludf.DUMMYFUNCTION("""COMPUTED_VALUE"""),"Uncle Sams Cider (11/12/2021) (Blue)")</f>
        <v>Uncle Sams Cider (11/12/2021) (Blue)</v>
      </c>
      <c r="H4887" s="19"/>
    </row>
    <row r="4888">
      <c r="A4888" s="9"/>
      <c r="B4888" s="15"/>
      <c r="C4888" s="9">
        <f>IFERROR(__xludf.DUMMYFUNCTION("""COMPUTED_VALUE"""),44554.278055787)</f>
        <v>44554.27806</v>
      </c>
      <c r="D4888" s="15">
        <f>IFERROR(__xludf.DUMMYFUNCTION("""COMPUTED_VALUE"""),1.01)</f>
        <v>1.01</v>
      </c>
      <c r="E4888" s="16">
        <f>IFERROR(__xludf.DUMMYFUNCTION("""COMPUTED_VALUE"""),64.0)</f>
        <v>64</v>
      </c>
      <c r="F4888" s="19" t="str">
        <f>IFERROR(__xludf.DUMMYFUNCTION("""COMPUTED_VALUE"""),"BLUE")</f>
        <v>BLUE</v>
      </c>
      <c r="G4888" s="20" t="str">
        <f>IFERROR(__xludf.DUMMYFUNCTION("""COMPUTED_VALUE"""),"Uncle Sams Cider (11/12/2021) (Blue)")</f>
        <v>Uncle Sams Cider (11/12/2021) (Blue)</v>
      </c>
      <c r="H4888" s="19"/>
    </row>
    <row r="4889">
      <c r="A4889" s="9"/>
      <c r="B4889" s="15"/>
      <c r="C4889" s="9">
        <f>IFERROR(__xludf.DUMMYFUNCTION("""COMPUTED_VALUE"""),44554.2676333449)</f>
        <v>44554.26763</v>
      </c>
      <c r="D4889" s="15">
        <f>IFERROR(__xludf.DUMMYFUNCTION("""COMPUTED_VALUE"""),1.01)</f>
        <v>1.01</v>
      </c>
      <c r="E4889" s="16">
        <f>IFERROR(__xludf.DUMMYFUNCTION("""COMPUTED_VALUE"""),64.0)</f>
        <v>64</v>
      </c>
      <c r="F4889" s="19" t="str">
        <f>IFERROR(__xludf.DUMMYFUNCTION("""COMPUTED_VALUE"""),"BLUE")</f>
        <v>BLUE</v>
      </c>
      <c r="G4889" s="20" t="str">
        <f>IFERROR(__xludf.DUMMYFUNCTION("""COMPUTED_VALUE"""),"Uncle Sams Cider (11/12/2021) (Blue)")</f>
        <v>Uncle Sams Cider (11/12/2021) (Blue)</v>
      </c>
      <c r="H4889" s="19"/>
    </row>
    <row r="4890">
      <c r="A4890" s="9"/>
      <c r="B4890" s="15"/>
      <c r="C4890" s="9">
        <f>IFERROR(__xludf.DUMMYFUNCTION("""COMPUTED_VALUE"""),44554.2572115162)</f>
        <v>44554.25721</v>
      </c>
      <c r="D4890" s="15">
        <f>IFERROR(__xludf.DUMMYFUNCTION("""COMPUTED_VALUE"""),1.011)</f>
        <v>1.011</v>
      </c>
      <c r="E4890" s="16">
        <f>IFERROR(__xludf.DUMMYFUNCTION("""COMPUTED_VALUE"""),64.0)</f>
        <v>64</v>
      </c>
      <c r="F4890" s="19" t="str">
        <f>IFERROR(__xludf.DUMMYFUNCTION("""COMPUTED_VALUE"""),"BLUE")</f>
        <v>BLUE</v>
      </c>
      <c r="G4890" s="20" t="str">
        <f>IFERROR(__xludf.DUMMYFUNCTION("""COMPUTED_VALUE"""),"Uncle Sams Cider (11/12/2021) (Blue)")</f>
        <v>Uncle Sams Cider (11/12/2021) (Blue)</v>
      </c>
      <c r="H4890" s="19"/>
    </row>
    <row r="4891">
      <c r="A4891" s="9"/>
      <c r="B4891" s="15"/>
      <c r="C4891" s="9">
        <f>IFERROR(__xludf.DUMMYFUNCTION("""COMPUTED_VALUE"""),44554.2467909375)</f>
        <v>44554.24679</v>
      </c>
      <c r="D4891" s="15">
        <f>IFERROR(__xludf.DUMMYFUNCTION("""COMPUTED_VALUE"""),1.011)</f>
        <v>1.011</v>
      </c>
      <c r="E4891" s="16">
        <f>IFERROR(__xludf.DUMMYFUNCTION("""COMPUTED_VALUE"""),63.0)</f>
        <v>63</v>
      </c>
      <c r="F4891" s="19" t="str">
        <f>IFERROR(__xludf.DUMMYFUNCTION("""COMPUTED_VALUE"""),"BLUE")</f>
        <v>BLUE</v>
      </c>
      <c r="G4891" s="20" t="str">
        <f>IFERROR(__xludf.DUMMYFUNCTION("""COMPUTED_VALUE"""),"Uncle Sams Cider (11/12/2021) (Blue)")</f>
        <v>Uncle Sams Cider (11/12/2021) (Blue)</v>
      </c>
      <c r="H4891" s="19"/>
    </row>
    <row r="4892">
      <c r="A4892" s="9"/>
      <c r="B4892" s="15"/>
      <c r="C4892" s="9">
        <f>IFERROR(__xludf.DUMMYFUNCTION("""COMPUTED_VALUE"""),44554.2363707523)</f>
        <v>44554.23637</v>
      </c>
      <c r="D4892" s="15">
        <f>IFERROR(__xludf.DUMMYFUNCTION("""COMPUTED_VALUE"""),1.011)</f>
        <v>1.011</v>
      </c>
      <c r="E4892" s="16">
        <f>IFERROR(__xludf.DUMMYFUNCTION("""COMPUTED_VALUE"""),63.0)</f>
        <v>63</v>
      </c>
      <c r="F4892" s="19" t="str">
        <f>IFERROR(__xludf.DUMMYFUNCTION("""COMPUTED_VALUE"""),"BLUE")</f>
        <v>BLUE</v>
      </c>
      <c r="G4892" s="20" t="str">
        <f>IFERROR(__xludf.DUMMYFUNCTION("""COMPUTED_VALUE"""),"Uncle Sams Cider (11/12/2021) (Blue)")</f>
        <v>Uncle Sams Cider (11/12/2021) (Blue)</v>
      </c>
      <c r="H4892" s="19"/>
    </row>
    <row r="4893">
      <c r="A4893" s="9"/>
      <c r="B4893" s="15"/>
      <c r="C4893" s="9">
        <f>IFERROR(__xludf.DUMMYFUNCTION("""COMPUTED_VALUE"""),44554.2259495601)</f>
        <v>44554.22595</v>
      </c>
      <c r="D4893" s="15">
        <f>IFERROR(__xludf.DUMMYFUNCTION("""COMPUTED_VALUE"""),1.011)</f>
        <v>1.011</v>
      </c>
      <c r="E4893" s="16">
        <f>IFERROR(__xludf.DUMMYFUNCTION("""COMPUTED_VALUE"""),62.0)</f>
        <v>62</v>
      </c>
      <c r="F4893" s="19" t="str">
        <f>IFERROR(__xludf.DUMMYFUNCTION("""COMPUTED_VALUE"""),"BLUE")</f>
        <v>BLUE</v>
      </c>
      <c r="G4893" s="20" t="str">
        <f>IFERROR(__xludf.DUMMYFUNCTION("""COMPUTED_VALUE"""),"Uncle Sams Cider (11/12/2021) (Blue)")</f>
        <v>Uncle Sams Cider (11/12/2021) (Blue)</v>
      </c>
      <c r="H4893" s="19"/>
    </row>
    <row r="4894">
      <c r="A4894" s="9"/>
      <c r="B4894" s="15"/>
      <c r="C4894" s="9">
        <f>IFERROR(__xludf.DUMMYFUNCTION("""COMPUTED_VALUE"""),44554.2155265393)</f>
        <v>44554.21553</v>
      </c>
      <c r="D4894" s="15">
        <f>IFERROR(__xludf.DUMMYFUNCTION("""COMPUTED_VALUE"""),1.011)</f>
        <v>1.011</v>
      </c>
      <c r="E4894" s="16">
        <f>IFERROR(__xludf.DUMMYFUNCTION("""COMPUTED_VALUE"""),62.0)</f>
        <v>62</v>
      </c>
      <c r="F4894" s="19" t="str">
        <f>IFERROR(__xludf.DUMMYFUNCTION("""COMPUTED_VALUE"""),"BLUE")</f>
        <v>BLUE</v>
      </c>
      <c r="G4894" s="20" t="str">
        <f>IFERROR(__xludf.DUMMYFUNCTION("""COMPUTED_VALUE"""),"Uncle Sams Cider (11/12/2021) (Blue)")</f>
        <v>Uncle Sams Cider (11/12/2021) (Blue)</v>
      </c>
      <c r="H4894" s="19"/>
    </row>
    <row r="4895">
      <c r="A4895" s="9"/>
      <c r="B4895" s="15"/>
      <c r="C4895" s="9">
        <f>IFERROR(__xludf.DUMMYFUNCTION("""COMPUTED_VALUE"""),44554.2051063078)</f>
        <v>44554.20511</v>
      </c>
      <c r="D4895" s="15">
        <f>IFERROR(__xludf.DUMMYFUNCTION("""COMPUTED_VALUE"""),1.011)</f>
        <v>1.011</v>
      </c>
      <c r="E4895" s="16">
        <f>IFERROR(__xludf.DUMMYFUNCTION("""COMPUTED_VALUE"""),62.0)</f>
        <v>62</v>
      </c>
      <c r="F4895" s="19" t="str">
        <f>IFERROR(__xludf.DUMMYFUNCTION("""COMPUTED_VALUE"""),"BLUE")</f>
        <v>BLUE</v>
      </c>
      <c r="G4895" s="20" t="str">
        <f>IFERROR(__xludf.DUMMYFUNCTION("""COMPUTED_VALUE"""),"Uncle Sams Cider (11/12/2021) (Blue)")</f>
        <v>Uncle Sams Cider (11/12/2021) (Blue)</v>
      </c>
      <c r="H4895" s="19"/>
    </row>
    <row r="4896">
      <c r="A4896" s="9"/>
      <c r="B4896" s="15"/>
      <c r="C4896" s="9">
        <f>IFERROR(__xludf.DUMMYFUNCTION("""COMPUTED_VALUE"""),44554.1946848148)</f>
        <v>44554.19468</v>
      </c>
      <c r="D4896" s="15">
        <f>IFERROR(__xludf.DUMMYFUNCTION("""COMPUTED_VALUE"""),1.011)</f>
        <v>1.011</v>
      </c>
      <c r="E4896" s="16">
        <f>IFERROR(__xludf.DUMMYFUNCTION("""COMPUTED_VALUE"""),62.0)</f>
        <v>62</v>
      </c>
      <c r="F4896" s="19" t="str">
        <f>IFERROR(__xludf.DUMMYFUNCTION("""COMPUTED_VALUE"""),"BLUE")</f>
        <v>BLUE</v>
      </c>
      <c r="G4896" s="20" t="str">
        <f>IFERROR(__xludf.DUMMYFUNCTION("""COMPUTED_VALUE"""),"Uncle Sams Cider (11/12/2021) (Blue)")</f>
        <v>Uncle Sams Cider (11/12/2021) (Blue)</v>
      </c>
      <c r="H4896" s="19"/>
    </row>
    <row r="4897">
      <c r="A4897" s="9"/>
      <c r="B4897" s="15"/>
      <c r="C4897" s="9">
        <f>IFERROR(__xludf.DUMMYFUNCTION("""COMPUTED_VALUE"""),44554.1842641551)</f>
        <v>44554.18426</v>
      </c>
      <c r="D4897" s="15">
        <f>IFERROR(__xludf.DUMMYFUNCTION("""COMPUTED_VALUE"""),1.011)</f>
        <v>1.011</v>
      </c>
      <c r="E4897" s="16">
        <f>IFERROR(__xludf.DUMMYFUNCTION("""COMPUTED_VALUE"""),61.0)</f>
        <v>61</v>
      </c>
      <c r="F4897" s="19" t="str">
        <f>IFERROR(__xludf.DUMMYFUNCTION("""COMPUTED_VALUE"""),"BLUE")</f>
        <v>BLUE</v>
      </c>
      <c r="G4897" s="20" t="str">
        <f>IFERROR(__xludf.DUMMYFUNCTION("""COMPUTED_VALUE"""),"Uncle Sams Cider (11/12/2021) (Blue)")</f>
        <v>Uncle Sams Cider (11/12/2021) (Blue)</v>
      </c>
      <c r="H4897" s="19"/>
    </row>
    <row r="4898">
      <c r="A4898" s="9"/>
      <c r="B4898" s="15"/>
      <c r="C4898" s="9">
        <f>IFERROR(__xludf.DUMMYFUNCTION("""COMPUTED_VALUE"""),44554.1738425694)</f>
        <v>44554.17384</v>
      </c>
      <c r="D4898" s="15">
        <f>IFERROR(__xludf.DUMMYFUNCTION("""COMPUTED_VALUE"""),1.011)</f>
        <v>1.011</v>
      </c>
      <c r="E4898" s="16">
        <f>IFERROR(__xludf.DUMMYFUNCTION("""COMPUTED_VALUE"""),62.0)</f>
        <v>62</v>
      </c>
      <c r="F4898" s="19" t="str">
        <f>IFERROR(__xludf.DUMMYFUNCTION("""COMPUTED_VALUE"""),"BLUE")</f>
        <v>BLUE</v>
      </c>
      <c r="G4898" s="20" t="str">
        <f>IFERROR(__xludf.DUMMYFUNCTION("""COMPUTED_VALUE"""),"Uncle Sams Cider (11/12/2021) (Blue)")</f>
        <v>Uncle Sams Cider (11/12/2021) (Blue)</v>
      </c>
      <c r="H4898" s="19"/>
    </row>
    <row r="4899">
      <c r="A4899" s="9"/>
      <c r="B4899" s="15"/>
      <c r="C4899" s="9">
        <f>IFERROR(__xludf.DUMMYFUNCTION("""COMPUTED_VALUE"""),44554.1634103009)</f>
        <v>44554.16341</v>
      </c>
      <c r="D4899" s="15">
        <f>IFERROR(__xludf.DUMMYFUNCTION("""COMPUTED_VALUE"""),1.011)</f>
        <v>1.011</v>
      </c>
      <c r="E4899" s="16">
        <f>IFERROR(__xludf.DUMMYFUNCTION("""COMPUTED_VALUE"""),61.0)</f>
        <v>61</v>
      </c>
      <c r="F4899" s="19" t="str">
        <f>IFERROR(__xludf.DUMMYFUNCTION("""COMPUTED_VALUE"""),"BLUE")</f>
        <v>BLUE</v>
      </c>
      <c r="G4899" s="20" t="str">
        <f>IFERROR(__xludf.DUMMYFUNCTION("""COMPUTED_VALUE"""),"Uncle Sams Cider (11/12/2021) (Blue)")</f>
        <v>Uncle Sams Cider (11/12/2021) (Blue)</v>
      </c>
      <c r="H4899" s="19"/>
    </row>
    <row r="4900">
      <c r="A4900" s="9"/>
      <c r="B4900" s="15"/>
      <c r="C4900" s="9">
        <f>IFERROR(__xludf.DUMMYFUNCTION("""COMPUTED_VALUE"""),44554.152989375)</f>
        <v>44554.15299</v>
      </c>
      <c r="D4900" s="15">
        <f>IFERROR(__xludf.DUMMYFUNCTION("""COMPUTED_VALUE"""),1.011)</f>
        <v>1.011</v>
      </c>
      <c r="E4900" s="16">
        <f>IFERROR(__xludf.DUMMYFUNCTION("""COMPUTED_VALUE"""),62.0)</f>
        <v>62</v>
      </c>
      <c r="F4900" s="19" t="str">
        <f>IFERROR(__xludf.DUMMYFUNCTION("""COMPUTED_VALUE"""),"BLUE")</f>
        <v>BLUE</v>
      </c>
      <c r="G4900" s="20" t="str">
        <f>IFERROR(__xludf.DUMMYFUNCTION("""COMPUTED_VALUE"""),"Uncle Sams Cider (11/12/2021) (Blue)")</f>
        <v>Uncle Sams Cider (11/12/2021) (Blue)</v>
      </c>
      <c r="H4900" s="19"/>
    </row>
    <row r="4901">
      <c r="A4901" s="9"/>
      <c r="B4901" s="15"/>
      <c r="C4901" s="9">
        <f>IFERROR(__xludf.DUMMYFUNCTION("""COMPUTED_VALUE"""),44554.1425692824)</f>
        <v>44554.14257</v>
      </c>
      <c r="D4901" s="15">
        <f>IFERROR(__xludf.DUMMYFUNCTION("""COMPUTED_VALUE"""),1.011)</f>
        <v>1.011</v>
      </c>
      <c r="E4901" s="16">
        <f>IFERROR(__xludf.DUMMYFUNCTION("""COMPUTED_VALUE"""),61.0)</f>
        <v>61</v>
      </c>
      <c r="F4901" s="19" t="str">
        <f>IFERROR(__xludf.DUMMYFUNCTION("""COMPUTED_VALUE"""),"BLUE")</f>
        <v>BLUE</v>
      </c>
      <c r="G4901" s="20" t="str">
        <f>IFERROR(__xludf.DUMMYFUNCTION("""COMPUTED_VALUE"""),"Uncle Sams Cider (11/12/2021) (Blue)")</f>
        <v>Uncle Sams Cider (11/12/2021) (Blue)</v>
      </c>
      <c r="H4901" s="19"/>
    </row>
    <row r="4902">
      <c r="A4902" s="9"/>
      <c r="B4902" s="15"/>
      <c r="C4902" s="9">
        <f>IFERROR(__xludf.DUMMYFUNCTION("""COMPUTED_VALUE"""),44554.1321484259)</f>
        <v>44554.13215</v>
      </c>
      <c r="D4902" s="15">
        <f>IFERROR(__xludf.DUMMYFUNCTION("""COMPUTED_VALUE"""),1.011)</f>
        <v>1.011</v>
      </c>
      <c r="E4902" s="16">
        <f>IFERROR(__xludf.DUMMYFUNCTION("""COMPUTED_VALUE"""),62.0)</f>
        <v>62</v>
      </c>
      <c r="F4902" s="19" t="str">
        <f>IFERROR(__xludf.DUMMYFUNCTION("""COMPUTED_VALUE"""),"BLUE")</f>
        <v>BLUE</v>
      </c>
      <c r="G4902" s="20" t="str">
        <f>IFERROR(__xludf.DUMMYFUNCTION("""COMPUTED_VALUE"""),"Uncle Sams Cider (11/12/2021) (Blue)")</f>
        <v>Uncle Sams Cider (11/12/2021) (Blue)</v>
      </c>
      <c r="H4902" s="19"/>
    </row>
    <row r="4903">
      <c r="A4903" s="9"/>
      <c r="B4903" s="15"/>
      <c r="C4903" s="9">
        <f>IFERROR(__xludf.DUMMYFUNCTION("""COMPUTED_VALUE"""),44554.1217267824)</f>
        <v>44554.12173</v>
      </c>
      <c r="D4903" s="15">
        <f>IFERROR(__xludf.DUMMYFUNCTION("""COMPUTED_VALUE"""),1.011)</f>
        <v>1.011</v>
      </c>
      <c r="E4903" s="16">
        <f>IFERROR(__xludf.DUMMYFUNCTION("""COMPUTED_VALUE"""),62.0)</f>
        <v>62</v>
      </c>
      <c r="F4903" s="19" t="str">
        <f>IFERROR(__xludf.DUMMYFUNCTION("""COMPUTED_VALUE"""),"BLUE")</f>
        <v>BLUE</v>
      </c>
      <c r="G4903" s="20" t="str">
        <f>IFERROR(__xludf.DUMMYFUNCTION("""COMPUTED_VALUE"""),"Uncle Sams Cider (11/12/2021) (Blue)")</f>
        <v>Uncle Sams Cider (11/12/2021) (Blue)</v>
      </c>
      <c r="H4903" s="19"/>
    </row>
    <row r="4904">
      <c r="A4904" s="9"/>
      <c r="B4904" s="15"/>
      <c r="C4904" s="9">
        <f>IFERROR(__xludf.DUMMYFUNCTION("""COMPUTED_VALUE"""),44554.111306331)</f>
        <v>44554.11131</v>
      </c>
      <c r="D4904" s="15">
        <f>IFERROR(__xludf.DUMMYFUNCTION("""COMPUTED_VALUE"""),1.011)</f>
        <v>1.011</v>
      </c>
      <c r="E4904" s="16">
        <f>IFERROR(__xludf.DUMMYFUNCTION("""COMPUTED_VALUE"""),62.0)</f>
        <v>62</v>
      </c>
      <c r="F4904" s="19" t="str">
        <f>IFERROR(__xludf.DUMMYFUNCTION("""COMPUTED_VALUE"""),"BLUE")</f>
        <v>BLUE</v>
      </c>
      <c r="G4904" s="20" t="str">
        <f>IFERROR(__xludf.DUMMYFUNCTION("""COMPUTED_VALUE"""),"Uncle Sams Cider (11/12/2021) (Blue)")</f>
        <v>Uncle Sams Cider (11/12/2021) (Blue)</v>
      </c>
      <c r="H4904" s="19"/>
    </row>
    <row r="4905">
      <c r="A4905" s="9"/>
      <c r="B4905" s="15"/>
      <c r="C4905" s="9">
        <f>IFERROR(__xludf.DUMMYFUNCTION("""COMPUTED_VALUE"""),44554.1008742129)</f>
        <v>44554.10087</v>
      </c>
      <c r="D4905" s="15">
        <f>IFERROR(__xludf.DUMMYFUNCTION("""COMPUTED_VALUE"""),1.011)</f>
        <v>1.011</v>
      </c>
      <c r="E4905" s="16">
        <f>IFERROR(__xludf.DUMMYFUNCTION("""COMPUTED_VALUE"""),62.0)</f>
        <v>62</v>
      </c>
      <c r="F4905" s="19" t="str">
        <f>IFERROR(__xludf.DUMMYFUNCTION("""COMPUTED_VALUE"""),"BLUE")</f>
        <v>BLUE</v>
      </c>
      <c r="G4905" s="20" t="str">
        <f>IFERROR(__xludf.DUMMYFUNCTION("""COMPUTED_VALUE"""),"Uncle Sams Cider (11/12/2021) (Blue)")</f>
        <v>Uncle Sams Cider (11/12/2021) (Blue)</v>
      </c>
      <c r="H4905" s="19"/>
    </row>
    <row r="4906">
      <c r="A4906" s="9"/>
      <c r="B4906" s="15"/>
      <c r="C4906" s="9">
        <f>IFERROR(__xludf.DUMMYFUNCTION("""COMPUTED_VALUE"""),44554.0904427083)</f>
        <v>44554.09044</v>
      </c>
      <c r="D4906" s="15">
        <f>IFERROR(__xludf.DUMMYFUNCTION("""COMPUTED_VALUE"""),1.011)</f>
        <v>1.011</v>
      </c>
      <c r="E4906" s="16">
        <f>IFERROR(__xludf.DUMMYFUNCTION("""COMPUTED_VALUE"""),61.0)</f>
        <v>61</v>
      </c>
      <c r="F4906" s="19" t="str">
        <f>IFERROR(__xludf.DUMMYFUNCTION("""COMPUTED_VALUE"""),"BLUE")</f>
        <v>BLUE</v>
      </c>
      <c r="G4906" s="20" t="str">
        <f>IFERROR(__xludf.DUMMYFUNCTION("""COMPUTED_VALUE"""),"Uncle Sams Cider (11/12/2021) (Blue)")</f>
        <v>Uncle Sams Cider (11/12/2021) (Blue)</v>
      </c>
      <c r="H4906" s="19"/>
    </row>
    <row r="4907">
      <c r="A4907" s="9"/>
      <c r="B4907" s="15"/>
      <c r="C4907" s="9">
        <f>IFERROR(__xludf.DUMMYFUNCTION("""COMPUTED_VALUE"""),44554.0800088657)</f>
        <v>44554.08001</v>
      </c>
      <c r="D4907" s="15">
        <f>IFERROR(__xludf.DUMMYFUNCTION("""COMPUTED_VALUE"""),1.011)</f>
        <v>1.011</v>
      </c>
      <c r="E4907" s="16">
        <f>IFERROR(__xludf.DUMMYFUNCTION("""COMPUTED_VALUE"""),62.0)</f>
        <v>62</v>
      </c>
      <c r="F4907" s="19" t="str">
        <f>IFERROR(__xludf.DUMMYFUNCTION("""COMPUTED_VALUE"""),"BLUE")</f>
        <v>BLUE</v>
      </c>
      <c r="G4907" s="20" t="str">
        <f>IFERROR(__xludf.DUMMYFUNCTION("""COMPUTED_VALUE"""),"Uncle Sams Cider (11/12/2021) (Blue)")</f>
        <v>Uncle Sams Cider (11/12/2021) (Blue)</v>
      </c>
      <c r="H4907" s="19"/>
    </row>
    <row r="4908">
      <c r="A4908" s="9"/>
      <c r="B4908" s="15"/>
      <c r="C4908" s="9">
        <f>IFERROR(__xludf.DUMMYFUNCTION("""COMPUTED_VALUE"""),44554.0695874999)</f>
        <v>44554.06959</v>
      </c>
      <c r="D4908" s="15">
        <f>IFERROR(__xludf.DUMMYFUNCTION("""COMPUTED_VALUE"""),1.011)</f>
        <v>1.011</v>
      </c>
      <c r="E4908" s="16">
        <f>IFERROR(__xludf.DUMMYFUNCTION("""COMPUTED_VALUE"""),62.0)</f>
        <v>62</v>
      </c>
      <c r="F4908" s="19" t="str">
        <f>IFERROR(__xludf.DUMMYFUNCTION("""COMPUTED_VALUE"""),"BLUE")</f>
        <v>BLUE</v>
      </c>
      <c r="G4908" s="20" t="str">
        <f>IFERROR(__xludf.DUMMYFUNCTION("""COMPUTED_VALUE"""),"Uncle Sams Cider (11/12/2021) (Blue)")</f>
        <v>Uncle Sams Cider (11/12/2021) (Blue)</v>
      </c>
      <c r="H4908" s="19"/>
    </row>
    <row r="4909">
      <c r="A4909" s="9"/>
      <c r="B4909" s="15"/>
      <c r="C4909" s="9">
        <f>IFERROR(__xludf.DUMMYFUNCTION("""COMPUTED_VALUE"""),44554.0591668287)</f>
        <v>44554.05917</v>
      </c>
      <c r="D4909" s="15">
        <f>IFERROR(__xludf.DUMMYFUNCTION("""COMPUTED_VALUE"""),1.011)</f>
        <v>1.011</v>
      </c>
      <c r="E4909" s="16">
        <f>IFERROR(__xludf.DUMMYFUNCTION("""COMPUTED_VALUE"""),62.0)</f>
        <v>62</v>
      </c>
      <c r="F4909" s="19" t="str">
        <f>IFERROR(__xludf.DUMMYFUNCTION("""COMPUTED_VALUE"""),"BLUE")</f>
        <v>BLUE</v>
      </c>
      <c r="G4909" s="20" t="str">
        <f>IFERROR(__xludf.DUMMYFUNCTION("""COMPUTED_VALUE"""),"Uncle Sams Cider (11/12/2021) (Blue)")</f>
        <v>Uncle Sams Cider (11/12/2021) (Blue)</v>
      </c>
      <c r="H4909" s="19"/>
    </row>
    <row r="4910">
      <c r="A4910" s="9"/>
      <c r="B4910" s="15"/>
      <c r="C4910" s="9">
        <f>IFERROR(__xludf.DUMMYFUNCTION("""COMPUTED_VALUE"""),44554.0487459722)</f>
        <v>44554.04875</v>
      </c>
      <c r="D4910" s="15">
        <f>IFERROR(__xludf.DUMMYFUNCTION("""COMPUTED_VALUE"""),1.011)</f>
        <v>1.011</v>
      </c>
      <c r="E4910" s="16">
        <f>IFERROR(__xludf.DUMMYFUNCTION("""COMPUTED_VALUE"""),62.0)</f>
        <v>62</v>
      </c>
      <c r="F4910" s="19" t="str">
        <f>IFERROR(__xludf.DUMMYFUNCTION("""COMPUTED_VALUE"""),"BLUE")</f>
        <v>BLUE</v>
      </c>
      <c r="G4910" s="20" t="str">
        <f>IFERROR(__xludf.DUMMYFUNCTION("""COMPUTED_VALUE"""),"Uncle Sams Cider (11/12/2021) (Blue)")</f>
        <v>Uncle Sams Cider (11/12/2021) (Blue)</v>
      </c>
      <c r="H4910" s="19"/>
    </row>
    <row r="4911">
      <c r="A4911" s="9"/>
      <c r="B4911" s="15"/>
      <c r="C4911" s="9">
        <f>IFERROR(__xludf.DUMMYFUNCTION("""COMPUTED_VALUE"""),44554.0383241435)</f>
        <v>44554.03832</v>
      </c>
      <c r="D4911" s="15">
        <f>IFERROR(__xludf.DUMMYFUNCTION("""COMPUTED_VALUE"""),1.011)</f>
        <v>1.011</v>
      </c>
      <c r="E4911" s="16">
        <f>IFERROR(__xludf.DUMMYFUNCTION("""COMPUTED_VALUE"""),62.0)</f>
        <v>62</v>
      </c>
      <c r="F4911" s="19" t="str">
        <f>IFERROR(__xludf.DUMMYFUNCTION("""COMPUTED_VALUE"""),"BLUE")</f>
        <v>BLUE</v>
      </c>
      <c r="G4911" s="20" t="str">
        <f>IFERROR(__xludf.DUMMYFUNCTION("""COMPUTED_VALUE"""),"Uncle Sams Cider (11/12/2021) (Blue)")</f>
        <v>Uncle Sams Cider (11/12/2021) (Blue)</v>
      </c>
      <c r="H4911" s="19"/>
    </row>
    <row r="4912">
      <c r="A4912" s="9"/>
      <c r="B4912" s="15"/>
      <c r="C4912" s="9">
        <f>IFERROR(__xludf.DUMMYFUNCTION("""COMPUTED_VALUE"""),44554.0278916666)</f>
        <v>44554.02789</v>
      </c>
      <c r="D4912" s="15">
        <f>IFERROR(__xludf.DUMMYFUNCTION("""COMPUTED_VALUE"""),1.011)</f>
        <v>1.011</v>
      </c>
      <c r="E4912" s="16">
        <f>IFERROR(__xludf.DUMMYFUNCTION("""COMPUTED_VALUE"""),62.0)</f>
        <v>62</v>
      </c>
      <c r="F4912" s="19" t="str">
        <f>IFERROR(__xludf.DUMMYFUNCTION("""COMPUTED_VALUE"""),"BLUE")</f>
        <v>BLUE</v>
      </c>
      <c r="G4912" s="20" t="str">
        <f>IFERROR(__xludf.DUMMYFUNCTION("""COMPUTED_VALUE"""),"Uncle Sams Cider (11/12/2021) (Blue)")</f>
        <v>Uncle Sams Cider (11/12/2021) (Blue)</v>
      </c>
      <c r="H4912" s="19"/>
    </row>
    <row r="4913">
      <c r="A4913" s="9"/>
      <c r="B4913" s="15"/>
      <c r="C4913" s="9">
        <f>IFERROR(__xludf.DUMMYFUNCTION("""COMPUTED_VALUE"""),44554.0174462499)</f>
        <v>44554.01745</v>
      </c>
      <c r="D4913" s="15">
        <f>IFERROR(__xludf.DUMMYFUNCTION("""COMPUTED_VALUE"""),1.011)</f>
        <v>1.011</v>
      </c>
      <c r="E4913" s="16">
        <f>IFERROR(__xludf.DUMMYFUNCTION("""COMPUTED_VALUE"""),62.0)</f>
        <v>62</v>
      </c>
      <c r="F4913" s="19" t="str">
        <f>IFERROR(__xludf.DUMMYFUNCTION("""COMPUTED_VALUE"""),"BLUE")</f>
        <v>BLUE</v>
      </c>
      <c r="G4913" s="20" t="str">
        <f>IFERROR(__xludf.DUMMYFUNCTION("""COMPUTED_VALUE"""),"Uncle Sams Cider (11/12/2021) (Blue)")</f>
        <v>Uncle Sams Cider (11/12/2021) (Blue)</v>
      </c>
      <c r="H4913" s="19"/>
    </row>
    <row r="4914">
      <c r="A4914" s="9"/>
      <c r="B4914" s="15"/>
      <c r="C4914" s="9">
        <f>IFERROR(__xludf.DUMMYFUNCTION("""COMPUTED_VALUE"""),44554.0070258101)</f>
        <v>44554.00703</v>
      </c>
      <c r="D4914" s="15">
        <f>IFERROR(__xludf.DUMMYFUNCTION("""COMPUTED_VALUE"""),1.011)</f>
        <v>1.011</v>
      </c>
      <c r="E4914" s="16">
        <f>IFERROR(__xludf.DUMMYFUNCTION("""COMPUTED_VALUE"""),62.0)</f>
        <v>62</v>
      </c>
      <c r="F4914" s="19" t="str">
        <f>IFERROR(__xludf.DUMMYFUNCTION("""COMPUTED_VALUE"""),"BLUE")</f>
        <v>BLUE</v>
      </c>
      <c r="G4914" s="20" t="str">
        <f>IFERROR(__xludf.DUMMYFUNCTION("""COMPUTED_VALUE"""),"Uncle Sams Cider (11/12/2021) (Blue)")</f>
        <v>Uncle Sams Cider (11/12/2021) (Blue)</v>
      </c>
      <c r="H4914" s="19"/>
    </row>
    <row r="4915">
      <c r="A4915" s="9"/>
      <c r="B4915" s="15"/>
      <c r="C4915" s="9">
        <f>IFERROR(__xludf.DUMMYFUNCTION("""COMPUTED_VALUE"""),44553.9966055324)</f>
        <v>44553.99661</v>
      </c>
      <c r="D4915" s="15">
        <f>IFERROR(__xludf.DUMMYFUNCTION("""COMPUTED_VALUE"""),1.011)</f>
        <v>1.011</v>
      </c>
      <c r="E4915" s="16">
        <f>IFERROR(__xludf.DUMMYFUNCTION("""COMPUTED_VALUE"""),62.0)</f>
        <v>62</v>
      </c>
      <c r="F4915" s="19" t="str">
        <f>IFERROR(__xludf.DUMMYFUNCTION("""COMPUTED_VALUE"""),"BLUE")</f>
        <v>BLUE</v>
      </c>
      <c r="G4915" s="20" t="str">
        <f>IFERROR(__xludf.DUMMYFUNCTION("""COMPUTED_VALUE"""),"Uncle Sams Cider (11/12/2021) (Blue)")</f>
        <v>Uncle Sams Cider (11/12/2021) (Blue)</v>
      </c>
      <c r="H4915" s="19"/>
    </row>
    <row r="4916">
      <c r="A4916" s="9"/>
      <c r="B4916" s="15"/>
      <c r="C4916" s="9">
        <f>IFERROR(__xludf.DUMMYFUNCTION("""COMPUTED_VALUE"""),44553.9861828588)</f>
        <v>44553.98618</v>
      </c>
      <c r="D4916" s="15">
        <f>IFERROR(__xludf.DUMMYFUNCTION("""COMPUTED_VALUE"""),1.011)</f>
        <v>1.011</v>
      </c>
      <c r="E4916" s="16">
        <f>IFERROR(__xludf.DUMMYFUNCTION("""COMPUTED_VALUE"""),62.0)</f>
        <v>62</v>
      </c>
      <c r="F4916" s="19" t="str">
        <f>IFERROR(__xludf.DUMMYFUNCTION("""COMPUTED_VALUE"""),"BLUE")</f>
        <v>BLUE</v>
      </c>
      <c r="G4916" s="20" t="str">
        <f>IFERROR(__xludf.DUMMYFUNCTION("""COMPUTED_VALUE"""),"Uncle Sams Cider (11/12/2021) (Blue)")</f>
        <v>Uncle Sams Cider (11/12/2021) (Blue)</v>
      </c>
      <c r="H4916" s="19"/>
    </row>
    <row r="4917">
      <c r="A4917" s="9"/>
      <c r="B4917" s="15"/>
      <c r="C4917" s="9">
        <f>IFERROR(__xludf.DUMMYFUNCTION("""COMPUTED_VALUE"""),44553.9757627662)</f>
        <v>44553.97576</v>
      </c>
      <c r="D4917" s="15">
        <f>IFERROR(__xludf.DUMMYFUNCTION("""COMPUTED_VALUE"""),1.011)</f>
        <v>1.011</v>
      </c>
      <c r="E4917" s="16">
        <f>IFERROR(__xludf.DUMMYFUNCTION("""COMPUTED_VALUE"""),62.0)</f>
        <v>62</v>
      </c>
      <c r="F4917" s="19" t="str">
        <f>IFERROR(__xludf.DUMMYFUNCTION("""COMPUTED_VALUE"""),"BLUE")</f>
        <v>BLUE</v>
      </c>
      <c r="G4917" s="20" t="str">
        <f>IFERROR(__xludf.DUMMYFUNCTION("""COMPUTED_VALUE"""),"Uncle Sams Cider (11/12/2021) (Blue)")</f>
        <v>Uncle Sams Cider (11/12/2021) (Blue)</v>
      </c>
      <c r="H4917" s="19"/>
    </row>
    <row r="4918">
      <c r="A4918" s="9"/>
      <c r="B4918" s="15"/>
      <c r="C4918" s="9">
        <f>IFERROR(__xludf.DUMMYFUNCTION("""COMPUTED_VALUE"""),44553.9653408449)</f>
        <v>44553.96534</v>
      </c>
      <c r="D4918" s="15">
        <f>IFERROR(__xludf.DUMMYFUNCTION("""COMPUTED_VALUE"""),1.011)</f>
        <v>1.011</v>
      </c>
      <c r="E4918" s="16">
        <f>IFERROR(__xludf.DUMMYFUNCTION("""COMPUTED_VALUE"""),62.0)</f>
        <v>62</v>
      </c>
      <c r="F4918" s="19" t="str">
        <f>IFERROR(__xludf.DUMMYFUNCTION("""COMPUTED_VALUE"""),"BLUE")</f>
        <v>BLUE</v>
      </c>
      <c r="G4918" s="20" t="str">
        <f>IFERROR(__xludf.DUMMYFUNCTION("""COMPUTED_VALUE"""),"Uncle Sams Cider (11/12/2021) (Blue)")</f>
        <v>Uncle Sams Cider (11/12/2021) (Blue)</v>
      </c>
      <c r="H4918" s="19"/>
    </row>
    <row r="4919">
      <c r="A4919" s="9"/>
      <c r="B4919" s="15"/>
      <c r="C4919" s="9">
        <f>IFERROR(__xludf.DUMMYFUNCTION("""COMPUTED_VALUE"""),44553.9548952893)</f>
        <v>44553.9549</v>
      </c>
      <c r="D4919" s="15">
        <f>IFERROR(__xludf.DUMMYFUNCTION("""COMPUTED_VALUE"""),1.011)</f>
        <v>1.011</v>
      </c>
      <c r="E4919" s="16">
        <f>IFERROR(__xludf.DUMMYFUNCTION("""COMPUTED_VALUE"""),62.0)</f>
        <v>62</v>
      </c>
      <c r="F4919" s="19" t="str">
        <f>IFERROR(__xludf.DUMMYFUNCTION("""COMPUTED_VALUE"""),"BLUE")</f>
        <v>BLUE</v>
      </c>
      <c r="G4919" s="20" t="str">
        <f>IFERROR(__xludf.DUMMYFUNCTION("""COMPUTED_VALUE"""),"Uncle Sams Cider (11/12/2021) (Blue)")</f>
        <v>Uncle Sams Cider (11/12/2021) (Blue)</v>
      </c>
      <c r="H4919" s="19"/>
    </row>
    <row r="4920">
      <c r="A4920" s="9"/>
      <c r="B4920" s="15"/>
      <c r="C4920" s="9">
        <f>IFERROR(__xludf.DUMMYFUNCTION("""COMPUTED_VALUE"""),44553.9444747569)</f>
        <v>44553.94447</v>
      </c>
      <c r="D4920" s="15">
        <f>IFERROR(__xludf.DUMMYFUNCTION("""COMPUTED_VALUE"""),1.011)</f>
        <v>1.011</v>
      </c>
      <c r="E4920" s="16">
        <f>IFERROR(__xludf.DUMMYFUNCTION("""COMPUTED_VALUE"""),62.0)</f>
        <v>62</v>
      </c>
      <c r="F4920" s="19" t="str">
        <f>IFERROR(__xludf.DUMMYFUNCTION("""COMPUTED_VALUE"""),"BLUE")</f>
        <v>BLUE</v>
      </c>
      <c r="G4920" s="20" t="str">
        <f>IFERROR(__xludf.DUMMYFUNCTION("""COMPUTED_VALUE"""),"Uncle Sams Cider (11/12/2021) (Blue)")</f>
        <v>Uncle Sams Cider (11/12/2021) (Blue)</v>
      </c>
      <c r="H4920" s="19"/>
    </row>
    <row r="4921">
      <c r="A4921" s="9"/>
      <c r="B4921" s="15"/>
      <c r="C4921" s="9">
        <f>IFERROR(__xludf.DUMMYFUNCTION("""COMPUTED_VALUE"""),44553.9340536342)</f>
        <v>44553.93405</v>
      </c>
      <c r="D4921" s="15">
        <f>IFERROR(__xludf.DUMMYFUNCTION("""COMPUTED_VALUE"""),1.011)</f>
        <v>1.011</v>
      </c>
      <c r="E4921" s="16">
        <f>IFERROR(__xludf.DUMMYFUNCTION("""COMPUTED_VALUE"""),62.0)</f>
        <v>62</v>
      </c>
      <c r="F4921" s="19" t="str">
        <f>IFERROR(__xludf.DUMMYFUNCTION("""COMPUTED_VALUE"""),"BLUE")</f>
        <v>BLUE</v>
      </c>
      <c r="G4921" s="20" t="str">
        <f>IFERROR(__xludf.DUMMYFUNCTION("""COMPUTED_VALUE"""),"Uncle Sams Cider (11/12/2021) (Blue)")</f>
        <v>Uncle Sams Cider (11/12/2021) (Blue)</v>
      </c>
      <c r="H4921" s="19"/>
    </row>
    <row r="4922">
      <c r="A4922" s="9"/>
      <c r="B4922" s="15"/>
      <c r="C4922" s="9">
        <f>IFERROR(__xludf.DUMMYFUNCTION("""COMPUTED_VALUE"""),44553.9236341435)</f>
        <v>44553.92363</v>
      </c>
      <c r="D4922" s="15">
        <f>IFERROR(__xludf.DUMMYFUNCTION("""COMPUTED_VALUE"""),1.011)</f>
        <v>1.011</v>
      </c>
      <c r="E4922" s="16">
        <f>IFERROR(__xludf.DUMMYFUNCTION("""COMPUTED_VALUE"""),62.0)</f>
        <v>62</v>
      </c>
      <c r="F4922" s="19" t="str">
        <f>IFERROR(__xludf.DUMMYFUNCTION("""COMPUTED_VALUE"""),"BLUE")</f>
        <v>BLUE</v>
      </c>
      <c r="G4922" s="20" t="str">
        <f>IFERROR(__xludf.DUMMYFUNCTION("""COMPUTED_VALUE"""),"Uncle Sams Cider (11/12/2021) (Blue)")</f>
        <v>Uncle Sams Cider (11/12/2021) (Blue)</v>
      </c>
      <c r="H4922" s="19"/>
    </row>
    <row r="4923">
      <c r="A4923" s="9"/>
      <c r="B4923" s="15"/>
      <c r="C4923" s="9">
        <f>IFERROR(__xludf.DUMMYFUNCTION("""COMPUTED_VALUE"""),44553.9132001273)</f>
        <v>44553.9132</v>
      </c>
      <c r="D4923" s="15">
        <f>IFERROR(__xludf.DUMMYFUNCTION("""COMPUTED_VALUE"""),1.011)</f>
        <v>1.011</v>
      </c>
      <c r="E4923" s="16">
        <f>IFERROR(__xludf.DUMMYFUNCTION("""COMPUTED_VALUE"""),62.0)</f>
        <v>62</v>
      </c>
      <c r="F4923" s="19" t="str">
        <f>IFERROR(__xludf.DUMMYFUNCTION("""COMPUTED_VALUE"""),"BLUE")</f>
        <v>BLUE</v>
      </c>
      <c r="G4923" s="20" t="str">
        <f>IFERROR(__xludf.DUMMYFUNCTION("""COMPUTED_VALUE"""),"Uncle Sams Cider (11/12/2021) (Blue)")</f>
        <v>Uncle Sams Cider (11/12/2021) (Blue)</v>
      </c>
      <c r="H4923" s="19"/>
    </row>
    <row r="4924">
      <c r="A4924" s="9"/>
      <c r="B4924" s="15"/>
      <c r="C4924" s="9">
        <f>IFERROR(__xludf.DUMMYFUNCTION("""COMPUTED_VALUE"""),44553.9027780208)</f>
        <v>44553.90278</v>
      </c>
      <c r="D4924" s="15">
        <f>IFERROR(__xludf.DUMMYFUNCTION("""COMPUTED_VALUE"""),1.011)</f>
        <v>1.011</v>
      </c>
      <c r="E4924" s="16">
        <f>IFERROR(__xludf.DUMMYFUNCTION("""COMPUTED_VALUE"""),62.0)</f>
        <v>62</v>
      </c>
      <c r="F4924" s="19" t="str">
        <f>IFERROR(__xludf.DUMMYFUNCTION("""COMPUTED_VALUE"""),"BLUE")</f>
        <v>BLUE</v>
      </c>
      <c r="G4924" s="20" t="str">
        <f>IFERROR(__xludf.DUMMYFUNCTION("""COMPUTED_VALUE"""),"Uncle Sams Cider (11/12/2021) (Blue)")</f>
        <v>Uncle Sams Cider (11/12/2021) (Blue)</v>
      </c>
      <c r="H4924" s="19"/>
    </row>
    <row r="4925">
      <c r="A4925" s="9"/>
      <c r="B4925" s="15"/>
      <c r="C4925" s="9">
        <f>IFERROR(__xludf.DUMMYFUNCTION("""COMPUTED_VALUE"""),44553.892345162)</f>
        <v>44553.89235</v>
      </c>
      <c r="D4925" s="15">
        <f>IFERROR(__xludf.DUMMYFUNCTION("""COMPUTED_VALUE"""),1.011)</f>
        <v>1.011</v>
      </c>
      <c r="E4925" s="16">
        <f>IFERROR(__xludf.DUMMYFUNCTION("""COMPUTED_VALUE"""),62.0)</f>
        <v>62</v>
      </c>
      <c r="F4925" s="19" t="str">
        <f>IFERROR(__xludf.DUMMYFUNCTION("""COMPUTED_VALUE"""),"BLUE")</f>
        <v>BLUE</v>
      </c>
      <c r="G4925" s="20" t="str">
        <f>IFERROR(__xludf.DUMMYFUNCTION("""COMPUTED_VALUE"""),"Uncle Sams Cider (11/12/2021) (Blue)")</f>
        <v>Uncle Sams Cider (11/12/2021) (Blue)</v>
      </c>
      <c r="H4925" s="19"/>
    </row>
    <row r="4926">
      <c r="A4926" s="9"/>
      <c r="B4926" s="15"/>
      <c r="C4926" s="9">
        <f>IFERROR(__xludf.DUMMYFUNCTION("""COMPUTED_VALUE"""),44553.8819017939)</f>
        <v>44553.8819</v>
      </c>
      <c r="D4926" s="15">
        <f>IFERROR(__xludf.DUMMYFUNCTION("""COMPUTED_VALUE"""),1.011)</f>
        <v>1.011</v>
      </c>
      <c r="E4926" s="16">
        <f>IFERROR(__xludf.DUMMYFUNCTION("""COMPUTED_VALUE"""),62.0)</f>
        <v>62</v>
      </c>
      <c r="F4926" s="19" t="str">
        <f>IFERROR(__xludf.DUMMYFUNCTION("""COMPUTED_VALUE"""),"BLUE")</f>
        <v>BLUE</v>
      </c>
      <c r="G4926" s="20" t="str">
        <f>IFERROR(__xludf.DUMMYFUNCTION("""COMPUTED_VALUE"""),"Uncle Sams Cider (11/12/2021) (Blue)")</f>
        <v>Uncle Sams Cider (11/12/2021) (Blue)</v>
      </c>
      <c r="H4926" s="19"/>
    </row>
    <row r="4927">
      <c r="A4927" s="9"/>
      <c r="B4927" s="15"/>
      <c r="C4927" s="9">
        <f>IFERROR(__xludf.DUMMYFUNCTION("""COMPUTED_VALUE"""),44553.8714819328)</f>
        <v>44553.87148</v>
      </c>
      <c r="D4927" s="15">
        <f>IFERROR(__xludf.DUMMYFUNCTION("""COMPUTED_VALUE"""),1.011)</f>
        <v>1.011</v>
      </c>
      <c r="E4927" s="16">
        <f>IFERROR(__xludf.DUMMYFUNCTION("""COMPUTED_VALUE"""),62.0)</f>
        <v>62</v>
      </c>
      <c r="F4927" s="19" t="str">
        <f>IFERROR(__xludf.DUMMYFUNCTION("""COMPUTED_VALUE"""),"BLUE")</f>
        <v>BLUE</v>
      </c>
      <c r="G4927" s="20" t="str">
        <f>IFERROR(__xludf.DUMMYFUNCTION("""COMPUTED_VALUE"""),"Uncle Sams Cider (11/12/2021) (Blue)")</f>
        <v>Uncle Sams Cider (11/12/2021) (Blue)</v>
      </c>
      <c r="H4927" s="19"/>
    </row>
    <row r="4928">
      <c r="A4928" s="9"/>
      <c r="B4928" s="15"/>
      <c r="C4928" s="9">
        <f>IFERROR(__xludf.DUMMYFUNCTION("""COMPUTED_VALUE"""),44553.8610599537)</f>
        <v>44553.86106</v>
      </c>
      <c r="D4928" s="15">
        <f>IFERROR(__xludf.DUMMYFUNCTION("""COMPUTED_VALUE"""),1.011)</f>
        <v>1.011</v>
      </c>
      <c r="E4928" s="16">
        <f>IFERROR(__xludf.DUMMYFUNCTION("""COMPUTED_VALUE"""),62.0)</f>
        <v>62</v>
      </c>
      <c r="F4928" s="19" t="str">
        <f>IFERROR(__xludf.DUMMYFUNCTION("""COMPUTED_VALUE"""),"BLUE")</f>
        <v>BLUE</v>
      </c>
      <c r="G4928" s="20" t="str">
        <f>IFERROR(__xludf.DUMMYFUNCTION("""COMPUTED_VALUE"""),"Uncle Sams Cider (11/12/2021) (Blue)")</f>
        <v>Uncle Sams Cider (11/12/2021) (Blue)</v>
      </c>
      <c r="H4928" s="19"/>
    </row>
    <row r="4929">
      <c r="A4929" s="9"/>
      <c r="B4929" s="15"/>
      <c r="C4929" s="9">
        <f>IFERROR(__xludf.DUMMYFUNCTION("""COMPUTED_VALUE"""),44553.8506388425)</f>
        <v>44553.85064</v>
      </c>
      <c r="D4929" s="15">
        <f>IFERROR(__xludf.DUMMYFUNCTION("""COMPUTED_VALUE"""),1.011)</f>
        <v>1.011</v>
      </c>
      <c r="E4929" s="16">
        <f>IFERROR(__xludf.DUMMYFUNCTION("""COMPUTED_VALUE"""),62.0)</f>
        <v>62</v>
      </c>
      <c r="F4929" s="19" t="str">
        <f>IFERROR(__xludf.DUMMYFUNCTION("""COMPUTED_VALUE"""),"BLUE")</f>
        <v>BLUE</v>
      </c>
      <c r="G4929" s="20" t="str">
        <f>IFERROR(__xludf.DUMMYFUNCTION("""COMPUTED_VALUE"""),"Uncle Sams Cider (11/12/2021) (Blue)")</f>
        <v>Uncle Sams Cider (11/12/2021) (Blue)</v>
      </c>
      <c r="H4929" s="19"/>
    </row>
    <row r="4930">
      <c r="A4930" s="9"/>
      <c r="B4930" s="15"/>
      <c r="C4930" s="9">
        <f>IFERROR(__xludf.DUMMYFUNCTION("""COMPUTED_VALUE"""),44553.8402156481)</f>
        <v>44553.84022</v>
      </c>
      <c r="D4930" s="15">
        <f>IFERROR(__xludf.DUMMYFUNCTION("""COMPUTED_VALUE"""),1.011)</f>
        <v>1.011</v>
      </c>
      <c r="E4930" s="16">
        <f>IFERROR(__xludf.DUMMYFUNCTION("""COMPUTED_VALUE"""),62.0)</f>
        <v>62</v>
      </c>
      <c r="F4930" s="19" t="str">
        <f>IFERROR(__xludf.DUMMYFUNCTION("""COMPUTED_VALUE"""),"BLUE")</f>
        <v>BLUE</v>
      </c>
      <c r="G4930" s="20" t="str">
        <f>IFERROR(__xludf.DUMMYFUNCTION("""COMPUTED_VALUE"""),"Uncle Sams Cider (11/12/2021) (Blue)")</f>
        <v>Uncle Sams Cider (11/12/2021) (Blue)</v>
      </c>
      <c r="H4930" s="19"/>
    </row>
    <row r="4931">
      <c r="A4931" s="9"/>
      <c r="B4931" s="15"/>
      <c r="C4931" s="9">
        <f>IFERROR(__xludf.DUMMYFUNCTION("""COMPUTED_VALUE"""),44553.8297830092)</f>
        <v>44553.82978</v>
      </c>
      <c r="D4931" s="15">
        <f>IFERROR(__xludf.DUMMYFUNCTION("""COMPUTED_VALUE"""),1.011)</f>
        <v>1.011</v>
      </c>
      <c r="E4931" s="16">
        <f>IFERROR(__xludf.DUMMYFUNCTION("""COMPUTED_VALUE"""),62.0)</f>
        <v>62</v>
      </c>
      <c r="F4931" s="19" t="str">
        <f>IFERROR(__xludf.DUMMYFUNCTION("""COMPUTED_VALUE"""),"BLUE")</f>
        <v>BLUE</v>
      </c>
      <c r="G4931" s="20" t="str">
        <f>IFERROR(__xludf.DUMMYFUNCTION("""COMPUTED_VALUE"""),"Uncle Sams Cider (11/12/2021) (Blue)")</f>
        <v>Uncle Sams Cider (11/12/2021) (Blue)</v>
      </c>
      <c r="H4931" s="19"/>
    </row>
    <row r="4932">
      <c r="A4932" s="9"/>
      <c r="B4932" s="15"/>
      <c r="C4932" s="9">
        <f>IFERROR(__xludf.DUMMYFUNCTION("""COMPUTED_VALUE"""),44553.819361574)</f>
        <v>44553.81936</v>
      </c>
      <c r="D4932" s="15">
        <f>IFERROR(__xludf.DUMMYFUNCTION("""COMPUTED_VALUE"""),1.011)</f>
        <v>1.011</v>
      </c>
      <c r="E4932" s="16">
        <f>IFERROR(__xludf.DUMMYFUNCTION("""COMPUTED_VALUE"""),62.0)</f>
        <v>62</v>
      </c>
      <c r="F4932" s="19" t="str">
        <f>IFERROR(__xludf.DUMMYFUNCTION("""COMPUTED_VALUE"""),"BLUE")</f>
        <v>BLUE</v>
      </c>
      <c r="G4932" s="20" t="str">
        <f>IFERROR(__xludf.DUMMYFUNCTION("""COMPUTED_VALUE"""),"Uncle Sams Cider (11/12/2021) (Blue)")</f>
        <v>Uncle Sams Cider (11/12/2021) (Blue)</v>
      </c>
      <c r="H4932" s="19"/>
    </row>
    <row r="4933">
      <c r="A4933" s="9"/>
      <c r="B4933" s="15"/>
      <c r="C4933" s="9">
        <f>IFERROR(__xludf.DUMMYFUNCTION("""COMPUTED_VALUE"""),44553.8089413657)</f>
        <v>44553.80894</v>
      </c>
      <c r="D4933" s="15">
        <f>IFERROR(__xludf.DUMMYFUNCTION("""COMPUTED_VALUE"""),1.011)</f>
        <v>1.011</v>
      </c>
      <c r="E4933" s="16">
        <f>IFERROR(__xludf.DUMMYFUNCTION("""COMPUTED_VALUE"""),62.0)</f>
        <v>62</v>
      </c>
      <c r="F4933" s="19" t="str">
        <f>IFERROR(__xludf.DUMMYFUNCTION("""COMPUTED_VALUE"""),"BLUE")</f>
        <v>BLUE</v>
      </c>
      <c r="G4933" s="20" t="str">
        <f>IFERROR(__xludf.DUMMYFUNCTION("""COMPUTED_VALUE"""),"Uncle Sams Cider (11/12/2021) (Blue)")</f>
        <v>Uncle Sams Cider (11/12/2021) (Blue)</v>
      </c>
      <c r="H4933" s="19"/>
    </row>
    <row r="4934">
      <c r="A4934" s="9"/>
      <c r="B4934" s="15"/>
      <c r="C4934" s="9">
        <f>IFERROR(__xludf.DUMMYFUNCTION("""COMPUTED_VALUE"""),44553.7985186111)</f>
        <v>44553.79852</v>
      </c>
      <c r="D4934" s="15">
        <f>IFERROR(__xludf.DUMMYFUNCTION("""COMPUTED_VALUE"""),1.011)</f>
        <v>1.011</v>
      </c>
      <c r="E4934" s="16">
        <f>IFERROR(__xludf.DUMMYFUNCTION("""COMPUTED_VALUE"""),62.0)</f>
        <v>62</v>
      </c>
      <c r="F4934" s="19" t="str">
        <f>IFERROR(__xludf.DUMMYFUNCTION("""COMPUTED_VALUE"""),"BLUE")</f>
        <v>BLUE</v>
      </c>
      <c r="G4934" s="20" t="str">
        <f>IFERROR(__xludf.DUMMYFUNCTION("""COMPUTED_VALUE"""),"Uncle Sams Cider (11/12/2021) (Blue)")</f>
        <v>Uncle Sams Cider (11/12/2021) (Blue)</v>
      </c>
      <c r="H4934" s="19"/>
    </row>
    <row r="4935">
      <c r="A4935" s="9"/>
      <c r="B4935" s="15"/>
      <c r="C4935" s="9">
        <f>IFERROR(__xludf.DUMMYFUNCTION("""COMPUTED_VALUE"""),44553.7880961689)</f>
        <v>44553.7881</v>
      </c>
      <c r="D4935" s="15">
        <f>IFERROR(__xludf.DUMMYFUNCTION("""COMPUTED_VALUE"""),1.011)</f>
        <v>1.011</v>
      </c>
      <c r="E4935" s="16">
        <f>IFERROR(__xludf.DUMMYFUNCTION("""COMPUTED_VALUE"""),62.0)</f>
        <v>62</v>
      </c>
      <c r="F4935" s="19" t="str">
        <f>IFERROR(__xludf.DUMMYFUNCTION("""COMPUTED_VALUE"""),"BLUE")</f>
        <v>BLUE</v>
      </c>
      <c r="G4935" s="20" t="str">
        <f>IFERROR(__xludf.DUMMYFUNCTION("""COMPUTED_VALUE"""),"Uncle Sams Cider (11/12/2021) (Blue)")</f>
        <v>Uncle Sams Cider (11/12/2021) (Blue)</v>
      </c>
      <c r="H4935" s="19"/>
    </row>
    <row r="4936">
      <c r="A4936" s="9"/>
      <c r="B4936" s="15"/>
      <c r="C4936" s="9">
        <f>IFERROR(__xludf.DUMMYFUNCTION("""COMPUTED_VALUE"""),44553.7776763078)</f>
        <v>44553.77768</v>
      </c>
      <c r="D4936" s="15">
        <f>IFERROR(__xludf.DUMMYFUNCTION("""COMPUTED_VALUE"""),1.011)</f>
        <v>1.011</v>
      </c>
      <c r="E4936" s="16">
        <f>IFERROR(__xludf.DUMMYFUNCTION("""COMPUTED_VALUE"""),62.0)</f>
        <v>62</v>
      </c>
      <c r="F4936" s="19" t="str">
        <f>IFERROR(__xludf.DUMMYFUNCTION("""COMPUTED_VALUE"""),"BLUE")</f>
        <v>BLUE</v>
      </c>
      <c r="G4936" s="20" t="str">
        <f>IFERROR(__xludf.DUMMYFUNCTION("""COMPUTED_VALUE"""),"Uncle Sams Cider (11/12/2021) (Blue)")</f>
        <v>Uncle Sams Cider (11/12/2021) (Blue)</v>
      </c>
      <c r="H4936" s="19"/>
    </row>
    <row r="4937">
      <c r="A4937" s="9"/>
      <c r="B4937" s="15"/>
      <c r="C4937" s="9">
        <f>IFERROR(__xludf.DUMMYFUNCTION("""COMPUTED_VALUE"""),44553.7672303009)</f>
        <v>44553.76723</v>
      </c>
      <c r="D4937" s="15">
        <f>IFERROR(__xludf.DUMMYFUNCTION("""COMPUTED_VALUE"""),1.011)</f>
        <v>1.011</v>
      </c>
      <c r="E4937" s="16">
        <f>IFERROR(__xludf.DUMMYFUNCTION("""COMPUTED_VALUE"""),62.0)</f>
        <v>62</v>
      </c>
      <c r="F4937" s="19" t="str">
        <f>IFERROR(__xludf.DUMMYFUNCTION("""COMPUTED_VALUE"""),"BLUE")</f>
        <v>BLUE</v>
      </c>
      <c r="G4937" s="20" t="str">
        <f>IFERROR(__xludf.DUMMYFUNCTION("""COMPUTED_VALUE"""),"Uncle Sams Cider (11/12/2021) (Blue)")</f>
        <v>Uncle Sams Cider (11/12/2021) (Blue)</v>
      </c>
      <c r="H4937" s="19"/>
    </row>
    <row r="4938">
      <c r="A4938" s="9"/>
      <c r="B4938" s="15"/>
      <c r="C4938" s="9">
        <f>IFERROR(__xludf.DUMMYFUNCTION("""COMPUTED_VALUE"""),44553.7568092476)</f>
        <v>44553.75681</v>
      </c>
      <c r="D4938" s="15">
        <f>IFERROR(__xludf.DUMMYFUNCTION("""COMPUTED_VALUE"""),1.011)</f>
        <v>1.011</v>
      </c>
      <c r="E4938" s="16">
        <f>IFERROR(__xludf.DUMMYFUNCTION("""COMPUTED_VALUE"""),62.0)</f>
        <v>62</v>
      </c>
      <c r="F4938" s="19" t="str">
        <f>IFERROR(__xludf.DUMMYFUNCTION("""COMPUTED_VALUE"""),"BLUE")</f>
        <v>BLUE</v>
      </c>
      <c r="G4938" s="20" t="str">
        <f>IFERROR(__xludf.DUMMYFUNCTION("""COMPUTED_VALUE"""),"Uncle Sams Cider (11/12/2021) (Blue)")</f>
        <v>Uncle Sams Cider (11/12/2021) (Blue)</v>
      </c>
      <c r="H4938" s="19"/>
    </row>
    <row r="4939">
      <c r="A4939" s="9"/>
      <c r="B4939" s="15"/>
      <c r="C4939" s="9">
        <f>IFERROR(__xludf.DUMMYFUNCTION("""COMPUTED_VALUE"""),44553.7463888425)</f>
        <v>44553.74639</v>
      </c>
      <c r="D4939" s="15">
        <f>IFERROR(__xludf.DUMMYFUNCTION("""COMPUTED_VALUE"""),1.011)</f>
        <v>1.011</v>
      </c>
      <c r="E4939" s="16">
        <f>IFERROR(__xludf.DUMMYFUNCTION("""COMPUTED_VALUE"""),62.0)</f>
        <v>62</v>
      </c>
      <c r="F4939" s="19" t="str">
        <f>IFERROR(__xludf.DUMMYFUNCTION("""COMPUTED_VALUE"""),"BLUE")</f>
        <v>BLUE</v>
      </c>
      <c r="G4939" s="20" t="str">
        <f>IFERROR(__xludf.DUMMYFUNCTION("""COMPUTED_VALUE"""),"Uncle Sams Cider (11/12/2021) (Blue)")</f>
        <v>Uncle Sams Cider (11/12/2021) (Blue)</v>
      </c>
      <c r="H4939" s="19"/>
    </row>
    <row r="4940">
      <c r="A4940" s="9"/>
      <c r="B4940" s="15"/>
      <c r="C4940" s="9">
        <f>IFERROR(__xludf.DUMMYFUNCTION("""COMPUTED_VALUE"""),44553.7359569328)</f>
        <v>44553.73596</v>
      </c>
      <c r="D4940" s="15">
        <f>IFERROR(__xludf.DUMMYFUNCTION("""COMPUTED_VALUE"""),1.011)</f>
        <v>1.011</v>
      </c>
      <c r="E4940" s="16">
        <f>IFERROR(__xludf.DUMMYFUNCTION("""COMPUTED_VALUE"""),62.0)</f>
        <v>62</v>
      </c>
      <c r="F4940" s="19" t="str">
        <f>IFERROR(__xludf.DUMMYFUNCTION("""COMPUTED_VALUE"""),"BLUE")</f>
        <v>BLUE</v>
      </c>
      <c r="G4940" s="20" t="str">
        <f>IFERROR(__xludf.DUMMYFUNCTION("""COMPUTED_VALUE"""),"Uncle Sams Cider (11/12/2021) (Blue)")</f>
        <v>Uncle Sams Cider (11/12/2021) (Blue)</v>
      </c>
      <c r="H4940" s="19"/>
    </row>
    <row r="4941">
      <c r="A4941" s="9"/>
      <c r="B4941" s="15"/>
      <c r="C4941" s="9">
        <f>IFERROR(__xludf.DUMMYFUNCTION("""COMPUTED_VALUE"""),44553.7255342592)</f>
        <v>44553.72553</v>
      </c>
      <c r="D4941" s="15">
        <f>IFERROR(__xludf.DUMMYFUNCTION("""COMPUTED_VALUE"""),1.011)</f>
        <v>1.011</v>
      </c>
      <c r="E4941" s="16">
        <f>IFERROR(__xludf.DUMMYFUNCTION("""COMPUTED_VALUE"""),62.0)</f>
        <v>62</v>
      </c>
      <c r="F4941" s="19" t="str">
        <f>IFERROR(__xludf.DUMMYFUNCTION("""COMPUTED_VALUE"""),"BLUE")</f>
        <v>BLUE</v>
      </c>
      <c r="G4941" s="20" t="str">
        <f>IFERROR(__xludf.DUMMYFUNCTION("""COMPUTED_VALUE"""),"Uncle Sams Cider (11/12/2021) (Blue)")</f>
        <v>Uncle Sams Cider (11/12/2021) (Blue)</v>
      </c>
      <c r="H4941" s="19"/>
    </row>
    <row r="4942">
      <c r="A4942" s="9"/>
      <c r="B4942" s="15"/>
      <c r="C4942" s="9">
        <f>IFERROR(__xludf.DUMMYFUNCTION("""COMPUTED_VALUE"""),44553.7151124305)</f>
        <v>44553.71511</v>
      </c>
      <c r="D4942" s="15">
        <f>IFERROR(__xludf.DUMMYFUNCTION("""COMPUTED_VALUE"""),1.011)</f>
        <v>1.011</v>
      </c>
      <c r="E4942" s="16">
        <f>IFERROR(__xludf.DUMMYFUNCTION("""COMPUTED_VALUE"""),62.0)</f>
        <v>62</v>
      </c>
      <c r="F4942" s="19" t="str">
        <f>IFERROR(__xludf.DUMMYFUNCTION("""COMPUTED_VALUE"""),"BLUE")</f>
        <v>BLUE</v>
      </c>
      <c r="G4942" s="20" t="str">
        <f>IFERROR(__xludf.DUMMYFUNCTION("""COMPUTED_VALUE"""),"Uncle Sams Cider (11/12/2021) (Blue)")</f>
        <v>Uncle Sams Cider (11/12/2021) (Blue)</v>
      </c>
      <c r="H4942" s="19"/>
    </row>
    <row r="4943">
      <c r="A4943" s="9"/>
      <c r="B4943" s="15"/>
      <c r="C4943" s="9">
        <f>IFERROR(__xludf.DUMMYFUNCTION("""COMPUTED_VALUE"""),44553.7046925578)</f>
        <v>44553.70469</v>
      </c>
      <c r="D4943" s="15">
        <f>IFERROR(__xludf.DUMMYFUNCTION("""COMPUTED_VALUE"""),1.011)</f>
        <v>1.011</v>
      </c>
      <c r="E4943" s="16">
        <f>IFERROR(__xludf.DUMMYFUNCTION("""COMPUTED_VALUE"""),62.0)</f>
        <v>62</v>
      </c>
      <c r="F4943" s="19" t="str">
        <f>IFERROR(__xludf.DUMMYFUNCTION("""COMPUTED_VALUE"""),"BLUE")</f>
        <v>BLUE</v>
      </c>
      <c r="G4943" s="20" t="str">
        <f>IFERROR(__xludf.DUMMYFUNCTION("""COMPUTED_VALUE"""),"Uncle Sams Cider (11/12/2021) (Blue)")</f>
        <v>Uncle Sams Cider (11/12/2021) (Blue)</v>
      </c>
      <c r="H4943" s="19"/>
    </row>
    <row r="4944">
      <c r="A4944" s="9"/>
      <c r="B4944" s="15"/>
      <c r="C4944" s="9">
        <f>IFERROR(__xludf.DUMMYFUNCTION("""COMPUTED_VALUE"""),44553.6942726041)</f>
        <v>44553.69427</v>
      </c>
      <c r="D4944" s="15">
        <f>IFERROR(__xludf.DUMMYFUNCTION("""COMPUTED_VALUE"""),1.011)</f>
        <v>1.011</v>
      </c>
      <c r="E4944" s="16">
        <f>IFERROR(__xludf.DUMMYFUNCTION("""COMPUTED_VALUE"""),62.0)</f>
        <v>62</v>
      </c>
      <c r="F4944" s="19" t="str">
        <f>IFERROR(__xludf.DUMMYFUNCTION("""COMPUTED_VALUE"""),"BLUE")</f>
        <v>BLUE</v>
      </c>
      <c r="G4944" s="20" t="str">
        <f>IFERROR(__xludf.DUMMYFUNCTION("""COMPUTED_VALUE"""),"Uncle Sams Cider (11/12/2021) (Blue)")</f>
        <v>Uncle Sams Cider (11/12/2021) (Blue)</v>
      </c>
      <c r="H4944" s="19"/>
    </row>
    <row r="4945">
      <c r="A4945" s="9"/>
      <c r="B4945" s="15"/>
      <c r="C4945" s="9">
        <f>IFERROR(__xludf.DUMMYFUNCTION("""COMPUTED_VALUE"""),44553.6838529629)</f>
        <v>44553.68385</v>
      </c>
      <c r="D4945" s="15">
        <f>IFERROR(__xludf.DUMMYFUNCTION("""COMPUTED_VALUE"""),1.011)</f>
        <v>1.011</v>
      </c>
      <c r="E4945" s="16">
        <f>IFERROR(__xludf.DUMMYFUNCTION("""COMPUTED_VALUE"""),62.0)</f>
        <v>62</v>
      </c>
      <c r="F4945" s="19" t="str">
        <f>IFERROR(__xludf.DUMMYFUNCTION("""COMPUTED_VALUE"""),"BLUE")</f>
        <v>BLUE</v>
      </c>
      <c r="G4945" s="20" t="str">
        <f>IFERROR(__xludf.DUMMYFUNCTION("""COMPUTED_VALUE"""),"Uncle Sams Cider (11/12/2021) (Blue)")</f>
        <v>Uncle Sams Cider (11/12/2021) (Blue)</v>
      </c>
      <c r="H4945" s="19"/>
    </row>
    <row r="4946">
      <c r="A4946" s="9"/>
      <c r="B4946" s="15"/>
      <c r="C4946" s="9">
        <f>IFERROR(__xludf.DUMMYFUNCTION("""COMPUTED_VALUE"""),44553.6734315856)</f>
        <v>44553.67343</v>
      </c>
      <c r="D4946" s="15">
        <f>IFERROR(__xludf.DUMMYFUNCTION("""COMPUTED_VALUE"""),1.011)</f>
        <v>1.011</v>
      </c>
      <c r="E4946" s="16">
        <f>IFERROR(__xludf.DUMMYFUNCTION("""COMPUTED_VALUE"""),62.0)</f>
        <v>62</v>
      </c>
      <c r="F4946" s="19" t="str">
        <f>IFERROR(__xludf.DUMMYFUNCTION("""COMPUTED_VALUE"""),"BLUE")</f>
        <v>BLUE</v>
      </c>
      <c r="G4946" s="20" t="str">
        <f>IFERROR(__xludf.DUMMYFUNCTION("""COMPUTED_VALUE"""),"Uncle Sams Cider (11/12/2021) (Blue)")</f>
        <v>Uncle Sams Cider (11/12/2021) (Blue)</v>
      </c>
      <c r="H4946" s="19"/>
    </row>
    <row r="4947">
      <c r="A4947" s="9"/>
      <c r="B4947" s="15"/>
      <c r="C4947" s="9">
        <f>IFERROR(__xludf.DUMMYFUNCTION("""COMPUTED_VALUE"""),44553.6630103009)</f>
        <v>44553.66301</v>
      </c>
      <c r="D4947" s="15">
        <f>IFERROR(__xludf.DUMMYFUNCTION("""COMPUTED_VALUE"""),1.011)</f>
        <v>1.011</v>
      </c>
      <c r="E4947" s="16">
        <f>IFERROR(__xludf.DUMMYFUNCTION("""COMPUTED_VALUE"""),62.0)</f>
        <v>62</v>
      </c>
      <c r="F4947" s="19" t="str">
        <f>IFERROR(__xludf.DUMMYFUNCTION("""COMPUTED_VALUE"""),"BLUE")</f>
        <v>BLUE</v>
      </c>
      <c r="G4947" s="20" t="str">
        <f>IFERROR(__xludf.DUMMYFUNCTION("""COMPUTED_VALUE"""),"Uncle Sams Cider (11/12/2021) (Blue)")</f>
        <v>Uncle Sams Cider (11/12/2021) (Blue)</v>
      </c>
      <c r="H4947" s="19"/>
    </row>
    <row r="4948">
      <c r="A4948" s="9"/>
      <c r="B4948" s="15"/>
      <c r="C4948" s="9">
        <f>IFERROR(__xludf.DUMMYFUNCTION("""COMPUTED_VALUE"""),44553.6525881018)</f>
        <v>44553.65259</v>
      </c>
      <c r="D4948" s="15">
        <f>IFERROR(__xludf.DUMMYFUNCTION("""COMPUTED_VALUE"""),1.011)</f>
        <v>1.011</v>
      </c>
      <c r="E4948" s="16">
        <f>IFERROR(__xludf.DUMMYFUNCTION("""COMPUTED_VALUE"""),62.0)</f>
        <v>62</v>
      </c>
      <c r="F4948" s="19" t="str">
        <f>IFERROR(__xludf.DUMMYFUNCTION("""COMPUTED_VALUE"""),"BLUE")</f>
        <v>BLUE</v>
      </c>
      <c r="G4948" s="20" t="str">
        <f>IFERROR(__xludf.DUMMYFUNCTION("""COMPUTED_VALUE"""),"Uncle Sams Cider (11/12/2021) (Blue)")</f>
        <v>Uncle Sams Cider (11/12/2021) (Blue)</v>
      </c>
      <c r="H4948" s="19"/>
    </row>
    <row r="4949">
      <c r="A4949" s="9"/>
      <c r="B4949" s="15"/>
      <c r="C4949" s="9">
        <f>IFERROR(__xludf.DUMMYFUNCTION("""COMPUTED_VALUE"""),44553.6421673495)</f>
        <v>44553.64217</v>
      </c>
      <c r="D4949" s="15">
        <f>IFERROR(__xludf.DUMMYFUNCTION("""COMPUTED_VALUE"""),1.011)</f>
        <v>1.011</v>
      </c>
      <c r="E4949" s="16">
        <f>IFERROR(__xludf.DUMMYFUNCTION("""COMPUTED_VALUE"""),62.0)</f>
        <v>62</v>
      </c>
      <c r="F4949" s="19" t="str">
        <f>IFERROR(__xludf.DUMMYFUNCTION("""COMPUTED_VALUE"""),"BLUE")</f>
        <v>BLUE</v>
      </c>
      <c r="G4949" s="20" t="str">
        <f>IFERROR(__xludf.DUMMYFUNCTION("""COMPUTED_VALUE"""),"Uncle Sams Cider (11/12/2021) (Blue)")</f>
        <v>Uncle Sams Cider (11/12/2021) (Blue)</v>
      </c>
      <c r="H4949" s="19"/>
    </row>
    <row r="4950">
      <c r="A4950" s="9"/>
      <c r="B4950" s="15"/>
      <c r="C4950" s="9">
        <f>IFERROR(__xludf.DUMMYFUNCTION("""COMPUTED_VALUE"""),44553.6317478124)</f>
        <v>44553.63175</v>
      </c>
      <c r="D4950" s="15">
        <f>IFERROR(__xludf.DUMMYFUNCTION("""COMPUTED_VALUE"""),1.011)</f>
        <v>1.011</v>
      </c>
      <c r="E4950" s="16">
        <f>IFERROR(__xludf.DUMMYFUNCTION("""COMPUTED_VALUE"""),62.0)</f>
        <v>62</v>
      </c>
      <c r="F4950" s="19" t="str">
        <f>IFERROR(__xludf.DUMMYFUNCTION("""COMPUTED_VALUE"""),"BLUE")</f>
        <v>BLUE</v>
      </c>
      <c r="G4950" s="20" t="str">
        <f>IFERROR(__xludf.DUMMYFUNCTION("""COMPUTED_VALUE"""),"Uncle Sams Cider (11/12/2021) (Blue)")</f>
        <v>Uncle Sams Cider (11/12/2021) (Blue)</v>
      </c>
      <c r="H4950" s="19"/>
    </row>
    <row r="4951">
      <c r="A4951" s="9"/>
      <c r="B4951" s="15"/>
      <c r="C4951" s="9">
        <f>IFERROR(__xludf.DUMMYFUNCTION("""COMPUTED_VALUE"""),44553.6213266087)</f>
        <v>44553.62133</v>
      </c>
      <c r="D4951" s="15">
        <f>IFERROR(__xludf.DUMMYFUNCTION("""COMPUTED_VALUE"""),1.011)</f>
        <v>1.011</v>
      </c>
      <c r="E4951" s="16">
        <f>IFERROR(__xludf.DUMMYFUNCTION("""COMPUTED_VALUE"""),62.0)</f>
        <v>62</v>
      </c>
      <c r="F4951" s="19" t="str">
        <f>IFERROR(__xludf.DUMMYFUNCTION("""COMPUTED_VALUE"""),"BLUE")</f>
        <v>BLUE</v>
      </c>
      <c r="G4951" s="20" t="str">
        <f>IFERROR(__xludf.DUMMYFUNCTION("""COMPUTED_VALUE"""),"Uncle Sams Cider (11/12/2021) (Blue)")</f>
        <v>Uncle Sams Cider (11/12/2021) (Blue)</v>
      </c>
      <c r="H4951" s="19"/>
    </row>
    <row r="4952">
      <c r="A4952" s="9"/>
      <c r="B4952" s="15"/>
      <c r="C4952" s="9">
        <f>IFERROR(__xludf.DUMMYFUNCTION("""COMPUTED_VALUE"""),44553.6109063194)</f>
        <v>44553.61091</v>
      </c>
      <c r="D4952" s="15">
        <f>IFERROR(__xludf.DUMMYFUNCTION("""COMPUTED_VALUE"""),1.011)</f>
        <v>1.011</v>
      </c>
      <c r="E4952" s="16">
        <f>IFERROR(__xludf.DUMMYFUNCTION("""COMPUTED_VALUE"""),62.0)</f>
        <v>62</v>
      </c>
      <c r="F4952" s="19" t="str">
        <f>IFERROR(__xludf.DUMMYFUNCTION("""COMPUTED_VALUE"""),"BLUE")</f>
        <v>BLUE</v>
      </c>
      <c r="G4952" s="20" t="str">
        <f>IFERROR(__xludf.DUMMYFUNCTION("""COMPUTED_VALUE"""),"Uncle Sams Cider (11/12/2021) (Blue)")</f>
        <v>Uncle Sams Cider (11/12/2021) (Blue)</v>
      </c>
      <c r="H4952" s="19"/>
    </row>
    <row r="4953">
      <c r="A4953" s="9"/>
      <c r="B4953" s="15"/>
      <c r="C4953" s="9">
        <f>IFERROR(__xludf.DUMMYFUNCTION("""COMPUTED_VALUE"""),44553.6004742129)</f>
        <v>44553.60047</v>
      </c>
      <c r="D4953" s="15">
        <f>IFERROR(__xludf.DUMMYFUNCTION("""COMPUTED_VALUE"""),1.011)</f>
        <v>1.011</v>
      </c>
      <c r="E4953" s="16">
        <f>IFERROR(__xludf.DUMMYFUNCTION("""COMPUTED_VALUE"""),62.0)</f>
        <v>62</v>
      </c>
      <c r="F4953" s="19" t="str">
        <f>IFERROR(__xludf.DUMMYFUNCTION("""COMPUTED_VALUE"""),"BLUE")</f>
        <v>BLUE</v>
      </c>
      <c r="G4953" s="20" t="str">
        <f>IFERROR(__xludf.DUMMYFUNCTION("""COMPUTED_VALUE"""),"Uncle Sams Cider (11/12/2021) (Blue)")</f>
        <v>Uncle Sams Cider (11/12/2021) (Blue)</v>
      </c>
      <c r="H4953" s="19"/>
    </row>
    <row r="4954">
      <c r="A4954" s="9"/>
      <c r="B4954" s="15"/>
      <c r="C4954" s="9">
        <f>IFERROR(__xludf.DUMMYFUNCTION("""COMPUTED_VALUE"""),44553.5900540856)</f>
        <v>44553.59005</v>
      </c>
      <c r="D4954" s="15">
        <f>IFERROR(__xludf.DUMMYFUNCTION("""COMPUTED_VALUE"""),1.011)</f>
        <v>1.011</v>
      </c>
      <c r="E4954" s="16">
        <f>IFERROR(__xludf.DUMMYFUNCTION("""COMPUTED_VALUE"""),62.0)</f>
        <v>62</v>
      </c>
      <c r="F4954" s="19" t="str">
        <f>IFERROR(__xludf.DUMMYFUNCTION("""COMPUTED_VALUE"""),"BLUE")</f>
        <v>BLUE</v>
      </c>
      <c r="G4954" s="20" t="str">
        <f>IFERROR(__xludf.DUMMYFUNCTION("""COMPUTED_VALUE"""),"Uncle Sams Cider (11/12/2021) (Blue)")</f>
        <v>Uncle Sams Cider (11/12/2021) (Blue)</v>
      </c>
      <c r="H4954" s="19"/>
    </row>
    <row r="4955">
      <c r="A4955" s="9"/>
      <c r="B4955" s="15"/>
      <c r="C4955" s="9">
        <f>IFERROR(__xludf.DUMMYFUNCTION("""COMPUTED_VALUE"""),44553.579632662)</f>
        <v>44553.57963</v>
      </c>
      <c r="D4955" s="15">
        <f>IFERROR(__xludf.DUMMYFUNCTION("""COMPUTED_VALUE"""),1.011)</f>
        <v>1.011</v>
      </c>
      <c r="E4955" s="16">
        <f>IFERROR(__xludf.DUMMYFUNCTION("""COMPUTED_VALUE"""),62.0)</f>
        <v>62</v>
      </c>
      <c r="F4955" s="19" t="str">
        <f>IFERROR(__xludf.DUMMYFUNCTION("""COMPUTED_VALUE"""),"BLUE")</f>
        <v>BLUE</v>
      </c>
      <c r="G4955" s="20" t="str">
        <f>IFERROR(__xludf.DUMMYFUNCTION("""COMPUTED_VALUE"""),"Uncle Sams Cider (11/12/2021) (Blue)")</f>
        <v>Uncle Sams Cider (11/12/2021) (Blue)</v>
      </c>
      <c r="H4955" s="19"/>
    </row>
    <row r="4956">
      <c r="A4956" s="9"/>
      <c r="B4956" s="15"/>
      <c r="C4956" s="9">
        <f>IFERROR(__xludf.DUMMYFUNCTION("""COMPUTED_VALUE"""),44553.5691878472)</f>
        <v>44553.56919</v>
      </c>
      <c r="D4956" s="15">
        <f>IFERROR(__xludf.DUMMYFUNCTION("""COMPUTED_VALUE"""),1.011)</f>
        <v>1.011</v>
      </c>
      <c r="E4956" s="16">
        <f>IFERROR(__xludf.DUMMYFUNCTION("""COMPUTED_VALUE"""),62.0)</f>
        <v>62</v>
      </c>
      <c r="F4956" s="19" t="str">
        <f>IFERROR(__xludf.DUMMYFUNCTION("""COMPUTED_VALUE"""),"BLUE")</f>
        <v>BLUE</v>
      </c>
      <c r="G4956" s="20" t="str">
        <f>IFERROR(__xludf.DUMMYFUNCTION("""COMPUTED_VALUE"""),"Uncle Sams Cider (11/12/2021) (Blue)")</f>
        <v>Uncle Sams Cider (11/12/2021) (Blue)</v>
      </c>
      <c r="H4956" s="19"/>
    </row>
    <row r="4957">
      <c r="A4957" s="9"/>
      <c r="B4957" s="15"/>
      <c r="C4957" s="9">
        <f>IFERROR(__xludf.DUMMYFUNCTION("""COMPUTED_VALUE"""),44553.5587562963)</f>
        <v>44553.55876</v>
      </c>
      <c r="D4957" s="15">
        <f>IFERROR(__xludf.DUMMYFUNCTION("""COMPUTED_VALUE"""),1.011)</f>
        <v>1.011</v>
      </c>
      <c r="E4957" s="16">
        <f>IFERROR(__xludf.DUMMYFUNCTION("""COMPUTED_VALUE"""),62.0)</f>
        <v>62</v>
      </c>
      <c r="F4957" s="19" t="str">
        <f>IFERROR(__xludf.DUMMYFUNCTION("""COMPUTED_VALUE"""),"BLUE")</f>
        <v>BLUE</v>
      </c>
      <c r="G4957" s="20" t="str">
        <f>IFERROR(__xludf.DUMMYFUNCTION("""COMPUTED_VALUE"""),"Uncle Sams Cider (11/12/2021) (Blue)")</f>
        <v>Uncle Sams Cider (11/12/2021) (Blue)</v>
      </c>
      <c r="H4957" s="19"/>
    </row>
    <row r="4958">
      <c r="A4958" s="9"/>
      <c r="B4958" s="15"/>
      <c r="C4958" s="9">
        <f>IFERROR(__xludf.DUMMYFUNCTION("""COMPUTED_VALUE"""),44553.5483382291)</f>
        <v>44553.54834</v>
      </c>
      <c r="D4958" s="15">
        <f>IFERROR(__xludf.DUMMYFUNCTION("""COMPUTED_VALUE"""),1.011)</f>
        <v>1.011</v>
      </c>
      <c r="E4958" s="16">
        <f>IFERROR(__xludf.DUMMYFUNCTION("""COMPUTED_VALUE"""),62.0)</f>
        <v>62</v>
      </c>
      <c r="F4958" s="19" t="str">
        <f>IFERROR(__xludf.DUMMYFUNCTION("""COMPUTED_VALUE"""),"BLUE")</f>
        <v>BLUE</v>
      </c>
      <c r="G4958" s="20" t="str">
        <f>IFERROR(__xludf.DUMMYFUNCTION("""COMPUTED_VALUE"""),"Uncle Sams Cider (11/12/2021) (Blue)")</f>
        <v>Uncle Sams Cider (11/12/2021) (Blue)</v>
      </c>
      <c r="H4958" s="19"/>
    </row>
    <row r="4959">
      <c r="A4959" s="9"/>
      <c r="B4959" s="15"/>
      <c r="C4959" s="9">
        <f>IFERROR(__xludf.DUMMYFUNCTION("""COMPUTED_VALUE"""),44553.537895162)</f>
        <v>44553.5379</v>
      </c>
      <c r="D4959" s="15">
        <f>IFERROR(__xludf.DUMMYFUNCTION("""COMPUTED_VALUE"""),1.011)</f>
        <v>1.011</v>
      </c>
      <c r="E4959" s="16">
        <f>IFERROR(__xludf.DUMMYFUNCTION("""COMPUTED_VALUE"""),62.0)</f>
        <v>62</v>
      </c>
      <c r="F4959" s="19" t="str">
        <f>IFERROR(__xludf.DUMMYFUNCTION("""COMPUTED_VALUE"""),"BLUE")</f>
        <v>BLUE</v>
      </c>
      <c r="G4959" s="20" t="str">
        <f>IFERROR(__xludf.DUMMYFUNCTION("""COMPUTED_VALUE"""),"Uncle Sams Cider (11/12/2021) (Blue)")</f>
        <v>Uncle Sams Cider (11/12/2021) (Blue)</v>
      </c>
      <c r="H4959" s="19"/>
    </row>
    <row r="4960">
      <c r="A4960" s="9"/>
      <c r="B4960" s="15"/>
      <c r="C4960" s="9">
        <f>IFERROR(__xludf.DUMMYFUNCTION("""COMPUTED_VALUE"""),44553.5274737384)</f>
        <v>44553.52747</v>
      </c>
      <c r="D4960" s="15">
        <f>IFERROR(__xludf.DUMMYFUNCTION("""COMPUTED_VALUE"""),1.011)</f>
        <v>1.011</v>
      </c>
      <c r="E4960" s="16">
        <f>IFERROR(__xludf.DUMMYFUNCTION("""COMPUTED_VALUE"""),62.0)</f>
        <v>62</v>
      </c>
      <c r="F4960" s="19" t="str">
        <f>IFERROR(__xludf.DUMMYFUNCTION("""COMPUTED_VALUE"""),"BLUE")</f>
        <v>BLUE</v>
      </c>
      <c r="G4960" s="20" t="str">
        <f>IFERROR(__xludf.DUMMYFUNCTION("""COMPUTED_VALUE"""),"Uncle Sams Cider (11/12/2021) (Blue)")</f>
        <v>Uncle Sams Cider (11/12/2021) (Blue)</v>
      </c>
      <c r="H4960" s="19"/>
    </row>
    <row r="4961">
      <c r="A4961" s="9"/>
      <c r="B4961" s="15"/>
      <c r="C4961" s="9">
        <f>IFERROR(__xludf.DUMMYFUNCTION("""COMPUTED_VALUE"""),44553.5170532175)</f>
        <v>44553.51705</v>
      </c>
      <c r="D4961" s="15">
        <f>IFERROR(__xludf.DUMMYFUNCTION("""COMPUTED_VALUE"""),1.011)</f>
        <v>1.011</v>
      </c>
      <c r="E4961" s="16">
        <f>IFERROR(__xludf.DUMMYFUNCTION("""COMPUTED_VALUE"""),62.0)</f>
        <v>62</v>
      </c>
      <c r="F4961" s="19" t="str">
        <f>IFERROR(__xludf.DUMMYFUNCTION("""COMPUTED_VALUE"""),"BLUE")</f>
        <v>BLUE</v>
      </c>
      <c r="G4961" s="20" t="str">
        <f>IFERROR(__xludf.DUMMYFUNCTION("""COMPUTED_VALUE"""),"Uncle Sams Cider (11/12/2021) (Blue)")</f>
        <v>Uncle Sams Cider (11/12/2021) (Blue)</v>
      </c>
      <c r="H4961" s="19"/>
    </row>
    <row r="4962">
      <c r="A4962" s="9"/>
      <c r="B4962" s="15"/>
      <c r="C4962" s="9">
        <f>IFERROR(__xludf.DUMMYFUNCTION("""COMPUTED_VALUE"""),44553.5066324537)</f>
        <v>44553.50663</v>
      </c>
      <c r="D4962" s="15">
        <f>IFERROR(__xludf.DUMMYFUNCTION("""COMPUTED_VALUE"""),1.011)</f>
        <v>1.011</v>
      </c>
      <c r="E4962" s="16">
        <f>IFERROR(__xludf.DUMMYFUNCTION("""COMPUTED_VALUE"""),62.0)</f>
        <v>62</v>
      </c>
      <c r="F4962" s="19" t="str">
        <f>IFERROR(__xludf.DUMMYFUNCTION("""COMPUTED_VALUE"""),"BLUE")</f>
        <v>BLUE</v>
      </c>
      <c r="G4962" s="20" t="str">
        <f>IFERROR(__xludf.DUMMYFUNCTION("""COMPUTED_VALUE"""),"Uncle Sams Cider (11/12/2021) (Blue)")</f>
        <v>Uncle Sams Cider (11/12/2021) (Blue)</v>
      </c>
      <c r="H4962" s="19"/>
    </row>
    <row r="4963">
      <c r="A4963" s="9"/>
      <c r="B4963" s="15"/>
      <c r="C4963" s="9">
        <f>IFERROR(__xludf.DUMMYFUNCTION("""COMPUTED_VALUE"""),44553.4962139467)</f>
        <v>44553.49621</v>
      </c>
      <c r="D4963" s="15">
        <f>IFERROR(__xludf.DUMMYFUNCTION("""COMPUTED_VALUE"""),1.011)</f>
        <v>1.011</v>
      </c>
      <c r="E4963" s="16">
        <f>IFERROR(__xludf.DUMMYFUNCTION("""COMPUTED_VALUE"""),62.0)</f>
        <v>62</v>
      </c>
      <c r="F4963" s="19" t="str">
        <f>IFERROR(__xludf.DUMMYFUNCTION("""COMPUTED_VALUE"""),"BLUE")</f>
        <v>BLUE</v>
      </c>
      <c r="G4963" s="20" t="str">
        <f>IFERROR(__xludf.DUMMYFUNCTION("""COMPUTED_VALUE"""),"Uncle Sams Cider (11/12/2021) (Blue)")</f>
        <v>Uncle Sams Cider (11/12/2021) (Blue)</v>
      </c>
      <c r="H4963" s="19"/>
    </row>
    <row r="4964">
      <c r="A4964" s="9"/>
      <c r="B4964" s="15"/>
      <c r="C4964" s="9">
        <f>IFERROR(__xludf.DUMMYFUNCTION("""COMPUTED_VALUE"""),44553.4857922453)</f>
        <v>44553.48579</v>
      </c>
      <c r="D4964" s="15">
        <f>IFERROR(__xludf.DUMMYFUNCTION("""COMPUTED_VALUE"""),1.011)</f>
        <v>1.011</v>
      </c>
      <c r="E4964" s="16">
        <f>IFERROR(__xludf.DUMMYFUNCTION("""COMPUTED_VALUE"""),62.0)</f>
        <v>62</v>
      </c>
      <c r="F4964" s="19" t="str">
        <f>IFERROR(__xludf.DUMMYFUNCTION("""COMPUTED_VALUE"""),"BLUE")</f>
        <v>BLUE</v>
      </c>
      <c r="G4964" s="20" t="str">
        <f>IFERROR(__xludf.DUMMYFUNCTION("""COMPUTED_VALUE"""),"Uncle Sams Cider (11/12/2021) (Blue)")</f>
        <v>Uncle Sams Cider (11/12/2021) (Blue)</v>
      </c>
      <c r="H4964" s="19"/>
    </row>
    <row r="4965">
      <c r="A4965" s="9"/>
      <c r="B4965" s="15"/>
      <c r="C4965" s="9">
        <f>IFERROR(__xludf.DUMMYFUNCTION("""COMPUTED_VALUE"""),44553.4753708796)</f>
        <v>44553.47537</v>
      </c>
      <c r="D4965" s="15">
        <f>IFERROR(__xludf.DUMMYFUNCTION("""COMPUTED_VALUE"""),1.011)</f>
        <v>1.011</v>
      </c>
      <c r="E4965" s="16">
        <f>IFERROR(__xludf.DUMMYFUNCTION("""COMPUTED_VALUE"""),62.0)</f>
        <v>62</v>
      </c>
      <c r="F4965" s="19" t="str">
        <f>IFERROR(__xludf.DUMMYFUNCTION("""COMPUTED_VALUE"""),"BLUE")</f>
        <v>BLUE</v>
      </c>
      <c r="G4965" s="20" t="str">
        <f>IFERROR(__xludf.DUMMYFUNCTION("""COMPUTED_VALUE"""),"Uncle Sams Cider (11/12/2021) (Blue)")</f>
        <v>Uncle Sams Cider (11/12/2021) (Blue)</v>
      </c>
      <c r="H4965" s="19"/>
    </row>
    <row r="4966">
      <c r="A4966" s="9"/>
      <c r="B4966" s="15"/>
      <c r="C4966" s="9">
        <f>IFERROR(__xludf.DUMMYFUNCTION("""COMPUTED_VALUE"""),44553.4649514004)</f>
        <v>44553.46495</v>
      </c>
      <c r="D4966" s="15">
        <f>IFERROR(__xludf.DUMMYFUNCTION("""COMPUTED_VALUE"""),1.011)</f>
        <v>1.011</v>
      </c>
      <c r="E4966" s="16">
        <f>IFERROR(__xludf.DUMMYFUNCTION("""COMPUTED_VALUE"""),62.0)</f>
        <v>62</v>
      </c>
      <c r="F4966" s="19" t="str">
        <f>IFERROR(__xludf.DUMMYFUNCTION("""COMPUTED_VALUE"""),"BLUE")</f>
        <v>BLUE</v>
      </c>
      <c r="G4966" s="20" t="str">
        <f>IFERROR(__xludf.DUMMYFUNCTION("""COMPUTED_VALUE"""),"Uncle Sams Cider (11/12/2021) (Blue)")</f>
        <v>Uncle Sams Cider (11/12/2021) (Blue)</v>
      </c>
      <c r="H4966" s="19"/>
    </row>
    <row r="4967">
      <c r="A4967" s="9"/>
      <c r="B4967" s="15"/>
      <c r="C4967" s="9">
        <f>IFERROR(__xludf.DUMMYFUNCTION("""COMPUTED_VALUE"""),44553.4545299884)</f>
        <v>44553.45453</v>
      </c>
      <c r="D4967" s="15">
        <f>IFERROR(__xludf.DUMMYFUNCTION("""COMPUTED_VALUE"""),1.011)</f>
        <v>1.011</v>
      </c>
      <c r="E4967" s="16">
        <f>IFERROR(__xludf.DUMMYFUNCTION("""COMPUTED_VALUE"""),62.0)</f>
        <v>62</v>
      </c>
      <c r="F4967" s="19" t="str">
        <f>IFERROR(__xludf.DUMMYFUNCTION("""COMPUTED_VALUE"""),"BLUE")</f>
        <v>BLUE</v>
      </c>
      <c r="G4967" s="20" t="str">
        <f>IFERROR(__xludf.DUMMYFUNCTION("""COMPUTED_VALUE"""),"Uncle Sams Cider (11/12/2021) (Blue)")</f>
        <v>Uncle Sams Cider (11/12/2021) (Blue)</v>
      </c>
      <c r="H4967" s="19"/>
    </row>
    <row r="4968">
      <c r="A4968" s="9"/>
      <c r="B4968" s="15"/>
      <c r="C4968" s="9">
        <f>IFERROR(__xludf.DUMMYFUNCTION("""COMPUTED_VALUE"""),44553.4441089236)</f>
        <v>44553.44411</v>
      </c>
      <c r="D4968" s="15">
        <f>IFERROR(__xludf.DUMMYFUNCTION("""COMPUTED_VALUE"""),1.011)</f>
        <v>1.011</v>
      </c>
      <c r="E4968" s="16">
        <f>IFERROR(__xludf.DUMMYFUNCTION("""COMPUTED_VALUE"""),62.0)</f>
        <v>62</v>
      </c>
      <c r="F4968" s="19" t="str">
        <f>IFERROR(__xludf.DUMMYFUNCTION("""COMPUTED_VALUE"""),"BLUE")</f>
        <v>BLUE</v>
      </c>
      <c r="G4968" s="20" t="str">
        <f>IFERROR(__xludf.DUMMYFUNCTION("""COMPUTED_VALUE"""),"Uncle Sams Cider (11/12/2021) (Blue)")</f>
        <v>Uncle Sams Cider (11/12/2021) (Blue)</v>
      </c>
      <c r="H4968" s="19"/>
    </row>
    <row r="4969">
      <c r="A4969" s="9"/>
      <c r="B4969" s="15"/>
      <c r="C4969" s="9">
        <f>IFERROR(__xludf.DUMMYFUNCTION("""COMPUTED_VALUE"""),44553.4336888888)</f>
        <v>44553.43369</v>
      </c>
      <c r="D4969" s="15">
        <f>IFERROR(__xludf.DUMMYFUNCTION("""COMPUTED_VALUE"""),1.011)</f>
        <v>1.011</v>
      </c>
      <c r="E4969" s="16">
        <f>IFERROR(__xludf.DUMMYFUNCTION("""COMPUTED_VALUE"""),62.0)</f>
        <v>62</v>
      </c>
      <c r="F4969" s="19" t="str">
        <f>IFERROR(__xludf.DUMMYFUNCTION("""COMPUTED_VALUE"""),"BLUE")</f>
        <v>BLUE</v>
      </c>
      <c r="G4969" s="20" t="str">
        <f>IFERROR(__xludf.DUMMYFUNCTION("""COMPUTED_VALUE"""),"Uncle Sams Cider (11/12/2021) (Blue)")</f>
        <v>Uncle Sams Cider (11/12/2021) (Blue)</v>
      </c>
      <c r="H4969" s="19"/>
    </row>
    <row r="4970">
      <c r="A4970" s="9"/>
      <c r="B4970" s="15"/>
      <c r="C4970" s="9">
        <f>IFERROR(__xludf.DUMMYFUNCTION("""COMPUTED_VALUE"""),44553.4232680555)</f>
        <v>44553.42327</v>
      </c>
      <c r="D4970" s="15">
        <f>IFERROR(__xludf.DUMMYFUNCTION("""COMPUTED_VALUE"""),1.011)</f>
        <v>1.011</v>
      </c>
      <c r="E4970" s="16">
        <f>IFERROR(__xludf.DUMMYFUNCTION("""COMPUTED_VALUE"""),62.0)</f>
        <v>62</v>
      </c>
      <c r="F4970" s="19" t="str">
        <f>IFERROR(__xludf.DUMMYFUNCTION("""COMPUTED_VALUE"""),"BLUE")</f>
        <v>BLUE</v>
      </c>
      <c r="G4970" s="20" t="str">
        <f>IFERROR(__xludf.DUMMYFUNCTION("""COMPUTED_VALUE"""),"Uncle Sams Cider (11/12/2021) (Blue)")</f>
        <v>Uncle Sams Cider (11/12/2021) (Blue)</v>
      </c>
      <c r="H4970" s="19"/>
    </row>
    <row r="4971">
      <c r="A4971" s="9"/>
      <c r="B4971" s="15"/>
      <c r="C4971" s="9">
        <f>IFERROR(__xludf.DUMMYFUNCTION("""COMPUTED_VALUE"""),44553.4128470254)</f>
        <v>44553.41285</v>
      </c>
      <c r="D4971" s="15">
        <f>IFERROR(__xludf.DUMMYFUNCTION("""COMPUTED_VALUE"""),1.011)</f>
        <v>1.011</v>
      </c>
      <c r="E4971" s="16">
        <f>IFERROR(__xludf.DUMMYFUNCTION("""COMPUTED_VALUE"""),62.0)</f>
        <v>62</v>
      </c>
      <c r="F4971" s="19" t="str">
        <f>IFERROR(__xludf.DUMMYFUNCTION("""COMPUTED_VALUE"""),"BLUE")</f>
        <v>BLUE</v>
      </c>
      <c r="G4971" s="20" t="str">
        <f>IFERROR(__xludf.DUMMYFUNCTION("""COMPUTED_VALUE"""),"Uncle Sams Cider (11/12/2021) (Blue)")</f>
        <v>Uncle Sams Cider (11/12/2021) (Blue)</v>
      </c>
      <c r="H4971" s="19"/>
    </row>
    <row r="4972">
      <c r="A4972" s="9"/>
      <c r="B4972" s="15"/>
      <c r="C4972" s="9">
        <f>IFERROR(__xludf.DUMMYFUNCTION("""COMPUTED_VALUE"""),44553.4024264236)</f>
        <v>44553.40243</v>
      </c>
      <c r="D4972" s="15">
        <f>IFERROR(__xludf.DUMMYFUNCTION("""COMPUTED_VALUE"""),1.011)</f>
        <v>1.011</v>
      </c>
      <c r="E4972" s="16">
        <f>IFERROR(__xludf.DUMMYFUNCTION("""COMPUTED_VALUE"""),62.0)</f>
        <v>62</v>
      </c>
      <c r="F4972" s="19" t="str">
        <f>IFERROR(__xludf.DUMMYFUNCTION("""COMPUTED_VALUE"""),"BLUE")</f>
        <v>BLUE</v>
      </c>
      <c r="G4972" s="20" t="str">
        <f>IFERROR(__xludf.DUMMYFUNCTION("""COMPUTED_VALUE"""),"Uncle Sams Cider (11/12/2021) (Blue)")</f>
        <v>Uncle Sams Cider (11/12/2021) (Blue)</v>
      </c>
      <c r="H4972" s="19"/>
    </row>
    <row r="4973">
      <c r="A4973" s="9"/>
      <c r="B4973" s="15"/>
      <c r="C4973" s="9">
        <f>IFERROR(__xludf.DUMMYFUNCTION("""COMPUTED_VALUE"""),44553.3920057754)</f>
        <v>44553.39201</v>
      </c>
      <c r="D4973" s="15">
        <f>IFERROR(__xludf.DUMMYFUNCTION("""COMPUTED_VALUE"""),1.011)</f>
        <v>1.011</v>
      </c>
      <c r="E4973" s="16">
        <f>IFERROR(__xludf.DUMMYFUNCTION("""COMPUTED_VALUE"""),62.0)</f>
        <v>62</v>
      </c>
      <c r="F4973" s="19" t="str">
        <f>IFERROR(__xludf.DUMMYFUNCTION("""COMPUTED_VALUE"""),"BLUE")</f>
        <v>BLUE</v>
      </c>
      <c r="G4973" s="20" t="str">
        <f>IFERROR(__xludf.DUMMYFUNCTION("""COMPUTED_VALUE"""),"Uncle Sams Cider (11/12/2021) (Blue)")</f>
        <v>Uncle Sams Cider (11/12/2021) (Blue)</v>
      </c>
      <c r="H4973" s="19"/>
    </row>
    <row r="4974">
      <c r="A4974" s="9"/>
      <c r="B4974" s="15"/>
      <c r="C4974" s="9">
        <f>IFERROR(__xludf.DUMMYFUNCTION("""COMPUTED_VALUE"""),44553.3815834953)</f>
        <v>44553.38158</v>
      </c>
      <c r="D4974" s="15">
        <f>IFERROR(__xludf.DUMMYFUNCTION("""COMPUTED_VALUE"""),1.011)</f>
        <v>1.011</v>
      </c>
      <c r="E4974" s="16">
        <f>IFERROR(__xludf.DUMMYFUNCTION("""COMPUTED_VALUE"""),62.0)</f>
        <v>62</v>
      </c>
      <c r="F4974" s="19" t="str">
        <f>IFERROR(__xludf.DUMMYFUNCTION("""COMPUTED_VALUE"""),"BLUE")</f>
        <v>BLUE</v>
      </c>
      <c r="G4974" s="20" t="str">
        <f>IFERROR(__xludf.DUMMYFUNCTION("""COMPUTED_VALUE"""),"Uncle Sams Cider (11/12/2021) (Blue)")</f>
        <v>Uncle Sams Cider (11/12/2021) (Blue)</v>
      </c>
      <c r="H4974" s="19"/>
    </row>
    <row r="4975">
      <c r="A4975" s="9"/>
      <c r="B4975" s="15"/>
      <c r="C4975" s="9">
        <f>IFERROR(__xludf.DUMMYFUNCTION("""COMPUTED_VALUE"""),44553.3711518634)</f>
        <v>44553.37115</v>
      </c>
      <c r="D4975" s="15">
        <f>IFERROR(__xludf.DUMMYFUNCTION("""COMPUTED_VALUE"""),1.011)</f>
        <v>1.011</v>
      </c>
      <c r="E4975" s="16">
        <f>IFERROR(__xludf.DUMMYFUNCTION("""COMPUTED_VALUE"""),62.0)</f>
        <v>62</v>
      </c>
      <c r="F4975" s="19" t="str">
        <f>IFERROR(__xludf.DUMMYFUNCTION("""COMPUTED_VALUE"""),"BLUE")</f>
        <v>BLUE</v>
      </c>
      <c r="G4975" s="20" t="str">
        <f>IFERROR(__xludf.DUMMYFUNCTION("""COMPUTED_VALUE"""),"Uncle Sams Cider (11/12/2021) (Blue)")</f>
        <v>Uncle Sams Cider (11/12/2021) (Blue)</v>
      </c>
      <c r="H4975" s="19"/>
    </row>
    <row r="4976">
      <c r="A4976" s="9"/>
      <c r="B4976" s="15"/>
      <c r="C4976" s="9">
        <f>IFERROR(__xludf.DUMMYFUNCTION("""COMPUTED_VALUE"""),44553.3607317013)</f>
        <v>44553.36073</v>
      </c>
      <c r="D4976" s="15">
        <f>IFERROR(__xludf.DUMMYFUNCTION("""COMPUTED_VALUE"""),1.011)</f>
        <v>1.011</v>
      </c>
      <c r="E4976" s="16">
        <f>IFERROR(__xludf.DUMMYFUNCTION("""COMPUTED_VALUE"""),62.0)</f>
        <v>62</v>
      </c>
      <c r="F4976" s="19" t="str">
        <f>IFERROR(__xludf.DUMMYFUNCTION("""COMPUTED_VALUE"""),"BLUE")</f>
        <v>BLUE</v>
      </c>
      <c r="G4976" s="20" t="str">
        <f>IFERROR(__xludf.DUMMYFUNCTION("""COMPUTED_VALUE"""),"Uncle Sams Cider (11/12/2021) (Blue)")</f>
        <v>Uncle Sams Cider (11/12/2021) (Blue)</v>
      </c>
      <c r="H4976" s="19"/>
    </row>
    <row r="4977">
      <c r="A4977" s="9"/>
      <c r="B4977" s="15"/>
      <c r="C4977" s="9">
        <f>IFERROR(__xludf.DUMMYFUNCTION("""COMPUTED_VALUE"""),44553.3503099421)</f>
        <v>44553.35031</v>
      </c>
      <c r="D4977" s="15">
        <f>IFERROR(__xludf.DUMMYFUNCTION("""COMPUTED_VALUE"""),1.011)</f>
        <v>1.011</v>
      </c>
      <c r="E4977" s="16">
        <f>IFERROR(__xludf.DUMMYFUNCTION("""COMPUTED_VALUE"""),62.0)</f>
        <v>62</v>
      </c>
      <c r="F4977" s="19" t="str">
        <f>IFERROR(__xludf.DUMMYFUNCTION("""COMPUTED_VALUE"""),"BLUE")</f>
        <v>BLUE</v>
      </c>
      <c r="G4977" s="20" t="str">
        <f>IFERROR(__xludf.DUMMYFUNCTION("""COMPUTED_VALUE"""),"Uncle Sams Cider (11/12/2021) (Blue)")</f>
        <v>Uncle Sams Cider (11/12/2021) (Blue)</v>
      </c>
      <c r="H4977" s="19"/>
    </row>
    <row r="4978">
      <c r="A4978" s="9"/>
      <c r="B4978" s="15"/>
      <c r="C4978" s="9">
        <f>IFERROR(__xludf.DUMMYFUNCTION("""COMPUTED_VALUE"""),44553.3398893402)</f>
        <v>44553.33989</v>
      </c>
      <c r="D4978" s="15">
        <f>IFERROR(__xludf.DUMMYFUNCTION("""COMPUTED_VALUE"""),1.011)</f>
        <v>1.011</v>
      </c>
      <c r="E4978" s="16">
        <f>IFERROR(__xludf.DUMMYFUNCTION("""COMPUTED_VALUE"""),62.0)</f>
        <v>62</v>
      </c>
      <c r="F4978" s="19" t="str">
        <f>IFERROR(__xludf.DUMMYFUNCTION("""COMPUTED_VALUE"""),"BLUE")</f>
        <v>BLUE</v>
      </c>
      <c r="G4978" s="20" t="str">
        <f>IFERROR(__xludf.DUMMYFUNCTION("""COMPUTED_VALUE"""),"Uncle Sams Cider (11/12/2021) (Blue)")</f>
        <v>Uncle Sams Cider (11/12/2021) (Blue)</v>
      </c>
      <c r="H4978" s="19"/>
    </row>
    <row r="4979">
      <c r="A4979" s="9"/>
      <c r="B4979" s="15"/>
      <c r="C4979" s="9">
        <f>IFERROR(__xludf.DUMMYFUNCTION("""COMPUTED_VALUE"""),44553.3294568518)</f>
        <v>44553.32946</v>
      </c>
      <c r="D4979" s="15">
        <f>IFERROR(__xludf.DUMMYFUNCTION("""COMPUTED_VALUE"""),1.011)</f>
        <v>1.011</v>
      </c>
      <c r="E4979" s="16">
        <f>IFERROR(__xludf.DUMMYFUNCTION("""COMPUTED_VALUE"""),62.0)</f>
        <v>62</v>
      </c>
      <c r="F4979" s="19" t="str">
        <f>IFERROR(__xludf.DUMMYFUNCTION("""COMPUTED_VALUE"""),"BLUE")</f>
        <v>BLUE</v>
      </c>
      <c r="G4979" s="20" t="str">
        <f>IFERROR(__xludf.DUMMYFUNCTION("""COMPUTED_VALUE"""),"Uncle Sams Cider (11/12/2021) (Blue)")</f>
        <v>Uncle Sams Cider (11/12/2021) (Blue)</v>
      </c>
      <c r="H4979" s="19"/>
    </row>
    <row r="4980">
      <c r="A4980" s="9"/>
      <c r="B4980" s="15"/>
      <c r="C4980" s="9">
        <f>IFERROR(__xludf.DUMMYFUNCTION("""COMPUTED_VALUE"""),44553.3190371064)</f>
        <v>44553.31904</v>
      </c>
      <c r="D4980" s="15">
        <f>IFERROR(__xludf.DUMMYFUNCTION("""COMPUTED_VALUE"""),1.011)</f>
        <v>1.011</v>
      </c>
      <c r="E4980" s="16">
        <f>IFERROR(__xludf.DUMMYFUNCTION("""COMPUTED_VALUE"""),62.0)</f>
        <v>62</v>
      </c>
      <c r="F4980" s="19" t="str">
        <f>IFERROR(__xludf.DUMMYFUNCTION("""COMPUTED_VALUE"""),"BLUE")</f>
        <v>BLUE</v>
      </c>
      <c r="G4980" s="20" t="str">
        <f>IFERROR(__xludf.DUMMYFUNCTION("""COMPUTED_VALUE"""),"Uncle Sams Cider (11/12/2021) (Blue)")</f>
        <v>Uncle Sams Cider (11/12/2021) (Blue)</v>
      </c>
      <c r="H4980" s="19"/>
    </row>
    <row r="4981">
      <c r="A4981" s="9"/>
      <c r="B4981" s="15"/>
      <c r="C4981" s="9">
        <f>IFERROR(__xludf.DUMMYFUNCTION("""COMPUTED_VALUE"""),44553.3086175231)</f>
        <v>44553.30862</v>
      </c>
      <c r="D4981" s="15">
        <f>IFERROR(__xludf.DUMMYFUNCTION("""COMPUTED_VALUE"""),1.011)</f>
        <v>1.011</v>
      </c>
      <c r="E4981" s="16">
        <f>IFERROR(__xludf.DUMMYFUNCTION("""COMPUTED_VALUE"""),62.0)</f>
        <v>62</v>
      </c>
      <c r="F4981" s="19" t="str">
        <f>IFERROR(__xludf.DUMMYFUNCTION("""COMPUTED_VALUE"""),"BLUE")</f>
        <v>BLUE</v>
      </c>
      <c r="G4981" s="20" t="str">
        <f>IFERROR(__xludf.DUMMYFUNCTION("""COMPUTED_VALUE"""),"Uncle Sams Cider (11/12/2021) (Blue)")</f>
        <v>Uncle Sams Cider (11/12/2021) (Blue)</v>
      </c>
      <c r="H4981" s="19"/>
    </row>
    <row r="4982">
      <c r="A4982" s="9"/>
      <c r="B4982" s="15"/>
      <c r="C4982" s="9">
        <f>IFERROR(__xludf.DUMMYFUNCTION("""COMPUTED_VALUE"""),44553.2981958912)</f>
        <v>44553.2982</v>
      </c>
      <c r="D4982" s="15">
        <f>IFERROR(__xludf.DUMMYFUNCTION("""COMPUTED_VALUE"""),1.011)</f>
        <v>1.011</v>
      </c>
      <c r="E4982" s="16">
        <f>IFERROR(__xludf.DUMMYFUNCTION("""COMPUTED_VALUE"""),62.0)</f>
        <v>62</v>
      </c>
      <c r="F4982" s="19" t="str">
        <f>IFERROR(__xludf.DUMMYFUNCTION("""COMPUTED_VALUE"""),"BLUE")</f>
        <v>BLUE</v>
      </c>
      <c r="G4982" s="20" t="str">
        <f>IFERROR(__xludf.DUMMYFUNCTION("""COMPUTED_VALUE"""),"Uncle Sams Cider (11/12/2021) (Blue)")</f>
        <v>Uncle Sams Cider (11/12/2021) (Blue)</v>
      </c>
      <c r="H4982" s="19"/>
    </row>
    <row r="4983">
      <c r="A4983" s="9"/>
      <c r="B4983" s="15"/>
      <c r="C4983" s="9">
        <f>IFERROR(__xludf.DUMMYFUNCTION("""COMPUTED_VALUE"""),44553.2877747222)</f>
        <v>44553.28777</v>
      </c>
      <c r="D4983" s="15">
        <f>IFERROR(__xludf.DUMMYFUNCTION("""COMPUTED_VALUE"""),1.011)</f>
        <v>1.011</v>
      </c>
      <c r="E4983" s="16">
        <f>IFERROR(__xludf.DUMMYFUNCTION("""COMPUTED_VALUE"""),62.0)</f>
        <v>62</v>
      </c>
      <c r="F4983" s="19" t="str">
        <f>IFERROR(__xludf.DUMMYFUNCTION("""COMPUTED_VALUE"""),"BLUE")</f>
        <v>BLUE</v>
      </c>
      <c r="G4983" s="20" t="str">
        <f>IFERROR(__xludf.DUMMYFUNCTION("""COMPUTED_VALUE"""),"Uncle Sams Cider (11/12/2021) (Blue)")</f>
        <v>Uncle Sams Cider (11/12/2021) (Blue)</v>
      </c>
      <c r="H4983" s="19"/>
    </row>
    <row r="4984">
      <c r="A4984" s="9"/>
      <c r="B4984" s="15"/>
      <c r="C4984" s="9">
        <f>IFERROR(__xludf.DUMMYFUNCTION("""COMPUTED_VALUE"""),44553.2773533101)</f>
        <v>44553.27735</v>
      </c>
      <c r="D4984" s="15">
        <f>IFERROR(__xludf.DUMMYFUNCTION("""COMPUTED_VALUE"""),1.011)</f>
        <v>1.011</v>
      </c>
      <c r="E4984" s="16">
        <f>IFERROR(__xludf.DUMMYFUNCTION("""COMPUTED_VALUE"""),62.0)</f>
        <v>62</v>
      </c>
      <c r="F4984" s="19" t="str">
        <f>IFERROR(__xludf.DUMMYFUNCTION("""COMPUTED_VALUE"""),"BLUE")</f>
        <v>BLUE</v>
      </c>
      <c r="G4984" s="20" t="str">
        <f>IFERROR(__xludf.DUMMYFUNCTION("""COMPUTED_VALUE"""),"Uncle Sams Cider (11/12/2021) (Blue)")</f>
        <v>Uncle Sams Cider (11/12/2021) (Blue)</v>
      </c>
      <c r="H4984" s="19"/>
    </row>
    <row r="4985">
      <c r="A4985" s="9"/>
      <c r="B4985" s="15"/>
      <c r="C4985" s="9">
        <f>IFERROR(__xludf.DUMMYFUNCTION("""COMPUTED_VALUE"""),44553.2669319212)</f>
        <v>44553.26693</v>
      </c>
      <c r="D4985" s="15">
        <f>IFERROR(__xludf.DUMMYFUNCTION("""COMPUTED_VALUE"""),1.011)</f>
        <v>1.011</v>
      </c>
      <c r="E4985" s="16">
        <f>IFERROR(__xludf.DUMMYFUNCTION("""COMPUTED_VALUE"""),62.0)</f>
        <v>62</v>
      </c>
      <c r="F4985" s="19" t="str">
        <f>IFERROR(__xludf.DUMMYFUNCTION("""COMPUTED_VALUE"""),"BLUE")</f>
        <v>BLUE</v>
      </c>
      <c r="G4985" s="20" t="str">
        <f>IFERROR(__xludf.DUMMYFUNCTION("""COMPUTED_VALUE"""),"Uncle Sams Cider (11/12/2021) (Blue)")</f>
        <v>Uncle Sams Cider (11/12/2021) (Blue)</v>
      </c>
      <c r="H4985" s="19"/>
    </row>
    <row r="4986">
      <c r="A4986" s="9"/>
      <c r="B4986" s="15"/>
      <c r="C4986" s="9">
        <f>IFERROR(__xludf.DUMMYFUNCTION("""COMPUTED_VALUE"""),44553.2565117361)</f>
        <v>44553.25651</v>
      </c>
      <c r="D4986" s="15">
        <f>IFERROR(__xludf.DUMMYFUNCTION("""COMPUTED_VALUE"""),1.011)</f>
        <v>1.011</v>
      </c>
      <c r="E4986" s="16">
        <f>IFERROR(__xludf.DUMMYFUNCTION("""COMPUTED_VALUE"""),62.0)</f>
        <v>62</v>
      </c>
      <c r="F4986" s="19" t="str">
        <f>IFERROR(__xludf.DUMMYFUNCTION("""COMPUTED_VALUE"""),"BLUE")</f>
        <v>BLUE</v>
      </c>
      <c r="G4986" s="20" t="str">
        <f>IFERROR(__xludf.DUMMYFUNCTION("""COMPUTED_VALUE"""),"Uncle Sams Cider (11/12/2021) (Blue)")</f>
        <v>Uncle Sams Cider (11/12/2021) (Blue)</v>
      </c>
      <c r="H4986" s="19"/>
    </row>
    <row r="4987">
      <c r="A4987" s="9"/>
      <c r="B4987" s="15"/>
      <c r="C4987" s="9">
        <f>IFERROR(__xludf.DUMMYFUNCTION("""COMPUTED_VALUE"""),44553.2460895486)</f>
        <v>44553.24609</v>
      </c>
      <c r="D4987" s="15">
        <f>IFERROR(__xludf.DUMMYFUNCTION("""COMPUTED_VALUE"""),1.011)</f>
        <v>1.011</v>
      </c>
      <c r="E4987" s="16">
        <f>IFERROR(__xludf.DUMMYFUNCTION("""COMPUTED_VALUE"""),62.0)</f>
        <v>62</v>
      </c>
      <c r="F4987" s="19" t="str">
        <f>IFERROR(__xludf.DUMMYFUNCTION("""COMPUTED_VALUE"""),"BLUE")</f>
        <v>BLUE</v>
      </c>
      <c r="G4987" s="20" t="str">
        <f>IFERROR(__xludf.DUMMYFUNCTION("""COMPUTED_VALUE"""),"Uncle Sams Cider (11/12/2021) (Blue)")</f>
        <v>Uncle Sams Cider (11/12/2021) (Blue)</v>
      </c>
      <c r="H4987" s="19"/>
    </row>
    <row r="4988">
      <c r="A4988" s="9"/>
      <c r="B4988" s="15"/>
      <c r="C4988" s="9">
        <f>IFERROR(__xludf.DUMMYFUNCTION("""COMPUTED_VALUE"""),44553.2356681365)</f>
        <v>44553.23567</v>
      </c>
      <c r="D4988" s="15">
        <f>IFERROR(__xludf.DUMMYFUNCTION("""COMPUTED_VALUE"""),1.012)</f>
        <v>1.012</v>
      </c>
      <c r="E4988" s="16">
        <f>IFERROR(__xludf.DUMMYFUNCTION("""COMPUTED_VALUE"""),62.0)</f>
        <v>62</v>
      </c>
      <c r="F4988" s="19" t="str">
        <f>IFERROR(__xludf.DUMMYFUNCTION("""COMPUTED_VALUE"""),"BLUE")</f>
        <v>BLUE</v>
      </c>
      <c r="G4988" s="20" t="str">
        <f>IFERROR(__xludf.DUMMYFUNCTION("""COMPUTED_VALUE"""),"Uncle Sams Cider (11/12/2021) (Blue)")</f>
        <v>Uncle Sams Cider (11/12/2021) (Blue)</v>
      </c>
      <c r="H4988" s="19"/>
    </row>
    <row r="4989">
      <c r="A4989" s="9"/>
      <c r="B4989" s="15"/>
      <c r="C4989" s="9">
        <f>IFERROR(__xludf.DUMMYFUNCTION("""COMPUTED_VALUE"""),44553.2252473263)</f>
        <v>44553.22525</v>
      </c>
      <c r="D4989" s="15">
        <f>IFERROR(__xludf.DUMMYFUNCTION("""COMPUTED_VALUE"""),1.011)</f>
        <v>1.011</v>
      </c>
      <c r="E4989" s="16">
        <f>IFERROR(__xludf.DUMMYFUNCTION("""COMPUTED_VALUE"""),62.0)</f>
        <v>62</v>
      </c>
      <c r="F4989" s="19" t="str">
        <f>IFERROR(__xludf.DUMMYFUNCTION("""COMPUTED_VALUE"""),"BLUE")</f>
        <v>BLUE</v>
      </c>
      <c r="G4989" s="20" t="str">
        <f>IFERROR(__xludf.DUMMYFUNCTION("""COMPUTED_VALUE"""),"Uncle Sams Cider (11/12/2021) (Blue)")</f>
        <v>Uncle Sams Cider (11/12/2021) (Blue)</v>
      </c>
      <c r="H4989" s="19"/>
    </row>
    <row r="4990">
      <c r="A4990" s="9"/>
      <c r="B4990" s="15"/>
      <c r="C4990" s="9">
        <f>IFERROR(__xludf.DUMMYFUNCTION("""COMPUTED_VALUE"""),44553.214827662)</f>
        <v>44553.21483</v>
      </c>
      <c r="D4990" s="15">
        <f>IFERROR(__xludf.DUMMYFUNCTION("""COMPUTED_VALUE"""),1.011)</f>
        <v>1.011</v>
      </c>
      <c r="E4990" s="16">
        <f>IFERROR(__xludf.DUMMYFUNCTION("""COMPUTED_VALUE"""),62.0)</f>
        <v>62</v>
      </c>
      <c r="F4990" s="19" t="str">
        <f>IFERROR(__xludf.DUMMYFUNCTION("""COMPUTED_VALUE"""),"BLUE")</f>
        <v>BLUE</v>
      </c>
      <c r="G4990" s="20" t="str">
        <f>IFERROR(__xludf.DUMMYFUNCTION("""COMPUTED_VALUE"""),"Uncle Sams Cider (11/12/2021) (Blue)")</f>
        <v>Uncle Sams Cider (11/12/2021) (Blue)</v>
      </c>
      <c r="H4990" s="19"/>
    </row>
    <row r="4991">
      <c r="A4991" s="9"/>
      <c r="B4991" s="15"/>
      <c r="C4991" s="9">
        <f>IFERROR(__xludf.DUMMYFUNCTION("""COMPUTED_VALUE"""),44553.2044057754)</f>
        <v>44553.20441</v>
      </c>
      <c r="D4991" s="15">
        <f>IFERROR(__xludf.DUMMYFUNCTION("""COMPUTED_VALUE"""),1.011)</f>
        <v>1.011</v>
      </c>
      <c r="E4991" s="16">
        <f>IFERROR(__xludf.DUMMYFUNCTION("""COMPUTED_VALUE"""),62.0)</f>
        <v>62</v>
      </c>
      <c r="F4991" s="19" t="str">
        <f>IFERROR(__xludf.DUMMYFUNCTION("""COMPUTED_VALUE"""),"BLUE")</f>
        <v>BLUE</v>
      </c>
      <c r="G4991" s="20" t="str">
        <f>IFERROR(__xludf.DUMMYFUNCTION("""COMPUTED_VALUE"""),"Uncle Sams Cider (11/12/2021) (Blue)")</f>
        <v>Uncle Sams Cider (11/12/2021) (Blue)</v>
      </c>
      <c r="H4991" s="19"/>
    </row>
    <row r="4992">
      <c r="A4992" s="9"/>
      <c r="B4992" s="15"/>
      <c r="C4992" s="9">
        <f>IFERROR(__xludf.DUMMYFUNCTION("""COMPUTED_VALUE"""),44553.1939837847)</f>
        <v>44553.19398</v>
      </c>
      <c r="D4992" s="15">
        <f>IFERROR(__xludf.DUMMYFUNCTION("""COMPUTED_VALUE"""),1.011)</f>
        <v>1.011</v>
      </c>
      <c r="E4992" s="16">
        <f>IFERROR(__xludf.DUMMYFUNCTION("""COMPUTED_VALUE"""),62.0)</f>
        <v>62</v>
      </c>
      <c r="F4992" s="19" t="str">
        <f>IFERROR(__xludf.DUMMYFUNCTION("""COMPUTED_VALUE"""),"BLUE")</f>
        <v>BLUE</v>
      </c>
      <c r="G4992" s="20" t="str">
        <f>IFERROR(__xludf.DUMMYFUNCTION("""COMPUTED_VALUE"""),"Uncle Sams Cider (11/12/2021) (Blue)")</f>
        <v>Uncle Sams Cider (11/12/2021) (Blue)</v>
      </c>
      <c r="H4992" s="19"/>
    </row>
    <row r="4993">
      <c r="A4993" s="9"/>
      <c r="B4993" s="15"/>
      <c r="C4993" s="9">
        <f>IFERROR(__xludf.DUMMYFUNCTION("""COMPUTED_VALUE"""),44553.1835620949)</f>
        <v>44553.18356</v>
      </c>
      <c r="D4993" s="15">
        <f>IFERROR(__xludf.DUMMYFUNCTION("""COMPUTED_VALUE"""),1.011)</f>
        <v>1.011</v>
      </c>
      <c r="E4993" s="16">
        <f>IFERROR(__xludf.DUMMYFUNCTION("""COMPUTED_VALUE"""),62.0)</f>
        <v>62</v>
      </c>
      <c r="F4993" s="19" t="str">
        <f>IFERROR(__xludf.DUMMYFUNCTION("""COMPUTED_VALUE"""),"BLUE")</f>
        <v>BLUE</v>
      </c>
      <c r="G4993" s="20" t="str">
        <f>IFERROR(__xludf.DUMMYFUNCTION("""COMPUTED_VALUE"""),"Uncle Sams Cider (11/12/2021) (Blue)")</f>
        <v>Uncle Sams Cider (11/12/2021) (Blue)</v>
      </c>
      <c r="H4993" s="19"/>
    </row>
    <row r="4994">
      <c r="A4994" s="9"/>
      <c r="B4994" s="15"/>
      <c r="C4994" s="9">
        <f>IFERROR(__xludf.DUMMYFUNCTION("""COMPUTED_VALUE"""),44553.1731420254)</f>
        <v>44553.17314</v>
      </c>
      <c r="D4994" s="15">
        <f>IFERROR(__xludf.DUMMYFUNCTION("""COMPUTED_VALUE"""),1.011)</f>
        <v>1.011</v>
      </c>
      <c r="E4994" s="16">
        <f>IFERROR(__xludf.DUMMYFUNCTION("""COMPUTED_VALUE"""),62.0)</f>
        <v>62</v>
      </c>
      <c r="F4994" s="19" t="str">
        <f>IFERROR(__xludf.DUMMYFUNCTION("""COMPUTED_VALUE"""),"BLUE")</f>
        <v>BLUE</v>
      </c>
      <c r="G4994" s="20" t="str">
        <f>IFERROR(__xludf.DUMMYFUNCTION("""COMPUTED_VALUE"""),"Uncle Sams Cider (11/12/2021) (Blue)")</f>
        <v>Uncle Sams Cider (11/12/2021) (Blue)</v>
      </c>
      <c r="H4994" s="19"/>
    </row>
    <row r="4995">
      <c r="A4995" s="9"/>
      <c r="B4995" s="15"/>
      <c r="C4995" s="9">
        <f>IFERROR(__xludf.DUMMYFUNCTION("""COMPUTED_VALUE"""),44553.1627206944)</f>
        <v>44553.16272</v>
      </c>
      <c r="D4995" s="15">
        <f>IFERROR(__xludf.DUMMYFUNCTION("""COMPUTED_VALUE"""),1.011)</f>
        <v>1.011</v>
      </c>
      <c r="E4995" s="16">
        <f>IFERROR(__xludf.DUMMYFUNCTION("""COMPUTED_VALUE"""),62.0)</f>
        <v>62</v>
      </c>
      <c r="F4995" s="19" t="str">
        <f>IFERROR(__xludf.DUMMYFUNCTION("""COMPUTED_VALUE"""),"BLUE")</f>
        <v>BLUE</v>
      </c>
      <c r="G4995" s="20" t="str">
        <f>IFERROR(__xludf.DUMMYFUNCTION("""COMPUTED_VALUE"""),"Uncle Sams Cider (11/12/2021) (Blue)")</f>
        <v>Uncle Sams Cider (11/12/2021) (Blue)</v>
      </c>
      <c r="H4995" s="19"/>
    </row>
    <row r="4996">
      <c r="A4996" s="9"/>
      <c r="B4996" s="15"/>
      <c r="C4996" s="9">
        <f>IFERROR(__xludf.DUMMYFUNCTION("""COMPUTED_VALUE"""),44553.1522993055)</f>
        <v>44553.1523</v>
      </c>
      <c r="D4996" s="15">
        <f>IFERROR(__xludf.DUMMYFUNCTION("""COMPUTED_VALUE"""),1.011)</f>
        <v>1.011</v>
      </c>
      <c r="E4996" s="16">
        <f>IFERROR(__xludf.DUMMYFUNCTION("""COMPUTED_VALUE"""),62.0)</f>
        <v>62</v>
      </c>
      <c r="F4996" s="19" t="str">
        <f>IFERROR(__xludf.DUMMYFUNCTION("""COMPUTED_VALUE"""),"BLUE")</f>
        <v>BLUE</v>
      </c>
      <c r="G4996" s="20" t="str">
        <f>IFERROR(__xludf.DUMMYFUNCTION("""COMPUTED_VALUE"""),"Uncle Sams Cider (11/12/2021) (Blue)")</f>
        <v>Uncle Sams Cider (11/12/2021) (Blue)</v>
      </c>
      <c r="H4996" s="19"/>
    </row>
    <row r="4997">
      <c r="A4997" s="9"/>
      <c r="B4997" s="15"/>
      <c r="C4997" s="9">
        <f>IFERROR(__xludf.DUMMYFUNCTION("""COMPUTED_VALUE"""),44553.1418658564)</f>
        <v>44553.14187</v>
      </c>
      <c r="D4997" s="15">
        <f>IFERROR(__xludf.DUMMYFUNCTION("""COMPUTED_VALUE"""),1.011)</f>
        <v>1.011</v>
      </c>
      <c r="E4997" s="16">
        <f>IFERROR(__xludf.DUMMYFUNCTION("""COMPUTED_VALUE"""),62.0)</f>
        <v>62</v>
      </c>
      <c r="F4997" s="19" t="str">
        <f>IFERROR(__xludf.DUMMYFUNCTION("""COMPUTED_VALUE"""),"BLUE")</f>
        <v>BLUE</v>
      </c>
      <c r="G4997" s="20" t="str">
        <f>IFERROR(__xludf.DUMMYFUNCTION("""COMPUTED_VALUE"""),"Uncle Sams Cider (11/12/2021) (Blue)")</f>
        <v>Uncle Sams Cider (11/12/2021) (Blue)</v>
      </c>
      <c r="H4997" s="19"/>
    </row>
    <row r="4998">
      <c r="A4998" s="9"/>
      <c r="B4998" s="15"/>
      <c r="C4998" s="9">
        <f>IFERROR(__xludf.DUMMYFUNCTION("""COMPUTED_VALUE"""),44553.1314324999)</f>
        <v>44553.13143</v>
      </c>
      <c r="D4998" s="15">
        <f>IFERROR(__xludf.DUMMYFUNCTION("""COMPUTED_VALUE"""),1.011)</f>
        <v>1.011</v>
      </c>
      <c r="E4998" s="16">
        <f>IFERROR(__xludf.DUMMYFUNCTION("""COMPUTED_VALUE"""),62.0)</f>
        <v>62</v>
      </c>
      <c r="F4998" s="19" t="str">
        <f>IFERROR(__xludf.DUMMYFUNCTION("""COMPUTED_VALUE"""),"BLUE")</f>
        <v>BLUE</v>
      </c>
      <c r="G4998" s="20" t="str">
        <f>IFERROR(__xludf.DUMMYFUNCTION("""COMPUTED_VALUE"""),"Uncle Sams Cider (11/12/2021) (Blue)")</f>
        <v>Uncle Sams Cider (11/12/2021) (Blue)</v>
      </c>
      <c r="H4998" s="19"/>
    </row>
    <row r="4999">
      <c r="A4999" s="9"/>
      <c r="B4999" s="15"/>
      <c r="C4999" s="9">
        <f>IFERROR(__xludf.DUMMYFUNCTION("""COMPUTED_VALUE"""),44553.12101103)</f>
        <v>44553.12101</v>
      </c>
      <c r="D4999" s="15">
        <f>IFERROR(__xludf.DUMMYFUNCTION("""COMPUTED_VALUE"""),1.011)</f>
        <v>1.011</v>
      </c>
      <c r="E4999" s="16">
        <f>IFERROR(__xludf.DUMMYFUNCTION("""COMPUTED_VALUE"""),62.0)</f>
        <v>62</v>
      </c>
      <c r="F4999" s="19" t="str">
        <f>IFERROR(__xludf.DUMMYFUNCTION("""COMPUTED_VALUE"""),"BLUE")</f>
        <v>BLUE</v>
      </c>
      <c r="G4999" s="20" t="str">
        <f>IFERROR(__xludf.DUMMYFUNCTION("""COMPUTED_VALUE"""),"Uncle Sams Cider (11/12/2021) (Blue)")</f>
        <v>Uncle Sams Cider (11/12/2021) (Blue)</v>
      </c>
      <c r="H4999" s="19"/>
    </row>
    <row r="5000">
      <c r="A5000" s="9"/>
      <c r="B5000" s="15"/>
      <c r="C5000" s="9">
        <f>IFERROR(__xludf.DUMMYFUNCTION("""COMPUTED_VALUE"""),44553.1105902083)</f>
        <v>44553.11059</v>
      </c>
      <c r="D5000" s="15">
        <f>IFERROR(__xludf.DUMMYFUNCTION("""COMPUTED_VALUE"""),1.011)</f>
        <v>1.011</v>
      </c>
      <c r="E5000" s="16">
        <f>IFERROR(__xludf.DUMMYFUNCTION("""COMPUTED_VALUE"""),62.0)</f>
        <v>62</v>
      </c>
      <c r="F5000" s="19" t="str">
        <f>IFERROR(__xludf.DUMMYFUNCTION("""COMPUTED_VALUE"""),"BLUE")</f>
        <v>BLUE</v>
      </c>
      <c r="G5000" s="20" t="str">
        <f>IFERROR(__xludf.DUMMYFUNCTION("""COMPUTED_VALUE"""),"Uncle Sams Cider (11/12/2021) (Blue)")</f>
        <v>Uncle Sams Cider (11/12/2021) (Blue)</v>
      </c>
      <c r="H5000" s="19"/>
    </row>
    <row r="5001">
      <c r="A5001" s="9"/>
      <c r="B5001" s="15"/>
      <c r="C5001" s="9">
        <f>IFERROR(__xludf.DUMMYFUNCTION("""COMPUTED_VALUE"""),44553.100169074)</f>
        <v>44553.10017</v>
      </c>
      <c r="D5001" s="15">
        <f>IFERROR(__xludf.DUMMYFUNCTION("""COMPUTED_VALUE"""),1.011)</f>
        <v>1.011</v>
      </c>
      <c r="E5001" s="16">
        <f>IFERROR(__xludf.DUMMYFUNCTION("""COMPUTED_VALUE"""),62.0)</f>
        <v>62</v>
      </c>
      <c r="F5001" s="19" t="str">
        <f>IFERROR(__xludf.DUMMYFUNCTION("""COMPUTED_VALUE"""),"BLUE")</f>
        <v>BLUE</v>
      </c>
      <c r="G5001" s="20" t="str">
        <f>IFERROR(__xludf.DUMMYFUNCTION("""COMPUTED_VALUE"""),"Uncle Sams Cider (11/12/2021) (Blue)")</f>
        <v>Uncle Sams Cider (11/12/2021) (Blue)</v>
      </c>
      <c r="H5001" s="19"/>
    </row>
    <row r="5002">
      <c r="A5002" s="9"/>
      <c r="B5002" s="15"/>
      <c r="C5002" s="9">
        <f>IFERROR(__xludf.DUMMYFUNCTION("""COMPUTED_VALUE"""),44553.0897479629)</f>
        <v>44553.08975</v>
      </c>
      <c r="D5002" s="15">
        <f>IFERROR(__xludf.DUMMYFUNCTION("""COMPUTED_VALUE"""),1.011)</f>
        <v>1.011</v>
      </c>
      <c r="E5002" s="16">
        <f>IFERROR(__xludf.DUMMYFUNCTION("""COMPUTED_VALUE"""),62.0)</f>
        <v>62</v>
      </c>
      <c r="F5002" s="19" t="str">
        <f>IFERROR(__xludf.DUMMYFUNCTION("""COMPUTED_VALUE"""),"BLUE")</f>
        <v>BLUE</v>
      </c>
      <c r="G5002" s="20" t="str">
        <f>IFERROR(__xludf.DUMMYFUNCTION("""COMPUTED_VALUE"""),"Uncle Sams Cider (11/12/2021) (Blue)")</f>
        <v>Uncle Sams Cider (11/12/2021) (Blue)</v>
      </c>
      <c r="H5002" s="19"/>
    </row>
    <row r="5003">
      <c r="A5003" s="9"/>
      <c r="B5003" s="15"/>
      <c r="C5003" s="9">
        <f>IFERROR(__xludf.DUMMYFUNCTION("""COMPUTED_VALUE"""),44553.0793259375)</f>
        <v>44553.07933</v>
      </c>
      <c r="D5003" s="15">
        <f>IFERROR(__xludf.DUMMYFUNCTION("""COMPUTED_VALUE"""),1.011)</f>
        <v>1.011</v>
      </c>
      <c r="E5003" s="16">
        <f>IFERROR(__xludf.DUMMYFUNCTION("""COMPUTED_VALUE"""),62.0)</f>
        <v>62</v>
      </c>
      <c r="F5003" s="19" t="str">
        <f>IFERROR(__xludf.DUMMYFUNCTION("""COMPUTED_VALUE"""),"BLUE")</f>
        <v>BLUE</v>
      </c>
      <c r="G5003" s="20" t="str">
        <f>IFERROR(__xludf.DUMMYFUNCTION("""COMPUTED_VALUE"""),"Uncle Sams Cider (11/12/2021) (Blue)")</f>
        <v>Uncle Sams Cider (11/12/2021) (Blue)</v>
      </c>
      <c r="H5003" s="19"/>
    </row>
    <row r="5004">
      <c r="A5004" s="9"/>
      <c r="B5004" s="15"/>
      <c r="C5004" s="9">
        <f>IFERROR(__xludf.DUMMYFUNCTION("""COMPUTED_VALUE"""),44553.0689063773)</f>
        <v>44553.06891</v>
      </c>
      <c r="D5004" s="15">
        <f>IFERROR(__xludf.DUMMYFUNCTION("""COMPUTED_VALUE"""),1.012)</f>
        <v>1.012</v>
      </c>
      <c r="E5004" s="16">
        <f>IFERROR(__xludf.DUMMYFUNCTION("""COMPUTED_VALUE"""),62.0)</f>
        <v>62</v>
      </c>
      <c r="F5004" s="19" t="str">
        <f>IFERROR(__xludf.DUMMYFUNCTION("""COMPUTED_VALUE"""),"BLUE")</f>
        <v>BLUE</v>
      </c>
      <c r="G5004" s="20" t="str">
        <f>IFERROR(__xludf.DUMMYFUNCTION("""COMPUTED_VALUE"""),"Uncle Sams Cider (11/12/2021) (Blue)")</f>
        <v>Uncle Sams Cider (11/12/2021) (Blue)</v>
      </c>
      <c r="H5004" s="19"/>
    </row>
    <row r="5005">
      <c r="A5005" s="9"/>
      <c r="B5005" s="15"/>
      <c r="C5005" s="9">
        <f>IFERROR(__xludf.DUMMYFUNCTION("""COMPUTED_VALUE"""),44553.0584732986)</f>
        <v>44553.05847</v>
      </c>
      <c r="D5005" s="15">
        <f>IFERROR(__xludf.DUMMYFUNCTION("""COMPUTED_VALUE"""),1.011)</f>
        <v>1.011</v>
      </c>
      <c r="E5005" s="16">
        <f>IFERROR(__xludf.DUMMYFUNCTION("""COMPUTED_VALUE"""),62.0)</f>
        <v>62</v>
      </c>
      <c r="F5005" s="19" t="str">
        <f>IFERROR(__xludf.DUMMYFUNCTION("""COMPUTED_VALUE"""),"BLUE")</f>
        <v>BLUE</v>
      </c>
      <c r="G5005" s="20" t="str">
        <f>IFERROR(__xludf.DUMMYFUNCTION("""COMPUTED_VALUE"""),"Uncle Sams Cider (11/12/2021) (Blue)")</f>
        <v>Uncle Sams Cider (11/12/2021) (Blue)</v>
      </c>
      <c r="H5005" s="19"/>
    </row>
    <row r="5006">
      <c r="A5006" s="9"/>
      <c r="B5006" s="15"/>
      <c r="C5006" s="9">
        <f>IFERROR(__xludf.DUMMYFUNCTION("""COMPUTED_VALUE"""),44553.0480531712)</f>
        <v>44553.04805</v>
      </c>
      <c r="D5006" s="15">
        <f>IFERROR(__xludf.DUMMYFUNCTION("""COMPUTED_VALUE"""),1.012)</f>
        <v>1.012</v>
      </c>
      <c r="E5006" s="16">
        <f>IFERROR(__xludf.DUMMYFUNCTION("""COMPUTED_VALUE"""),62.0)</f>
        <v>62</v>
      </c>
      <c r="F5006" s="19" t="str">
        <f>IFERROR(__xludf.DUMMYFUNCTION("""COMPUTED_VALUE"""),"BLUE")</f>
        <v>BLUE</v>
      </c>
      <c r="G5006" s="20" t="str">
        <f>IFERROR(__xludf.DUMMYFUNCTION("""COMPUTED_VALUE"""),"Uncle Sams Cider (11/12/2021) (Blue)")</f>
        <v>Uncle Sams Cider (11/12/2021) (Blue)</v>
      </c>
      <c r="H5006" s="19"/>
    </row>
    <row r="5007">
      <c r="A5007" s="9"/>
      <c r="B5007" s="15"/>
      <c r="C5007" s="9">
        <f>IFERROR(__xludf.DUMMYFUNCTION("""COMPUTED_VALUE"""),44553.0376318171)</f>
        <v>44553.03763</v>
      </c>
      <c r="D5007" s="15">
        <f>IFERROR(__xludf.DUMMYFUNCTION("""COMPUTED_VALUE"""),1.011)</f>
        <v>1.011</v>
      </c>
      <c r="E5007" s="16">
        <f>IFERROR(__xludf.DUMMYFUNCTION("""COMPUTED_VALUE"""),62.0)</f>
        <v>62</v>
      </c>
      <c r="F5007" s="19" t="str">
        <f>IFERROR(__xludf.DUMMYFUNCTION("""COMPUTED_VALUE"""),"BLUE")</f>
        <v>BLUE</v>
      </c>
      <c r="G5007" s="20" t="str">
        <f>IFERROR(__xludf.DUMMYFUNCTION("""COMPUTED_VALUE"""),"Uncle Sams Cider (11/12/2021) (Blue)")</f>
        <v>Uncle Sams Cider (11/12/2021) (Blue)</v>
      </c>
      <c r="H5007" s="19"/>
    </row>
    <row r="5008">
      <c r="A5008" s="9"/>
      <c r="B5008" s="15"/>
      <c r="C5008" s="9">
        <f>IFERROR(__xludf.DUMMYFUNCTION("""COMPUTED_VALUE"""),44553.0272104166)</f>
        <v>44553.02721</v>
      </c>
      <c r="D5008" s="15">
        <f>IFERROR(__xludf.DUMMYFUNCTION("""COMPUTED_VALUE"""),1.011)</f>
        <v>1.011</v>
      </c>
      <c r="E5008" s="16">
        <f>IFERROR(__xludf.DUMMYFUNCTION("""COMPUTED_VALUE"""),62.0)</f>
        <v>62</v>
      </c>
      <c r="F5008" s="19" t="str">
        <f>IFERROR(__xludf.DUMMYFUNCTION("""COMPUTED_VALUE"""),"BLUE")</f>
        <v>BLUE</v>
      </c>
      <c r="G5008" s="20" t="str">
        <f>IFERROR(__xludf.DUMMYFUNCTION("""COMPUTED_VALUE"""),"Uncle Sams Cider (11/12/2021) (Blue)")</f>
        <v>Uncle Sams Cider (11/12/2021) (Blue)</v>
      </c>
      <c r="H5008" s="19"/>
    </row>
    <row r="5009">
      <c r="A5009" s="9"/>
      <c r="B5009" s="15"/>
      <c r="C5009" s="9">
        <f>IFERROR(__xludf.DUMMYFUNCTION("""COMPUTED_VALUE"""),44553.0167878125)</f>
        <v>44553.01679</v>
      </c>
      <c r="D5009" s="15">
        <f>IFERROR(__xludf.DUMMYFUNCTION("""COMPUTED_VALUE"""),1.011)</f>
        <v>1.011</v>
      </c>
      <c r="E5009" s="16">
        <f>IFERROR(__xludf.DUMMYFUNCTION("""COMPUTED_VALUE"""),62.0)</f>
        <v>62</v>
      </c>
      <c r="F5009" s="19" t="str">
        <f>IFERROR(__xludf.DUMMYFUNCTION("""COMPUTED_VALUE"""),"BLUE")</f>
        <v>BLUE</v>
      </c>
      <c r="G5009" s="20" t="str">
        <f>IFERROR(__xludf.DUMMYFUNCTION("""COMPUTED_VALUE"""),"Uncle Sams Cider (11/12/2021) (Blue)")</f>
        <v>Uncle Sams Cider (11/12/2021) (Blue)</v>
      </c>
      <c r="H5009" s="19"/>
    </row>
    <row r="5010">
      <c r="A5010" s="9"/>
      <c r="B5010" s="15"/>
      <c r="C5010" s="9">
        <f>IFERROR(__xludf.DUMMYFUNCTION("""COMPUTED_VALUE"""),44553.0063648726)</f>
        <v>44553.00636</v>
      </c>
      <c r="D5010" s="15">
        <f>IFERROR(__xludf.DUMMYFUNCTION("""COMPUTED_VALUE"""),1.011)</f>
        <v>1.011</v>
      </c>
      <c r="E5010" s="16">
        <f>IFERROR(__xludf.DUMMYFUNCTION("""COMPUTED_VALUE"""),62.0)</f>
        <v>62</v>
      </c>
      <c r="F5010" s="19" t="str">
        <f>IFERROR(__xludf.DUMMYFUNCTION("""COMPUTED_VALUE"""),"BLUE")</f>
        <v>BLUE</v>
      </c>
      <c r="G5010" s="20" t="str">
        <f>IFERROR(__xludf.DUMMYFUNCTION("""COMPUTED_VALUE"""),"Uncle Sams Cider (11/12/2021) (Blue)")</f>
        <v>Uncle Sams Cider (11/12/2021) (Blue)</v>
      </c>
      <c r="H5010" s="19"/>
    </row>
    <row r="5011">
      <c r="A5011" s="9"/>
      <c r="B5011" s="15"/>
      <c r="C5011" s="9">
        <f>IFERROR(__xludf.DUMMYFUNCTION("""COMPUTED_VALUE"""),44552.9959196643)</f>
        <v>44552.99592</v>
      </c>
      <c r="D5011" s="15">
        <f>IFERROR(__xludf.DUMMYFUNCTION("""COMPUTED_VALUE"""),1.011)</f>
        <v>1.011</v>
      </c>
      <c r="E5011" s="16">
        <f>IFERROR(__xludf.DUMMYFUNCTION("""COMPUTED_VALUE"""),62.0)</f>
        <v>62</v>
      </c>
      <c r="F5011" s="19" t="str">
        <f>IFERROR(__xludf.DUMMYFUNCTION("""COMPUTED_VALUE"""),"BLUE")</f>
        <v>BLUE</v>
      </c>
      <c r="G5011" s="20" t="str">
        <f>IFERROR(__xludf.DUMMYFUNCTION("""COMPUTED_VALUE"""),"Uncle Sams Cider (11/12/2021) (Blue)")</f>
        <v>Uncle Sams Cider (11/12/2021) (Blue)</v>
      </c>
      <c r="H5011" s="19"/>
    </row>
    <row r="5012">
      <c r="A5012" s="9"/>
      <c r="B5012" s="15"/>
      <c r="C5012" s="9">
        <f>IFERROR(__xludf.DUMMYFUNCTION("""COMPUTED_VALUE"""),44552.9854987615)</f>
        <v>44552.9855</v>
      </c>
      <c r="D5012" s="15">
        <f>IFERROR(__xludf.DUMMYFUNCTION("""COMPUTED_VALUE"""),1.012)</f>
        <v>1.012</v>
      </c>
      <c r="E5012" s="16">
        <f>IFERROR(__xludf.DUMMYFUNCTION("""COMPUTED_VALUE"""),62.0)</f>
        <v>62</v>
      </c>
      <c r="F5012" s="19" t="str">
        <f>IFERROR(__xludf.DUMMYFUNCTION("""COMPUTED_VALUE"""),"BLUE")</f>
        <v>BLUE</v>
      </c>
      <c r="G5012" s="20" t="str">
        <f>IFERROR(__xludf.DUMMYFUNCTION("""COMPUTED_VALUE"""),"Uncle Sams Cider (11/12/2021) (Blue)")</f>
        <v>Uncle Sams Cider (11/12/2021) (Blue)</v>
      </c>
      <c r="H5012" s="19"/>
    </row>
    <row r="5013">
      <c r="A5013" s="9"/>
      <c r="B5013" s="15"/>
      <c r="C5013" s="9">
        <f>IFERROR(__xludf.DUMMYFUNCTION("""COMPUTED_VALUE"""),44552.975063912)</f>
        <v>44552.97506</v>
      </c>
      <c r="D5013" s="15">
        <f>IFERROR(__xludf.DUMMYFUNCTION("""COMPUTED_VALUE"""),1.012)</f>
        <v>1.012</v>
      </c>
      <c r="E5013" s="16">
        <f>IFERROR(__xludf.DUMMYFUNCTION("""COMPUTED_VALUE"""),62.0)</f>
        <v>62</v>
      </c>
      <c r="F5013" s="19" t="str">
        <f>IFERROR(__xludf.DUMMYFUNCTION("""COMPUTED_VALUE"""),"BLUE")</f>
        <v>BLUE</v>
      </c>
      <c r="G5013" s="20" t="str">
        <f>IFERROR(__xludf.DUMMYFUNCTION("""COMPUTED_VALUE"""),"Uncle Sams Cider (11/12/2021) (Blue)")</f>
        <v>Uncle Sams Cider (11/12/2021) (Blue)</v>
      </c>
      <c r="H5013" s="19"/>
    </row>
    <row r="5014">
      <c r="A5014" s="9"/>
      <c r="B5014" s="15"/>
      <c r="C5014" s="9">
        <f>IFERROR(__xludf.DUMMYFUNCTION("""COMPUTED_VALUE"""),44552.9646419444)</f>
        <v>44552.96464</v>
      </c>
      <c r="D5014" s="15">
        <f>IFERROR(__xludf.DUMMYFUNCTION("""COMPUTED_VALUE"""),1.011)</f>
        <v>1.011</v>
      </c>
      <c r="E5014" s="16">
        <f>IFERROR(__xludf.DUMMYFUNCTION("""COMPUTED_VALUE"""),62.0)</f>
        <v>62</v>
      </c>
      <c r="F5014" s="19" t="str">
        <f>IFERROR(__xludf.DUMMYFUNCTION("""COMPUTED_VALUE"""),"BLUE")</f>
        <v>BLUE</v>
      </c>
      <c r="G5014" s="20" t="str">
        <f>IFERROR(__xludf.DUMMYFUNCTION("""COMPUTED_VALUE"""),"Uncle Sams Cider (11/12/2021) (Blue)")</f>
        <v>Uncle Sams Cider (11/12/2021) (Blue)</v>
      </c>
      <c r="H5014" s="19"/>
    </row>
    <row r="5015">
      <c r="A5015" s="9"/>
      <c r="B5015" s="15"/>
      <c r="C5015" s="9">
        <f>IFERROR(__xludf.DUMMYFUNCTION("""COMPUTED_VALUE"""),44552.9542203819)</f>
        <v>44552.95422</v>
      </c>
      <c r="D5015" s="15">
        <f>IFERROR(__xludf.DUMMYFUNCTION("""COMPUTED_VALUE"""),1.012)</f>
        <v>1.012</v>
      </c>
      <c r="E5015" s="16">
        <f>IFERROR(__xludf.DUMMYFUNCTION("""COMPUTED_VALUE"""),62.0)</f>
        <v>62</v>
      </c>
      <c r="F5015" s="19" t="str">
        <f>IFERROR(__xludf.DUMMYFUNCTION("""COMPUTED_VALUE"""),"BLUE")</f>
        <v>BLUE</v>
      </c>
      <c r="G5015" s="20" t="str">
        <f>IFERROR(__xludf.DUMMYFUNCTION("""COMPUTED_VALUE"""),"Uncle Sams Cider (11/12/2021) (Blue)")</f>
        <v>Uncle Sams Cider (11/12/2021) (Blue)</v>
      </c>
      <c r="H5015" s="19"/>
    </row>
    <row r="5016">
      <c r="A5016" s="9"/>
      <c r="B5016" s="15"/>
      <c r="C5016" s="9">
        <f>IFERROR(__xludf.DUMMYFUNCTION("""COMPUTED_VALUE"""),44552.9437998611)</f>
        <v>44552.9438</v>
      </c>
      <c r="D5016" s="15">
        <f>IFERROR(__xludf.DUMMYFUNCTION("""COMPUTED_VALUE"""),1.011)</f>
        <v>1.011</v>
      </c>
      <c r="E5016" s="16">
        <f>IFERROR(__xludf.DUMMYFUNCTION("""COMPUTED_VALUE"""),62.0)</f>
        <v>62</v>
      </c>
      <c r="F5016" s="19" t="str">
        <f>IFERROR(__xludf.DUMMYFUNCTION("""COMPUTED_VALUE"""),"BLUE")</f>
        <v>BLUE</v>
      </c>
      <c r="G5016" s="20" t="str">
        <f>IFERROR(__xludf.DUMMYFUNCTION("""COMPUTED_VALUE"""),"Uncle Sams Cider (11/12/2021) (Blue)")</f>
        <v>Uncle Sams Cider (11/12/2021) (Blue)</v>
      </c>
      <c r="H5016" s="19"/>
    </row>
    <row r="5017">
      <c r="A5017" s="9"/>
      <c r="B5017" s="15"/>
      <c r="C5017" s="9">
        <f>IFERROR(__xludf.DUMMYFUNCTION("""COMPUTED_VALUE"""),44552.9333787268)</f>
        <v>44552.93338</v>
      </c>
      <c r="D5017" s="15">
        <f>IFERROR(__xludf.DUMMYFUNCTION("""COMPUTED_VALUE"""),1.011)</f>
        <v>1.011</v>
      </c>
      <c r="E5017" s="16">
        <f>IFERROR(__xludf.DUMMYFUNCTION("""COMPUTED_VALUE"""),62.0)</f>
        <v>62</v>
      </c>
      <c r="F5017" s="19" t="str">
        <f>IFERROR(__xludf.DUMMYFUNCTION("""COMPUTED_VALUE"""),"BLUE")</f>
        <v>BLUE</v>
      </c>
      <c r="G5017" s="20" t="str">
        <f>IFERROR(__xludf.DUMMYFUNCTION("""COMPUTED_VALUE"""),"Uncle Sams Cider (11/12/2021) (Blue)")</f>
        <v>Uncle Sams Cider (11/12/2021) (Blue)</v>
      </c>
      <c r="H5017" s="19"/>
    </row>
    <row r="5018">
      <c r="A5018" s="9"/>
      <c r="B5018" s="15"/>
      <c r="C5018" s="9">
        <f>IFERROR(__xludf.DUMMYFUNCTION("""COMPUTED_VALUE"""),44552.922958206)</f>
        <v>44552.92296</v>
      </c>
      <c r="D5018" s="15">
        <f>IFERROR(__xludf.DUMMYFUNCTION("""COMPUTED_VALUE"""),1.011)</f>
        <v>1.011</v>
      </c>
      <c r="E5018" s="16">
        <f>IFERROR(__xludf.DUMMYFUNCTION("""COMPUTED_VALUE"""),62.0)</f>
        <v>62</v>
      </c>
      <c r="F5018" s="19" t="str">
        <f>IFERROR(__xludf.DUMMYFUNCTION("""COMPUTED_VALUE"""),"BLUE")</f>
        <v>BLUE</v>
      </c>
      <c r="G5018" s="20" t="str">
        <f>IFERROR(__xludf.DUMMYFUNCTION("""COMPUTED_VALUE"""),"Uncle Sams Cider (11/12/2021) (Blue)")</f>
        <v>Uncle Sams Cider (11/12/2021) (Blue)</v>
      </c>
      <c r="H5018" s="19"/>
    </row>
    <row r="5019">
      <c r="A5019" s="9"/>
      <c r="B5019" s="15"/>
      <c r="C5019" s="9">
        <f>IFERROR(__xludf.DUMMYFUNCTION("""COMPUTED_VALUE"""),44552.9125245601)</f>
        <v>44552.91252</v>
      </c>
      <c r="D5019" s="15">
        <f>IFERROR(__xludf.DUMMYFUNCTION("""COMPUTED_VALUE"""),1.011)</f>
        <v>1.011</v>
      </c>
      <c r="E5019" s="16">
        <f>IFERROR(__xludf.DUMMYFUNCTION("""COMPUTED_VALUE"""),62.0)</f>
        <v>62</v>
      </c>
      <c r="F5019" s="19" t="str">
        <f>IFERROR(__xludf.DUMMYFUNCTION("""COMPUTED_VALUE"""),"BLUE")</f>
        <v>BLUE</v>
      </c>
      <c r="G5019" s="20" t="str">
        <f>IFERROR(__xludf.DUMMYFUNCTION("""COMPUTED_VALUE"""),"Uncle Sams Cider (11/12/2021) (Blue)")</f>
        <v>Uncle Sams Cider (11/12/2021) (Blue)</v>
      </c>
      <c r="H5019" s="19"/>
    </row>
    <row r="5020">
      <c r="A5020" s="9"/>
      <c r="B5020" s="15"/>
      <c r="C5020" s="9">
        <f>IFERROR(__xludf.DUMMYFUNCTION("""COMPUTED_VALUE"""),44552.9021048611)</f>
        <v>44552.9021</v>
      </c>
      <c r="D5020" s="15">
        <f>IFERROR(__xludf.DUMMYFUNCTION("""COMPUTED_VALUE"""),1.011)</f>
        <v>1.011</v>
      </c>
      <c r="E5020" s="16">
        <f>IFERROR(__xludf.DUMMYFUNCTION("""COMPUTED_VALUE"""),62.0)</f>
        <v>62</v>
      </c>
      <c r="F5020" s="19" t="str">
        <f>IFERROR(__xludf.DUMMYFUNCTION("""COMPUTED_VALUE"""),"BLUE")</f>
        <v>BLUE</v>
      </c>
      <c r="G5020" s="20" t="str">
        <f>IFERROR(__xludf.DUMMYFUNCTION("""COMPUTED_VALUE"""),"Uncle Sams Cider (11/12/2021) (Blue)")</f>
        <v>Uncle Sams Cider (11/12/2021) (Blue)</v>
      </c>
      <c r="H5020" s="19"/>
    </row>
    <row r="5021">
      <c r="A5021" s="9"/>
      <c r="B5021" s="15"/>
      <c r="C5021" s="9">
        <f>IFERROR(__xludf.DUMMYFUNCTION("""COMPUTED_VALUE"""),44552.8916722569)</f>
        <v>44552.89167</v>
      </c>
      <c r="D5021" s="15">
        <f>IFERROR(__xludf.DUMMYFUNCTION("""COMPUTED_VALUE"""),1.011)</f>
        <v>1.011</v>
      </c>
      <c r="E5021" s="16">
        <f>IFERROR(__xludf.DUMMYFUNCTION("""COMPUTED_VALUE"""),62.0)</f>
        <v>62</v>
      </c>
      <c r="F5021" s="19" t="str">
        <f>IFERROR(__xludf.DUMMYFUNCTION("""COMPUTED_VALUE"""),"BLUE")</f>
        <v>BLUE</v>
      </c>
      <c r="G5021" s="20" t="str">
        <f>IFERROR(__xludf.DUMMYFUNCTION("""COMPUTED_VALUE"""),"Uncle Sams Cider (11/12/2021) (Blue)")</f>
        <v>Uncle Sams Cider (11/12/2021) (Blue)</v>
      </c>
      <c r="H5021" s="19"/>
    </row>
    <row r="5022">
      <c r="A5022" s="9"/>
      <c r="B5022" s="15"/>
      <c r="C5022" s="9">
        <f>IFERROR(__xludf.DUMMYFUNCTION("""COMPUTED_VALUE"""),44552.8812404282)</f>
        <v>44552.88124</v>
      </c>
      <c r="D5022" s="15">
        <f>IFERROR(__xludf.DUMMYFUNCTION("""COMPUTED_VALUE"""),1.012)</f>
        <v>1.012</v>
      </c>
      <c r="E5022" s="16">
        <f>IFERROR(__xludf.DUMMYFUNCTION("""COMPUTED_VALUE"""),62.0)</f>
        <v>62</v>
      </c>
      <c r="F5022" s="19" t="str">
        <f>IFERROR(__xludf.DUMMYFUNCTION("""COMPUTED_VALUE"""),"BLUE")</f>
        <v>BLUE</v>
      </c>
      <c r="G5022" s="20" t="str">
        <f>IFERROR(__xludf.DUMMYFUNCTION("""COMPUTED_VALUE"""),"Uncle Sams Cider (11/12/2021) (Blue)")</f>
        <v>Uncle Sams Cider (11/12/2021) (Blue)</v>
      </c>
      <c r="H5022" s="19"/>
    </row>
    <row r="5023">
      <c r="A5023" s="9"/>
      <c r="B5023" s="15"/>
      <c r="C5023" s="9">
        <f>IFERROR(__xludf.DUMMYFUNCTION("""COMPUTED_VALUE"""),44552.8708173263)</f>
        <v>44552.87082</v>
      </c>
      <c r="D5023" s="15">
        <f>IFERROR(__xludf.DUMMYFUNCTION("""COMPUTED_VALUE"""),1.012)</f>
        <v>1.012</v>
      </c>
      <c r="E5023" s="16">
        <f>IFERROR(__xludf.DUMMYFUNCTION("""COMPUTED_VALUE"""),62.0)</f>
        <v>62</v>
      </c>
      <c r="F5023" s="19" t="str">
        <f>IFERROR(__xludf.DUMMYFUNCTION("""COMPUTED_VALUE"""),"BLUE")</f>
        <v>BLUE</v>
      </c>
      <c r="G5023" s="20" t="str">
        <f>IFERROR(__xludf.DUMMYFUNCTION("""COMPUTED_VALUE"""),"Uncle Sams Cider (11/12/2021) (Blue)")</f>
        <v>Uncle Sams Cider (11/12/2021) (Blue)</v>
      </c>
      <c r="H5023" s="19"/>
    </row>
    <row r="5024">
      <c r="A5024" s="9"/>
      <c r="B5024" s="15"/>
      <c r="C5024" s="9">
        <f>IFERROR(__xludf.DUMMYFUNCTION("""COMPUTED_VALUE"""),44552.8603709953)</f>
        <v>44552.86037</v>
      </c>
      <c r="D5024" s="15">
        <f>IFERROR(__xludf.DUMMYFUNCTION("""COMPUTED_VALUE"""),1.011)</f>
        <v>1.011</v>
      </c>
      <c r="E5024" s="16">
        <f>IFERROR(__xludf.DUMMYFUNCTION("""COMPUTED_VALUE"""),62.0)</f>
        <v>62</v>
      </c>
      <c r="F5024" s="19" t="str">
        <f>IFERROR(__xludf.DUMMYFUNCTION("""COMPUTED_VALUE"""),"BLUE")</f>
        <v>BLUE</v>
      </c>
      <c r="G5024" s="20" t="str">
        <f>IFERROR(__xludf.DUMMYFUNCTION("""COMPUTED_VALUE"""),"Uncle Sams Cider (11/12/2021) (Blue)")</f>
        <v>Uncle Sams Cider (11/12/2021) (Blue)</v>
      </c>
      <c r="H5024" s="19"/>
    </row>
    <row r="5025">
      <c r="A5025" s="9"/>
      <c r="B5025" s="15"/>
      <c r="C5025" s="9">
        <f>IFERROR(__xludf.DUMMYFUNCTION("""COMPUTED_VALUE"""),44552.8499477777)</f>
        <v>44552.84995</v>
      </c>
      <c r="D5025" s="15">
        <f>IFERROR(__xludf.DUMMYFUNCTION("""COMPUTED_VALUE"""),1.011)</f>
        <v>1.011</v>
      </c>
      <c r="E5025" s="16">
        <f>IFERROR(__xludf.DUMMYFUNCTION("""COMPUTED_VALUE"""),62.0)</f>
        <v>62</v>
      </c>
      <c r="F5025" s="19" t="str">
        <f>IFERROR(__xludf.DUMMYFUNCTION("""COMPUTED_VALUE"""),"BLUE")</f>
        <v>BLUE</v>
      </c>
      <c r="G5025" s="20" t="str">
        <f>IFERROR(__xludf.DUMMYFUNCTION("""COMPUTED_VALUE"""),"Uncle Sams Cider (11/12/2021) (Blue)")</f>
        <v>Uncle Sams Cider (11/12/2021) (Blue)</v>
      </c>
      <c r="H5025" s="19"/>
    </row>
    <row r="5026">
      <c r="A5026" s="9"/>
      <c r="B5026" s="15"/>
      <c r="C5026" s="9">
        <f>IFERROR(__xludf.DUMMYFUNCTION("""COMPUTED_VALUE"""),44552.839525868)</f>
        <v>44552.83953</v>
      </c>
      <c r="D5026" s="15">
        <f>IFERROR(__xludf.DUMMYFUNCTION("""COMPUTED_VALUE"""),1.011)</f>
        <v>1.011</v>
      </c>
      <c r="E5026" s="16">
        <f>IFERROR(__xludf.DUMMYFUNCTION("""COMPUTED_VALUE"""),62.0)</f>
        <v>62</v>
      </c>
      <c r="F5026" s="19" t="str">
        <f>IFERROR(__xludf.DUMMYFUNCTION("""COMPUTED_VALUE"""),"BLUE")</f>
        <v>BLUE</v>
      </c>
      <c r="G5026" s="20" t="str">
        <f>IFERROR(__xludf.DUMMYFUNCTION("""COMPUTED_VALUE"""),"Uncle Sams Cider (11/12/2021) (Blue)")</f>
        <v>Uncle Sams Cider (11/12/2021) (Blue)</v>
      </c>
      <c r="H5026" s="19"/>
    </row>
    <row r="5027">
      <c r="A5027" s="9"/>
      <c r="B5027" s="15"/>
      <c r="C5027" s="9">
        <f>IFERROR(__xludf.DUMMYFUNCTION("""COMPUTED_VALUE"""),44552.8291042476)</f>
        <v>44552.8291</v>
      </c>
      <c r="D5027" s="15">
        <f>IFERROR(__xludf.DUMMYFUNCTION("""COMPUTED_VALUE"""),1.012)</f>
        <v>1.012</v>
      </c>
      <c r="E5027" s="16">
        <f>IFERROR(__xludf.DUMMYFUNCTION("""COMPUTED_VALUE"""),62.0)</f>
        <v>62</v>
      </c>
      <c r="F5027" s="19" t="str">
        <f>IFERROR(__xludf.DUMMYFUNCTION("""COMPUTED_VALUE"""),"BLUE")</f>
        <v>BLUE</v>
      </c>
      <c r="G5027" s="20" t="str">
        <f>IFERROR(__xludf.DUMMYFUNCTION("""COMPUTED_VALUE"""),"Uncle Sams Cider (11/12/2021) (Blue)")</f>
        <v>Uncle Sams Cider (11/12/2021) (Blue)</v>
      </c>
      <c r="H5027" s="19"/>
    </row>
    <row r="5028">
      <c r="A5028" s="9"/>
      <c r="B5028" s="15"/>
      <c r="C5028" s="9">
        <f>IFERROR(__xludf.DUMMYFUNCTION("""COMPUTED_VALUE"""),44552.8186841782)</f>
        <v>44552.81868</v>
      </c>
      <c r="D5028" s="15">
        <f>IFERROR(__xludf.DUMMYFUNCTION("""COMPUTED_VALUE"""),1.012)</f>
        <v>1.012</v>
      </c>
      <c r="E5028" s="16">
        <f>IFERROR(__xludf.DUMMYFUNCTION("""COMPUTED_VALUE"""),62.0)</f>
        <v>62</v>
      </c>
      <c r="F5028" s="19" t="str">
        <f>IFERROR(__xludf.DUMMYFUNCTION("""COMPUTED_VALUE"""),"BLUE")</f>
        <v>BLUE</v>
      </c>
      <c r="G5028" s="20" t="str">
        <f>IFERROR(__xludf.DUMMYFUNCTION("""COMPUTED_VALUE"""),"Uncle Sams Cider (11/12/2021) (Blue)")</f>
        <v>Uncle Sams Cider (11/12/2021) (Blue)</v>
      </c>
      <c r="H5028" s="19"/>
    </row>
    <row r="5029">
      <c r="A5029" s="9"/>
      <c r="B5029" s="15"/>
      <c r="C5029" s="9">
        <f>IFERROR(__xludf.DUMMYFUNCTION("""COMPUTED_VALUE"""),44552.8082517708)</f>
        <v>44552.80825</v>
      </c>
      <c r="D5029" s="15">
        <f>IFERROR(__xludf.DUMMYFUNCTION("""COMPUTED_VALUE"""),1.011)</f>
        <v>1.011</v>
      </c>
      <c r="E5029" s="16">
        <f>IFERROR(__xludf.DUMMYFUNCTION("""COMPUTED_VALUE"""),62.0)</f>
        <v>62</v>
      </c>
      <c r="F5029" s="19" t="str">
        <f>IFERROR(__xludf.DUMMYFUNCTION("""COMPUTED_VALUE"""),"BLUE")</f>
        <v>BLUE</v>
      </c>
      <c r="G5029" s="20" t="str">
        <f>IFERROR(__xludf.DUMMYFUNCTION("""COMPUTED_VALUE"""),"Uncle Sams Cider (11/12/2021) (Blue)")</f>
        <v>Uncle Sams Cider (11/12/2021) (Blue)</v>
      </c>
      <c r="H5029" s="19"/>
    </row>
    <row r="5030">
      <c r="A5030" s="9"/>
      <c r="B5030" s="15"/>
      <c r="C5030" s="9">
        <f>IFERROR(__xludf.DUMMYFUNCTION("""COMPUTED_VALUE"""),44552.7978078819)</f>
        <v>44552.79781</v>
      </c>
      <c r="D5030" s="15">
        <f>IFERROR(__xludf.DUMMYFUNCTION("""COMPUTED_VALUE"""),1.011)</f>
        <v>1.011</v>
      </c>
      <c r="E5030" s="16">
        <f>IFERROR(__xludf.DUMMYFUNCTION("""COMPUTED_VALUE"""),62.0)</f>
        <v>62</v>
      </c>
      <c r="F5030" s="19" t="str">
        <f>IFERROR(__xludf.DUMMYFUNCTION("""COMPUTED_VALUE"""),"BLUE")</f>
        <v>BLUE</v>
      </c>
      <c r="G5030" s="20" t="str">
        <f>IFERROR(__xludf.DUMMYFUNCTION("""COMPUTED_VALUE"""),"Uncle Sams Cider (11/12/2021) (Blue)")</f>
        <v>Uncle Sams Cider (11/12/2021) (Blue)</v>
      </c>
      <c r="H5030" s="19"/>
    </row>
    <row r="5031">
      <c r="A5031" s="9"/>
      <c r="B5031" s="15"/>
      <c r="C5031" s="9">
        <f>IFERROR(__xludf.DUMMYFUNCTION("""COMPUTED_VALUE"""),44552.787385162)</f>
        <v>44552.78739</v>
      </c>
      <c r="D5031" s="15">
        <f>IFERROR(__xludf.DUMMYFUNCTION("""COMPUTED_VALUE"""),1.012)</f>
        <v>1.012</v>
      </c>
      <c r="E5031" s="16">
        <f>IFERROR(__xludf.DUMMYFUNCTION("""COMPUTED_VALUE"""),62.0)</f>
        <v>62</v>
      </c>
      <c r="F5031" s="19" t="str">
        <f>IFERROR(__xludf.DUMMYFUNCTION("""COMPUTED_VALUE"""),"BLUE")</f>
        <v>BLUE</v>
      </c>
      <c r="G5031" s="20" t="str">
        <f>IFERROR(__xludf.DUMMYFUNCTION("""COMPUTED_VALUE"""),"Uncle Sams Cider (11/12/2021) (Blue)")</f>
        <v>Uncle Sams Cider (11/12/2021) (Blue)</v>
      </c>
      <c r="H5031" s="19"/>
    </row>
    <row r="5032">
      <c r="A5032" s="9"/>
      <c r="B5032" s="15"/>
      <c r="C5032" s="9">
        <f>IFERROR(__xludf.DUMMYFUNCTION("""COMPUTED_VALUE"""),44552.7769648148)</f>
        <v>44552.77696</v>
      </c>
      <c r="D5032" s="15">
        <f>IFERROR(__xludf.DUMMYFUNCTION("""COMPUTED_VALUE"""),1.012)</f>
        <v>1.012</v>
      </c>
      <c r="E5032" s="16">
        <f>IFERROR(__xludf.DUMMYFUNCTION("""COMPUTED_VALUE"""),62.0)</f>
        <v>62</v>
      </c>
      <c r="F5032" s="19" t="str">
        <f>IFERROR(__xludf.DUMMYFUNCTION("""COMPUTED_VALUE"""),"BLUE")</f>
        <v>BLUE</v>
      </c>
      <c r="G5032" s="20" t="str">
        <f>IFERROR(__xludf.DUMMYFUNCTION("""COMPUTED_VALUE"""),"Uncle Sams Cider (11/12/2021) (Blue)")</f>
        <v>Uncle Sams Cider (11/12/2021) (Blue)</v>
      </c>
      <c r="H5032" s="19"/>
    </row>
    <row r="5033">
      <c r="A5033" s="9"/>
      <c r="B5033" s="15"/>
      <c r="C5033" s="9">
        <f>IFERROR(__xludf.DUMMYFUNCTION("""COMPUTED_VALUE"""),44552.7665440046)</f>
        <v>44552.76654</v>
      </c>
      <c r="D5033" s="15">
        <f>IFERROR(__xludf.DUMMYFUNCTION("""COMPUTED_VALUE"""),1.012)</f>
        <v>1.012</v>
      </c>
      <c r="E5033" s="16">
        <f>IFERROR(__xludf.DUMMYFUNCTION("""COMPUTED_VALUE"""),62.0)</f>
        <v>62</v>
      </c>
      <c r="F5033" s="19" t="str">
        <f>IFERROR(__xludf.DUMMYFUNCTION("""COMPUTED_VALUE"""),"BLUE")</f>
        <v>BLUE</v>
      </c>
      <c r="G5033" s="20" t="str">
        <f>IFERROR(__xludf.DUMMYFUNCTION("""COMPUTED_VALUE"""),"Uncle Sams Cider (11/12/2021) (Blue)")</f>
        <v>Uncle Sams Cider (11/12/2021) (Blue)</v>
      </c>
      <c r="H5033" s="19"/>
    </row>
    <row r="5034">
      <c r="A5034" s="9"/>
      <c r="B5034" s="15"/>
      <c r="C5034" s="9">
        <f>IFERROR(__xludf.DUMMYFUNCTION("""COMPUTED_VALUE"""),44552.7561221064)</f>
        <v>44552.75612</v>
      </c>
      <c r="D5034" s="15">
        <f>IFERROR(__xludf.DUMMYFUNCTION("""COMPUTED_VALUE"""),1.012)</f>
        <v>1.012</v>
      </c>
      <c r="E5034" s="16">
        <f>IFERROR(__xludf.DUMMYFUNCTION("""COMPUTED_VALUE"""),62.0)</f>
        <v>62</v>
      </c>
      <c r="F5034" s="19" t="str">
        <f>IFERROR(__xludf.DUMMYFUNCTION("""COMPUTED_VALUE"""),"BLUE")</f>
        <v>BLUE</v>
      </c>
      <c r="G5034" s="20" t="str">
        <f>IFERROR(__xludf.DUMMYFUNCTION("""COMPUTED_VALUE"""),"Uncle Sams Cider (11/12/2021) (Blue)")</f>
        <v>Uncle Sams Cider (11/12/2021) (Blue)</v>
      </c>
      <c r="H5034" s="19"/>
    </row>
    <row r="5035">
      <c r="A5035" s="9"/>
      <c r="B5035" s="15"/>
      <c r="C5035" s="9">
        <f>IFERROR(__xludf.DUMMYFUNCTION("""COMPUTED_VALUE"""),44552.7456899768)</f>
        <v>44552.74569</v>
      </c>
      <c r="D5035" s="15">
        <f>IFERROR(__xludf.DUMMYFUNCTION("""COMPUTED_VALUE"""),1.012)</f>
        <v>1.012</v>
      </c>
      <c r="E5035" s="16">
        <f>IFERROR(__xludf.DUMMYFUNCTION("""COMPUTED_VALUE"""),62.0)</f>
        <v>62</v>
      </c>
      <c r="F5035" s="19" t="str">
        <f>IFERROR(__xludf.DUMMYFUNCTION("""COMPUTED_VALUE"""),"BLUE")</f>
        <v>BLUE</v>
      </c>
      <c r="G5035" s="20" t="str">
        <f>IFERROR(__xludf.DUMMYFUNCTION("""COMPUTED_VALUE"""),"Uncle Sams Cider (11/12/2021) (Blue)")</f>
        <v>Uncle Sams Cider (11/12/2021) (Blue)</v>
      </c>
      <c r="H5035" s="19"/>
    </row>
    <row r="5036">
      <c r="A5036" s="9"/>
      <c r="B5036" s="15"/>
      <c r="C5036" s="9">
        <f>IFERROR(__xludf.DUMMYFUNCTION("""COMPUTED_VALUE"""),44552.7352685069)</f>
        <v>44552.73527</v>
      </c>
      <c r="D5036" s="15">
        <f>IFERROR(__xludf.DUMMYFUNCTION("""COMPUTED_VALUE"""),1.012)</f>
        <v>1.012</v>
      </c>
      <c r="E5036" s="16">
        <f>IFERROR(__xludf.DUMMYFUNCTION("""COMPUTED_VALUE"""),62.0)</f>
        <v>62</v>
      </c>
      <c r="F5036" s="19" t="str">
        <f>IFERROR(__xludf.DUMMYFUNCTION("""COMPUTED_VALUE"""),"BLUE")</f>
        <v>BLUE</v>
      </c>
      <c r="G5036" s="20" t="str">
        <f>IFERROR(__xludf.DUMMYFUNCTION("""COMPUTED_VALUE"""),"Uncle Sams Cider (11/12/2021) (Blue)")</f>
        <v>Uncle Sams Cider (11/12/2021) (Blue)</v>
      </c>
      <c r="H5036" s="19"/>
    </row>
    <row r="5037">
      <c r="A5037" s="9"/>
      <c r="B5037" s="15"/>
      <c r="C5037" s="9">
        <f>IFERROR(__xludf.DUMMYFUNCTION("""COMPUTED_VALUE"""),44552.7248483796)</f>
        <v>44552.72485</v>
      </c>
      <c r="D5037" s="15">
        <f>IFERROR(__xludf.DUMMYFUNCTION("""COMPUTED_VALUE"""),1.011)</f>
        <v>1.011</v>
      </c>
      <c r="E5037" s="16">
        <f>IFERROR(__xludf.DUMMYFUNCTION("""COMPUTED_VALUE"""),62.0)</f>
        <v>62</v>
      </c>
      <c r="F5037" s="19" t="str">
        <f>IFERROR(__xludf.DUMMYFUNCTION("""COMPUTED_VALUE"""),"BLUE")</f>
        <v>BLUE</v>
      </c>
      <c r="G5037" s="20" t="str">
        <f>IFERROR(__xludf.DUMMYFUNCTION("""COMPUTED_VALUE"""),"Uncle Sams Cider (11/12/2021) (Blue)")</f>
        <v>Uncle Sams Cider (11/12/2021) (Blue)</v>
      </c>
      <c r="H5037" s="19"/>
    </row>
    <row r="5038">
      <c r="A5038" s="9"/>
      <c r="B5038" s="15"/>
      <c r="C5038" s="9">
        <f>IFERROR(__xludf.DUMMYFUNCTION("""COMPUTED_VALUE"""),44552.7144158449)</f>
        <v>44552.71442</v>
      </c>
      <c r="D5038" s="15">
        <f>IFERROR(__xludf.DUMMYFUNCTION("""COMPUTED_VALUE"""),1.012)</f>
        <v>1.012</v>
      </c>
      <c r="E5038" s="16">
        <f>IFERROR(__xludf.DUMMYFUNCTION("""COMPUTED_VALUE"""),62.0)</f>
        <v>62</v>
      </c>
      <c r="F5038" s="19" t="str">
        <f>IFERROR(__xludf.DUMMYFUNCTION("""COMPUTED_VALUE"""),"BLUE")</f>
        <v>BLUE</v>
      </c>
      <c r="G5038" s="20" t="str">
        <f>IFERROR(__xludf.DUMMYFUNCTION("""COMPUTED_VALUE"""),"Uncle Sams Cider (11/12/2021) (Blue)")</f>
        <v>Uncle Sams Cider (11/12/2021) (Blue)</v>
      </c>
      <c r="H5038" s="19"/>
    </row>
    <row r="5039">
      <c r="A5039" s="9"/>
      <c r="B5039" s="15"/>
      <c r="C5039" s="9">
        <f>IFERROR(__xludf.DUMMYFUNCTION("""COMPUTED_VALUE"""),44552.7039968055)</f>
        <v>44552.704</v>
      </c>
      <c r="D5039" s="15">
        <f>IFERROR(__xludf.DUMMYFUNCTION("""COMPUTED_VALUE"""),1.012)</f>
        <v>1.012</v>
      </c>
      <c r="E5039" s="16">
        <f>IFERROR(__xludf.DUMMYFUNCTION("""COMPUTED_VALUE"""),62.0)</f>
        <v>62</v>
      </c>
      <c r="F5039" s="19" t="str">
        <f>IFERROR(__xludf.DUMMYFUNCTION("""COMPUTED_VALUE"""),"BLUE")</f>
        <v>BLUE</v>
      </c>
      <c r="G5039" s="20" t="str">
        <f>IFERROR(__xludf.DUMMYFUNCTION("""COMPUTED_VALUE"""),"Uncle Sams Cider (11/12/2021) (Blue)")</f>
        <v>Uncle Sams Cider (11/12/2021) (Blue)</v>
      </c>
      <c r="H5039" s="19"/>
    </row>
    <row r="5040">
      <c r="A5040" s="9"/>
      <c r="B5040" s="15"/>
      <c r="C5040" s="9">
        <f>IFERROR(__xludf.DUMMYFUNCTION("""COMPUTED_VALUE"""),44552.6935752199)</f>
        <v>44552.69358</v>
      </c>
      <c r="D5040" s="15">
        <f>IFERROR(__xludf.DUMMYFUNCTION("""COMPUTED_VALUE"""),1.012)</f>
        <v>1.012</v>
      </c>
      <c r="E5040" s="16">
        <f>IFERROR(__xludf.DUMMYFUNCTION("""COMPUTED_VALUE"""),62.0)</f>
        <v>62</v>
      </c>
      <c r="F5040" s="19" t="str">
        <f>IFERROR(__xludf.DUMMYFUNCTION("""COMPUTED_VALUE"""),"BLUE")</f>
        <v>BLUE</v>
      </c>
      <c r="G5040" s="20" t="str">
        <f>IFERROR(__xludf.DUMMYFUNCTION("""COMPUTED_VALUE"""),"Uncle Sams Cider (11/12/2021) (Blue)")</f>
        <v>Uncle Sams Cider (11/12/2021) (Blue)</v>
      </c>
      <c r="H5040" s="19"/>
    </row>
    <row r="5041">
      <c r="A5041" s="9"/>
      <c r="B5041" s="15"/>
      <c r="C5041" s="9">
        <f>IFERROR(__xludf.DUMMYFUNCTION("""COMPUTED_VALUE"""),44552.6831537615)</f>
        <v>44552.68315</v>
      </c>
      <c r="D5041" s="15">
        <f>IFERROR(__xludf.DUMMYFUNCTION("""COMPUTED_VALUE"""),1.012)</f>
        <v>1.012</v>
      </c>
      <c r="E5041" s="16">
        <f>IFERROR(__xludf.DUMMYFUNCTION("""COMPUTED_VALUE"""),62.0)</f>
        <v>62</v>
      </c>
      <c r="F5041" s="19" t="str">
        <f>IFERROR(__xludf.DUMMYFUNCTION("""COMPUTED_VALUE"""),"BLUE")</f>
        <v>BLUE</v>
      </c>
      <c r="G5041" s="20" t="str">
        <f>IFERROR(__xludf.DUMMYFUNCTION("""COMPUTED_VALUE"""),"Uncle Sams Cider (11/12/2021) (Blue)")</f>
        <v>Uncle Sams Cider (11/12/2021) (Blue)</v>
      </c>
      <c r="H5041" s="19"/>
    </row>
    <row r="5042">
      <c r="A5042" s="9"/>
      <c r="B5042" s="15"/>
      <c r="C5042" s="9">
        <f>IFERROR(__xludf.DUMMYFUNCTION("""COMPUTED_VALUE"""),44552.6727330787)</f>
        <v>44552.67273</v>
      </c>
      <c r="D5042" s="15">
        <f>IFERROR(__xludf.DUMMYFUNCTION("""COMPUTED_VALUE"""),1.012)</f>
        <v>1.012</v>
      </c>
      <c r="E5042" s="16">
        <f>IFERROR(__xludf.DUMMYFUNCTION("""COMPUTED_VALUE"""),62.0)</f>
        <v>62</v>
      </c>
      <c r="F5042" s="19" t="str">
        <f>IFERROR(__xludf.DUMMYFUNCTION("""COMPUTED_VALUE"""),"BLUE")</f>
        <v>BLUE</v>
      </c>
      <c r="G5042" s="20" t="str">
        <f>IFERROR(__xludf.DUMMYFUNCTION("""COMPUTED_VALUE"""),"Uncle Sams Cider (11/12/2021) (Blue)")</f>
        <v>Uncle Sams Cider (11/12/2021) (Blue)</v>
      </c>
      <c r="H5042" s="19"/>
    </row>
    <row r="5043">
      <c r="A5043" s="9"/>
      <c r="B5043" s="15"/>
      <c r="C5043" s="9">
        <f>IFERROR(__xludf.DUMMYFUNCTION("""COMPUTED_VALUE"""),44552.6623127661)</f>
        <v>44552.66231</v>
      </c>
      <c r="D5043" s="15">
        <f>IFERROR(__xludf.DUMMYFUNCTION("""COMPUTED_VALUE"""),1.012)</f>
        <v>1.012</v>
      </c>
      <c r="E5043" s="16">
        <f>IFERROR(__xludf.DUMMYFUNCTION("""COMPUTED_VALUE"""),62.0)</f>
        <v>62</v>
      </c>
      <c r="F5043" s="19" t="str">
        <f>IFERROR(__xludf.DUMMYFUNCTION("""COMPUTED_VALUE"""),"BLUE")</f>
        <v>BLUE</v>
      </c>
      <c r="G5043" s="20" t="str">
        <f>IFERROR(__xludf.DUMMYFUNCTION("""COMPUTED_VALUE"""),"Uncle Sams Cider (11/12/2021) (Blue)")</f>
        <v>Uncle Sams Cider (11/12/2021) (Blue)</v>
      </c>
      <c r="H5043" s="19"/>
    </row>
    <row r="5044">
      <c r="A5044" s="9"/>
      <c r="B5044" s="15"/>
      <c r="C5044" s="9">
        <f>IFERROR(__xludf.DUMMYFUNCTION("""COMPUTED_VALUE"""),44552.6518570717)</f>
        <v>44552.65186</v>
      </c>
      <c r="D5044" s="15">
        <f>IFERROR(__xludf.DUMMYFUNCTION("""COMPUTED_VALUE"""),1.012)</f>
        <v>1.012</v>
      </c>
      <c r="E5044" s="16">
        <f>IFERROR(__xludf.DUMMYFUNCTION("""COMPUTED_VALUE"""),62.0)</f>
        <v>62</v>
      </c>
      <c r="F5044" s="19" t="str">
        <f>IFERROR(__xludf.DUMMYFUNCTION("""COMPUTED_VALUE"""),"BLUE")</f>
        <v>BLUE</v>
      </c>
      <c r="G5044" s="20" t="str">
        <f>IFERROR(__xludf.DUMMYFUNCTION("""COMPUTED_VALUE"""),"Uncle Sams Cider (11/12/2021) (Blue)")</f>
        <v>Uncle Sams Cider (11/12/2021) (Blue)</v>
      </c>
      <c r="H5044" s="19"/>
    </row>
    <row r="5045">
      <c r="A5045" s="9"/>
      <c r="B5045" s="15"/>
      <c r="C5045" s="9">
        <f>IFERROR(__xludf.DUMMYFUNCTION("""COMPUTED_VALUE"""),44552.6414357986)</f>
        <v>44552.64144</v>
      </c>
      <c r="D5045" s="15">
        <f>IFERROR(__xludf.DUMMYFUNCTION("""COMPUTED_VALUE"""),1.012)</f>
        <v>1.012</v>
      </c>
      <c r="E5045" s="16">
        <f>IFERROR(__xludf.DUMMYFUNCTION("""COMPUTED_VALUE"""),62.0)</f>
        <v>62</v>
      </c>
      <c r="F5045" s="19" t="str">
        <f>IFERROR(__xludf.DUMMYFUNCTION("""COMPUTED_VALUE"""),"BLUE")</f>
        <v>BLUE</v>
      </c>
      <c r="G5045" s="20" t="str">
        <f>IFERROR(__xludf.DUMMYFUNCTION("""COMPUTED_VALUE"""),"Uncle Sams Cider (11/12/2021) (Blue)")</f>
        <v>Uncle Sams Cider (11/12/2021) (Blue)</v>
      </c>
      <c r="H5045" s="19"/>
    </row>
    <row r="5046">
      <c r="A5046" s="9"/>
      <c r="B5046" s="15"/>
      <c r="C5046" s="9">
        <f>IFERROR(__xludf.DUMMYFUNCTION("""COMPUTED_VALUE"""),44552.6310163773)</f>
        <v>44552.63102</v>
      </c>
      <c r="D5046" s="15">
        <f>IFERROR(__xludf.DUMMYFUNCTION("""COMPUTED_VALUE"""),1.011)</f>
        <v>1.011</v>
      </c>
      <c r="E5046" s="16">
        <f>IFERROR(__xludf.DUMMYFUNCTION("""COMPUTED_VALUE"""),62.0)</f>
        <v>62</v>
      </c>
      <c r="F5046" s="19" t="str">
        <f>IFERROR(__xludf.DUMMYFUNCTION("""COMPUTED_VALUE"""),"BLUE")</f>
        <v>BLUE</v>
      </c>
      <c r="G5046" s="20" t="str">
        <f>IFERROR(__xludf.DUMMYFUNCTION("""COMPUTED_VALUE"""),"Uncle Sams Cider (11/12/2021) (Blue)")</f>
        <v>Uncle Sams Cider (11/12/2021) (Blue)</v>
      </c>
      <c r="H5046" s="19"/>
    </row>
    <row r="5047">
      <c r="A5047" s="9"/>
      <c r="B5047" s="15"/>
      <c r="C5047" s="9">
        <f>IFERROR(__xludf.DUMMYFUNCTION("""COMPUTED_VALUE"""),44552.6205967939)</f>
        <v>44552.6206</v>
      </c>
      <c r="D5047" s="15">
        <f>IFERROR(__xludf.DUMMYFUNCTION("""COMPUTED_VALUE"""),1.011)</f>
        <v>1.011</v>
      </c>
      <c r="E5047" s="16">
        <f>IFERROR(__xludf.DUMMYFUNCTION("""COMPUTED_VALUE"""),62.0)</f>
        <v>62</v>
      </c>
      <c r="F5047" s="19" t="str">
        <f>IFERROR(__xludf.DUMMYFUNCTION("""COMPUTED_VALUE"""),"BLUE")</f>
        <v>BLUE</v>
      </c>
      <c r="G5047" s="20" t="str">
        <f>IFERROR(__xludf.DUMMYFUNCTION("""COMPUTED_VALUE"""),"Uncle Sams Cider (11/12/2021) (Blue)")</f>
        <v>Uncle Sams Cider (11/12/2021) (Blue)</v>
      </c>
      <c r="H5047" s="19"/>
    </row>
    <row r="5048">
      <c r="A5048" s="9"/>
      <c r="B5048" s="15"/>
      <c r="C5048" s="9">
        <f>IFERROR(__xludf.DUMMYFUNCTION("""COMPUTED_VALUE"""),44552.6101622685)</f>
        <v>44552.61016</v>
      </c>
      <c r="D5048" s="15">
        <f>IFERROR(__xludf.DUMMYFUNCTION("""COMPUTED_VALUE"""),1.012)</f>
        <v>1.012</v>
      </c>
      <c r="E5048" s="16">
        <f>IFERROR(__xludf.DUMMYFUNCTION("""COMPUTED_VALUE"""),62.0)</f>
        <v>62</v>
      </c>
      <c r="F5048" s="19" t="str">
        <f>IFERROR(__xludf.DUMMYFUNCTION("""COMPUTED_VALUE"""),"BLUE")</f>
        <v>BLUE</v>
      </c>
      <c r="G5048" s="20" t="str">
        <f>IFERROR(__xludf.DUMMYFUNCTION("""COMPUTED_VALUE"""),"Uncle Sams Cider (11/12/2021) (Blue)")</f>
        <v>Uncle Sams Cider (11/12/2021) (Blue)</v>
      </c>
      <c r="H5048" s="19"/>
    </row>
    <row r="5049">
      <c r="A5049" s="9"/>
      <c r="B5049" s="15"/>
      <c r="C5049" s="9">
        <f>IFERROR(__xludf.DUMMYFUNCTION("""COMPUTED_VALUE"""),44552.5997298958)</f>
        <v>44552.59973</v>
      </c>
      <c r="D5049" s="15">
        <f>IFERROR(__xludf.DUMMYFUNCTION("""COMPUTED_VALUE"""),1.012)</f>
        <v>1.012</v>
      </c>
      <c r="E5049" s="16">
        <f>IFERROR(__xludf.DUMMYFUNCTION("""COMPUTED_VALUE"""),62.0)</f>
        <v>62</v>
      </c>
      <c r="F5049" s="19" t="str">
        <f>IFERROR(__xludf.DUMMYFUNCTION("""COMPUTED_VALUE"""),"BLUE")</f>
        <v>BLUE</v>
      </c>
      <c r="G5049" s="20" t="str">
        <f>IFERROR(__xludf.DUMMYFUNCTION("""COMPUTED_VALUE"""),"Uncle Sams Cider (11/12/2021) (Blue)")</f>
        <v>Uncle Sams Cider (11/12/2021) (Blue)</v>
      </c>
      <c r="H5049" s="19"/>
    </row>
    <row r="5050">
      <c r="A5050" s="9"/>
      <c r="B5050" s="15"/>
      <c r="C5050" s="9">
        <f>IFERROR(__xludf.DUMMYFUNCTION("""COMPUTED_VALUE"""),44552.5892862847)</f>
        <v>44552.58929</v>
      </c>
      <c r="D5050" s="15">
        <f>IFERROR(__xludf.DUMMYFUNCTION("""COMPUTED_VALUE"""),1.012)</f>
        <v>1.012</v>
      </c>
      <c r="E5050" s="16">
        <f>IFERROR(__xludf.DUMMYFUNCTION("""COMPUTED_VALUE"""),62.0)</f>
        <v>62</v>
      </c>
      <c r="F5050" s="19" t="str">
        <f>IFERROR(__xludf.DUMMYFUNCTION("""COMPUTED_VALUE"""),"BLUE")</f>
        <v>BLUE</v>
      </c>
      <c r="G5050" s="20" t="str">
        <f>IFERROR(__xludf.DUMMYFUNCTION("""COMPUTED_VALUE"""),"Uncle Sams Cider (11/12/2021) (Blue)")</f>
        <v>Uncle Sams Cider (11/12/2021) (Blue)</v>
      </c>
      <c r="H5050" s="19"/>
    </row>
    <row r="5051">
      <c r="A5051" s="9"/>
      <c r="B5051" s="15"/>
      <c r="C5051" s="9">
        <f>IFERROR(__xludf.DUMMYFUNCTION("""COMPUTED_VALUE"""),44552.5788649074)</f>
        <v>44552.57886</v>
      </c>
      <c r="D5051" s="15">
        <f>IFERROR(__xludf.DUMMYFUNCTION("""COMPUTED_VALUE"""),1.012)</f>
        <v>1.012</v>
      </c>
      <c r="E5051" s="16">
        <f>IFERROR(__xludf.DUMMYFUNCTION("""COMPUTED_VALUE"""),62.0)</f>
        <v>62</v>
      </c>
      <c r="F5051" s="19" t="str">
        <f>IFERROR(__xludf.DUMMYFUNCTION("""COMPUTED_VALUE"""),"BLUE")</f>
        <v>BLUE</v>
      </c>
      <c r="G5051" s="20" t="str">
        <f>IFERROR(__xludf.DUMMYFUNCTION("""COMPUTED_VALUE"""),"Uncle Sams Cider (11/12/2021) (Blue)")</f>
        <v>Uncle Sams Cider (11/12/2021) (Blue)</v>
      </c>
      <c r="H5051" s="19"/>
    </row>
    <row r="5052">
      <c r="A5052" s="9"/>
      <c r="B5052" s="15"/>
      <c r="C5052" s="9">
        <f>IFERROR(__xludf.DUMMYFUNCTION("""COMPUTED_VALUE"""),44552.5684319444)</f>
        <v>44552.56843</v>
      </c>
      <c r="D5052" s="15">
        <f>IFERROR(__xludf.DUMMYFUNCTION("""COMPUTED_VALUE"""),1.011)</f>
        <v>1.011</v>
      </c>
      <c r="E5052" s="16">
        <f>IFERROR(__xludf.DUMMYFUNCTION("""COMPUTED_VALUE"""),62.0)</f>
        <v>62</v>
      </c>
      <c r="F5052" s="19" t="str">
        <f>IFERROR(__xludf.DUMMYFUNCTION("""COMPUTED_VALUE"""),"BLUE")</f>
        <v>BLUE</v>
      </c>
      <c r="G5052" s="20" t="str">
        <f>IFERROR(__xludf.DUMMYFUNCTION("""COMPUTED_VALUE"""),"Uncle Sams Cider (11/12/2021) (Blue)")</f>
        <v>Uncle Sams Cider (11/12/2021) (Blue)</v>
      </c>
      <c r="H5052" s="19"/>
    </row>
    <row r="5053">
      <c r="A5053" s="9"/>
      <c r="B5053" s="15"/>
      <c r="C5053" s="9">
        <f>IFERROR(__xludf.DUMMYFUNCTION("""COMPUTED_VALUE"""),44552.5579992824)</f>
        <v>44552.558</v>
      </c>
      <c r="D5053" s="15">
        <f>IFERROR(__xludf.DUMMYFUNCTION("""COMPUTED_VALUE"""),1.011)</f>
        <v>1.011</v>
      </c>
      <c r="E5053" s="16">
        <f>IFERROR(__xludf.DUMMYFUNCTION("""COMPUTED_VALUE"""),62.0)</f>
        <v>62</v>
      </c>
      <c r="F5053" s="19" t="str">
        <f>IFERROR(__xludf.DUMMYFUNCTION("""COMPUTED_VALUE"""),"BLUE")</f>
        <v>BLUE</v>
      </c>
      <c r="G5053" s="20" t="str">
        <f>IFERROR(__xludf.DUMMYFUNCTION("""COMPUTED_VALUE"""),"Uncle Sams Cider (11/12/2021) (Blue)")</f>
        <v>Uncle Sams Cider (11/12/2021) (Blue)</v>
      </c>
      <c r="H5053" s="19"/>
    </row>
    <row r="5054">
      <c r="A5054" s="9"/>
      <c r="B5054" s="15"/>
      <c r="C5054" s="9">
        <f>IFERROR(__xludf.DUMMYFUNCTION("""COMPUTED_VALUE"""),44552.5475759259)</f>
        <v>44552.54758</v>
      </c>
      <c r="D5054" s="15">
        <f>IFERROR(__xludf.DUMMYFUNCTION("""COMPUTED_VALUE"""),1.012)</f>
        <v>1.012</v>
      </c>
      <c r="E5054" s="16">
        <f>IFERROR(__xludf.DUMMYFUNCTION("""COMPUTED_VALUE"""),62.0)</f>
        <v>62</v>
      </c>
      <c r="F5054" s="19" t="str">
        <f>IFERROR(__xludf.DUMMYFUNCTION("""COMPUTED_VALUE"""),"BLUE")</f>
        <v>BLUE</v>
      </c>
      <c r="G5054" s="20" t="str">
        <f>IFERROR(__xludf.DUMMYFUNCTION("""COMPUTED_VALUE"""),"Uncle Sams Cider (11/12/2021) (Blue)")</f>
        <v>Uncle Sams Cider (11/12/2021) (Blue)</v>
      </c>
      <c r="H5054" s="19"/>
    </row>
    <row r="5055">
      <c r="A5055" s="9"/>
      <c r="B5055" s="15"/>
      <c r="C5055" s="9">
        <f>IFERROR(__xludf.DUMMYFUNCTION("""COMPUTED_VALUE"""),44552.537154375)</f>
        <v>44552.53715</v>
      </c>
      <c r="D5055" s="15">
        <f>IFERROR(__xludf.DUMMYFUNCTION("""COMPUTED_VALUE"""),1.012)</f>
        <v>1.012</v>
      </c>
      <c r="E5055" s="16">
        <f>IFERROR(__xludf.DUMMYFUNCTION("""COMPUTED_VALUE"""),62.0)</f>
        <v>62</v>
      </c>
      <c r="F5055" s="19" t="str">
        <f>IFERROR(__xludf.DUMMYFUNCTION("""COMPUTED_VALUE"""),"BLUE")</f>
        <v>BLUE</v>
      </c>
      <c r="G5055" s="20" t="str">
        <f>IFERROR(__xludf.DUMMYFUNCTION("""COMPUTED_VALUE"""),"Uncle Sams Cider (11/12/2021) (Blue)")</f>
        <v>Uncle Sams Cider (11/12/2021) (Blue)</v>
      </c>
      <c r="H5055" s="19"/>
    </row>
    <row r="5056">
      <c r="A5056" s="9"/>
      <c r="B5056" s="15"/>
      <c r="C5056" s="9">
        <f>IFERROR(__xludf.DUMMYFUNCTION("""COMPUTED_VALUE"""),44552.5267194907)</f>
        <v>44552.52672</v>
      </c>
      <c r="D5056" s="15">
        <f>IFERROR(__xludf.DUMMYFUNCTION("""COMPUTED_VALUE"""),1.012)</f>
        <v>1.012</v>
      </c>
      <c r="E5056" s="16">
        <f>IFERROR(__xludf.DUMMYFUNCTION("""COMPUTED_VALUE"""),62.0)</f>
        <v>62</v>
      </c>
      <c r="F5056" s="19" t="str">
        <f>IFERROR(__xludf.DUMMYFUNCTION("""COMPUTED_VALUE"""),"BLUE")</f>
        <v>BLUE</v>
      </c>
      <c r="G5056" s="20" t="str">
        <f>IFERROR(__xludf.DUMMYFUNCTION("""COMPUTED_VALUE"""),"Uncle Sams Cider (11/12/2021) (Blue)")</f>
        <v>Uncle Sams Cider (11/12/2021) (Blue)</v>
      </c>
      <c r="H5056" s="19"/>
    </row>
    <row r="5057">
      <c r="A5057" s="9"/>
      <c r="B5057" s="15"/>
      <c r="C5057" s="9">
        <f>IFERROR(__xludf.DUMMYFUNCTION("""COMPUTED_VALUE"""),44552.5162975694)</f>
        <v>44552.5163</v>
      </c>
      <c r="D5057" s="15">
        <f>IFERROR(__xludf.DUMMYFUNCTION("""COMPUTED_VALUE"""),1.012)</f>
        <v>1.012</v>
      </c>
      <c r="E5057" s="16">
        <f>IFERROR(__xludf.DUMMYFUNCTION("""COMPUTED_VALUE"""),62.0)</f>
        <v>62</v>
      </c>
      <c r="F5057" s="19" t="str">
        <f>IFERROR(__xludf.DUMMYFUNCTION("""COMPUTED_VALUE"""),"BLUE")</f>
        <v>BLUE</v>
      </c>
      <c r="G5057" s="20" t="str">
        <f>IFERROR(__xludf.DUMMYFUNCTION("""COMPUTED_VALUE"""),"Uncle Sams Cider (11/12/2021) (Blue)")</f>
        <v>Uncle Sams Cider (11/12/2021) (Blue)</v>
      </c>
      <c r="H5057" s="19"/>
    </row>
    <row r="5058">
      <c r="A5058" s="9"/>
      <c r="B5058" s="15"/>
      <c r="C5058" s="9">
        <f>IFERROR(__xludf.DUMMYFUNCTION("""COMPUTED_VALUE"""),44552.5058773842)</f>
        <v>44552.50588</v>
      </c>
      <c r="D5058" s="15">
        <f>IFERROR(__xludf.DUMMYFUNCTION("""COMPUTED_VALUE"""),1.012)</f>
        <v>1.012</v>
      </c>
      <c r="E5058" s="16">
        <f>IFERROR(__xludf.DUMMYFUNCTION("""COMPUTED_VALUE"""),62.0)</f>
        <v>62</v>
      </c>
      <c r="F5058" s="19" t="str">
        <f>IFERROR(__xludf.DUMMYFUNCTION("""COMPUTED_VALUE"""),"BLUE")</f>
        <v>BLUE</v>
      </c>
      <c r="G5058" s="20" t="str">
        <f>IFERROR(__xludf.DUMMYFUNCTION("""COMPUTED_VALUE"""),"Uncle Sams Cider (11/12/2021) (Blue)")</f>
        <v>Uncle Sams Cider (11/12/2021) (Blue)</v>
      </c>
      <c r="H5058" s="19"/>
    </row>
    <row r="5059">
      <c r="A5059" s="9"/>
      <c r="B5059" s="15"/>
      <c r="C5059" s="9">
        <f>IFERROR(__xludf.DUMMYFUNCTION("""COMPUTED_VALUE"""),44552.4954564004)</f>
        <v>44552.49546</v>
      </c>
      <c r="D5059" s="15">
        <f>IFERROR(__xludf.DUMMYFUNCTION("""COMPUTED_VALUE"""),1.012)</f>
        <v>1.012</v>
      </c>
      <c r="E5059" s="16">
        <f>IFERROR(__xludf.DUMMYFUNCTION("""COMPUTED_VALUE"""),62.0)</f>
        <v>62</v>
      </c>
      <c r="F5059" s="19" t="str">
        <f>IFERROR(__xludf.DUMMYFUNCTION("""COMPUTED_VALUE"""),"BLUE")</f>
        <v>BLUE</v>
      </c>
      <c r="G5059" s="20" t="str">
        <f>IFERROR(__xludf.DUMMYFUNCTION("""COMPUTED_VALUE"""),"Uncle Sams Cider (11/12/2021) (Blue)")</f>
        <v>Uncle Sams Cider (11/12/2021) (Blue)</v>
      </c>
      <c r="H5059" s="19"/>
    </row>
    <row r="5060">
      <c r="A5060" s="9"/>
      <c r="B5060" s="15"/>
      <c r="C5060" s="9">
        <f>IFERROR(__xludf.DUMMYFUNCTION("""COMPUTED_VALUE"""),44552.4850243402)</f>
        <v>44552.48502</v>
      </c>
      <c r="D5060" s="15">
        <f>IFERROR(__xludf.DUMMYFUNCTION("""COMPUTED_VALUE"""),1.012)</f>
        <v>1.012</v>
      </c>
      <c r="E5060" s="16">
        <f>IFERROR(__xludf.DUMMYFUNCTION("""COMPUTED_VALUE"""),62.0)</f>
        <v>62</v>
      </c>
      <c r="F5060" s="19" t="str">
        <f>IFERROR(__xludf.DUMMYFUNCTION("""COMPUTED_VALUE"""),"BLUE")</f>
        <v>BLUE</v>
      </c>
      <c r="G5060" s="20" t="str">
        <f>IFERROR(__xludf.DUMMYFUNCTION("""COMPUTED_VALUE"""),"Uncle Sams Cider (11/12/2021) (Blue)")</f>
        <v>Uncle Sams Cider (11/12/2021) (Blue)</v>
      </c>
      <c r="H5060" s="19"/>
    </row>
    <row r="5061">
      <c r="A5061" s="9"/>
      <c r="B5061" s="15"/>
      <c r="C5061" s="9">
        <f>IFERROR(__xludf.DUMMYFUNCTION("""COMPUTED_VALUE"""),44552.4745996875)</f>
        <v>44552.4746</v>
      </c>
      <c r="D5061" s="15">
        <f>IFERROR(__xludf.DUMMYFUNCTION("""COMPUTED_VALUE"""),1.012)</f>
        <v>1.012</v>
      </c>
      <c r="E5061" s="16">
        <f>IFERROR(__xludf.DUMMYFUNCTION("""COMPUTED_VALUE"""),62.0)</f>
        <v>62</v>
      </c>
      <c r="F5061" s="19" t="str">
        <f>IFERROR(__xludf.DUMMYFUNCTION("""COMPUTED_VALUE"""),"BLUE")</f>
        <v>BLUE</v>
      </c>
      <c r="G5061" s="20" t="str">
        <f>IFERROR(__xludf.DUMMYFUNCTION("""COMPUTED_VALUE"""),"Uncle Sams Cider (11/12/2021) (Blue)")</f>
        <v>Uncle Sams Cider (11/12/2021) (Blue)</v>
      </c>
      <c r="H5061" s="19"/>
    </row>
    <row r="5062">
      <c r="A5062" s="9"/>
      <c r="B5062" s="15"/>
      <c r="C5062" s="9">
        <f>IFERROR(__xludf.DUMMYFUNCTION("""COMPUTED_VALUE"""),44552.4641802314)</f>
        <v>44552.46418</v>
      </c>
      <c r="D5062" s="15">
        <f>IFERROR(__xludf.DUMMYFUNCTION("""COMPUTED_VALUE"""),1.012)</f>
        <v>1.012</v>
      </c>
      <c r="E5062" s="16">
        <f>IFERROR(__xludf.DUMMYFUNCTION("""COMPUTED_VALUE"""),62.0)</f>
        <v>62</v>
      </c>
      <c r="F5062" s="19" t="str">
        <f>IFERROR(__xludf.DUMMYFUNCTION("""COMPUTED_VALUE"""),"BLUE")</f>
        <v>BLUE</v>
      </c>
      <c r="G5062" s="20" t="str">
        <f>IFERROR(__xludf.DUMMYFUNCTION("""COMPUTED_VALUE"""),"Uncle Sams Cider (11/12/2021) (Blue)")</f>
        <v>Uncle Sams Cider (11/12/2021) (Blue)</v>
      </c>
      <c r="H5062" s="19"/>
    </row>
    <row r="5063">
      <c r="A5063" s="9"/>
      <c r="B5063" s="15"/>
      <c r="C5063" s="9">
        <f>IFERROR(__xludf.DUMMYFUNCTION("""COMPUTED_VALUE"""),44552.4537595023)</f>
        <v>44552.45376</v>
      </c>
      <c r="D5063" s="15">
        <f>IFERROR(__xludf.DUMMYFUNCTION("""COMPUTED_VALUE"""),1.012)</f>
        <v>1.012</v>
      </c>
      <c r="E5063" s="16">
        <f>IFERROR(__xludf.DUMMYFUNCTION("""COMPUTED_VALUE"""),62.0)</f>
        <v>62</v>
      </c>
      <c r="F5063" s="19" t="str">
        <f>IFERROR(__xludf.DUMMYFUNCTION("""COMPUTED_VALUE"""),"BLUE")</f>
        <v>BLUE</v>
      </c>
      <c r="G5063" s="20" t="str">
        <f>IFERROR(__xludf.DUMMYFUNCTION("""COMPUTED_VALUE"""),"Uncle Sams Cider (11/12/2021) (Blue)")</f>
        <v>Uncle Sams Cider (11/12/2021) (Blue)</v>
      </c>
      <c r="H5063" s="19"/>
    </row>
    <row r="5064">
      <c r="A5064" s="9"/>
      <c r="B5064" s="15"/>
      <c r="C5064" s="9">
        <f>IFERROR(__xludf.DUMMYFUNCTION("""COMPUTED_VALUE"""),44552.443339456)</f>
        <v>44552.44334</v>
      </c>
      <c r="D5064" s="15">
        <f>IFERROR(__xludf.DUMMYFUNCTION("""COMPUTED_VALUE"""),1.012)</f>
        <v>1.012</v>
      </c>
      <c r="E5064" s="16">
        <f>IFERROR(__xludf.DUMMYFUNCTION("""COMPUTED_VALUE"""),62.0)</f>
        <v>62</v>
      </c>
      <c r="F5064" s="19" t="str">
        <f>IFERROR(__xludf.DUMMYFUNCTION("""COMPUTED_VALUE"""),"BLUE")</f>
        <v>BLUE</v>
      </c>
      <c r="G5064" s="20" t="str">
        <f>IFERROR(__xludf.DUMMYFUNCTION("""COMPUTED_VALUE"""),"Uncle Sams Cider (11/12/2021) (Blue)")</f>
        <v>Uncle Sams Cider (11/12/2021) (Blue)</v>
      </c>
      <c r="H5064" s="19"/>
    </row>
    <row r="5065">
      <c r="A5065" s="9"/>
      <c r="B5065" s="15"/>
      <c r="C5065" s="9">
        <f>IFERROR(__xludf.DUMMYFUNCTION("""COMPUTED_VALUE"""),44552.4329169212)</f>
        <v>44552.43292</v>
      </c>
      <c r="D5065" s="15">
        <f>IFERROR(__xludf.DUMMYFUNCTION("""COMPUTED_VALUE"""),1.012)</f>
        <v>1.012</v>
      </c>
      <c r="E5065" s="16">
        <f>IFERROR(__xludf.DUMMYFUNCTION("""COMPUTED_VALUE"""),62.0)</f>
        <v>62</v>
      </c>
      <c r="F5065" s="19" t="str">
        <f>IFERROR(__xludf.DUMMYFUNCTION("""COMPUTED_VALUE"""),"BLUE")</f>
        <v>BLUE</v>
      </c>
      <c r="G5065" s="20" t="str">
        <f>IFERROR(__xludf.DUMMYFUNCTION("""COMPUTED_VALUE"""),"Uncle Sams Cider (11/12/2021) (Blue)")</f>
        <v>Uncle Sams Cider (11/12/2021) (Blue)</v>
      </c>
      <c r="H5065" s="19"/>
    </row>
    <row r="5066">
      <c r="A5066" s="9"/>
      <c r="B5066" s="15"/>
      <c r="C5066" s="9">
        <f>IFERROR(__xludf.DUMMYFUNCTION("""COMPUTED_VALUE"""),44552.4224942129)</f>
        <v>44552.42249</v>
      </c>
      <c r="D5066" s="15">
        <f>IFERROR(__xludf.DUMMYFUNCTION("""COMPUTED_VALUE"""),1.012)</f>
        <v>1.012</v>
      </c>
      <c r="E5066" s="16">
        <f>IFERROR(__xludf.DUMMYFUNCTION("""COMPUTED_VALUE"""),62.0)</f>
        <v>62</v>
      </c>
      <c r="F5066" s="19" t="str">
        <f>IFERROR(__xludf.DUMMYFUNCTION("""COMPUTED_VALUE"""),"BLUE")</f>
        <v>BLUE</v>
      </c>
      <c r="G5066" s="20" t="str">
        <f>IFERROR(__xludf.DUMMYFUNCTION("""COMPUTED_VALUE"""),"Uncle Sams Cider (11/12/2021) (Blue)")</f>
        <v>Uncle Sams Cider (11/12/2021) (Blue)</v>
      </c>
      <c r="H5066" s="19"/>
    </row>
    <row r="5067">
      <c r="A5067" s="9"/>
      <c r="B5067" s="15"/>
      <c r="C5067" s="9">
        <f>IFERROR(__xludf.DUMMYFUNCTION("""COMPUTED_VALUE"""),44552.4120726157)</f>
        <v>44552.41207</v>
      </c>
      <c r="D5067" s="15">
        <f>IFERROR(__xludf.DUMMYFUNCTION("""COMPUTED_VALUE"""),1.012)</f>
        <v>1.012</v>
      </c>
      <c r="E5067" s="16">
        <f>IFERROR(__xludf.DUMMYFUNCTION("""COMPUTED_VALUE"""),62.0)</f>
        <v>62</v>
      </c>
      <c r="F5067" s="19" t="str">
        <f>IFERROR(__xludf.DUMMYFUNCTION("""COMPUTED_VALUE"""),"BLUE")</f>
        <v>BLUE</v>
      </c>
      <c r="G5067" s="20" t="str">
        <f>IFERROR(__xludf.DUMMYFUNCTION("""COMPUTED_VALUE"""),"Uncle Sams Cider (11/12/2021) (Blue)")</f>
        <v>Uncle Sams Cider (11/12/2021) (Blue)</v>
      </c>
      <c r="H5067" s="19"/>
    </row>
    <row r="5068">
      <c r="A5068" s="9"/>
      <c r="B5068" s="15"/>
      <c r="C5068" s="9">
        <f>IFERROR(__xludf.DUMMYFUNCTION("""COMPUTED_VALUE"""),44552.4016503935)</f>
        <v>44552.40165</v>
      </c>
      <c r="D5068" s="15">
        <f>IFERROR(__xludf.DUMMYFUNCTION("""COMPUTED_VALUE"""),1.012)</f>
        <v>1.012</v>
      </c>
      <c r="E5068" s="16">
        <f>IFERROR(__xludf.DUMMYFUNCTION("""COMPUTED_VALUE"""),62.0)</f>
        <v>62</v>
      </c>
      <c r="F5068" s="19" t="str">
        <f>IFERROR(__xludf.DUMMYFUNCTION("""COMPUTED_VALUE"""),"BLUE")</f>
        <v>BLUE</v>
      </c>
      <c r="G5068" s="20" t="str">
        <f>IFERROR(__xludf.DUMMYFUNCTION("""COMPUTED_VALUE"""),"Uncle Sams Cider (11/12/2021) (Blue)")</f>
        <v>Uncle Sams Cider (11/12/2021) (Blue)</v>
      </c>
      <c r="H5068" s="19"/>
    </row>
    <row r="5069">
      <c r="A5069" s="9"/>
      <c r="B5069" s="15"/>
      <c r="C5069" s="9">
        <f>IFERROR(__xludf.DUMMYFUNCTION("""COMPUTED_VALUE"""),44552.391231574)</f>
        <v>44552.39123</v>
      </c>
      <c r="D5069" s="15">
        <f>IFERROR(__xludf.DUMMYFUNCTION("""COMPUTED_VALUE"""),1.012)</f>
        <v>1.012</v>
      </c>
      <c r="E5069" s="16">
        <f>IFERROR(__xludf.DUMMYFUNCTION("""COMPUTED_VALUE"""),62.0)</f>
        <v>62</v>
      </c>
      <c r="F5069" s="19" t="str">
        <f>IFERROR(__xludf.DUMMYFUNCTION("""COMPUTED_VALUE"""),"BLUE")</f>
        <v>BLUE</v>
      </c>
      <c r="G5069" s="20" t="str">
        <f>IFERROR(__xludf.DUMMYFUNCTION("""COMPUTED_VALUE"""),"Uncle Sams Cider (11/12/2021) (Blue)")</f>
        <v>Uncle Sams Cider (11/12/2021) (Blue)</v>
      </c>
      <c r="H5069" s="19"/>
    </row>
    <row r="5070">
      <c r="A5070" s="9"/>
      <c r="B5070" s="15"/>
      <c r="C5070" s="9">
        <f>IFERROR(__xludf.DUMMYFUNCTION("""COMPUTED_VALUE"""),44552.3808106365)</f>
        <v>44552.38081</v>
      </c>
      <c r="D5070" s="15">
        <f>IFERROR(__xludf.DUMMYFUNCTION("""COMPUTED_VALUE"""),1.012)</f>
        <v>1.012</v>
      </c>
      <c r="E5070" s="16">
        <f>IFERROR(__xludf.DUMMYFUNCTION("""COMPUTED_VALUE"""),62.0)</f>
        <v>62</v>
      </c>
      <c r="F5070" s="19" t="str">
        <f>IFERROR(__xludf.DUMMYFUNCTION("""COMPUTED_VALUE"""),"BLUE")</f>
        <v>BLUE</v>
      </c>
      <c r="G5070" s="20" t="str">
        <f>IFERROR(__xludf.DUMMYFUNCTION("""COMPUTED_VALUE"""),"Uncle Sams Cider (11/12/2021) (Blue)")</f>
        <v>Uncle Sams Cider (11/12/2021) (Blue)</v>
      </c>
      <c r="H5070" s="19"/>
    </row>
    <row r="5071">
      <c r="A5071" s="9"/>
      <c r="B5071" s="15"/>
      <c r="C5071" s="9">
        <f>IFERROR(__xludf.DUMMYFUNCTION("""COMPUTED_VALUE"""),44552.3703899189)</f>
        <v>44552.37039</v>
      </c>
      <c r="D5071" s="15">
        <f>IFERROR(__xludf.DUMMYFUNCTION("""COMPUTED_VALUE"""),1.012)</f>
        <v>1.012</v>
      </c>
      <c r="E5071" s="16">
        <f>IFERROR(__xludf.DUMMYFUNCTION("""COMPUTED_VALUE"""),62.0)</f>
        <v>62</v>
      </c>
      <c r="F5071" s="19" t="str">
        <f>IFERROR(__xludf.DUMMYFUNCTION("""COMPUTED_VALUE"""),"BLUE")</f>
        <v>BLUE</v>
      </c>
      <c r="G5071" s="20" t="str">
        <f>IFERROR(__xludf.DUMMYFUNCTION("""COMPUTED_VALUE"""),"Uncle Sams Cider (11/12/2021) (Blue)")</f>
        <v>Uncle Sams Cider (11/12/2021) (Blue)</v>
      </c>
      <c r="H5071" s="19"/>
    </row>
    <row r="5072">
      <c r="A5072" s="9"/>
      <c r="B5072" s="15"/>
      <c r="C5072" s="9">
        <f>IFERROR(__xludf.DUMMYFUNCTION("""COMPUTED_VALUE"""),44552.3599455902)</f>
        <v>44552.35995</v>
      </c>
      <c r="D5072" s="15">
        <f>IFERROR(__xludf.DUMMYFUNCTION("""COMPUTED_VALUE"""),1.012)</f>
        <v>1.012</v>
      </c>
      <c r="E5072" s="16">
        <f>IFERROR(__xludf.DUMMYFUNCTION("""COMPUTED_VALUE"""),62.0)</f>
        <v>62</v>
      </c>
      <c r="F5072" s="19" t="str">
        <f>IFERROR(__xludf.DUMMYFUNCTION("""COMPUTED_VALUE"""),"BLUE")</f>
        <v>BLUE</v>
      </c>
      <c r="G5072" s="20" t="str">
        <f>IFERROR(__xludf.DUMMYFUNCTION("""COMPUTED_VALUE"""),"Uncle Sams Cider (11/12/2021) (Blue)")</f>
        <v>Uncle Sams Cider (11/12/2021) (Blue)</v>
      </c>
      <c r="H5072" s="19"/>
    </row>
    <row r="5073">
      <c r="A5073" s="9"/>
      <c r="B5073" s="15"/>
      <c r="C5073" s="9">
        <f>IFERROR(__xludf.DUMMYFUNCTION("""COMPUTED_VALUE"""),44552.3495274884)</f>
        <v>44552.34953</v>
      </c>
      <c r="D5073" s="15">
        <f>IFERROR(__xludf.DUMMYFUNCTION("""COMPUTED_VALUE"""),1.012)</f>
        <v>1.012</v>
      </c>
      <c r="E5073" s="16">
        <f>IFERROR(__xludf.DUMMYFUNCTION("""COMPUTED_VALUE"""),62.0)</f>
        <v>62</v>
      </c>
      <c r="F5073" s="19" t="str">
        <f>IFERROR(__xludf.DUMMYFUNCTION("""COMPUTED_VALUE"""),"BLUE")</f>
        <v>BLUE</v>
      </c>
      <c r="G5073" s="20" t="str">
        <f>IFERROR(__xludf.DUMMYFUNCTION("""COMPUTED_VALUE"""),"Uncle Sams Cider (11/12/2021) (Blue)")</f>
        <v>Uncle Sams Cider (11/12/2021) (Blue)</v>
      </c>
      <c r="H5073" s="19"/>
    </row>
    <row r="5074">
      <c r="A5074" s="9"/>
      <c r="B5074" s="15"/>
      <c r="C5074" s="9">
        <f>IFERROR(__xludf.DUMMYFUNCTION("""COMPUTED_VALUE"""),44552.3391052893)</f>
        <v>44552.33911</v>
      </c>
      <c r="D5074" s="15">
        <f>IFERROR(__xludf.DUMMYFUNCTION("""COMPUTED_VALUE"""),1.012)</f>
        <v>1.012</v>
      </c>
      <c r="E5074" s="16">
        <f>IFERROR(__xludf.DUMMYFUNCTION("""COMPUTED_VALUE"""),62.0)</f>
        <v>62</v>
      </c>
      <c r="F5074" s="19" t="str">
        <f>IFERROR(__xludf.DUMMYFUNCTION("""COMPUTED_VALUE"""),"BLUE")</f>
        <v>BLUE</v>
      </c>
      <c r="G5074" s="20" t="str">
        <f>IFERROR(__xludf.DUMMYFUNCTION("""COMPUTED_VALUE"""),"Uncle Sams Cider (11/12/2021) (Blue)")</f>
        <v>Uncle Sams Cider (11/12/2021) (Blue)</v>
      </c>
      <c r="H5074" s="19"/>
    </row>
    <row r="5075">
      <c r="A5075" s="9"/>
      <c r="B5075" s="15"/>
      <c r="C5075" s="9">
        <f>IFERROR(__xludf.DUMMYFUNCTION("""COMPUTED_VALUE"""),44552.328683449)</f>
        <v>44552.32868</v>
      </c>
      <c r="D5075" s="15">
        <f>IFERROR(__xludf.DUMMYFUNCTION("""COMPUTED_VALUE"""),1.012)</f>
        <v>1.012</v>
      </c>
      <c r="E5075" s="16">
        <f>IFERROR(__xludf.DUMMYFUNCTION("""COMPUTED_VALUE"""),62.0)</f>
        <v>62</v>
      </c>
      <c r="F5075" s="19" t="str">
        <f>IFERROR(__xludf.DUMMYFUNCTION("""COMPUTED_VALUE"""),"BLUE")</f>
        <v>BLUE</v>
      </c>
      <c r="G5075" s="20" t="str">
        <f>IFERROR(__xludf.DUMMYFUNCTION("""COMPUTED_VALUE"""),"Uncle Sams Cider (11/12/2021) (Blue)")</f>
        <v>Uncle Sams Cider (11/12/2021) (Blue)</v>
      </c>
      <c r="H5075" s="19"/>
    </row>
    <row r="5076">
      <c r="A5076" s="9"/>
      <c r="B5076" s="15"/>
      <c r="C5076" s="9">
        <f>IFERROR(__xludf.DUMMYFUNCTION("""COMPUTED_VALUE"""),44552.3182620138)</f>
        <v>44552.31826</v>
      </c>
      <c r="D5076" s="15">
        <f>IFERROR(__xludf.DUMMYFUNCTION("""COMPUTED_VALUE"""),1.012)</f>
        <v>1.012</v>
      </c>
      <c r="E5076" s="16">
        <f>IFERROR(__xludf.DUMMYFUNCTION("""COMPUTED_VALUE"""),62.0)</f>
        <v>62</v>
      </c>
      <c r="F5076" s="19" t="str">
        <f>IFERROR(__xludf.DUMMYFUNCTION("""COMPUTED_VALUE"""),"BLUE")</f>
        <v>BLUE</v>
      </c>
      <c r="G5076" s="20" t="str">
        <f>IFERROR(__xludf.DUMMYFUNCTION("""COMPUTED_VALUE"""),"Uncle Sams Cider (11/12/2021) (Blue)")</f>
        <v>Uncle Sams Cider (11/12/2021) (Blue)</v>
      </c>
      <c r="H5076" s="19"/>
    </row>
    <row r="5077">
      <c r="A5077" s="9"/>
      <c r="B5077" s="15"/>
      <c r="C5077" s="9">
        <f>IFERROR(__xludf.DUMMYFUNCTION("""COMPUTED_VALUE"""),44552.3078401273)</f>
        <v>44552.30784</v>
      </c>
      <c r="D5077" s="15">
        <f>IFERROR(__xludf.DUMMYFUNCTION("""COMPUTED_VALUE"""),1.012)</f>
        <v>1.012</v>
      </c>
      <c r="E5077" s="16">
        <f>IFERROR(__xludf.DUMMYFUNCTION("""COMPUTED_VALUE"""),62.0)</f>
        <v>62</v>
      </c>
      <c r="F5077" s="19" t="str">
        <f>IFERROR(__xludf.DUMMYFUNCTION("""COMPUTED_VALUE"""),"BLUE")</f>
        <v>BLUE</v>
      </c>
      <c r="G5077" s="20" t="str">
        <f>IFERROR(__xludf.DUMMYFUNCTION("""COMPUTED_VALUE"""),"Uncle Sams Cider (11/12/2021) (Blue)")</f>
        <v>Uncle Sams Cider (11/12/2021) (Blue)</v>
      </c>
      <c r="H5077" s="19"/>
    </row>
    <row r="5078">
      <c r="A5078" s="9"/>
      <c r="B5078" s="15"/>
      <c r="C5078" s="9">
        <f>IFERROR(__xludf.DUMMYFUNCTION("""COMPUTED_VALUE"""),44552.297396655)</f>
        <v>44552.2974</v>
      </c>
      <c r="D5078" s="15">
        <f>IFERROR(__xludf.DUMMYFUNCTION("""COMPUTED_VALUE"""),1.012)</f>
        <v>1.012</v>
      </c>
      <c r="E5078" s="16">
        <f>IFERROR(__xludf.DUMMYFUNCTION("""COMPUTED_VALUE"""),62.0)</f>
        <v>62</v>
      </c>
      <c r="F5078" s="19" t="str">
        <f>IFERROR(__xludf.DUMMYFUNCTION("""COMPUTED_VALUE"""),"BLUE")</f>
        <v>BLUE</v>
      </c>
      <c r="G5078" s="20" t="str">
        <f>IFERROR(__xludf.DUMMYFUNCTION("""COMPUTED_VALUE"""),"Uncle Sams Cider (11/12/2021) (Blue)")</f>
        <v>Uncle Sams Cider (11/12/2021) (Blue)</v>
      </c>
      <c r="H5078" s="19"/>
    </row>
    <row r="5079">
      <c r="A5079" s="9"/>
      <c r="B5079" s="15"/>
      <c r="C5079" s="9">
        <f>IFERROR(__xludf.DUMMYFUNCTION("""COMPUTED_VALUE"""),44552.286975162)</f>
        <v>44552.28698</v>
      </c>
      <c r="D5079" s="15">
        <f>IFERROR(__xludf.DUMMYFUNCTION("""COMPUTED_VALUE"""),1.012)</f>
        <v>1.012</v>
      </c>
      <c r="E5079" s="16">
        <f>IFERROR(__xludf.DUMMYFUNCTION("""COMPUTED_VALUE"""),62.0)</f>
        <v>62</v>
      </c>
      <c r="F5079" s="19" t="str">
        <f>IFERROR(__xludf.DUMMYFUNCTION("""COMPUTED_VALUE"""),"BLUE")</f>
        <v>BLUE</v>
      </c>
      <c r="G5079" s="20" t="str">
        <f>IFERROR(__xludf.DUMMYFUNCTION("""COMPUTED_VALUE"""),"Uncle Sams Cider (11/12/2021) (Blue)")</f>
        <v>Uncle Sams Cider (11/12/2021) (Blue)</v>
      </c>
      <c r="H5079" s="19"/>
    </row>
    <row r="5080">
      <c r="A5080" s="9"/>
      <c r="B5080" s="15"/>
      <c r="C5080" s="9">
        <f>IFERROR(__xludf.DUMMYFUNCTION("""COMPUTED_VALUE"""),44552.2765422106)</f>
        <v>44552.27654</v>
      </c>
      <c r="D5080" s="15">
        <f>IFERROR(__xludf.DUMMYFUNCTION("""COMPUTED_VALUE"""),1.012)</f>
        <v>1.012</v>
      </c>
      <c r="E5080" s="16">
        <f>IFERROR(__xludf.DUMMYFUNCTION("""COMPUTED_VALUE"""),62.0)</f>
        <v>62</v>
      </c>
      <c r="F5080" s="19" t="str">
        <f>IFERROR(__xludf.DUMMYFUNCTION("""COMPUTED_VALUE"""),"BLUE")</f>
        <v>BLUE</v>
      </c>
      <c r="G5080" s="20" t="str">
        <f>IFERROR(__xludf.DUMMYFUNCTION("""COMPUTED_VALUE"""),"Uncle Sams Cider (11/12/2021) (Blue)")</f>
        <v>Uncle Sams Cider (11/12/2021) (Blue)</v>
      </c>
      <c r="H5080" s="19"/>
    </row>
    <row r="5081">
      <c r="A5081" s="9"/>
      <c r="B5081" s="15"/>
      <c r="C5081" s="9">
        <f>IFERROR(__xludf.DUMMYFUNCTION("""COMPUTED_VALUE"""),44552.2661229513)</f>
        <v>44552.26612</v>
      </c>
      <c r="D5081" s="15">
        <f>IFERROR(__xludf.DUMMYFUNCTION("""COMPUTED_VALUE"""),1.012)</f>
        <v>1.012</v>
      </c>
      <c r="E5081" s="16">
        <f>IFERROR(__xludf.DUMMYFUNCTION("""COMPUTED_VALUE"""),62.0)</f>
        <v>62</v>
      </c>
      <c r="F5081" s="19" t="str">
        <f>IFERROR(__xludf.DUMMYFUNCTION("""COMPUTED_VALUE"""),"BLUE")</f>
        <v>BLUE</v>
      </c>
      <c r="G5081" s="20" t="str">
        <f>IFERROR(__xludf.DUMMYFUNCTION("""COMPUTED_VALUE"""),"Uncle Sams Cider (11/12/2021) (Blue)")</f>
        <v>Uncle Sams Cider (11/12/2021) (Blue)</v>
      </c>
      <c r="H5081" s="19"/>
    </row>
    <row r="5082">
      <c r="A5082" s="9"/>
      <c r="B5082" s="15"/>
      <c r="C5082" s="9">
        <f>IFERROR(__xludf.DUMMYFUNCTION("""COMPUTED_VALUE"""),44552.2556666435)</f>
        <v>44552.25567</v>
      </c>
      <c r="D5082" s="15">
        <f>IFERROR(__xludf.DUMMYFUNCTION("""COMPUTED_VALUE"""),1.012)</f>
        <v>1.012</v>
      </c>
      <c r="E5082" s="16">
        <f>IFERROR(__xludf.DUMMYFUNCTION("""COMPUTED_VALUE"""),62.0)</f>
        <v>62</v>
      </c>
      <c r="F5082" s="19" t="str">
        <f>IFERROR(__xludf.DUMMYFUNCTION("""COMPUTED_VALUE"""),"BLUE")</f>
        <v>BLUE</v>
      </c>
      <c r="G5082" s="20" t="str">
        <f>IFERROR(__xludf.DUMMYFUNCTION("""COMPUTED_VALUE"""),"Uncle Sams Cider (11/12/2021) (Blue)")</f>
        <v>Uncle Sams Cider (11/12/2021) (Blue)</v>
      </c>
      <c r="H5082" s="19"/>
    </row>
    <row r="5083">
      <c r="A5083" s="9"/>
      <c r="B5083" s="15"/>
      <c r="C5083" s="9">
        <f>IFERROR(__xludf.DUMMYFUNCTION("""COMPUTED_VALUE"""),44552.245245706)</f>
        <v>44552.24525</v>
      </c>
      <c r="D5083" s="15">
        <f>IFERROR(__xludf.DUMMYFUNCTION("""COMPUTED_VALUE"""),1.012)</f>
        <v>1.012</v>
      </c>
      <c r="E5083" s="16">
        <f>IFERROR(__xludf.DUMMYFUNCTION("""COMPUTED_VALUE"""),62.0)</f>
        <v>62</v>
      </c>
      <c r="F5083" s="19" t="str">
        <f>IFERROR(__xludf.DUMMYFUNCTION("""COMPUTED_VALUE"""),"BLUE")</f>
        <v>BLUE</v>
      </c>
      <c r="G5083" s="20" t="str">
        <f>IFERROR(__xludf.DUMMYFUNCTION("""COMPUTED_VALUE"""),"Uncle Sams Cider (11/12/2021) (Blue)")</f>
        <v>Uncle Sams Cider (11/12/2021) (Blue)</v>
      </c>
      <c r="H5083" s="19"/>
    </row>
    <row r="5084">
      <c r="A5084" s="9"/>
      <c r="B5084" s="15"/>
      <c r="C5084" s="9">
        <f>IFERROR(__xludf.DUMMYFUNCTION("""COMPUTED_VALUE"""),44552.2348252777)</f>
        <v>44552.23483</v>
      </c>
      <c r="D5084" s="15">
        <f>IFERROR(__xludf.DUMMYFUNCTION("""COMPUTED_VALUE"""),1.012)</f>
        <v>1.012</v>
      </c>
      <c r="E5084" s="16">
        <f>IFERROR(__xludf.DUMMYFUNCTION("""COMPUTED_VALUE"""),62.0)</f>
        <v>62</v>
      </c>
      <c r="F5084" s="19" t="str">
        <f>IFERROR(__xludf.DUMMYFUNCTION("""COMPUTED_VALUE"""),"BLUE")</f>
        <v>BLUE</v>
      </c>
      <c r="G5084" s="20" t="str">
        <f>IFERROR(__xludf.DUMMYFUNCTION("""COMPUTED_VALUE"""),"Uncle Sams Cider (11/12/2021) (Blue)")</f>
        <v>Uncle Sams Cider (11/12/2021) (Blue)</v>
      </c>
      <c r="H5084" s="19"/>
    </row>
    <row r="5085">
      <c r="A5085" s="9"/>
      <c r="B5085" s="15"/>
      <c r="C5085" s="9">
        <f>IFERROR(__xludf.DUMMYFUNCTION("""COMPUTED_VALUE"""),44552.2244047222)</f>
        <v>44552.2244</v>
      </c>
      <c r="D5085" s="15">
        <f>IFERROR(__xludf.DUMMYFUNCTION("""COMPUTED_VALUE"""),1.012)</f>
        <v>1.012</v>
      </c>
      <c r="E5085" s="16">
        <f>IFERROR(__xludf.DUMMYFUNCTION("""COMPUTED_VALUE"""),62.0)</f>
        <v>62</v>
      </c>
      <c r="F5085" s="19" t="str">
        <f>IFERROR(__xludf.DUMMYFUNCTION("""COMPUTED_VALUE"""),"BLUE")</f>
        <v>BLUE</v>
      </c>
      <c r="G5085" s="20" t="str">
        <f>IFERROR(__xludf.DUMMYFUNCTION("""COMPUTED_VALUE"""),"Uncle Sams Cider (11/12/2021) (Blue)")</f>
        <v>Uncle Sams Cider (11/12/2021) (Blue)</v>
      </c>
      <c r="H5085" s="19"/>
    </row>
    <row r="5086">
      <c r="A5086" s="9"/>
      <c r="B5086" s="15"/>
      <c r="C5086" s="9">
        <f>IFERROR(__xludf.DUMMYFUNCTION("""COMPUTED_VALUE"""),44552.2139718055)</f>
        <v>44552.21397</v>
      </c>
      <c r="D5086" s="15">
        <f>IFERROR(__xludf.DUMMYFUNCTION("""COMPUTED_VALUE"""),1.012)</f>
        <v>1.012</v>
      </c>
      <c r="E5086" s="16">
        <f>IFERROR(__xludf.DUMMYFUNCTION("""COMPUTED_VALUE"""),62.0)</f>
        <v>62</v>
      </c>
      <c r="F5086" s="19" t="str">
        <f>IFERROR(__xludf.DUMMYFUNCTION("""COMPUTED_VALUE"""),"BLUE")</f>
        <v>BLUE</v>
      </c>
      <c r="G5086" s="20" t="str">
        <f>IFERROR(__xludf.DUMMYFUNCTION("""COMPUTED_VALUE"""),"Uncle Sams Cider (11/12/2021) (Blue)")</f>
        <v>Uncle Sams Cider (11/12/2021) (Blue)</v>
      </c>
      <c r="H5086" s="19"/>
    </row>
    <row r="5087">
      <c r="A5087" s="9"/>
      <c r="B5087" s="15"/>
      <c r="C5087" s="9">
        <f>IFERROR(__xludf.DUMMYFUNCTION("""COMPUTED_VALUE"""),44552.2035506597)</f>
        <v>44552.20355</v>
      </c>
      <c r="D5087" s="15">
        <f>IFERROR(__xludf.DUMMYFUNCTION("""COMPUTED_VALUE"""),1.012)</f>
        <v>1.012</v>
      </c>
      <c r="E5087" s="16">
        <f>IFERROR(__xludf.DUMMYFUNCTION("""COMPUTED_VALUE"""),62.0)</f>
        <v>62</v>
      </c>
      <c r="F5087" s="19" t="str">
        <f>IFERROR(__xludf.DUMMYFUNCTION("""COMPUTED_VALUE"""),"BLUE")</f>
        <v>BLUE</v>
      </c>
      <c r="G5087" s="20" t="str">
        <f>IFERROR(__xludf.DUMMYFUNCTION("""COMPUTED_VALUE"""),"Uncle Sams Cider (11/12/2021) (Blue)")</f>
        <v>Uncle Sams Cider (11/12/2021) (Blue)</v>
      </c>
      <c r="H5087" s="19"/>
    </row>
    <row r="5088">
      <c r="A5088" s="9"/>
      <c r="B5088" s="15"/>
      <c r="C5088" s="9">
        <f>IFERROR(__xludf.DUMMYFUNCTION("""COMPUTED_VALUE"""),44552.1931307407)</f>
        <v>44552.19313</v>
      </c>
      <c r="D5088" s="15">
        <f>IFERROR(__xludf.DUMMYFUNCTION("""COMPUTED_VALUE"""),1.012)</f>
        <v>1.012</v>
      </c>
      <c r="E5088" s="16">
        <f>IFERROR(__xludf.DUMMYFUNCTION("""COMPUTED_VALUE"""),62.0)</f>
        <v>62</v>
      </c>
      <c r="F5088" s="19" t="str">
        <f>IFERROR(__xludf.DUMMYFUNCTION("""COMPUTED_VALUE"""),"BLUE")</f>
        <v>BLUE</v>
      </c>
      <c r="G5088" s="20" t="str">
        <f>IFERROR(__xludf.DUMMYFUNCTION("""COMPUTED_VALUE"""),"Uncle Sams Cider (11/12/2021) (Blue)")</f>
        <v>Uncle Sams Cider (11/12/2021) (Blue)</v>
      </c>
      <c r="H5088" s="19"/>
    </row>
    <row r="5089">
      <c r="A5089" s="9"/>
      <c r="B5089" s="15"/>
      <c r="C5089" s="9">
        <f>IFERROR(__xludf.DUMMYFUNCTION("""COMPUTED_VALUE"""),44552.182709618)</f>
        <v>44552.18271</v>
      </c>
      <c r="D5089" s="15">
        <f>IFERROR(__xludf.DUMMYFUNCTION("""COMPUTED_VALUE"""),1.012)</f>
        <v>1.012</v>
      </c>
      <c r="E5089" s="16">
        <f>IFERROR(__xludf.DUMMYFUNCTION("""COMPUTED_VALUE"""),62.0)</f>
        <v>62</v>
      </c>
      <c r="F5089" s="19" t="str">
        <f>IFERROR(__xludf.DUMMYFUNCTION("""COMPUTED_VALUE"""),"BLUE")</f>
        <v>BLUE</v>
      </c>
      <c r="G5089" s="20" t="str">
        <f>IFERROR(__xludf.DUMMYFUNCTION("""COMPUTED_VALUE"""),"Uncle Sams Cider (11/12/2021) (Blue)")</f>
        <v>Uncle Sams Cider (11/12/2021) (Blue)</v>
      </c>
      <c r="H5089" s="19"/>
    </row>
    <row r="5090">
      <c r="A5090" s="9"/>
      <c r="B5090" s="15"/>
      <c r="C5090" s="9">
        <f>IFERROR(__xludf.DUMMYFUNCTION("""COMPUTED_VALUE"""),44552.1722756712)</f>
        <v>44552.17228</v>
      </c>
      <c r="D5090" s="15">
        <f>IFERROR(__xludf.DUMMYFUNCTION("""COMPUTED_VALUE"""),1.012)</f>
        <v>1.012</v>
      </c>
      <c r="E5090" s="16">
        <f>IFERROR(__xludf.DUMMYFUNCTION("""COMPUTED_VALUE"""),62.0)</f>
        <v>62</v>
      </c>
      <c r="F5090" s="19" t="str">
        <f>IFERROR(__xludf.DUMMYFUNCTION("""COMPUTED_VALUE"""),"BLUE")</f>
        <v>BLUE</v>
      </c>
      <c r="G5090" s="20" t="str">
        <f>IFERROR(__xludf.DUMMYFUNCTION("""COMPUTED_VALUE"""),"Uncle Sams Cider (11/12/2021) (Blue)")</f>
        <v>Uncle Sams Cider (11/12/2021) (Blue)</v>
      </c>
      <c r="H5090" s="19"/>
    </row>
    <row r="5091">
      <c r="A5091" s="9"/>
      <c r="B5091" s="15"/>
      <c r="C5091" s="9">
        <f>IFERROR(__xludf.DUMMYFUNCTION("""COMPUTED_VALUE"""),44552.1618546296)</f>
        <v>44552.16185</v>
      </c>
      <c r="D5091" s="15">
        <f>IFERROR(__xludf.DUMMYFUNCTION("""COMPUTED_VALUE"""),1.012)</f>
        <v>1.012</v>
      </c>
      <c r="E5091" s="16">
        <f>IFERROR(__xludf.DUMMYFUNCTION("""COMPUTED_VALUE"""),62.0)</f>
        <v>62</v>
      </c>
      <c r="F5091" s="19" t="str">
        <f>IFERROR(__xludf.DUMMYFUNCTION("""COMPUTED_VALUE"""),"BLUE")</f>
        <v>BLUE</v>
      </c>
      <c r="G5091" s="20" t="str">
        <f>IFERROR(__xludf.DUMMYFUNCTION("""COMPUTED_VALUE"""),"Uncle Sams Cider (11/12/2021) (Blue)")</f>
        <v>Uncle Sams Cider (11/12/2021) (Blue)</v>
      </c>
      <c r="H5091" s="19"/>
    </row>
    <row r="5092">
      <c r="A5092" s="9"/>
      <c r="B5092" s="15"/>
      <c r="C5092" s="9">
        <f>IFERROR(__xludf.DUMMYFUNCTION("""COMPUTED_VALUE"""),44552.1514317824)</f>
        <v>44552.15143</v>
      </c>
      <c r="D5092" s="15">
        <f>IFERROR(__xludf.DUMMYFUNCTION("""COMPUTED_VALUE"""),1.012)</f>
        <v>1.012</v>
      </c>
      <c r="E5092" s="16">
        <f>IFERROR(__xludf.DUMMYFUNCTION("""COMPUTED_VALUE"""),62.0)</f>
        <v>62</v>
      </c>
      <c r="F5092" s="19" t="str">
        <f>IFERROR(__xludf.DUMMYFUNCTION("""COMPUTED_VALUE"""),"BLUE")</f>
        <v>BLUE</v>
      </c>
      <c r="G5092" s="20" t="str">
        <f>IFERROR(__xludf.DUMMYFUNCTION("""COMPUTED_VALUE"""),"Uncle Sams Cider (11/12/2021) (Blue)")</f>
        <v>Uncle Sams Cider (11/12/2021) (Blue)</v>
      </c>
      <c r="H5092" s="19"/>
    </row>
    <row r="5093">
      <c r="A5093" s="9"/>
      <c r="B5093" s="15"/>
      <c r="C5093" s="9">
        <f>IFERROR(__xludf.DUMMYFUNCTION("""COMPUTED_VALUE"""),44552.1409980439)</f>
        <v>44552.141</v>
      </c>
      <c r="D5093" s="15">
        <f>IFERROR(__xludf.DUMMYFUNCTION("""COMPUTED_VALUE"""),1.012)</f>
        <v>1.012</v>
      </c>
      <c r="E5093" s="16">
        <f>IFERROR(__xludf.DUMMYFUNCTION("""COMPUTED_VALUE"""),62.0)</f>
        <v>62</v>
      </c>
      <c r="F5093" s="19" t="str">
        <f>IFERROR(__xludf.DUMMYFUNCTION("""COMPUTED_VALUE"""),"BLUE")</f>
        <v>BLUE</v>
      </c>
      <c r="G5093" s="20" t="str">
        <f>IFERROR(__xludf.DUMMYFUNCTION("""COMPUTED_VALUE"""),"Uncle Sams Cider (11/12/2021) (Blue)")</f>
        <v>Uncle Sams Cider (11/12/2021) (Blue)</v>
      </c>
      <c r="H5093" s="19"/>
    </row>
    <row r="5094">
      <c r="A5094" s="9"/>
      <c r="B5094" s="15"/>
      <c r="C5094" s="9">
        <f>IFERROR(__xludf.DUMMYFUNCTION("""COMPUTED_VALUE"""),44552.1305765856)</f>
        <v>44552.13058</v>
      </c>
      <c r="D5094" s="15">
        <f>IFERROR(__xludf.DUMMYFUNCTION("""COMPUTED_VALUE"""),1.012)</f>
        <v>1.012</v>
      </c>
      <c r="E5094" s="16">
        <f>IFERROR(__xludf.DUMMYFUNCTION("""COMPUTED_VALUE"""),62.0)</f>
        <v>62</v>
      </c>
      <c r="F5094" s="19" t="str">
        <f>IFERROR(__xludf.DUMMYFUNCTION("""COMPUTED_VALUE"""),"BLUE")</f>
        <v>BLUE</v>
      </c>
      <c r="G5094" s="20" t="str">
        <f>IFERROR(__xludf.DUMMYFUNCTION("""COMPUTED_VALUE"""),"Uncle Sams Cider (11/12/2021) (Blue)")</f>
        <v>Uncle Sams Cider (11/12/2021) (Blue)</v>
      </c>
      <c r="H5094" s="19"/>
    </row>
    <row r="5095">
      <c r="A5095" s="9"/>
      <c r="B5095" s="15"/>
      <c r="C5095" s="9">
        <f>IFERROR(__xludf.DUMMYFUNCTION("""COMPUTED_VALUE"""),44552.1201557638)</f>
        <v>44552.12016</v>
      </c>
      <c r="D5095" s="15">
        <f>IFERROR(__xludf.DUMMYFUNCTION("""COMPUTED_VALUE"""),1.012)</f>
        <v>1.012</v>
      </c>
      <c r="E5095" s="16">
        <f>IFERROR(__xludf.DUMMYFUNCTION("""COMPUTED_VALUE"""),62.0)</f>
        <v>62</v>
      </c>
      <c r="F5095" s="19" t="str">
        <f>IFERROR(__xludf.DUMMYFUNCTION("""COMPUTED_VALUE"""),"BLUE")</f>
        <v>BLUE</v>
      </c>
      <c r="G5095" s="20" t="str">
        <f>IFERROR(__xludf.DUMMYFUNCTION("""COMPUTED_VALUE"""),"Uncle Sams Cider (11/12/2021) (Blue)")</f>
        <v>Uncle Sams Cider (11/12/2021) (Blue)</v>
      </c>
      <c r="H5095" s="19"/>
    </row>
    <row r="5096">
      <c r="A5096" s="9"/>
      <c r="B5096" s="15"/>
      <c r="C5096" s="9">
        <f>IFERROR(__xludf.DUMMYFUNCTION("""COMPUTED_VALUE"""),44552.1097340856)</f>
        <v>44552.10973</v>
      </c>
      <c r="D5096" s="15">
        <f>IFERROR(__xludf.DUMMYFUNCTION("""COMPUTED_VALUE"""),1.012)</f>
        <v>1.012</v>
      </c>
      <c r="E5096" s="16">
        <f>IFERROR(__xludf.DUMMYFUNCTION("""COMPUTED_VALUE"""),62.0)</f>
        <v>62</v>
      </c>
      <c r="F5096" s="19" t="str">
        <f>IFERROR(__xludf.DUMMYFUNCTION("""COMPUTED_VALUE"""),"BLUE")</f>
        <v>BLUE</v>
      </c>
      <c r="G5096" s="20" t="str">
        <f>IFERROR(__xludf.DUMMYFUNCTION("""COMPUTED_VALUE"""),"Uncle Sams Cider (11/12/2021) (Blue)")</f>
        <v>Uncle Sams Cider (11/12/2021) (Blue)</v>
      </c>
      <c r="H5096" s="19"/>
    </row>
    <row r="5097">
      <c r="A5097" s="9"/>
      <c r="B5097" s="15"/>
      <c r="C5097" s="9">
        <f>IFERROR(__xludf.DUMMYFUNCTION("""COMPUTED_VALUE"""),44552.099312743)</f>
        <v>44552.09931</v>
      </c>
      <c r="D5097" s="15">
        <f>IFERROR(__xludf.DUMMYFUNCTION("""COMPUTED_VALUE"""),1.012)</f>
        <v>1.012</v>
      </c>
      <c r="E5097" s="16">
        <f>IFERROR(__xludf.DUMMYFUNCTION("""COMPUTED_VALUE"""),62.0)</f>
        <v>62</v>
      </c>
      <c r="F5097" s="19" t="str">
        <f>IFERROR(__xludf.DUMMYFUNCTION("""COMPUTED_VALUE"""),"BLUE")</f>
        <v>BLUE</v>
      </c>
      <c r="G5097" s="20" t="str">
        <f>IFERROR(__xludf.DUMMYFUNCTION("""COMPUTED_VALUE"""),"Uncle Sams Cider (11/12/2021) (Blue)")</f>
        <v>Uncle Sams Cider (11/12/2021) (Blue)</v>
      </c>
      <c r="H5097" s="19"/>
    </row>
    <row r="5098">
      <c r="A5098" s="9"/>
      <c r="B5098" s="15"/>
      <c r="C5098" s="9">
        <f>IFERROR(__xludf.DUMMYFUNCTION("""COMPUTED_VALUE"""),44552.0888915277)</f>
        <v>44552.08889</v>
      </c>
      <c r="D5098" s="15">
        <f>IFERROR(__xludf.DUMMYFUNCTION("""COMPUTED_VALUE"""),1.012)</f>
        <v>1.012</v>
      </c>
      <c r="E5098" s="16">
        <f>IFERROR(__xludf.DUMMYFUNCTION("""COMPUTED_VALUE"""),62.0)</f>
        <v>62</v>
      </c>
      <c r="F5098" s="19" t="str">
        <f>IFERROR(__xludf.DUMMYFUNCTION("""COMPUTED_VALUE"""),"BLUE")</f>
        <v>BLUE</v>
      </c>
      <c r="G5098" s="20" t="str">
        <f>IFERROR(__xludf.DUMMYFUNCTION("""COMPUTED_VALUE"""),"Uncle Sams Cider (11/12/2021) (Blue)")</f>
        <v>Uncle Sams Cider (11/12/2021) (Blue)</v>
      </c>
      <c r="H5098" s="19"/>
    </row>
    <row r="5099">
      <c r="A5099" s="9"/>
      <c r="B5099" s="15"/>
      <c r="C5099" s="9">
        <f>IFERROR(__xludf.DUMMYFUNCTION("""COMPUTED_VALUE"""),44552.0784706481)</f>
        <v>44552.07847</v>
      </c>
      <c r="D5099" s="15">
        <f>IFERROR(__xludf.DUMMYFUNCTION("""COMPUTED_VALUE"""),1.012)</f>
        <v>1.012</v>
      </c>
      <c r="E5099" s="16">
        <f>IFERROR(__xludf.DUMMYFUNCTION("""COMPUTED_VALUE"""),62.0)</f>
        <v>62</v>
      </c>
      <c r="F5099" s="19" t="str">
        <f>IFERROR(__xludf.DUMMYFUNCTION("""COMPUTED_VALUE"""),"BLUE")</f>
        <v>BLUE</v>
      </c>
      <c r="G5099" s="20" t="str">
        <f>IFERROR(__xludf.DUMMYFUNCTION("""COMPUTED_VALUE"""),"Uncle Sams Cider (11/12/2021) (Blue)")</f>
        <v>Uncle Sams Cider (11/12/2021) (Blue)</v>
      </c>
      <c r="H5099" s="19"/>
    </row>
    <row r="5100">
      <c r="A5100" s="9"/>
      <c r="B5100" s="15"/>
      <c r="C5100" s="9">
        <f>IFERROR(__xludf.DUMMYFUNCTION("""COMPUTED_VALUE"""),44552.0680502777)</f>
        <v>44552.06805</v>
      </c>
      <c r="D5100" s="15">
        <f>IFERROR(__xludf.DUMMYFUNCTION("""COMPUTED_VALUE"""),1.012)</f>
        <v>1.012</v>
      </c>
      <c r="E5100" s="16">
        <f>IFERROR(__xludf.DUMMYFUNCTION("""COMPUTED_VALUE"""),62.0)</f>
        <v>62</v>
      </c>
      <c r="F5100" s="19" t="str">
        <f>IFERROR(__xludf.DUMMYFUNCTION("""COMPUTED_VALUE"""),"BLUE")</f>
        <v>BLUE</v>
      </c>
      <c r="G5100" s="20" t="str">
        <f>IFERROR(__xludf.DUMMYFUNCTION("""COMPUTED_VALUE"""),"Uncle Sams Cider (11/12/2021) (Blue)")</f>
        <v>Uncle Sams Cider (11/12/2021) (Blue)</v>
      </c>
      <c r="H5100" s="19"/>
    </row>
    <row r="5101">
      <c r="A5101" s="9"/>
      <c r="B5101" s="15"/>
      <c r="C5101" s="9">
        <f>IFERROR(__xludf.DUMMYFUNCTION("""COMPUTED_VALUE"""),44552.0576297337)</f>
        <v>44552.05763</v>
      </c>
      <c r="D5101" s="15">
        <f>IFERROR(__xludf.DUMMYFUNCTION("""COMPUTED_VALUE"""),1.012)</f>
        <v>1.012</v>
      </c>
      <c r="E5101" s="16">
        <f>IFERROR(__xludf.DUMMYFUNCTION("""COMPUTED_VALUE"""),62.0)</f>
        <v>62</v>
      </c>
      <c r="F5101" s="19" t="str">
        <f>IFERROR(__xludf.DUMMYFUNCTION("""COMPUTED_VALUE"""),"BLUE")</f>
        <v>BLUE</v>
      </c>
      <c r="G5101" s="20" t="str">
        <f>IFERROR(__xludf.DUMMYFUNCTION("""COMPUTED_VALUE"""),"Uncle Sams Cider (11/12/2021) (Blue)")</f>
        <v>Uncle Sams Cider (11/12/2021) (Blue)</v>
      </c>
      <c r="H5101" s="19"/>
    </row>
    <row r="5102">
      <c r="A5102" s="9"/>
      <c r="B5102" s="15"/>
      <c r="C5102" s="9">
        <f>IFERROR(__xludf.DUMMYFUNCTION("""COMPUTED_VALUE"""),44552.0472084375)</f>
        <v>44552.04721</v>
      </c>
      <c r="D5102" s="15">
        <f>IFERROR(__xludf.DUMMYFUNCTION("""COMPUTED_VALUE"""),1.012)</f>
        <v>1.012</v>
      </c>
      <c r="E5102" s="16">
        <f>IFERROR(__xludf.DUMMYFUNCTION("""COMPUTED_VALUE"""),62.0)</f>
        <v>62</v>
      </c>
      <c r="F5102" s="19" t="str">
        <f>IFERROR(__xludf.DUMMYFUNCTION("""COMPUTED_VALUE"""),"BLUE")</f>
        <v>BLUE</v>
      </c>
      <c r="G5102" s="20" t="str">
        <f>IFERROR(__xludf.DUMMYFUNCTION("""COMPUTED_VALUE"""),"Uncle Sams Cider (11/12/2021) (Blue)")</f>
        <v>Uncle Sams Cider (11/12/2021) (Blue)</v>
      </c>
      <c r="H5102" s="19"/>
    </row>
    <row r="5103">
      <c r="A5103" s="9"/>
      <c r="B5103" s="15"/>
      <c r="C5103" s="9">
        <f>IFERROR(__xludf.DUMMYFUNCTION("""COMPUTED_VALUE"""),44552.0367866203)</f>
        <v>44552.03679</v>
      </c>
      <c r="D5103" s="15">
        <f>IFERROR(__xludf.DUMMYFUNCTION("""COMPUTED_VALUE"""),1.012)</f>
        <v>1.012</v>
      </c>
      <c r="E5103" s="16">
        <f>IFERROR(__xludf.DUMMYFUNCTION("""COMPUTED_VALUE"""),62.0)</f>
        <v>62</v>
      </c>
      <c r="F5103" s="19" t="str">
        <f>IFERROR(__xludf.DUMMYFUNCTION("""COMPUTED_VALUE"""),"BLUE")</f>
        <v>BLUE</v>
      </c>
      <c r="G5103" s="20" t="str">
        <f>IFERROR(__xludf.DUMMYFUNCTION("""COMPUTED_VALUE"""),"Uncle Sams Cider (11/12/2021) (Blue)")</f>
        <v>Uncle Sams Cider (11/12/2021) (Blue)</v>
      </c>
      <c r="H5103" s="19"/>
    </row>
    <row r="5104">
      <c r="A5104" s="9"/>
      <c r="B5104" s="15"/>
      <c r="C5104" s="9">
        <f>IFERROR(__xludf.DUMMYFUNCTION("""COMPUTED_VALUE"""),44552.0263644328)</f>
        <v>44552.02636</v>
      </c>
      <c r="D5104" s="15">
        <f>IFERROR(__xludf.DUMMYFUNCTION("""COMPUTED_VALUE"""),1.012)</f>
        <v>1.012</v>
      </c>
      <c r="E5104" s="16">
        <f>IFERROR(__xludf.DUMMYFUNCTION("""COMPUTED_VALUE"""),62.0)</f>
        <v>62</v>
      </c>
      <c r="F5104" s="19" t="str">
        <f>IFERROR(__xludf.DUMMYFUNCTION("""COMPUTED_VALUE"""),"BLUE")</f>
        <v>BLUE</v>
      </c>
      <c r="G5104" s="20" t="str">
        <f>IFERROR(__xludf.DUMMYFUNCTION("""COMPUTED_VALUE"""),"Uncle Sams Cider (11/12/2021) (Blue)")</f>
        <v>Uncle Sams Cider (11/12/2021) (Blue)</v>
      </c>
      <c r="H5104" s="19"/>
    </row>
    <row r="5105">
      <c r="A5105" s="9"/>
      <c r="B5105" s="15"/>
      <c r="C5105" s="9">
        <f>IFERROR(__xludf.DUMMYFUNCTION("""COMPUTED_VALUE"""),44552.015930243)</f>
        <v>44552.01593</v>
      </c>
      <c r="D5105" s="15">
        <f>IFERROR(__xludf.DUMMYFUNCTION("""COMPUTED_VALUE"""),1.012)</f>
        <v>1.012</v>
      </c>
      <c r="E5105" s="16">
        <f>IFERROR(__xludf.DUMMYFUNCTION("""COMPUTED_VALUE"""),62.0)</f>
        <v>62</v>
      </c>
      <c r="F5105" s="19" t="str">
        <f>IFERROR(__xludf.DUMMYFUNCTION("""COMPUTED_VALUE"""),"BLUE")</f>
        <v>BLUE</v>
      </c>
      <c r="G5105" s="20" t="str">
        <f>IFERROR(__xludf.DUMMYFUNCTION("""COMPUTED_VALUE"""),"Uncle Sams Cider (11/12/2021) (Blue)")</f>
        <v>Uncle Sams Cider (11/12/2021) (Blue)</v>
      </c>
      <c r="H5105" s="19"/>
    </row>
    <row r="5106">
      <c r="A5106" s="9"/>
      <c r="B5106" s="15"/>
      <c r="C5106" s="9">
        <f>IFERROR(__xludf.DUMMYFUNCTION("""COMPUTED_VALUE"""),44552.0055098032)</f>
        <v>44552.00551</v>
      </c>
      <c r="D5106" s="15">
        <f>IFERROR(__xludf.DUMMYFUNCTION("""COMPUTED_VALUE"""),1.012)</f>
        <v>1.012</v>
      </c>
      <c r="E5106" s="16">
        <f>IFERROR(__xludf.DUMMYFUNCTION("""COMPUTED_VALUE"""),62.0)</f>
        <v>62</v>
      </c>
      <c r="F5106" s="19" t="str">
        <f>IFERROR(__xludf.DUMMYFUNCTION("""COMPUTED_VALUE"""),"BLUE")</f>
        <v>BLUE</v>
      </c>
      <c r="G5106" s="20" t="str">
        <f>IFERROR(__xludf.DUMMYFUNCTION("""COMPUTED_VALUE"""),"Uncle Sams Cider (11/12/2021) (Blue)")</f>
        <v>Uncle Sams Cider (11/12/2021) (Blue)</v>
      </c>
      <c r="H5106" s="19"/>
    </row>
    <row r="5107">
      <c r="A5107" s="9"/>
      <c r="B5107" s="15"/>
      <c r="C5107" s="9">
        <f>IFERROR(__xludf.DUMMYFUNCTION("""COMPUTED_VALUE"""),44551.9950875578)</f>
        <v>44551.99509</v>
      </c>
      <c r="D5107" s="15">
        <f>IFERROR(__xludf.DUMMYFUNCTION("""COMPUTED_VALUE"""),1.012)</f>
        <v>1.012</v>
      </c>
      <c r="E5107" s="16">
        <f>IFERROR(__xludf.DUMMYFUNCTION("""COMPUTED_VALUE"""),62.0)</f>
        <v>62</v>
      </c>
      <c r="F5107" s="19" t="str">
        <f>IFERROR(__xludf.DUMMYFUNCTION("""COMPUTED_VALUE"""),"BLUE")</f>
        <v>BLUE</v>
      </c>
      <c r="G5107" s="20" t="str">
        <f>IFERROR(__xludf.DUMMYFUNCTION("""COMPUTED_VALUE"""),"Uncle Sams Cider (11/12/2021) (Blue)")</f>
        <v>Uncle Sams Cider (11/12/2021) (Blue)</v>
      </c>
      <c r="H5107" s="19"/>
    </row>
    <row r="5108">
      <c r="A5108" s="9"/>
      <c r="B5108" s="15"/>
      <c r="C5108" s="9">
        <f>IFERROR(__xludf.DUMMYFUNCTION("""COMPUTED_VALUE"""),44551.9846631365)</f>
        <v>44551.98466</v>
      </c>
      <c r="D5108" s="15">
        <f>IFERROR(__xludf.DUMMYFUNCTION("""COMPUTED_VALUE"""),1.012)</f>
        <v>1.012</v>
      </c>
      <c r="E5108" s="16">
        <f>IFERROR(__xludf.DUMMYFUNCTION("""COMPUTED_VALUE"""),62.0)</f>
        <v>62</v>
      </c>
      <c r="F5108" s="19" t="str">
        <f>IFERROR(__xludf.DUMMYFUNCTION("""COMPUTED_VALUE"""),"BLUE")</f>
        <v>BLUE</v>
      </c>
      <c r="G5108" s="20" t="str">
        <f>IFERROR(__xludf.DUMMYFUNCTION("""COMPUTED_VALUE"""),"Uncle Sams Cider (11/12/2021) (Blue)")</f>
        <v>Uncle Sams Cider (11/12/2021) (Blue)</v>
      </c>
      <c r="H5108" s="19"/>
    </row>
    <row r="5109">
      <c r="A5109" s="9"/>
      <c r="B5109" s="15"/>
      <c r="C5109" s="9">
        <f>IFERROR(__xludf.DUMMYFUNCTION("""COMPUTED_VALUE"""),44551.97424353)</f>
        <v>44551.97424</v>
      </c>
      <c r="D5109" s="15">
        <f>IFERROR(__xludf.DUMMYFUNCTION("""COMPUTED_VALUE"""),1.012)</f>
        <v>1.012</v>
      </c>
      <c r="E5109" s="16">
        <f>IFERROR(__xludf.DUMMYFUNCTION("""COMPUTED_VALUE"""),62.0)</f>
        <v>62</v>
      </c>
      <c r="F5109" s="19" t="str">
        <f>IFERROR(__xludf.DUMMYFUNCTION("""COMPUTED_VALUE"""),"BLUE")</f>
        <v>BLUE</v>
      </c>
      <c r="G5109" s="20" t="str">
        <f>IFERROR(__xludf.DUMMYFUNCTION("""COMPUTED_VALUE"""),"Uncle Sams Cider (11/12/2021) (Blue)")</f>
        <v>Uncle Sams Cider (11/12/2021) (Blue)</v>
      </c>
      <c r="H5109" s="19"/>
    </row>
    <row r="5110">
      <c r="A5110" s="9"/>
      <c r="B5110" s="15"/>
      <c r="C5110" s="9">
        <f>IFERROR(__xludf.DUMMYFUNCTION("""COMPUTED_VALUE"""),44551.9638227662)</f>
        <v>44551.96382</v>
      </c>
      <c r="D5110" s="15">
        <f>IFERROR(__xludf.DUMMYFUNCTION("""COMPUTED_VALUE"""),1.012)</f>
        <v>1.012</v>
      </c>
      <c r="E5110" s="16">
        <f>IFERROR(__xludf.DUMMYFUNCTION("""COMPUTED_VALUE"""),62.0)</f>
        <v>62</v>
      </c>
      <c r="F5110" s="19" t="str">
        <f>IFERROR(__xludf.DUMMYFUNCTION("""COMPUTED_VALUE"""),"BLUE")</f>
        <v>BLUE</v>
      </c>
      <c r="G5110" s="20" t="str">
        <f>IFERROR(__xludf.DUMMYFUNCTION("""COMPUTED_VALUE"""),"Uncle Sams Cider (11/12/2021) (Blue)")</f>
        <v>Uncle Sams Cider (11/12/2021) (Blue)</v>
      </c>
      <c r="H5110" s="19"/>
    </row>
    <row r="5111">
      <c r="A5111" s="9"/>
      <c r="B5111" s="15"/>
      <c r="C5111" s="9">
        <f>IFERROR(__xludf.DUMMYFUNCTION("""COMPUTED_VALUE"""),44551.9533897685)</f>
        <v>44551.95339</v>
      </c>
      <c r="D5111" s="15">
        <f>IFERROR(__xludf.DUMMYFUNCTION("""COMPUTED_VALUE"""),1.012)</f>
        <v>1.012</v>
      </c>
      <c r="E5111" s="16">
        <f>IFERROR(__xludf.DUMMYFUNCTION("""COMPUTED_VALUE"""),62.0)</f>
        <v>62</v>
      </c>
      <c r="F5111" s="19" t="str">
        <f>IFERROR(__xludf.DUMMYFUNCTION("""COMPUTED_VALUE"""),"BLUE")</f>
        <v>BLUE</v>
      </c>
      <c r="G5111" s="20" t="str">
        <f>IFERROR(__xludf.DUMMYFUNCTION("""COMPUTED_VALUE"""),"Uncle Sams Cider (11/12/2021) (Blue)")</f>
        <v>Uncle Sams Cider (11/12/2021) (Blue)</v>
      </c>
      <c r="H5111" s="19"/>
    </row>
    <row r="5112">
      <c r="A5112" s="9"/>
      <c r="B5112" s="15"/>
      <c r="C5112" s="9">
        <f>IFERROR(__xludf.DUMMYFUNCTION("""COMPUTED_VALUE"""),44551.9429555787)</f>
        <v>44551.94296</v>
      </c>
      <c r="D5112" s="15">
        <f>IFERROR(__xludf.DUMMYFUNCTION("""COMPUTED_VALUE"""),1.012)</f>
        <v>1.012</v>
      </c>
      <c r="E5112" s="16">
        <f>IFERROR(__xludf.DUMMYFUNCTION("""COMPUTED_VALUE"""),62.0)</f>
        <v>62</v>
      </c>
      <c r="F5112" s="19" t="str">
        <f>IFERROR(__xludf.DUMMYFUNCTION("""COMPUTED_VALUE"""),"BLUE")</f>
        <v>BLUE</v>
      </c>
      <c r="G5112" s="20" t="str">
        <f>IFERROR(__xludf.DUMMYFUNCTION("""COMPUTED_VALUE"""),"Uncle Sams Cider (11/12/2021) (Blue)")</f>
        <v>Uncle Sams Cider (11/12/2021) (Blue)</v>
      </c>
      <c r="H5112" s="19"/>
    </row>
    <row r="5113">
      <c r="A5113" s="9"/>
      <c r="B5113" s="15"/>
      <c r="C5113" s="9">
        <f>IFERROR(__xludf.DUMMYFUNCTION("""COMPUTED_VALUE"""),44551.93253375)</f>
        <v>44551.93253</v>
      </c>
      <c r="D5113" s="15">
        <f>IFERROR(__xludf.DUMMYFUNCTION("""COMPUTED_VALUE"""),1.012)</f>
        <v>1.012</v>
      </c>
      <c r="E5113" s="16">
        <f>IFERROR(__xludf.DUMMYFUNCTION("""COMPUTED_VALUE"""),62.0)</f>
        <v>62</v>
      </c>
      <c r="F5113" s="19" t="str">
        <f>IFERROR(__xludf.DUMMYFUNCTION("""COMPUTED_VALUE"""),"BLUE")</f>
        <v>BLUE</v>
      </c>
      <c r="G5113" s="20" t="str">
        <f>IFERROR(__xludf.DUMMYFUNCTION("""COMPUTED_VALUE"""),"Uncle Sams Cider (11/12/2021) (Blue)")</f>
        <v>Uncle Sams Cider (11/12/2021) (Blue)</v>
      </c>
      <c r="H5113" s="19"/>
    </row>
    <row r="5114">
      <c r="A5114" s="9"/>
      <c r="B5114" s="15"/>
      <c r="C5114" s="9">
        <f>IFERROR(__xludf.DUMMYFUNCTION("""COMPUTED_VALUE"""),44551.9221114583)</f>
        <v>44551.92211</v>
      </c>
      <c r="D5114" s="15">
        <f>IFERROR(__xludf.DUMMYFUNCTION("""COMPUTED_VALUE"""),1.012)</f>
        <v>1.012</v>
      </c>
      <c r="E5114" s="16">
        <f>IFERROR(__xludf.DUMMYFUNCTION("""COMPUTED_VALUE"""),62.0)</f>
        <v>62</v>
      </c>
      <c r="F5114" s="19" t="str">
        <f>IFERROR(__xludf.DUMMYFUNCTION("""COMPUTED_VALUE"""),"BLUE")</f>
        <v>BLUE</v>
      </c>
      <c r="G5114" s="20" t="str">
        <f>IFERROR(__xludf.DUMMYFUNCTION("""COMPUTED_VALUE"""),"Uncle Sams Cider (11/12/2021) (Blue)")</f>
        <v>Uncle Sams Cider (11/12/2021) (Blue)</v>
      </c>
      <c r="H5114" s="19"/>
    </row>
    <row r="5115">
      <c r="A5115" s="9"/>
      <c r="B5115" s="15"/>
      <c r="C5115" s="9">
        <f>IFERROR(__xludf.DUMMYFUNCTION("""COMPUTED_VALUE"""),44551.9116906944)</f>
        <v>44551.91169</v>
      </c>
      <c r="D5115" s="15">
        <f>IFERROR(__xludf.DUMMYFUNCTION("""COMPUTED_VALUE"""),1.012)</f>
        <v>1.012</v>
      </c>
      <c r="E5115" s="16">
        <f>IFERROR(__xludf.DUMMYFUNCTION("""COMPUTED_VALUE"""),62.0)</f>
        <v>62</v>
      </c>
      <c r="F5115" s="19" t="str">
        <f>IFERROR(__xludf.DUMMYFUNCTION("""COMPUTED_VALUE"""),"BLUE")</f>
        <v>BLUE</v>
      </c>
      <c r="G5115" s="20" t="str">
        <f>IFERROR(__xludf.DUMMYFUNCTION("""COMPUTED_VALUE"""),"Uncle Sams Cider (11/12/2021) (Blue)")</f>
        <v>Uncle Sams Cider (11/12/2021) (Blue)</v>
      </c>
      <c r="H5115" s="19"/>
    </row>
    <row r="5116">
      <c r="A5116" s="9"/>
      <c r="B5116" s="15"/>
      <c r="C5116" s="9">
        <f>IFERROR(__xludf.DUMMYFUNCTION("""COMPUTED_VALUE"""),44551.9012692361)</f>
        <v>44551.90127</v>
      </c>
      <c r="D5116" s="15">
        <f>IFERROR(__xludf.DUMMYFUNCTION("""COMPUTED_VALUE"""),1.012)</f>
        <v>1.012</v>
      </c>
      <c r="E5116" s="16">
        <f>IFERROR(__xludf.DUMMYFUNCTION("""COMPUTED_VALUE"""),62.0)</f>
        <v>62</v>
      </c>
      <c r="F5116" s="19" t="str">
        <f>IFERROR(__xludf.DUMMYFUNCTION("""COMPUTED_VALUE"""),"BLUE")</f>
        <v>BLUE</v>
      </c>
      <c r="G5116" s="20" t="str">
        <f>IFERROR(__xludf.DUMMYFUNCTION("""COMPUTED_VALUE"""),"Uncle Sams Cider (11/12/2021) (Blue)")</f>
        <v>Uncle Sams Cider (11/12/2021) (Blue)</v>
      </c>
      <c r="H5116" s="19"/>
    </row>
    <row r="5117">
      <c r="A5117" s="9"/>
      <c r="B5117" s="15"/>
      <c r="C5117" s="9">
        <f>IFERROR(__xludf.DUMMYFUNCTION("""COMPUTED_VALUE"""),44551.8908501157)</f>
        <v>44551.89085</v>
      </c>
      <c r="D5117" s="15">
        <f>IFERROR(__xludf.DUMMYFUNCTION("""COMPUTED_VALUE"""),1.012)</f>
        <v>1.012</v>
      </c>
      <c r="E5117" s="16">
        <f>IFERROR(__xludf.DUMMYFUNCTION("""COMPUTED_VALUE"""),62.0)</f>
        <v>62</v>
      </c>
      <c r="F5117" s="19" t="str">
        <f>IFERROR(__xludf.DUMMYFUNCTION("""COMPUTED_VALUE"""),"BLUE")</f>
        <v>BLUE</v>
      </c>
      <c r="G5117" s="20" t="str">
        <f>IFERROR(__xludf.DUMMYFUNCTION("""COMPUTED_VALUE"""),"Uncle Sams Cider (11/12/2021) (Blue)")</f>
        <v>Uncle Sams Cider (11/12/2021) (Blue)</v>
      </c>
      <c r="H5117" s="19"/>
    </row>
    <row r="5118">
      <c r="A5118" s="9"/>
      <c r="B5118" s="15"/>
      <c r="C5118" s="9">
        <f>IFERROR(__xludf.DUMMYFUNCTION("""COMPUTED_VALUE"""),44551.880395787)</f>
        <v>44551.8804</v>
      </c>
      <c r="D5118" s="15">
        <f>IFERROR(__xludf.DUMMYFUNCTION("""COMPUTED_VALUE"""),1.012)</f>
        <v>1.012</v>
      </c>
      <c r="E5118" s="16">
        <f>IFERROR(__xludf.DUMMYFUNCTION("""COMPUTED_VALUE"""),62.0)</f>
        <v>62</v>
      </c>
      <c r="F5118" s="19" t="str">
        <f>IFERROR(__xludf.DUMMYFUNCTION("""COMPUTED_VALUE"""),"BLUE")</f>
        <v>BLUE</v>
      </c>
      <c r="G5118" s="20" t="str">
        <f>IFERROR(__xludf.DUMMYFUNCTION("""COMPUTED_VALUE"""),"Uncle Sams Cider (11/12/2021) (Blue)")</f>
        <v>Uncle Sams Cider (11/12/2021) (Blue)</v>
      </c>
      <c r="H5118" s="19"/>
    </row>
    <row r="5119">
      <c r="A5119" s="9"/>
      <c r="B5119" s="15"/>
      <c r="C5119" s="9">
        <f>IFERROR(__xludf.DUMMYFUNCTION("""COMPUTED_VALUE"""),44551.8699750231)</f>
        <v>44551.86998</v>
      </c>
      <c r="D5119" s="15">
        <f>IFERROR(__xludf.DUMMYFUNCTION("""COMPUTED_VALUE"""),1.012)</f>
        <v>1.012</v>
      </c>
      <c r="E5119" s="16">
        <f>IFERROR(__xludf.DUMMYFUNCTION("""COMPUTED_VALUE"""),62.0)</f>
        <v>62</v>
      </c>
      <c r="F5119" s="19" t="str">
        <f>IFERROR(__xludf.DUMMYFUNCTION("""COMPUTED_VALUE"""),"BLUE")</f>
        <v>BLUE</v>
      </c>
      <c r="G5119" s="20" t="str">
        <f>IFERROR(__xludf.DUMMYFUNCTION("""COMPUTED_VALUE"""),"Uncle Sams Cider (11/12/2021) (Blue)")</f>
        <v>Uncle Sams Cider (11/12/2021) (Blue)</v>
      </c>
      <c r="H5119" s="19"/>
    </row>
    <row r="5120">
      <c r="A5120" s="9"/>
      <c r="B5120" s="15"/>
      <c r="C5120" s="9">
        <f>IFERROR(__xludf.DUMMYFUNCTION("""COMPUTED_VALUE"""),44551.8595530787)</f>
        <v>44551.85955</v>
      </c>
      <c r="D5120" s="15">
        <f>IFERROR(__xludf.DUMMYFUNCTION("""COMPUTED_VALUE"""),1.012)</f>
        <v>1.012</v>
      </c>
      <c r="E5120" s="16">
        <f>IFERROR(__xludf.DUMMYFUNCTION("""COMPUTED_VALUE"""),62.0)</f>
        <v>62</v>
      </c>
      <c r="F5120" s="19" t="str">
        <f>IFERROR(__xludf.DUMMYFUNCTION("""COMPUTED_VALUE"""),"BLUE")</f>
        <v>BLUE</v>
      </c>
      <c r="G5120" s="20" t="str">
        <f>IFERROR(__xludf.DUMMYFUNCTION("""COMPUTED_VALUE"""),"Uncle Sams Cider (11/12/2021) (Blue)")</f>
        <v>Uncle Sams Cider (11/12/2021) (Blue)</v>
      </c>
      <c r="H5120" s="19"/>
    </row>
    <row r="5121">
      <c r="A5121" s="9"/>
      <c r="B5121" s="15"/>
      <c r="C5121" s="9">
        <f>IFERROR(__xludf.DUMMYFUNCTION("""COMPUTED_VALUE"""),44551.8491311574)</f>
        <v>44551.84913</v>
      </c>
      <c r="D5121" s="15">
        <f>IFERROR(__xludf.DUMMYFUNCTION("""COMPUTED_VALUE"""),1.012)</f>
        <v>1.012</v>
      </c>
      <c r="E5121" s="16">
        <f>IFERROR(__xludf.DUMMYFUNCTION("""COMPUTED_VALUE"""),62.0)</f>
        <v>62</v>
      </c>
      <c r="F5121" s="19" t="str">
        <f>IFERROR(__xludf.DUMMYFUNCTION("""COMPUTED_VALUE"""),"BLUE")</f>
        <v>BLUE</v>
      </c>
      <c r="G5121" s="20" t="str">
        <f>IFERROR(__xludf.DUMMYFUNCTION("""COMPUTED_VALUE"""),"Uncle Sams Cider (11/12/2021) (Blue)")</f>
        <v>Uncle Sams Cider (11/12/2021) (Blue)</v>
      </c>
      <c r="H5121" s="19"/>
    </row>
    <row r="5122">
      <c r="A5122" s="9"/>
      <c r="B5122" s="15"/>
      <c r="C5122" s="9">
        <f>IFERROR(__xludf.DUMMYFUNCTION("""COMPUTED_VALUE"""),44551.83871125)</f>
        <v>44551.83871</v>
      </c>
      <c r="D5122" s="15">
        <f>IFERROR(__xludf.DUMMYFUNCTION("""COMPUTED_VALUE"""),1.012)</f>
        <v>1.012</v>
      </c>
      <c r="E5122" s="16">
        <f>IFERROR(__xludf.DUMMYFUNCTION("""COMPUTED_VALUE"""),62.0)</f>
        <v>62</v>
      </c>
      <c r="F5122" s="19" t="str">
        <f>IFERROR(__xludf.DUMMYFUNCTION("""COMPUTED_VALUE"""),"BLUE")</f>
        <v>BLUE</v>
      </c>
      <c r="G5122" s="20" t="str">
        <f>IFERROR(__xludf.DUMMYFUNCTION("""COMPUTED_VALUE"""),"Uncle Sams Cider (11/12/2021) (Blue)")</f>
        <v>Uncle Sams Cider (11/12/2021) (Blue)</v>
      </c>
      <c r="H5122" s="19"/>
    </row>
    <row r="5123">
      <c r="A5123" s="9"/>
      <c r="B5123" s="15"/>
      <c r="C5123" s="9">
        <f>IFERROR(__xludf.DUMMYFUNCTION("""COMPUTED_VALUE"""),44551.8282651736)</f>
        <v>44551.82827</v>
      </c>
      <c r="D5123" s="15">
        <f>IFERROR(__xludf.DUMMYFUNCTION("""COMPUTED_VALUE"""),1.012)</f>
        <v>1.012</v>
      </c>
      <c r="E5123" s="16">
        <f>IFERROR(__xludf.DUMMYFUNCTION("""COMPUTED_VALUE"""),62.0)</f>
        <v>62</v>
      </c>
      <c r="F5123" s="19" t="str">
        <f>IFERROR(__xludf.DUMMYFUNCTION("""COMPUTED_VALUE"""),"BLUE")</f>
        <v>BLUE</v>
      </c>
      <c r="G5123" s="20" t="str">
        <f>IFERROR(__xludf.DUMMYFUNCTION("""COMPUTED_VALUE"""),"Uncle Sams Cider (11/12/2021) (Blue)")</f>
        <v>Uncle Sams Cider (11/12/2021) (Blue)</v>
      </c>
      <c r="H5123" s="19"/>
    </row>
    <row r="5124">
      <c r="A5124" s="9"/>
      <c r="B5124" s="15"/>
      <c r="C5124" s="9">
        <f>IFERROR(__xludf.DUMMYFUNCTION("""COMPUTED_VALUE"""),44551.8178463773)</f>
        <v>44551.81785</v>
      </c>
      <c r="D5124" s="15">
        <f>IFERROR(__xludf.DUMMYFUNCTION("""COMPUTED_VALUE"""),1.012)</f>
        <v>1.012</v>
      </c>
      <c r="E5124" s="16">
        <f>IFERROR(__xludf.DUMMYFUNCTION("""COMPUTED_VALUE"""),62.0)</f>
        <v>62</v>
      </c>
      <c r="F5124" s="19" t="str">
        <f>IFERROR(__xludf.DUMMYFUNCTION("""COMPUTED_VALUE"""),"BLUE")</f>
        <v>BLUE</v>
      </c>
      <c r="G5124" s="20" t="str">
        <f>IFERROR(__xludf.DUMMYFUNCTION("""COMPUTED_VALUE"""),"Uncle Sams Cider (11/12/2021) (Blue)")</f>
        <v>Uncle Sams Cider (11/12/2021) (Blue)</v>
      </c>
      <c r="H5124" s="19"/>
    </row>
    <row r="5125">
      <c r="A5125" s="9"/>
      <c r="B5125" s="15"/>
      <c r="C5125" s="9">
        <f>IFERROR(__xludf.DUMMYFUNCTION("""COMPUTED_VALUE"""),44551.8074255324)</f>
        <v>44551.80743</v>
      </c>
      <c r="D5125" s="15">
        <f>IFERROR(__xludf.DUMMYFUNCTION("""COMPUTED_VALUE"""),1.012)</f>
        <v>1.012</v>
      </c>
      <c r="E5125" s="16">
        <f>IFERROR(__xludf.DUMMYFUNCTION("""COMPUTED_VALUE"""),62.0)</f>
        <v>62</v>
      </c>
      <c r="F5125" s="19" t="str">
        <f>IFERROR(__xludf.DUMMYFUNCTION("""COMPUTED_VALUE"""),"BLUE")</f>
        <v>BLUE</v>
      </c>
      <c r="G5125" s="20" t="str">
        <f>IFERROR(__xludf.DUMMYFUNCTION("""COMPUTED_VALUE"""),"Uncle Sams Cider (11/12/2021) (Blue)")</f>
        <v>Uncle Sams Cider (11/12/2021) (Blue)</v>
      </c>
      <c r="H5125" s="19"/>
    </row>
    <row r="5126">
      <c r="A5126" s="9"/>
      <c r="B5126" s="15"/>
      <c r="C5126" s="9">
        <f>IFERROR(__xludf.DUMMYFUNCTION("""COMPUTED_VALUE"""),44551.7970049537)</f>
        <v>44551.797</v>
      </c>
      <c r="D5126" s="15">
        <f>IFERROR(__xludf.DUMMYFUNCTION("""COMPUTED_VALUE"""),1.012)</f>
        <v>1.012</v>
      </c>
      <c r="E5126" s="16">
        <f>IFERROR(__xludf.DUMMYFUNCTION("""COMPUTED_VALUE"""),62.0)</f>
        <v>62</v>
      </c>
      <c r="F5126" s="19" t="str">
        <f>IFERROR(__xludf.DUMMYFUNCTION("""COMPUTED_VALUE"""),"BLUE")</f>
        <v>BLUE</v>
      </c>
      <c r="G5126" s="20" t="str">
        <f>IFERROR(__xludf.DUMMYFUNCTION("""COMPUTED_VALUE"""),"Uncle Sams Cider (11/12/2021) (Blue)")</f>
        <v>Uncle Sams Cider (11/12/2021) (Blue)</v>
      </c>
      <c r="H5126" s="19"/>
    </row>
    <row r="5127">
      <c r="A5127" s="9"/>
      <c r="B5127" s="15"/>
      <c r="C5127" s="9">
        <f>IFERROR(__xludf.DUMMYFUNCTION("""COMPUTED_VALUE"""),44551.7865836458)</f>
        <v>44551.78658</v>
      </c>
      <c r="D5127" s="15">
        <f>IFERROR(__xludf.DUMMYFUNCTION("""COMPUTED_VALUE"""),1.012)</f>
        <v>1.012</v>
      </c>
      <c r="E5127" s="16">
        <f>IFERROR(__xludf.DUMMYFUNCTION("""COMPUTED_VALUE"""),62.0)</f>
        <v>62</v>
      </c>
      <c r="F5127" s="19" t="str">
        <f>IFERROR(__xludf.DUMMYFUNCTION("""COMPUTED_VALUE"""),"BLUE")</f>
        <v>BLUE</v>
      </c>
      <c r="G5127" s="20" t="str">
        <f>IFERROR(__xludf.DUMMYFUNCTION("""COMPUTED_VALUE"""),"Uncle Sams Cider (11/12/2021) (Blue)")</f>
        <v>Uncle Sams Cider (11/12/2021) (Blue)</v>
      </c>
      <c r="H5127" s="19"/>
    </row>
    <row r="5128">
      <c r="A5128" s="9"/>
      <c r="B5128" s="15"/>
      <c r="C5128" s="9">
        <f>IFERROR(__xludf.DUMMYFUNCTION("""COMPUTED_VALUE"""),44551.7761626388)</f>
        <v>44551.77616</v>
      </c>
      <c r="D5128" s="15">
        <f>IFERROR(__xludf.DUMMYFUNCTION("""COMPUTED_VALUE"""),1.012)</f>
        <v>1.012</v>
      </c>
      <c r="E5128" s="16">
        <f>IFERROR(__xludf.DUMMYFUNCTION("""COMPUTED_VALUE"""),62.0)</f>
        <v>62</v>
      </c>
      <c r="F5128" s="19" t="str">
        <f>IFERROR(__xludf.DUMMYFUNCTION("""COMPUTED_VALUE"""),"BLUE")</f>
        <v>BLUE</v>
      </c>
      <c r="G5128" s="20" t="str">
        <f>IFERROR(__xludf.DUMMYFUNCTION("""COMPUTED_VALUE"""),"Uncle Sams Cider (11/12/2021) (Blue)")</f>
        <v>Uncle Sams Cider (11/12/2021) (Blue)</v>
      </c>
      <c r="H5128" s="19"/>
    </row>
    <row r="5129">
      <c r="A5129" s="9"/>
      <c r="B5129" s="15"/>
      <c r="C5129" s="9">
        <f>IFERROR(__xludf.DUMMYFUNCTION("""COMPUTED_VALUE"""),44551.7657307754)</f>
        <v>44551.76573</v>
      </c>
      <c r="D5129" s="15">
        <f>IFERROR(__xludf.DUMMYFUNCTION("""COMPUTED_VALUE"""),1.012)</f>
        <v>1.012</v>
      </c>
      <c r="E5129" s="16">
        <f>IFERROR(__xludf.DUMMYFUNCTION("""COMPUTED_VALUE"""),62.0)</f>
        <v>62</v>
      </c>
      <c r="F5129" s="19" t="str">
        <f>IFERROR(__xludf.DUMMYFUNCTION("""COMPUTED_VALUE"""),"BLUE")</f>
        <v>BLUE</v>
      </c>
      <c r="G5129" s="20" t="str">
        <f>IFERROR(__xludf.DUMMYFUNCTION("""COMPUTED_VALUE"""),"Uncle Sams Cider (11/12/2021) (Blue)")</f>
        <v>Uncle Sams Cider (11/12/2021) (Blue)</v>
      </c>
      <c r="H5129" s="19"/>
    </row>
    <row r="5130">
      <c r="A5130" s="9"/>
      <c r="B5130" s="15"/>
      <c r="C5130" s="9">
        <f>IFERROR(__xludf.DUMMYFUNCTION("""COMPUTED_VALUE"""),44551.7552986689)</f>
        <v>44551.7553</v>
      </c>
      <c r="D5130" s="15">
        <f>IFERROR(__xludf.DUMMYFUNCTION("""COMPUTED_VALUE"""),1.012)</f>
        <v>1.012</v>
      </c>
      <c r="E5130" s="16">
        <f>IFERROR(__xludf.DUMMYFUNCTION("""COMPUTED_VALUE"""),62.0)</f>
        <v>62</v>
      </c>
      <c r="F5130" s="19" t="str">
        <f>IFERROR(__xludf.DUMMYFUNCTION("""COMPUTED_VALUE"""),"BLUE")</f>
        <v>BLUE</v>
      </c>
      <c r="G5130" s="20" t="str">
        <f>IFERROR(__xludf.DUMMYFUNCTION("""COMPUTED_VALUE"""),"Uncle Sams Cider (11/12/2021) (Blue)")</f>
        <v>Uncle Sams Cider (11/12/2021) (Blue)</v>
      </c>
      <c r="H5130" s="19"/>
    </row>
    <row r="5131">
      <c r="A5131" s="9"/>
      <c r="B5131" s="15"/>
      <c r="C5131" s="9">
        <f>IFERROR(__xludf.DUMMYFUNCTION("""COMPUTED_VALUE"""),44551.7448770486)</f>
        <v>44551.74488</v>
      </c>
      <c r="D5131" s="15">
        <f>IFERROR(__xludf.DUMMYFUNCTION("""COMPUTED_VALUE"""),1.012)</f>
        <v>1.012</v>
      </c>
      <c r="E5131" s="16">
        <f>IFERROR(__xludf.DUMMYFUNCTION("""COMPUTED_VALUE"""),62.0)</f>
        <v>62</v>
      </c>
      <c r="F5131" s="19" t="str">
        <f>IFERROR(__xludf.DUMMYFUNCTION("""COMPUTED_VALUE"""),"BLUE")</f>
        <v>BLUE</v>
      </c>
      <c r="G5131" s="20" t="str">
        <f>IFERROR(__xludf.DUMMYFUNCTION("""COMPUTED_VALUE"""),"Uncle Sams Cider (11/12/2021) (Blue)")</f>
        <v>Uncle Sams Cider (11/12/2021) (Blue)</v>
      </c>
      <c r="H5131" s="19"/>
    </row>
    <row r="5132">
      <c r="A5132" s="9"/>
      <c r="B5132" s="15"/>
      <c r="C5132" s="9">
        <f>IFERROR(__xludf.DUMMYFUNCTION("""COMPUTED_VALUE"""),44551.7344341319)</f>
        <v>44551.73443</v>
      </c>
      <c r="D5132" s="15">
        <f>IFERROR(__xludf.DUMMYFUNCTION("""COMPUTED_VALUE"""),1.012)</f>
        <v>1.012</v>
      </c>
      <c r="E5132" s="16">
        <f>IFERROR(__xludf.DUMMYFUNCTION("""COMPUTED_VALUE"""),62.0)</f>
        <v>62</v>
      </c>
      <c r="F5132" s="19" t="str">
        <f>IFERROR(__xludf.DUMMYFUNCTION("""COMPUTED_VALUE"""),"BLUE")</f>
        <v>BLUE</v>
      </c>
      <c r="G5132" s="20" t="str">
        <f>IFERROR(__xludf.DUMMYFUNCTION("""COMPUTED_VALUE"""),"Uncle Sams Cider (11/12/2021) (Blue)")</f>
        <v>Uncle Sams Cider (11/12/2021) (Blue)</v>
      </c>
      <c r="H5132" s="19"/>
    </row>
    <row r="5133">
      <c r="A5133" s="9"/>
      <c r="B5133" s="15"/>
      <c r="C5133" s="9">
        <f>IFERROR(__xludf.DUMMYFUNCTION("""COMPUTED_VALUE"""),44551.7240130902)</f>
        <v>44551.72401</v>
      </c>
      <c r="D5133" s="15">
        <f>IFERROR(__xludf.DUMMYFUNCTION("""COMPUTED_VALUE"""),1.012)</f>
        <v>1.012</v>
      </c>
      <c r="E5133" s="16">
        <f>IFERROR(__xludf.DUMMYFUNCTION("""COMPUTED_VALUE"""),62.0)</f>
        <v>62</v>
      </c>
      <c r="F5133" s="19" t="str">
        <f>IFERROR(__xludf.DUMMYFUNCTION("""COMPUTED_VALUE"""),"BLUE")</f>
        <v>BLUE</v>
      </c>
      <c r="G5133" s="20" t="str">
        <f>IFERROR(__xludf.DUMMYFUNCTION("""COMPUTED_VALUE"""),"Uncle Sams Cider (11/12/2021) (Blue)")</f>
        <v>Uncle Sams Cider (11/12/2021) (Blue)</v>
      </c>
      <c r="H5133" s="19"/>
    </row>
    <row r="5134">
      <c r="A5134" s="9"/>
      <c r="B5134" s="15"/>
      <c r="C5134" s="9">
        <f>IFERROR(__xludf.DUMMYFUNCTION("""COMPUTED_VALUE"""),44551.7135935763)</f>
        <v>44551.71359</v>
      </c>
      <c r="D5134" s="15">
        <f>IFERROR(__xludf.DUMMYFUNCTION("""COMPUTED_VALUE"""),1.012)</f>
        <v>1.012</v>
      </c>
      <c r="E5134" s="16">
        <f>IFERROR(__xludf.DUMMYFUNCTION("""COMPUTED_VALUE"""),62.0)</f>
        <v>62</v>
      </c>
      <c r="F5134" s="19" t="str">
        <f>IFERROR(__xludf.DUMMYFUNCTION("""COMPUTED_VALUE"""),"BLUE")</f>
        <v>BLUE</v>
      </c>
      <c r="G5134" s="20" t="str">
        <f>IFERROR(__xludf.DUMMYFUNCTION("""COMPUTED_VALUE"""),"Uncle Sams Cider (11/12/2021) (Blue)")</f>
        <v>Uncle Sams Cider (11/12/2021) (Blue)</v>
      </c>
      <c r="H5134" s="19"/>
    </row>
    <row r="5135">
      <c r="A5135" s="9"/>
      <c r="B5135" s="15"/>
      <c r="C5135" s="9">
        <f>IFERROR(__xludf.DUMMYFUNCTION("""COMPUTED_VALUE"""),44551.7031742476)</f>
        <v>44551.70317</v>
      </c>
      <c r="D5135" s="15">
        <f>IFERROR(__xludf.DUMMYFUNCTION("""COMPUTED_VALUE"""),1.012)</f>
        <v>1.012</v>
      </c>
      <c r="E5135" s="16">
        <f>IFERROR(__xludf.DUMMYFUNCTION("""COMPUTED_VALUE"""),62.0)</f>
        <v>62</v>
      </c>
      <c r="F5135" s="19" t="str">
        <f>IFERROR(__xludf.DUMMYFUNCTION("""COMPUTED_VALUE"""),"BLUE")</f>
        <v>BLUE</v>
      </c>
      <c r="G5135" s="20" t="str">
        <f>IFERROR(__xludf.DUMMYFUNCTION("""COMPUTED_VALUE"""),"Uncle Sams Cider (11/12/2021) (Blue)")</f>
        <v>Uncle Sams Cider (11/12/2021) (Blue)</v>
      </c>
      <c r="H5135" s="19"/>
    </row>
    <row r="5136">
      <c r="A5136" s="9"/>
      <c r="B5136" s="15"/>
      <c r="C5136" s="9">
        <f>IFERROR(__xludf.DUMMYFUNCTION("""COMPUTED_VALUE"""),44551.69274125)</f>
        <v>44551.69274</v>
      </c>
      <c r="D5136" s="15">
        <f>IFERROR(__xludf.DUMMYFUNCTION("""COMPUTED_VALUE"""),1.012)</f>
        <v>1.012</v>
      </c>
      <c r="E5136" s="16">
        <f>IFERROR(__xludf.DUMMYFUNCTION("""COMPUTED_VALUE"""),62.0)</f>
        <v>62</v>
      </c>
      <c r="F5136" s="19" t="str">
        <f>IFERROR(__xludf.DUMMYFUNCTION("""COMPUTED_VALUE"""),"BLUE")</f>
        <v>BLUE</v>
      </c>
      <c r="G5136" s="20" t="str">
        <f>IFERROR(__xludf.DUMMYFUNCTION("""COMPUTED_VALUE"""),"Uncle Sams Cider (11/12/2021) (Blue)")</f>
        <v>Uncle Sams Cider (11/12/2021) (Blue)</v>
      </c>
      <c r="H5136" s="19"/>
    </row>
    <row r="5137">
      <c r="A5137" s="9"/>
      <c r="B5137" s="15"/>
      <c r="C5137" s="9">
        <f>IFERROR(__xludf.DUMMYFUNCTION("""COMPUTED_VALUE"""),44551.6823207291)</f>
        <v>44551.68232</v>
      </c>
      <c r="D5137" s="15">
        <f>IFERROR(__xludf.DUMMYFUNCTION("""COMPUTED_VALUE"""),1.012)</f>
        <v>1.012</v>
      </c>
      <c r="E5137" s="16">
        <f>IFERROR(__xludf.DUMMYFUNCTION("""COMPUTED_VALUE"""),62.0)</f>
        <v>62</v>
      </c>
      <c r="F5137" s="19" t="str">
        <f>IFERROR(__xludf.DUMMYFUNCTION("""COMPUTED_VALUE"""),"BLUE")</f>
        <v>BLUE</v>
      </c>
      <c r="G5137" s="20" t="str">
        <f>IFERROR(__xludf.DUMMYFUNCTION("""COMPUTED_VALUE"""),"Uncle Sams Cider (11/12/2021) (Blue)")</f>
        <v>Uncle Sams Cider (11/12/2021) (Blue)</v>
      </c>
      <c r="H5137" s="19"/>
    </row>
    <row r="5138">
      <c r="A5138" s="9"/>
      <c r="B5138" s="15"/>
      <c r="C5138" s="9">
        <f>IFERROR(__xludf.DUMMYFUNCTION("""COMPUTED_VALUE"""),44551.6718870138)</f>
        <v>44551.67189</v>
      </c>
      <c r="D5138" s="15">
        <f>IFERROR(__xludf.DUMMYFUNCTION("""COMPUTED_VALUE"""),1.012)</f>
        <v>1.012</v>
      </c>
      <c r="E5138" s="16">
        <f>IFERROR(__xludf.DUMMYFUNCTION("""COMPUTED_VALUE"""),62.0)</f>
        <v>62</v>
      </c>
      <c r="F5138" s="19" t="str">
        <f>IFERROR(__xludf.DUMMYFUNCTION("""COMPUTED_VALUE"""),"BLUE")</f>
        <v>BLUE</v>
      </c>
      <c r="G5138" s="20" t="str">
        <f>IFERROR(__xludf.DUMMYFUNCTION("""COMPUTED_VALUE"""),"Uncle Sams Cider (11/12/2021) (Blue)")</f>
        <v>Uncle Sams Cider (11/12/2021) (Blue)</v>
      </c>
      <c r="H5138" s="19"/>
    </row>
    <row r="5139">
      <c r="A5139" s="9"/>
      <c r="B5139" s="15"/>
      <c r="C5139" s="9">
        <f>IFERROR(__xludf.DUMMYFUNCTION("""COMPUTED_VALUE"""),44551.6614643402)</f>
        <v>44551.66146</v>
      </c>
      <c r="D5139" s="15">
        <f>IFERROR(__xludf.DUMMYFUNCTION("""COMPUTED_VALUE"""),1.012)</f>
        <v>1.012</v>
      </c>
      <c r="E5139" s="16">
        <f>IFERROR(__xludf.DUMMYFUNCTION("""COMPUTED_VALUE"""),62.0)</f>
        <v>62</v>
      </c>
      <c r="F5139" s="19" t="str">
        <f>IFERROR(__xludf.DUMMYFUNCTION("""COMPUTED_VALUE"""),"BLUE")</f>
        <v>BLUE</v>
      </c>
      <c r="G5139" s="20" t="str">
        <f>IFERROR(__xludf.DUMMYFUNCTION("""COMPUTED_VALUE"""),"Uncle Sams Cider (11/12/2021) (Blue)")</f>
        <v>Uncle Sams Cider (11/12/2021) (Blue)</v>
      </c>
      <c r="H5139" s="19"/>
    </row>
    <row r="5140">
      <c r="A5140" s="9"/>
      <c r="B5140" s="15"/>
      <c r="C5140" s="9">
        <f>IFERROR(__xludf.DUMMYFUNCTION("""COMPUTED_VALUE"""),44551.6510429282)</f>
        <v>44551.65104</v>
      </c>
      <c r="D5140" s="15">
        <f>IFERROR(__xludf.DUMMYFUNCTION("""COMPUTED_VALUE"""),1.012)</f>
        <v>1.012</v>
      </c>
      <c r="E5140" s="16">
        <f>IFERROR(__xludf.DUMMYFUNCTION("""COMPUTED_VALUE"""),62.0)</f>
        <v>62</v>
      </c>
      <c r="F5140" s="19" t="str">
        <f>IFERROR(__xludf.DUMMYFUNCTION("""COMPUTED_VALUE"""),"BLUE")</f>
        <v>BLUE</v>
      </c>
      <c r="G5140" s="20" t="str">
        <f>IFERROR(__xludf.DUMMYFUNCTION("""COMPUTED_VALUE"""),"Uncle Sams Cider (11/12/2021) (Blue)")</f>
        <v>Uncle Sams Cider (11/12/2021) (Blue)</v>
      </c>
      <c r="H5140" s="19"/>
    </row>
    <row r="5141">
      <c r="A5141" s="9"/>
      <c r="B5141" s="15"/>
      <c r="C5141" s="9">
        <f>IFERROR(__xludf.DUMMYFUNCTION("""COMPUTED_VALUE"""),44551.6406242592)</f>
        <v>44551.64062</v>
      </c>
      <c r="D5141" s="15">
        <f>IFERROR(__xludf.DUMMYFUNCTION("""COMPUTED_VALUE"""),1.012)</f>
        <v>1.012</v>
      </c>
      <c r="E5141" s="16">
        <f>IFERROR(__xludf.DUMMYFUNCTION("""COMPUTED_VALUE"""),62.0)</f>
        <v>62</v>
      </c>
      <c r="F5141" s="19" t="str">
        <f>IFERROR(__xludf.DUMMYFUNCTION("""COMPUTED_VALUE"""),"BLUE")</f>
        <v>BLUE</v>
      </c>
      <c r="G5141" s="20" t="str">
        <f>IFERROR(__xludf.DUMMYFUNCTION("""COMPUTED_VALUE"""),"Uncle Sams Cider (11/12/2021) (Blue)")</f>
        <v>Uncle Sams Cider (11/12/2021) (Blue)</v>
      </c>
      <c r="H5141" s="19"/>
    </row>
    <row r="5142">
      <c r="A5142" s="9"/>
      <c r="B5142" s="15"/>
      <c r="C5142" s="9">
        <f>IFERROR(__xludf.DUMMYFUNCTION("""COMPUTED_VALUE"""),44551.6302025)</f>
        <v>44551.6302</v>
      </c>
      <c r="D5142" s="15">
        <f>IFERROR(__xludf.DUMMYFUNCTION("""COMPUTED_VALUE"""),1.012)</f>
        <v>1.012</v>
      </c>
      <c r="E5142" s="16">
        <f>IFERROR(__xludf.DUMMYFUNCTION("""COMPUTED_VALUE"""),62.0)</f>
        <v>62</v>
      </c>
      <c r="F5142" s="19" t="str">
        <f>IFERROR(__xludf.DUMMYFUNCTION("""COMPUTED_VALUE"""),"BLUE")</f>
        <v>BLUE</v>
      </c>
      <c r="G5142" s="20" t="str">
        <f>IFERROR(__xludf.DUMMYFUNCTION("""COMPUTED_VALUE"""),"Uncle Sams Cider (11/12/2021) (Blue)")</f>
        <v>Uncle Sams Cider (11/12/2021) (Blue)</v>
      </c>
      <c r="H5142" s="19"/>
    </row>
    <row r="5143">
      <c r="A5143" s="9"/>
      <c r="B5143" s="15"/>
      <c r="C5143" s="9">
        <f>IFERROR(__xludf.DUMMYFUNCTION("""COMPUTED_VALUE"""),44551.6197792129)</f>
        <v>44551.61978</v>
      </c>
      <c r="D5143" s="15">
        <f>IFERROR(__xludf.DUMMYFUNCTION("""COMPUTED_VALUE"""),1.012)</f>
        <v>1.012</v>
      </c>
      <c r="E5143" s="16">
        <f>IFERROR(__xludf.DUMMYFUNCTION("""COMPUTED_VALUE"""),62.0)</f>
        <v>62</v>
      </c>
      <c r="F5143" s="19" t="str">
        <f>IFERROR(__xludf.DUMMYFUNCTION("""COMPUTED_VALUE"""),"BLUE")</f>
        <v>BLUE</v>
      </c>
      <c r="G5143" s="20" t="str">
        <f>IFERROR(__xludf.DUMMYFUNCTION("""COMPUTED_VALUE"""),"Uncle Sams Cider (11/12/2021) (Blue)")</f>
        <v>Uncle Sams Cider (11/12/2021) (Blue)</v>
      </c>
      <c r="H5143" s="19"/>
    </row>
    <row r="5144">
      <c r="A5144" s="9"/>
      <c r="B5144" s="15"/>
      <c r="C5144" s="9">
        <f>IFERROR(__xludf.DUMMYFUNCTION("""COMPUTED_VALUE"""),44551.6093357291)</f>
        <v>44551.60934</v>
      </c>
      <c r="D5144" s="15">
        <f>IFERROR(__xludf.DUMMYFUNCTION("""COMPUTED_VALUE"""),1.012)</f>
        <v>1.012</v>
      </c>
      <c r="E5144" s="16">
        <f>IFERROR(__xludf.DUMMYFUNCTION("""COMPUTED_VALUE"""),62.0)</f>
        <v>62</v>
      </c>
      <c r="F5144" s="19" t="str">
        <f>IFERROR(__xludf.DUMMYFUNCTION("""COMPUTED_VALUE"""),"BLUE")</f>
        <v>BLUE</v>
      </c>
      <c r="G5144" s="20" t="str">
        <f>IFERROR(__xludf.DUMMYFUNCTION("""COMPUTED_VALUE"""),"Uncle Sams Cider (11/12/2021) (Blue)")</f>
        <v>Uncle Sams Cider (11/12/2021) (Blue)</v>
      </c>
      <c r="H5144" s="19"/>
    </row>
    <row r="5145">
      <c r="A5145" s="9"/>
      <c r="B5145" s="15"/>
      <c r="C5145" s="9">
        <f>IFERROR(__xludf.DUMMYFUNCTION("""COMPUTED_VALUE"""),44551.5989137384)</f>
        <v>44551.59891</v>
      </c>
      <c r="D5145" s="15">
        <f>IFERROR(__xludf.DUMMYFUNCTION("""COMPUTED_VALUE"""),1.012)</f>
        <v>1.012</v>
      </c>
      <c r="E5145" s="16">
        <f>IFERROR(__xludf.DUMMYFUNCTION("""COMPUTED_VALUE"""),62.0)</f>
        <v>62</v>
      </c>
      <c r="F5145" s="19" t="str">
        <f>IFERROR(__xludf.DUMMYFUNCTION("""COMPUTED_VALUE"""),"BLUE")</f>
        <v>BLUE</v>
      </c>
      <c r="G5145" s="20" t="str">
        <f>IFERROR(__xludf.DUMMYFUNCTION("""COMPUTED_VALUE"""),"Uncle Sams Cider (11/12/2021) (Blue)")</f>
        <v>Uncle Sams Cider (11/12/2021) (Blue)</v>
      </c>
      <c r="H5145" s="19"/>
    </row>
    <row r="5146">
      <c r="A5146" s="9"/>
      <c r="B5146" s="15"/>
      <c r="C5146" s="9">
        <f>IFERROR(__xludf.DUMMYFUNCTION("""COMPUTED_VALUE"""),44551.5884931597)</f>
        <v>44551.58849</v>
      </c>
      <c r="D5146" s="15">
        <f>IFERROR(__xludf.DUMMYFUNCTION("""COMPUTED_VALUE"""),1.012)</f>
        <v>1.012</v>
      </c>
      <c r="E5146" s="16">
        <f>IFERROR(__xludf.DUMMYFUNCTION("""COMPUTED_VALUE"""),62.0)</f>
        <v>62</v>
      </c>
      <c r="F5146" s="19" t="str">
        <f>IFERROR(__xludf.DUMMYFUNCTION("""COMPUTED_VALUE"""),"BLUE")</f>
        <v>BLUE</v>
      </c>
      <c r="G5146" s="20" t="str">
        <f>IFERROR(__xludf.DUMMYFUNCTION("""COMPUTED_VALUE"""),"Uncle Sams Cider (11/12/2021) (Blue)")</f>
        <v>Uncle Sams Cider (11/12/2021) (Blue)</v>
      </c>
      <c r="H5146" s="19"/>
    </row>
    <row r="5147">
      <c r="A5147" s="9"/>
      <c r="B5147" s="15"/>
      <c r="C5147" s="9">
        <f>IFERROR(__xludf.DUMMYFUNCTION("""COMPUTED_VALUE"""),44551.5780711689)</f>
        <v>44551.57807</v>
      </c>
      <c r="D5147" s="15">
        <f>IFERROR(__xludf.DUMMYFUNCTION("""COMPUTED_VALUE"""),1.012)</f>
        <v>1.012</v>
      </c>
      <c r="E5147" s="16">
        <f>IFERROR(__xludf.DUMMYFUNCTION("""COMPUTED_VALUE"""),62.0)</f>
        <v>62</v>
      </c>
      <c r="F5147" s="19" t="str">
        <f>IFERROR(__xludf.DUMMYFUNCTION("""COMPUTED_VALUE"""),"BLUE")</f>
        <v>BLUE</v>
      </c>
      <c r="G5147" s="20" t="str">
        <f>IFERROR(__xludf.DUMMYFUNCTION("""COMPUTED_VALUE"""),"Uncle Sams Cider (11/12/2021) (Blue)")</f>
        <v>Uncle Sams Cider (11/12/2021) (Blue)</v>
      </c>
      <c r="H5147" s="19"/>
    </row>
    <row r="5148">
      <c r="A5148" s="9"/>
      <c r="B5148" s="15"/>
      <c r="C5148" s="9">
        <f>IFERROR(__xludf.DUMMYFUNCTION("""COMPUTED_VALUE"""),44551.5676373263)</f>
        <v>44551.56764</v>
      </c>
      <c r="D5148" s="15">
        <f>IFERROR(__xludf.DUMMYFUNCTION("""COMPUTED_VALUE"""),1.012)</f>
        <v>1.012</v>
      </c>
      <c r="E5148" s="16">
        <f>IFERROR(__xludf.DUMMYFUNCTION("""COMPUTED_VALUE"""),62.0)</f>
        <v>62</v>
      </c>
      <c r="F5148" s="19" t="str">
        <f>IFERROR(__xludf.DUMMYFUNCTION("""COMPUTED_VALUE"""),"BLUE")</f>
        <v>BLUE</v>
      </c>
      <c r="G5148" s="20" t="str">
        <f>IFERROR(__xludf.DUMMYFUNCTION("""COMPUTED_VALUE"""),"Uncle Sams Cider (11/12/2021) (Blue)")</f>
        <v>Uncle Sams Cider (11/12/2021) (Blue)</v>
      </c>
      <c r="H5148" s="19"/>
    </row>
    <row r="5149">
      <c r="A5149" s="9"/>
      <c r="B5149" s="15"/>
      <c r="C5149" s="9">
        <f>IFERROR(__xludf.DUMMYFUNCTION("""COMPUTED_VALUE"""),44551.5572164004)</f>
        <v>44551.55722</v>
      </c>
      <c r="D5149" s="15">
        <f>IFERROR(__xludf.DUMMYFUNCTION("""COMPUTED_VALUE"""),1.012)</f>
        <v>1.012</v>
      </c>
      <c r="E5149" s="16">
        <f>IFERROR(__xludf.DUMMYFUNCTION("""COMPUTED_VALUE"""),62.0)</f>
        <v>62</v>
      </c>
      <c r="F5149" s="19" t="str">
        <f>IFERROR(__xludf.DUMMYFUNCTION("""COMPUTED_VALUE"""),"BLUE")</f>
        <v>BLUE</v>
      </c>
      <c r="G5149" s="20" t="str">
        <f>IFERROR(__xludf.DUMMYFUNCTION("""COMPUTED_VALUE"""),"Uncle Sams Cider (11/12/2021) (Blue)")</f>
        <v>Uncle Sams Cider (11/12/2021) (Blue)</v>
      </c>
      <c r="H5149" s="19"/>
    </row>
    <row r="5150">
      <c r="A5150" s="9"/>
      <c r="B5150" s="15"/>
      <c r="C5150" s="9">
        <f>IFERROR(__xludf.DUMMYFUNCTION("""COMPUTED_VALUE"""),44551.5467951157)</f>
        <v>44551.5468</v>
      </c>
      <c r="D5150" s="15">
        <f>IFERROR(__xludf.DUMMYFUNCTION("""COMPUTED_VALUE"""),1.012)</f>
        <v>1.012</v>
      </c>
      <c r="E5150" s="16">
        <f>IFERROR(__xludf.DUMMYFUNCTION("""COMPUTED_VALUE"""),62.0)</f>
        <v>62</v>
      </c>
      <c r="F5150" s="19" t="str">
        <f>IFERROR(__xludf.DUMMYFUNCTION("""COMPUTED_VALUE"""),"BLUE")</f>
        <v>BLUE</v>
      </c>
      <c r="G5150" s="20" t="str">
        <f>IFERROR(__xludf.DUMMYFUNCTION("""COMPUTED_VALUE"""),"Uncle Sams Cider (11/12/2021) (Blue)")</f>
        <v>Uncle Sams Cider (11/12/2021) (Blue)</v>
      </c>
      <c r="H5150" s="19"/>
    </row>
    <row r="5151">
      <c r="A5151" s="9"/>
      <c r="B5151" s="15"/>
      <c r="C5151" s="9">
        <f>IFERROR(__xludf.DUMMYFUNCTION("""COMPUTED_VALUE"""),44551.5363764467)</f>
        <v>44551.53638</v>
      </c>
      <c r="D5151" s="15">
        <f>IFERROR(__xludf.DUMMYFUNCTION("""COMPUTED_VALUE"""),1.012)</f>
        <v>1.012</v>
      </c>
      <c r="E5151" s="16">
        <f>IFERROR(__xludf.DUMMYFUNCTION("""COMPUTED_VALUE"""),62.0)</f>
        <v>62</v>
      </c>
      <c r="F5151" s="19" t="str">
        <f>IFERROR(__xludf.DUMMYFUNCTION("""COMPUTED_VALUE"""),"BLUE")</f>
        <v>BLUE</v>
      </c>
      <c r="G5151" s="20" t="str">
        <f>IFERROR(__xludf.DUMMYFUNCTION("""COMPUTED_VALUE"""),"Uncle Sams Cider (11/12/2021) (Blue)")</f>
        <v>Uncle Sams Cider (11/12/2021) (Blue)</v>
      </c>
      <c r="H5151" s="19"/>
    </row>
    <row r="5152">
      <c r="A5152" s="9"/>
      <c r="B5152" s="15"/>
      <c r="C5152" s="9">
        <f>IFERROR(__xludf.DUMMYFUNCTION("""COMPUTED_VALUE"""),44551.5259558449)</f>
        <v>44551.52596</v>
      </c>
      <c r="D5152" s="15">
        <f>IFERROR(__xludf.DUMMYFUNCTION("""COMPUTED_VALUE"""),1.012)</f>
        <v>1.012</v>
      </c>
      <c r="E5152" s="16">
        <f>IFERROR(__xludf.DUMMYFUNCTION("""COMPUTED_VALUE"""),62.0)</f>
        <v>62</v>
      </c>
      <c r="F5152" s="19" t="str">
        <f>IFERROR(__xludf.DUMMYFUNCTION("""COMPUTED_VALUE"""),"BLUE")</f>
        <v>BLUE</v>
      </c>
      <c r="G5152" s="20" t="str">
        <f>IFERROR(__xludf.DUMMYFUNCTION("""COMPUTED_VALUE"""),"Uncle Sams Cider (11/12/2021) (Blue)")</f>
        <v>Uncle Sams Cider (11/12/2021) (Blue)</v>
      </c>
      <c r="H5152" s="19"/>
    </row>
    <row r="5153">
      <c r="A5153" s="9"/>
      <c r="B5153" s="15"/>
      <c r="C5153" s="9">
        <f>IFERROR(__xludf.DUMMYFUNCTION("""COMPUTED_VALUE"""),44551.5155353819)</f>
        <v>44551.51554</v>
      </c>
      <c r="D5153" s="15">
        <f>IFERROR(__xludf.DUMMYFUNCTION("""COMPUTED_VALUE"""),1.012)</f>
        <v>1.012</v>
      </c>
      <c r="E5153" s="16">
        <f>IFERROR(__xludf.DUMMYFUNCTION("""COMPUTED_VALUE"""),62.0)</f>
        <v>62</v>
      </c>
      <c r="F5153" s="19" t="str">
        <f>IFERROR(__xludf.DUMMYFUNCTION("""COMPUTED_VALUE"""),"BLUE")</f>
        <v>BLUE</v>
      </c>
      <c r="G5153" s="20" t="str">
        <f>IFERROR(__xludf.DUMMYFUNCTION("""COMPUTED_VALUE"""),"Uncle Sams Cider (11/12/2021) (Blue)")</f>
        <v>Uncle Sams Cider (11/12/2021) (Blue)</v>
      </c>
      <c r="H5153" s="19"/>
    </row>
    <row r="5154">
      <c r="A5154" s="9"/>
      <c r="B5154" s="15"/>
      <c r="C5154" s="9">
        <f>IFERROR(__xludf.DUMMYFUNCTION("""COMPUTED_VALUE"""),44551.505113993)</f>
        <v>44551.50511</v>
      </c>
      <c r="D5154" s="15">
        <f>IFERROR(__xludf.DUMMYFUNCTION("""COMPUTED_VALUE"""),1.012)</f>
        <v>1.012</v>
      </c>
      <c r="E5154" s="16">
        <f>IFERROR(__xludf.DUMMYFUNCTION("""COMPUTED_VALUE"""),62.0)</f>
        <v>62</v>
      </c>
      <c r="F5154" s="19" t="str">
        <f>IFERROR(__xludf.DUMMYFUNCTION("""COMPUTED_VALUE"""),"BLUE")</f>
        <v>BLUE</v>
      </c>
      <c r="G5154" s="20" t="str">
        <f>IFERROR(__xludf.DUMMYFUNCTION("""COMPUTED_VALUE"""),"Uncle Sams Cider (11/12/2021) (Blue)")</f>
        <v>Uncle Sams Cider (11/12/2021) (Blue)</v>
      </c>
      <c r="H5154" s="19"/>
    </row>
    <row r="5155">
      <c r="A5155" s="9"/>
      <c r="B5155" s="15"/>
      <c r="C5155" s="9">
        <f>IFERROR(__xludf.DUMMYFUNCTION("""COMPUTED_VALUE"""),44551.4946950694)</f>
        <v>44551.4947</v>
      </c>
      <c r="D5155" s="15">
        <f>IFERROR(__xludf.DUMMYFUNCTION("""COMPUTED_VALUE"""),1.012)</f>
        <v>1.012</v>
      </c>
      <c r="E5155" s="16">
        <f>IFERROR(__xludf.DUMMYFUNCTION("""COMPUTED_VALUE"""),62.0)</f>
        <v>62</v>
      </c>
      <c r="F5155" s="19" t="str">
        <f>IFERROR(__xludf.DUMMYFUNCTION("""COMPUTED_VALUE"""),"BLUE")</f>
        <v>BLUE</v>
      </c>
      <c r="G5155" s="20" t="str">
        <f>IFERROR(__xludf.DUMMYFUNCTION("""COMPUTED_VALUE"""),"Uncle Sams Cider (11/12/2021) (Blue)")</f>
        <v>Uncle Sams Cider (11/12/2021) (Blue)</v>
      </c>
      <c r="H5155" s="19"/>
    </row>
    <row r="5156">
      <c r="A5156" s="9"/>
      <c r="B5156" s="15"/>
      <c r="C5156" s="9">
        <f>IFERROR(__xludf.DUMMYFUNCTION("""COMPUTED_VALUE"""),44551.4842754861)</f>
        <v>44551.48428</v>
      </c>
      <c r="D5156" s="15">
        <f>IFERROR(__xludf.DUMMYFUNCTION("""COMPUTED_VALUE"""),1.012)</f>
        <v>1.012</v>
      </c>
      <c r="E5156" s="16">
        <f>IFERROR(__xludf.DUMMYFUNCTION("""COMPUTED_VALUE"""),62.0)</f>
        <v>62</v>
      </c>
      <c r="F5156" s="19" t="str">
        <f>IFERROR(__xludf.DUMMYFUNCTION("""COMPUTED_VALUE"""),"BLUE")</f>
        <v>BLUE</v>
      </c>
      <c r="G5156" s="20" t="str">
        <f>IFERROR(__xludf.DUMMYFUNCTION("""COMPUTED_VALUE"""),"Uncle Sams Cider (11/12/2021) (Blue)")</f>
        <v>Uncle Sams Cider (11/12/2021) (Blue)</v>
      </c>
      <c r="H5156" s="19"/>
    </row>
    <row r="5157">
      <c r="A5157" s="9"/>
      <c r="B5157" s="15"/>
      <c r="C5157" s="9">
        <f>IFERROR(__xludf.DUMMYFUNCTION("""COMPUTED_VALUE"""),44551.473820868)</f>
        <v>44551.47382</v>
      </c>
      <c r="D5157" s="15">
        <f>IFERROR(__xludf.DUMMYFUNCTION("""COMPUTED_VALUE"""),1.012)</f>
        <v>1.012</v>
      </c>
      <c r="E5157" s="16">
        <f>IFERROR(__xludf.DUMMYFUNCTION("""COMPUTED_VALUE"""),62.0)</f>
        <v>62</v>
      </c>
      <c r="F5157" s="19" t="str">
        <f>IFERROR(__xludf.DUMMYFUNCTION("""COMPUTED_VALUE"""),"BLUE")</f>
        <v>BLUE</v>
      </c>
      <c r="G5157" s="20" t="str">
        <f>IFERROR(__xludf.DUMMYFUNCTION("""COMPUTED_VALUE"""),"Uncle Sams Cider (11/12/2021) (Blue)")</f>
        <v>Uncle Sams Cider (11/12/2021) (Blue)</v>
      </c>
      <c r="H5157" s="19"/>
    </row>
    <row r="5158">
      <c r="A5158" s="9"/>
      <c r="B5158" s="15"/>
      <c r="C5158" s="9">
        <f>IFERROR(__xludf.DUMMYFUNCTION("""COMPUTED_VALUE"""),44551.4633997916)</f>
        <v>44551.4634</v>
      </c>
      <c r="D5158" s="15">
        <f>IFERROR(__xludf.DUMMYFUNCTION("""COMPUTED_VALUE"""),1.012)</f>
        <v>1.012</v>
      </c>
      <c r="E5158" s="16">
        <f>IFERROR(__xludf.DUMMYFUNCTION("""COMPUTED_VALUE"""),62.0)</f>
        <v>62</v>
      </c>
      <c r="F5158" s="19" t="str">
        <f>IFERROR(__xludf.DUMMYFUNCTION("""COMPUTED_VALUE"""),"BLUE")</f>
        <v>BLUE</v>
      </c>
      <c r="G5158" s="20" t="str">
        <f>IFERROR(__xludf.DUMMYFUNCTION("""COMPUTED_VALUE"""),"Uncle Sams Cider (11/12/2021) (Blue)")</f>
        <v>Uncle Sams Cider (11/12/2021) (Blue)</v>
      </c>
      <c r="H5158" s="19"/>
    </row>
    <row r="5159">
      <c r="A5159" s="9"/>
      <c r="B5159" s="15"/>
      <c r="C5159" s="9">
        <f>IFERROR(__xludf.DUMMYFUNCTION("""COMPUTED_VALUE"""),44551.4529670949)</f>
        <v>44551.45297</v>
      </c>
      <c r="D5159" s="15">
        <f>IFERROR(__xludf.DUMMYFUNCTION("""COMPUTED_VALUE"""),1.012)</f>
        <v>1.012</v>
      </c>
      <c r="E5159" s="16">
        <f>IFERROR(__xludf.DUMMYFUNCTION("""COMPUTED_VALUE"""),62.0)</f>
        <v>62</v>
      </c>
      <c r="F5159" s="19" t="str">
        <f>IFERROR(__xludf.DUMMYFUNCTION("""COMPUTED_VALUE"""),"BLUE")</f>
        <v>BLUE</v>
      </c>
      <c r="G5159" s="20" t="str">
        <f>IFERROR(__xludf.DUMMYFUNCTION("""COMPUTED_VALUE"""),"Uncle Sams Cider (11/12/2021) (Blue)")</f>
        <v>Uncle Sams Cider (11/12/2021) (Blue)</v>
      </c>
      <c r="H5159" s="19"/>
    </row>
    <row r="5160">
      <c r="A5160" s="9"/>
      <c r="B5160" s="15"/>
      <c r="C5160" s="9">
        <f>IFERROR(__xludf.DUMMYFUNCTION("""COMPUTED_VALUE"""),44551.4425459375)</f>
        <v>44551.44255</v>
      </c>
      <c r="D5160" s="15">
        <f>IFERROR(__xludf.DUMMYFUNCTION("""COMPUTED_VALUE"""),1.012)</f>
        <v>1.012</v>
      </c>
      <c r="E5160" s="16">
        <f>IFERROR(__xludf.DUMMYFUNCTION("""COMPUTED_VALUE"""),62.0)</f>
        <v>62</v>
      </c>
      <c r="F5160" s="19" t="str">
        <f>IFERROR(__xludf.DUMMYFUNCTION("""COMPUTED_VALUE"""),"BLUE")</f>
        <v>BLUE</v>
      </c>
      <c r="G5160" s="20" t="str">
        <f>IFERROR(__xludf.DUMMYFUNCTION("""COMPUTED_VALUE"""),"Uncle Sams Cider (11/12/2021) (Blue)")</f>
        <v>Uncle Sams Cider (11/12/2021) (Blue)</v>
      </c>
      <c r="H5160" s="19"/>
    </row>
    <row r="5161">
      <c r="A5161" s="9"/>
      <c r="B5161" s="15"/>
      <c r="C5161" s="9">
        <f>IFERROR(__xludf.DUMMYFUNCTION("""COMPUTED_VALUE"""),44551.4321251504)</f>
        <v>44551.43213</v>
      </c>
      <c r="D5161" s="15">
        <f>IFERROR(__xludf.DUMMYFUNCTION("""COMPUTED_VALUE"""),1.012)</f>
        <v>1.012</v>
      </c>
      <c r="E5161" s="16">
        <f>IFERROR(__xludf.DUMMYFUNCTION("""COMPUTED_VALUE"""),62.0)</f>
        <v>62</v>
      </c>
      <c r="F5161" s="19" t="str">
        <f>IFERROR(__xludf.DUMMYFUNCTION("""COMPUTED_VALUE"""),"BLUE")</f>
        <v>BLUE</v>
      </c>
      <c r="G5161" s="20" t="str">
        <f>IFERROR(__xludf.DUMMYFUNCTION("""COMPUTED_VALUE"""),"Uncle Sams Cider (11/12/2021) (Blue)")</f>
        <v>Uncle Sams Cider (11/12/2021) (Blue)</v>
      </c>
      <c r="H5161" s="19"/>
    </row>
    <row r="5162">
      <c r="A5162" s="9"/>
      <c r="B5162" s="15"/>
      <c r="C5162" s="9">
        <f>IFERROR(__xludf.DUMMYFUNCTION("""COMPUTED_VALUE"""),44551.4217040162)</f>
        <v>44551.4217</v>
      </c>
      <c r="D5162" s="15">
        <f>IFERROR(__xludf.DUMMYFUNCTION("""COMPUTED_VALUE"""),1.012)</f>
        <v>1.012</v>
      </c>
      <c r="E5162" s="16">
        <f>IFERROR(__xludf.DUMMYFUNCTION("""COMPUTED_VALUE"""),62.0)</f>
        <v>62</v>
      </c>
      <c r="F5162" s="19" t="str">
        <f>IFERROR(__xludf.DUMMYFUNCTION("""COMPUTED_VALUE"""),"BLUE")</f>
        <v>BLUE</v>
      </c>
      <c r="G5162" s="20" t="str">
        <f>IFERROR(__xludf.DUMMYFUNCTION("""COMPUTED_VALUE"""),"Uncle Sams Cider (11/12/2021) (Blue)")</f>
        <v>Uncle Sams Cider (11/12/2021) (Blue)</v>
      </c>
      <c r="H5162" s="19"/>
    </row>
    <row r="5163">
      <c r="A5163" s="9"/>
      <c r="B5163" s="15"/>
      <c r="C5163" s="9">
        <f>IFERROR(__xludf.DUMMYFUNCTION("""COMPUTED_VALUE"""),44551.4112844444)</f>
        <v>44551.41128</v>
      </c>
      <c r="D5163" s="15">
        <f>IFERROR(__xludf.DUMMYFUNCTION("""COMPUTED_VALUE"""),1.012)</f>
        <v>1.012</v>
      </c>
      <c r="E5163" s="16">
        <f>IFERROR(__xludf.DUMMYFUNCTION("""COMPUTED_VALUE"""),62.0)</f>
        <v>62</v>
      </c>
      <c r="F5163" s="19" t="str">
        <f>IFERROR(__xludf.DUMMYFUNCTION("""COMPUTED_VALUE"""),"BLUE")</f>
        <v>BLUE</v>
      </c>
      <c r="G5163" s="20" t="str">
        <f>IFERROR(__xludf.DUMMYFUNCTION("""COMPUTED_VALUE"""),"Uncle Sams Cider (11/12/2021) (Blue)")</f>
        <v>Uncle Sams Cider (11/12/2021) (Blue)</v>
      </c>
      <c r="H5163" s="19"/>
    </row>
    <row r="5164">
      <c r="A5164" s="9"/>
      <c r="B5164" s="15"/>
      <c r="C5164" s="9">
        <f>IFERROR(__xludf.DUMMYFUNCTION("""COMPUTED_VALUE"""),44551.4008629976)</f>
        <v>44551.40086</v>
      </c>
      <c r="D5164" s="15">
        <f>IFERROR(__xludf.DUMMYFUNCTION("""COMPUTED_VALUE"""),1.012)</f>
        <v>1.012</v>
      </c>
      <c r="E5164" s="16">
        <f>IFERROR(__xludf.DUMMYFUNCTION("""COMPUTED_VALUE"""),62.0)</f>
        <v>62</v>
      </c>
      <c r="F5164" s="19" t="str">
        <f>IFERROR(__xludf.DUMMYFUNCTION("""COMPUTED_VALUE"""),"BLUE")</f>
        <v>BLUE</v>
      </c>
      <c r="G5164" s="20" t="str">
        <f>IFERROR(__xludf.DUMMYFUNCTION("""COMPUTED_VALUE"""),"Uncle Sams Cider (11/12/2021) (Blue)")</f>
        <v>Uncle Sams Cider (11/12/2021) (Blue)</v>
      </c>
      <c r="H5164" s="19"/>
    </row>
    <row r="5165">
      <c r="A5165" s="9"/>
      <c r="B5165" s="15"/>
      <c r="C5165" s="9">
        <f>IFERROR(__xludf.DUMMYFUNCTION("""COMPUTED_VALUE"""),44551.3904406712)</f>
        <v>44551.39044</v>
      </c>
      <c r="D5165" s="15">
        <f>IFERROR(__xludf.DUMMYFUNCTION("""COMPUTED_VALUE"""),1.012)</f>
        <v>1.012</v>
      </c>
      <c r="E5165" s="16">
        <f>IFERROR(__xludf.DUMMYFUNCTION("""COMPUTED_VALUE"""),62.0)</f>
        <v>62</v>
      </c>
      <c r="F5165" s="19" t="str">
        <f>IFERROR(__xludf.DUMMYFUNCTION("""COMPUTED_VALUE"""),"BLUE")</f>
        <v>BLUE</v>
      </c>
      <c r="G5165" s="20" t="str">
        <f>IFERROR(__xludf.DUMMYFUNCTION("""COMPUTED_VALUE"""),"Uncle Sams Cider (11/12/2021) (Blue)")</f>
        <v>Uncle Sams Cider (11/12/2021) (Blue)</v>
      </c>
      <c r="H5165" s="19"/>
    </row>
    <row r="5166">
      <c r="A5166" s="9"/>
      <c r="B5166" s="15"/>
      <c r="C5166" s="9">
        <f>IFERROR(__xludf.DUMMYFUNCTION("""COMPUTED_VALUE"""),44551.3800210532)</f>
        <v>44551.38002</v>
      </c>
      <c r="D5166" s="15">
        <f>IFERROR(__xludf.DUMMYFUNCTION("""COMPUTED_VALUE"""),1.012)</f>
        <v>1.012</v>
      </c>
      <c r="E5166" s="16">
        <f>IFERROR(__xludf.DUMMYFUNCTION("""COMPUTED_VALUE"""),62.0)</f>
        <v>62</v>
      </c>
      <c r="F5166" s="19" t="str">
        <f>IFERROR(__xludf.DUMMYFUNCTION("""COMPUTED_VALUE"""),"BLUE")</f>
        <v>BLUE</v>
      </c>
      <c r="G5166" s="20" t="str">
        <f>IFERROR(__xludf.DUMMYFUNCTION("""COMPUTED_VALUE"""),"Uncle Sams Cider (11/12/2021) (Blue)")</f>
        <v>Uncle Sams Cider (11/12/2021) (Blue)</v>
      </c>
      <c r="H5166" s="19"/>
    </row>
    <row r="5167">
      <c r="A5167" s="9"/>
      <c r="B5167" s="15"/>
      <c r="C5167" s="9">
        <f>IFERROR(__xludf.DUMMYFUNCTION("""COMPUTED_VALUE"""),44551.3695982175)</f>
        <v>44551.3696</v>
      </c>
      <c r="D5167" s="15">
        <f>IFERROR(__xludf.DUMMYFUNCTION("""COMPUTED_VALUE"""),1.012)</f>
        <v>1.012</v>
      </c>
      <c r="E5167" s="16">
        <f>IFERROR(__xludf.DUMMYFUNCTION("""COMPUTED_VALUE"""),62.0)</f>
        <v>62</v>
      </c>
      <c r="F5167" s="19" t="str">
        <f>IFERROR(__xludf.DUMMYFUNCTION("""COMPUTED_VALUE"""),"BLUE")</f>
        <v>BLUE</v>
      </c>
      <c r="G5167" s="20" t="str">
        <f>IFERROR(__xludf.DUMMYFUNCTION("""COMPUTED_VALUE"""),"Uncle Sams Cider (11/12/2021) (Blue)")</f>
        <v>Uncle Sams Cider (11/12/2021) (Blue)</v>
      </c>
      <c r="H5167" s="19"/>
    </row>
    <row r="5168">
      <c r="A5168" s="9"/>
      <c r="B5168" s="15"/>
      <c r="C5168" s="9">
        <f>IFERROR(__xludf.DUMMYFUNCTION("""COMPUTED_VALUE"""),44551.3591440046)</f>
        <v>44551.35914</v>
      </c>
      <c r="D5168" s="15">
        <f>IFERROR(__xludf.DUMMYFUNCTION("""COMPUTED_VALUE"""),1.012)</f>
        <v>1.012</v>
      </c>
      <c r="E5168" s="16">
        <f>IFERROR(__xludf.DUMMYFUNCTION("""COMPUTED_VALUE"""),62.0)</f>
        <v>62</v>
      </c>
      <c r="F5168" s="19" t="str">
        <f>IFERROR(__xludf.DUMMYFUNCTION("""COMPUTED_VALUE"""),"BLUE")</f>
        <v>BLUE</v>
      </c>
      <c r="G5168" s="20" t="str">
        <f>IFERROR(__xludf.DUMMYFUNCTION("""COMPUTED_VALUE"""),"Uncle Sams Cider (11/12/2021) (Blue)")</f>
        <v>Uncle Sams Cider (11/12/2021) (Blue)</v>
      </c>
      <c r="H5168" s="19"/>
    </row>
    <row r="5169">
      <c r="A5169" s="9"/>
      <c r="B5169" s="15"/>
      <c r="C5169" s="9">
        <f>IFERROR(__xludf.DUMMYFUNCTION("""COMPUTED_VALUE"""),44551.3487217013)</f>
        <v>44551.34872</v>
      </c>
      <c r="D5169" s="15">
        <f>IFERROR(__xludf.DUMMYFUNCTION("""COMPUTED_VALUE"""),1.012)</f>
        <v>1.012</v>
      </c>
      <c r="E5169" s="16">
        <f>IFERROR(__xludf.DUMMYFUNCTION("""COMPUTED_VALUE"""),62.0)</f>
        <v>62</v>
      </c>
      <c r="F5169" s="19" t="str">
        <f>IFERROR(__xludf.DUMMYFUNCTION("""COMPUTED_VALUE"""),"BLUE")</f>
        <v>BLUE</v>
      </c>
      <c r="G5169" s="20" t="str">
        <f>IFERROR(__xludf.DUMMYFUNCTION("""COMPUTED_VALUE"""),"Uncle Sams Cider (11/12/2021) (Blue)")</f>
        <v>Uncle Sams Cider (11/12/2021) (Blue)</v>
      </c>
      <c r="H5169" s="19"/>
    </row>
    <row r="5170">
      <c r="A5170" s="9"/>
      <c r="B5170" s="15"/>
      <c r="C5170" s="9">
        <f>IFERROR(__xludf.DUMMYFUNCTION("""COMPUTED_VALUE"""),44551.3383010532)</f>
        <v>44551.3383</v>
      </c>
      <c r="D5170" s="15">
        <f>IFERROR(__xludf.DUMMYFUNCTION("""COMPUTED_VALUE"""),1.012)</f>
        <v>1.012</v>
      </c>
      <c r="E5170" s="16">
        <f>IFERROR(__xludf.DUMMYFUNCTION("""COMPUTED_VALUE"""),62.0)</f>
        <v>62</v>
      </c>
      <c r="F5170" s="19" t="str">
        <f>IFERROR(__xludf.DUMMYFUNCTION("""COMPUTED_VALUE"""),"BLUE")</f>
        <v>BLUE</v>
      </c>
      <c r="G5170" s="20" t="str">
        <f>IFERROR(__xludf.DUMMYFUNCTION("""COMPUTED_VALUE"""),"Uncle Sams Cider (11/12/2021) (Blue)")</f>
        <v>Uncle Sams Cider (11/12/2021) (Blue)</v>
      </c>
      <c r="H5170" s="19"/>
    </row>
    <row r="5171">
      <c r="A5171" s="9"/>
      <c r="B5171" s="15"/>
      <c r="C5171" s="9">
        <f>IFERROR(__xludf.DUMMYFUNCTION("""COMPUTED_VALUE"""),44551.3278794444)</f>
        <v>44551.32788</v>
      </c>
      <c r="D5171" s="15">
        <f>IFERROR(__xludf.DUMMYFUNCTION("""COMPUTED_VALUE"""),1.012)</f>
        <v>1.012</v>
      </c>
      <c r="E5171" s="16">
        <f>IFERROR(__xludf.DUMMYFUNCTION("""COMPUTED_VALUE"""),62.0)</f>
        <v>62</v>
      </c>
      <c r="F5171" s="19" t="str">
        <f>IFERROR(__xludf.DUMMYFUNCTION("""COMPUTED_VALUE"""),"BLUE")</f>
        <v>BLUE</v>
      </c>
      <c r="G5171" s="20" t="str">
        <f>IFERROR(__xludf.DUMMYFUNCTION("""COMPUTED_VALUE"""),"Uncle Sams Cider (11/12/2021) (Blue)")</f>
        <v>Uncle Sams Cider (11/12/2021) (Blue)</v>
      </c>
      <c r="H5171" s="19"/>
    </row>
    <row r="5172">
      <c r="A5172" s="9"/>
      <c r="B5172" s="15"/>
      <c r="C5172" s="9">
        <f>IFERROR(__xludf.DUMMYFUNCTION("""COMPUTED_VALUE"""),44551.3174596759)</f>
        <v>44551.31746</v>
      </c>
      <c r="D5172" s="15">
        <f>IFERROR(__xludf.DUMMYFUNCTION("""COMPUTED_VALUE"""),1.012)</f>
        <v>1.012</v>
      </c>
      <c r="E5172" s="16">
        <f>IFERROR(__xludf.DUMMYFUNCTION("""COMPUTED_VALUE"""),62.0)</f>
        <v>62</v>
      </c>
      <c r="F5172" s="19" t="str">
        <f>IFERROR(__xludf.DUMMYFUNCTION("""COMPUTED_VALUE"""),"BLUE")</f>
        <v>BLUE</v>
      </c>
      <c r="G5172" s="20" t="str">
        <f>IFERROR(__xludf.DUMMYFUNCTION("""COMPUTED_VALUE"""),"Uncle Sams Cider (11/12/2021) (Blue)")</f>
        <v>Uncle Sams Cider (11/12/2021) (Blue)</v>
      </c>
      <c r="H5172" s="19"/>
    </row>
    <row r="5173">
      <c r="A5173" s="9"/>
      <c r="B5173" s="15"/>
      <c r="C5173" s="9">
        <f>IFERROR(__xludf.DUMMYFUNCTION("""COMPUTED_VALUE"""),44551.3070387152)</f>
        <v>44551.30704</v>
      </c>
      <c r="D5173" s="15">
        <f>IFERROR(__xludf.DUMMYFUNCTION("""COMPUTED_VALUE"""),1.012)</f>
        <v>1.012</v>
      </c>
      <c r="E5173" s="16">
        <f>IFERROR(__xludf.DUMMYFUNCTION("""COMPUTED_VALUE"""),62.0)</f>
        <v>62</v>
      </c>
      <c r="F5173" s="19" t="str">
        <f>IFERROR(__xludf.DUMMYFUNCTION("""COMPUTED_VALUE"""),"BLUE")</f>
        <v>BLUE</v>
      </c>
      <c r="G5173" s="20" t="str">
        <f>IFERROR(__xludf.DUMMYFUNCTION("""COMPUTED_VALUE"""),"Uncle Sams Cider (11/12/2021) (Blue)")</f>
        <v>Uncle Sams Cider (11/12/2021) (Blue)</v>
      </c>
      <c r="H5173" s="19"/>
    </row>
    <row r="5174">
      <c r="A5174" s="9"/>
      <c r="B5174" s="15"/>
      <c r="C5174" s="9">
        <f>IFERROR(__xludf.DUMMYFUNCTION("""COMPUTED_VALUE"""),44551.2966050115)</f>
        <v>44551.29661</v>
      </c>
      <c r="D5174" s="15">
        <f>IFERROR(__xludf.DUMMYFUNCTION("""COMPUTED_VALUE"""),1.012)</f>
        <v>1.012</v>
      </c>
      <c r="E5174" s="16">
        <f>IFERROR(__xludf.DUMMYFUNCTION("""COMPUTED_VALUE"""),62.0)</f>
        <v>62</v>
      </c>
      <c r="F5174" s="19" t="str">
        <f>IFERROR(__xludf.DUMMYFUNCTION("""COMPUTED_VALUE"""),"BLUE")</f>
        <v>BLUE</v>
      </c>
      <c r="G5174" s="20" t="str">
        <f>IFERROR(__xludf.DUMMYFUNCTION("""COMPUTED_VALUE"""),"Uncle Sams Cider (11/12/2021) (Blue)")</f>
        <v>Uncle Sams Cider (11/12/2021) (Blue)</v>
      </c>
      <c r="H5174" s="19"/>
    </row>
    <row r="5175">
      <c r="A5175" s="9"/>
      <c r="B5175" s="15"/>
      <c r="C5175" s="9">
        <f>IFERROR(__xludf.DUMMYFUNCTION("""COMPUTED_VALUE"""),44551.2861830092)</f>
        <v>44551.28618</v>
      </c>
      <c r="D5175" s="15">
        <f>IFERROR(__xludf.DUMMYFUNCTION("""COMPUTED_VALUE"""),1.012)</f>
        <v>1.012</v>
      </c>
      <c r="E5175" s="16">
        <f>IFERROR(__xludf.DUMMYFUNCTION("""COMPUTED_VALUE"""),62.0)</f>
        <v>62</v>
      </c>
      <c r="F5175" s="19" t="str">
        <f>IFERROR(__xludf.DUMMYFUNCTION("""COMPUTED_VALUE"""),"BLUE")</f>
        <v>BLUE</v>
      </c>
      <c r="G5175" s="20" t="str">
        <f>IFERROR(__xludf.DUMMYFUNCTION("""COMPUTED_VALUE"""),"Uncle Sams Cider (11/12/2021) (Blue)")</f>
        <v>Uncle Sams Cider (11/12/2021) (Blue)</v>
      </c>
      <c r="H5175" s="19"/>
    </row>
    <row r="5176">
      <c r="A5176" s="9"/>
      <c r="B5176" s="15"/>
      <c r="C5176" s="9">
        <f>IFERROR(__xludf.DUMMYFUNCTION("""COMPUTED_VALUE"""),44551.2757603472)</f>
        <v>44551.27576</v>
      </c>
      <c r="D5176" s="15">
        <f>IFERROR(__xludf.DUMMYFUNCTION("""COMPUTED_VALUE"""),1.012)</f>
        <v>1.012</v>
      </c>
      <c r="E5176" s="16">
        <f>IFERROR(__xludf.DUMMYFUNCTION("""COMPUTED_VALUE"""),62.0)</f>
        <v>62</v>
      </c>
      <c r="F5176" s="19" t="str">
        <f>IFERROR(__xludf.DUMMYFUNCTION("""COMPUTED_VALUE"""),"BLUE")</f>
        <v>BLUE</v>
      </c>
      <c r="G5176" s="20" t="str">
        <f>IFERROR(__xludf.DUMMYFUNCTION("""COMPUTED_VALUE"""),"Uncle Sams Cider (11/12/2021) (Blue)")</f>
        <v>Uncle Sams Cider (11/12/2021) (Blue)</v>
      </c>
      <c r="H5176" s="19"/>
    </row>
    <row r="5177">
      <c r="A5177" s="9"/>
      <c r="B5177" s="15"/>
      <c r="C5177" s="9">
        <f>IFERROR(__xludf.DUMMYFUNCTION("""COMPUTED_VALUE"""),44551.2653395486)</f>
        <v>44551.26534</v>
      </c>
      <c r="D5177" s="15">
        <f>IFERROR(__xludf.DUMMYFUNCTION("""COMPUTED_VALUE"""),1.012)</f>
        <v>1.012</v>
      </c>
      <c r="E5177" s="16">
        <f>IFERROR(__xludf.DUMMYFUNCTION("""COMPUTED_VALUE"""),62.0)</f>
        <v>62</v>
      </c>
      <c r="F5177" s="19" t="str">
        <f>IFERROR(__xludf.DUMMYFUNCTION("""COMPUTED_VALUE"""),"BLUE")</f>
        <v>BLUE</v>
      </c>
      <c r="G5177" s="20" t="str">
        <f>IFERROR(__xludf.DUMMYFUNCTION("""COMPUTED_VALUE"""),"Uncle Sams Cider (11/12/2021) (Blue)")</f>
        <v>Uncle Sams Cider (11/12/2021) (Blue)</v>
      </c>
      <c r="H5177" s="19"/>
    </row>
    <row r="5178">
      <c r="A5178" s="9"/>
      <c r="B5178" s="15"/>
      <c r="C5178" s="9">
        <f>IFERROR(__xludf.DUMMYFUNCTION("""COMPUTED_VALUE"""),44551.2549186805)</f>
        <v>44551.25492</v>
      </c>
      <c r="D5178" s="15">
        <f>IFERROR(__xludf.DUMMYFUNCTION("""COMPUTED_VALUE"""),1.012)</f>
        <v>1.012</v>
      </c>
      <c r="E5178" s="16">
        <f>IFERROR(__xludf.DUMMYFUNCTION("""COMPUTED_VALUE"""),62.0)</f>
        <v>62</v>
      </c>
      <c r="F5178" s="19" t="str">
        <f>IFERROR(__xludf.DUMMYFUNCTION("""COMPUTED_VALUE"""),"BLUE")</f>
        <v>BLUE</v>
      </c>
      <c r="G5178" s="20" t="str">
        <f>IFERROR(__xludf.DUMMYFUNCTION("""COMPUTED_VALUE"""),"Uncle Sams Cider (11/12/2021) (Blue)")</f>
        <v>Uncle Sams Cider (11/12/2021) (Blue)</v>
      </c>
      <c r="H5178" s="19"/>
    </row>
    <row r="5179">
      <c r="A5179" s="9"/>
      <c r="B5179" s="15"/>
      <c r="C5179" s="9">
        <f>IFERROR(__xludf.DUMMYFUNCTION("""COMPUTED_VALUE"""),44551.2444992361)</f>
        <v>44551.2445</v>
      </c>
      <c r="D5179" s="15">
        <f>IFERROR(__xludf.DUMMYFUNCTION("""COMPUTED_VALUE"""),1.012)</f>
        <v>1.012</v>
      </c>
      <c r="E5179" s="16">
        <f>IFERROR(__xludf.DUMMYFUNCTION("""COMPUTED_VALUE"""),62.0)</f>
        <v>62</v>
      </c>
      <c r="F5179" s="19" t="str">
        <f>IFERROR(__xludf.DUMMYFUNCTION("""COMPUTED_VALUE"""),"BLUE")</f>
        <v>BLUE</v>
      </c>
      <c r="G5179" s="20" t="str">
        <f>IFERROR(__xludf.DUMMYFUNCTION("""COMPUTED_VALUE"""),"Uncle Sams Cider (11/12/2021) (Blue)")</f>
        <v>Uncle Sams Cider (11/12/2021) (Blue)</v>
      </c>
      <c r="H5179" s="19"/>
    </row>
    <row r="5180">
      <c r="A5180" s="9"/>
      <c r="B5180" s="15"/>
      <c r="C5180" s="9">
        <f>IFERROR(__xludf.DUMMYFUNCTION("""COMPUTED_VALUE"""),44551.2340778819)</f>
        <v>44551.23408</v>
      </c>
      <c r="D5180" s="15">
        <f>IFERROR(__xludf.DUMMYFUNCTION("""COMPUTED_VALUE"""),1.013)</f>
        <v>1.013</v>
      </c>
      <c r="E5180" s="16">
        <f>IFERROR(__xludf.DUMMYFUNCTION("""COMPUTED_VALUE"""),62.0)</f>
        <v>62</v>
      </c>
      <c r="F5180" s="19" t="str">
        <f>IFERROR(__xludf.DUMMYFUNCTION("""COMPUTED_VALUE"""),"BLUE")</f>
        <v>BLUE</v>
      </c>
      <c r="G5180" s="20" t="str">
        <f>IFERROR(__xludf.DUMMYFUNCTION("""COMPUTED_VALUE"""),"Uncle Sams Cider (11/12/2021) (Blue)")</f>
        <v>Uncle Sams Cider (11/12/2021) (Blue)</v>
      </c>
      <c r="H5180" s="19"/>
    </row>
    <row r="5181">
      <c r="A5181" s="9"/>
      <c r="B5181" s="15"/>
      <c r="C5181" s="9">
        <f>IFERROR(__xludf.DUMMYFUNCTION("""COMPUTED_VALUE"""),44551.223632662)</f>
        <v>44551.22363</v>
      </c>
      <c r="D5181" s="15">
        <f>IFERROR(__xludf.DUMMYFUNCTION("""COMPUTED_VALUE"""),1.012)</f>
        <v>1.012</v>
      </c>
      <c r="E5181" s="16">
        <f>IFERROR(__xludf.DUMMYFUNCTION("""COMPUTED_VALUE"""),62.0)</f>
        <v>62</v>
      </c>
      <c r="F5181" s="19" t="str">
        <f>IFERROR(__xludf.DUMMYFUNCTION("""COMPUTED_VALUE"""),"BLUE")</f>
        <v>BLUE</v>
      </c>
      <c r="G5181" s="20" t="str">
        <f>IFERROR(__xludf.DUMMYFUNCTION("""COMPUTED_VALUE"""),"Uncle Sams Cider (11/12/2021) (Blue)")</f>
        <v>Uncle Sams Cider (11/12/2021) (Blue)</v>
      </c>
      <c r="H5181" s="19"/>
    </row>
    <row r="5182">
      <c r="A5182" s="9"/>
      <c r="B5182" s="15"/>
      <c r="C5182" s="9">
        <f>IFERROR(__xludf.DUMMYFUNCTION("""COMPUTED_VALUE"""),44551.2132110648)</f>
        <v>44551.21321</v>
      </c>
      <c r="D5182" s="15">
        <f>IFERROR(__xludf.DUMMYFUNCTION("""COMPUTED_VALUE"""),1.012)</f>
        <v>1.012</v>
      </c>
      <c r="E5182" s="16">
        <f>IFERROR(__xludf.DUMMYFUNCTION("""COMPUTED_VALUE"""),62.0)</f>
        <v>62</v>
      </c>
      <c r="F5182" s="19" t="str">
        <f>IFERROR(__xludf.DUMMYFUNCTION("""COMPUTED_VALUE"""),"BLUE")</f>
        <v>BLUE</v>
      </c>
      <c r="G5182" s="20" t="str">
        <f>IFERROR(__xludf.DUMMYFUNCTION("""COMPUTED_VALUE"""),"Uncle Sams Cider (11/12/2021) (Blue)")</f>
        <v>Uncle Sams Cider (11/12/2021) (Blue)</v>
      </c>
      <c r="H5182" s="19"/>
    </row>
    <row r="5183">
      <c r="A5183" s="9"/>
      <c r="B5183" s="15"/>
      <c r="C5183" s="9">
        <f>IFERROR(__xludf.DUMMYFUNCTION("""COMPUTED_VALUE"""),44551.2027906365)</f>
        <v>44551.20279</v>
      </c>
      <c r="D5183" s="15">
        <f>IFERROR(__xludf.DUMMYFUNCTION("""COMPUTED_VALUE"""),1.012)</f>
        <v>1.012</v>
      </c>
      <c r="E5183" s="16">
        <f>IFERROR(__xludf.DUMMYFUNCTION("""COMPUTED_VALUE"""),62.0)</f>
        <v>62</v>
      </c>
      <c r="F5183" s="19" t="str">
        <f>IFERROR(__xludf.DUMMYFUNCTION("""COMPUTED_VALUE"""),"BLUE")</f>
        <v>BLUE</v>
      </c>
      <c r="G5183" s="20" t="str">
        <f>IFERROR(__xludf.DUMMYFUNCTION("""COMPUTED_VALUE"""),"Uncle Sams Cider (11/12/2021) (Blue)")</f>
        <v>Uncle Sams Cider (11/12/2021) (Blue)</v>
      </c>
      <c r="H5183" s="19"/>
    </row>
    <row r="5184">
      <c r="A5184" s="9"/>
      <c r="B5184" s="15"/>
      <c r="C5184" s="9">
        <f>IFERROR(__xludf.DUMMYFUNCTION("""COMPUTED_VALUE"""),44551.1923680439)</f>
        <v>44551.19237</v>
      </c>
      <c r="D5184" s="15">
        <f>IFERROR(__xludf.DUMMYFUNCTION("""COMPUTED_VALUE"""),1.012)</f>
        <v>1.012</v>
      </c>
      <c r="E5184" s="16">
        <f>IFERROR(__xludf.DUMMYFUNCTION("""COMPUTED_VALUE"""),62.0)</f>
        <v>62</v>
      </c>
      <c r="F5184" s="19" t="str">
        <f>IFERROR(__xludf.DUMMYFUNCTION("""COMPUTED_VALUE"""),"BLUE")</f>
        <v>BLUE</v>
      </c>
      <c r="G5184" s="20" t="str">
        <f>IFERROR(__xludf.DUMMYFUNCTION("""COMPUTED_VALUE"""),"Uncle Sams Cider (11/12/2021) (Blue)")</f>
        <v>Uncle Sams Cider (11/12/2021) (Blue)</v>
      </c>
      <c r="H5184" s="19"/>
    </row>
    <row r="5185">
      <c r="A5185" s="9"/>
      <c r="B5185" s="15"/>
      <c r="C5185" s="9">
        <f>IFERROR(__xludf.DUMMYFUNCTION("""COMPUTED_VALUE"""),44551.1819459953)</f>
        <v>44551.18195</v>
      </c>
      <c r="D5185" s="15">
        <f>IFERROR(__xludf.DUMMYFUNCTION("""COMPUTED_VALUE"""),1.012)</f>
        <v>1.012</v>
      </c>
      <c r="E5185" s="16">
        <f>IFERROR(__xludf.DUMMYFUNCTION("""COMPUTED_VALUE"""),62.0)</f>
        <v>62</v>
      </c>
      <c r="F5185" s="19" t="str">
        <f>IFERROR(__xludf.DUMMYFUNCTION("""COMPUTED_VALUE"""),"BLUE")</f>
        <v>BLUE</v>
      </c>
      <c r="G5185" s="20" t="str">
        <f>IFERROR(__xludf.DUMMYFUNCTION("""COMPUTED_VALUE"""),"Uncle Sams Cider (11/12/2021) (Blue)")</f>
        <v>Uncle Sams Cider (11/12/2021) (Blue)</v>
      </c>
      <c r="H5185" s="19"/>
    </row>
    <row r="5186">
      <c r="A5186" s="9"/>
      <c r="B5186" s="15"/>
      <c r="C5186" s="9">
        <f>IFERROR(__xludf.DUMMYFUNCTION("""COMPUTED_VALUE"""),44551.1715253356)</f>
        <v>44551.17153</v>
      </c>
      <c r="D5186" s="15">
        <f>IFERROR(__xludf.DUMMYFUNCTION("""COMPUTED_VALUE"""),1.013)</f>
        <v>1.013</v>
      </c>
      <c r="E5186" s="16">
        <f>IFERROR(__xludf.DUMMYFUNCTION("""COMPUTED_VALUE"""),62.0)</f>
        <v>62</v>
      </c>
      <c r="F5186" s="19" t="str">
        <f>IFERROR(__xludf.DUMMYFUNCTION("""COMPUTED_VALUE"""),"BLUE")</f>
        <v>BLUE</v>
      </c>
      <c r="G5186" s="20" t="str">
        <f>IFERROR(__xludf.DUMMYFUNCTION("""COMPUTED_VALUE"""),"Uncle Sams Cider (11/12/2021) (Blue)")</f>
        <v>Uncle Sams Cider (11/12/2021) (Blue)</v>
      </c>
      <c r="H5186" s="19"/>
    </row>
    <row r="5187">
      <c r="A5187" s="9"/>
      <c r="B5187" s="15"/>
      <c r="C5187" s="9">
        <f>IFERROR(__xludf.DUMMYFUNCTION("""COMPUTED_VALUE"""),44551.1610919444)</f>
        <v>44551.16109</v>
      </c>
      <c r="D5187" s="15">
        <f>IFERROR(__xludf.DUMMYFUNCTION("""COMPUTED_VALUE"""),1.012)</f>
        <v>1.012</v>
      </c>
      <c r="E5187" s="16">
        <f>IFERROR(__xludf.DUMMYFUNCTION("""COMPUTED_VALUE"""),62.0)</f>
        <v>62</v>
      </c>
      <c r="F5187" s="19" t="str">
        <f>IFERROR(__xludf.DUMMYFUNCTION("""COMPUTED_VALUE"""),"BLUE")</f>
        <v>BLUE</v>
      </c>
      <c r="G5187" s="20" t="str">
        <f>IFERROR(__xludf.DUMMYFUNCTION("""COMPUTED_VALUE"""),"Uncle Sams Cider (11/12/2021) (Blue)")</f>
        <v>Uncle Sams Cider (11/12/2021) (Blue)</v>
      </c>
      <c r="H5187" s="19"/>
    </row>
    <row r="5188">
      <c r="A5188" s="9"/>
      <c r="B5188" s="15"/>
      <c r="C5188" s="9">
        <f>IFERROR(__xludf.DUMMYFUNCTION("""COMPUTED_VALUE"""),44551.1506706018)</f>
        <v>44551.15067</v>
      </c>
      <c r="D5188" s="15">
        <f>IFERROR(__xludf.DUMMYFUNCTION("""COMPUTED_VALUE"""),1.012)</f>
        <v>1.012</v>
      </c>
      <c r="E5188" s="16">
        <f>IFERROR(__xludf.DUMMYFUNCTION("""COMPUTED_VALUE"""),62.0)</f>
        <v>62</v>
      </c>
      <c r="F5188" s="19" t="str">
        <f>IFERROR(__xludf.DUMMYFUNCTION("""COMPUTED_VALUE"""),"BLUE")</f>
        <v>BLUE</v>
      </c>
      <c r="G5188" s="20" t="str">
        <f>IFERROR(__xludf.DUMMYFUNCTION("""COMPUTED_VALUE"""),"Uncle Sams Cider (11/12/2021) (Blue)")</f>
        <v>Uncle Sams Cider (11/12/2021) (Blue)</v>
      </c>
      <c r="H5188" s="19"/>
    </row>
    <row r="5189">
      <c r="A5189" s="9"/>
      <c r="B5189" s="15"/>
      <c r="C5189" s="9">
        <f>IFERROR(__xludf.DUMMYFUNCTION("""COMPUTED_VALUE"""),44551.1402519097)</f>
        <v>44551.14025</v>
      </c>
      <c r="D5189" s="15">
        <f>IFERROR(__xludf.DUMMYFUNCTION("""COMPUTED_VALUE"""),1.012)</f>
        <v>1.012</v>
      </c>
      <c r="E5189" s="16">
        <f>IFERROR(__xludf.DUMMYFUNCTION("""COMPUTED_VALUE"""),62.0)</f>
        <v>62</v>
      </c>
      <c r="F5189" s="19" t="str">
        <f>IFERROR(__xludf.DUMMYFUNCTION("""COMPUTED_VALUE"""),"BLUE")</f>
        <v>BLUE</v>
      </c>
      <c r="G5189" s="20" t="str">
        <f>IFERROR(__xludf.DUMMYFUNCTION("""COMPUTED_VALUE"""),"Uncle Sams Cider (11/12/2021) (Blue)")</f>
        <v>Uncle Sams Cider (11/12/2021) (Blue)</v>
      </c>
      <c r="H5189" s="19"/>
    </row>
    <row r="5190">
      <c r="A5190" s="9"/>
      <c r="B5190" s="15"/>
      <c r="C5190" s="9">
        <f>IFERROR(__xludf.DUMMYFUNCTION("""COMPUTED_VALUE"""),44551.1298084374)</f>
        <v>44551.12981</v>
      </c>
      <c r="D5190" s="15">
        <f>IFERROR(__xludf.DUMMYFUNCTION("""COMPUTED_VALUE"""),1.012)</f>
        <v>1.012</v>
      </c>
      <c r="E5190" s="16">
        <f>IFERROR(__xludf.DUMMYFUNCTION("""COMPUTED_VALUE"""),62.0)</f>
        <v>62</v>
      </c>
      <c r="F5190" s="19" t="str">
        <f>IFERROR(__xludf.DUMMYFUNCTION("""COMPUTED_VALUE"""),"BLUE")</f>
        <v>BLUE</v>
      </c>
      <c r="G5190" s="20" t="str">
        <f>IFERROR(__xludf.DUMMYFUNCTION("""COMPUTED_VALUE"""),"Uncle Sams Cider (11/12/2021) (Blue)")</f>
        <v>Uncle Sams Cider (11/12/2021) (Blue)</v>
      </c>
      <c r="H5190" s="19"/>
    </row>
    <row r="5191">
      <c r="A5191" s="9"/>
      <c r="B5191" s="15"/>
      <c r="C5191" s="9">
        <f>IFERROR(__xludf.DUMMYFUNCTION("""COMPUTED_VALUE"""),44551.1193862268)</f>
        <v>44551.11939</v>
      </c>
      <c r="D5191" s="15">
        <f>IFERROR(__xludf.DUMMYFUNCTION("""COMPUTED_VALUE"""),1.012)</f>
        <v>1.012</v>
      </c>
      <c r="E5191" s="16">
        <f>IFERROR(__xludf.DUMMYFUNCTION("""COMPUTED_VALUE"""),62.0)</f>
        <v>62</v>
      </c>
      <c r="F5191" s="19" t="str">
        <f>IFERROR(__xludf.DUMMYFUNCTION("""COMPUTED_VALUE"""),"BLUE")</f>
        <v>BLUE</v>
      </c>
      <c r="G5191" s="20" t="str">
        <f>IFERROR(__xludf.DUMMYFUNCTION("""COMPUTED_VALUE"""),"Uncle Sams Cider (11/12/2021) (Blue)")</f>
        <v>Uncle Sams Cider (11/12/2021) (Blue)</v>
      </c>
      <c r="H5191" s="19"/>
    </row>
    <row r="5192">
      <c r="A5192" s="9"/>
      <c r="B5192" s="15"/>
      <c r="C5192" s="9">
        <f>IFERROR(__xludf.DUMMYFUNCTION("""COMPUTED_VALUE"""),44551.1089648032)</f>
        <v>44551.10896</v>
      </c>
      <c r="D5192" s="15">
        <f>IFERROR(__xludf.DUMMYFUNCTION("""COMPUTED_VALUE"""),1.012)</f>
        <v>1.012</v>
      </c>
      <c r="E5192" s="16">
        <f>IFERROR(__xludf.DUMMYFUNCTION("""COMPUTED_VALUE"""),62.0)</f>
        <v>62</v>
      </c>
      <c r="F5192" s="19" t="str">
        <f>IFERROR(__xludf.DUMMYFUNCTION("""COMPUTED_VALUE"""),"BLUE")</f>
        <v>BLUE</v>
      </c>
      <c r="G5192" s="20" t="str">
        <f>IFERROR(__xludf.DUMMYFUNCTION("""COMPUTED_VALUE"""),"Uncle Sams Cider (11/12/2021) (Blue)")</f>
        <v>Uncle Sams Cider (11/12/2021) (Blue)</v>
      </c>
      <c r="H5192" s="19"/>
    </row>
    <row r="5193">
      <c r="A5193" s="9"/>
      <c r="B5193" s="15"/>
      <c r="C5193" s="9">
        <f>IFERROR(__xludf.DUMMYFUNCTION("""COMPUTED_VALUE"""),44551.0985435648)</f>
        <v>44551.09854</v>
      </c>
      <c r="D5193" s="15">
        <f>IFERROR(__xludf.DUMMYFUNCTION("""COMPUTED_VALUE"""),1.012)</f>
        <v>1.012</v>
      </c>
      <c r="E5193" s="16">
        <f>IFERROR(__xludf.DUMMYFUNCTION("""COMPUTED_VALUE"""),62.0)</f>
        <v>62</v>
      </c>
      <c r="F5193" s="19" t="str">
        <f>IFERROR(__xludf.DUMMYFUNCTION("""COMPUTED_VALUE"""),"BLUE")</f>
        <v>BLUE</v>
      </c>
      <c r="G5193" s="20" t="str">
        <f>IFERROR(__xludf.DUMMYFUNCTION("""COMPUTED_VALUE"""),"Uncle Sams Cider (11/12/2021) (Blue)")</f>
        <v>Uncle Sams Cider (11/12/2021) (Blue)</v>
      </c>
      <c r="H5193" s="19"/>
    </row>
    <row r="5194">
      <c r="A5194" s="9"/>
      <c r="B5194" s="15"/>
      <c r="C5194" s="9">
        <f>IFERROR(__xludf.DUMMYFUNCTION("""COMPUTED_VALUE"""),44551.0881234722)</f>
        <v>44551.08812</v>
      </c>
      <c r="D5194" s="15">
        <f>IFERROR(__xludf.DUMMYFUNCTION("""COMPUTED_VALUE"""),1.012)</f>
        <v>1.012</v>
      </c>
      <c r="E5194" s="16">
        <f>IFERROR(__xludf.DUMMYFUNCTION("""COMPUTED_VALUE"""),62.0)</f>
        <v>62</v>
      </c>
      <c r="F5194" s="19" t="str">
        <f>IFERROR(__xludf.DUMMYFUNCTION("""COMPUTED_VALUE"""),"BLUE")</f>
        <v>BLUE</v>
      </c>
      <c r="G5194" s="20" t="str">
        <f>IFERROR(__xludf.DUMMYFUNCTION("""COMPUTED_VALUE"""),"Uncle Sams Cider (11/12/2021) (Blue)")</f>
        <v>Uncle Sams Cider (11/12/2021) (Blue)</v>
      </c>
      <c r="H5194" s="19"/>
    </row>
    <row r="5195">
      <c r="A5195" s="9"/>
      <c r="B5195" s="15"/>
      <c r="C5195" s="9">
        <f>IFERROR(__xludf.DUMMYFUNCTION("""COMPUTED_VALUE"""),44551.0777041203)</f>
        <v>44551.0777</v>
      </c>
      <c r="D5195" s="15">
        <f>IFERROR(__xludf.DUMMYFUNCTION("""COMPUTED_VALUE"""),1.013)</f>
        <v>1.013</v>
      </c>
      <c r="E5195" s="16">
        <f>IFERROR(__xludf.DUMMYFUNCTION("""COMPUTED_VALUE"""),62.0)</f>
        <v>62</v>
      </c>
      <c r="F5195" s="19" t="str">
        <f>IFERROR(__xludf.DUMMYFUNCTION("""COMPUTED_VALUE"""),"BLUE")</f>
        <v>BLUE</v>
      </c>
      <c r="G5195" s="20" t="str">
        <f>IFERROR(__xludf.DUMMYFUNCTION("""COMPUTED_VALUE"""),"Uncle Sams Cider (11/12/2021) (Blue)")</f>
        <v>Uncle Sams Cider (11/12/2021) (Blue)</v>
      </c>
      <c r="H5195" s="19"/>
    </row>
    <row r="5196">
      <c r="A5196" s="9"/>
      <c r="B5196" s="15"/>
      <c r="C5196" s="9">
        <f>IFERROR(__xludf.DUMMYFUNCTION("""COMPUTED_VALUE"""),44551.0672818171)</f>
        <v>44551.06728</v>
      </c>
      <c r="D5196" s="15">
        <f>IFERROR(__xludf.DUMMYFUNCTION("""COMPUTED_VALUE"""),1.012)</f>
        <v>1.012</v>
      </c>
      <c r="E5196" s="16">
        <f>IFERROR(__xludf.DUMMYFUNCTION("""COMPUTED_VALUE"""),62.0)</f>
        <v>62</v>
      </c>
      <c r="F5196" s="19" t="str">
        <f>IFERROR(__xludf.DUMMYFUNCTION("""COMPUTED_VALUE"""),"BLUE")</f>
        <v>BLUE</v>
      </c>
      <c r="G5196" s="20" t="str">
        <f>IFERROR(__xludf.DUMMYFUNCTION("""COMPUTED_VALUE"""),"Uncle Sams Cider (11/12/2021) (Blue)")</f>
        <v>Uncle Sams Cider (11/12/2021) (Blue)</v>
      </c>
      <c r="H5196" s="19"/>
    </row>
    <row r="5197">
      <c r="A5197" s="9"/>
      <c r="B5197" s="15"/>
      <c r="C5197" s="9">
        <f>IFERROR(__xludf.DUMMYFUNCTION("""COMPUTED_VALUE"""),44551.0568490509)</f>
        <v>44551.05685</v>
      </c>
      <c r="D5197" s="15">
        <f>IFERROR(__xludf.DUMMYFUNCTION("""COMPUTED_VALUE"""),1.012)</f>
        <v>1.012</v>
      </c>
      <c r="E5197" s="16">
        <f>IFERROR(__xludf.DUMMYFUNCTION("""COMPUTED_VALUE"""),62.0)</f>
        <v>62</v>
      </c>
      <c r="F5197" s="19" t="str">
        <f>IFERROR(__xludf.DUMMYFUNCTION("""COMPUTED_VALUE"""),"BLUE")</f>
        <v>BLUE</v>
      </c>
      <c r="G5197" s="20" t="str">
        <f>IFERROR(__xludf.DUMMYFUNCTION("""COMPUTED_VALUE"""),"Uncle Sams Cider (11/12/2021) (Blue)")</f>
        <v>Uncle Sams Cider (11/12/2021) (Blue)</v>
      </c>
      <c r="H5197" s="19"/>
    </row>
    <row r="5198">
      <c r="A5198" s="9"/>
      <c r="B5198" s="15"/>
      <c r="C5198" s="9">
        <f>IFERROR(__xludf.DUMMYFUNCTION("""COMPUTED_VALUE"""),44551.0464271064)</f>
        <v>44551.04643</v>
      </c>
      <c r="D5198" s="15">
        <f>IFERROR(__xludf.DUMMYFUNCTION("""COMPUTED_VALUE"""),1.012)</f>
        <v>1.012</v>
      </c>
      <c r="E5198" s="16">
        <f>IFERROR(__xludf.DUMMYFUNCTION("""COMPUTED_VALUE"""),62.0)</f>
        <v>62</v>
      </c>
      <c r="F5198" s="19" t="str">
        <f>IFERROR(__xludf.DUMMYFUNCTION("""COMPUTED_VALUE"""),"BLUE")</f>
        <v>BLUE</v>
      </c>
      <c r="G5198" s="20" t="str">
        <f>IFERROR(__xludf.DUMMYFUNCTION("""COMPUTED_VALUE"""),"Uncle Sams Cider (11/12/2021) (Blue)")</f>
        <v>Uncle Sams Cider (11/12/2021) (Blue)</v>
      </c>
      <c r="H5198" s="19"/>
    </row>
    <row r="5199">
      <c r="A5199" s="9"/>
      <c r="B5199" s="15"/>
      <c r="C5199" s="9">
        <f>IFERROR(__xludf.DUMMYFUNCTION("""COMPUTED_VALUE"""),44551.0359929745)</f>
        <v>44551.03599</v>
      </c>
      <c r="D5199" s="15">
        <f>IFERROR(__xludf.DUMMYFUNCTION("""COMPUTED_VALUE"""),1.013)</f>
        <v>1.013</v>
      </c>
      <c r="E5199" s="16">
        <f>IFERROR(__xludf.DUMMYFUNCTION("""COMPUTED_VALUE"""),62.0)</f>
        <v>62</v>
      </c>
      <c r="F5199" s="19" t="str">
        <f>IFERROR(__xludf.DUMMYFUNCTION("""COMPUTED_VALUE"""),"BLUE")</f>
        <v>BLUE</v>
      </c>
      <c r="G5199" s="20" t="str">
        <f>IFERROR(__xludf.DUMMYFUNCTION("""COMPUTED_VALUE"""),"Uncle Sams Cider (11/12/2021) (Blue)")</f>
        <v>Uncle Sams Cider (11/12/2021) (Blue)</v>
      </c>
      <c r="H5199" s="19"/>
    </row>
    <row r="5200">
      <c r="A5200" s="9"/>
      <c r="B5200" s="15"/>
      <c r="C5200" s="9">
        <f>IFERROR(__xludf.DUMMYFUNCTION("""COMPUTED_VALUE"""),44551.0255724768)</f>
        <v>44551.02557</v>
      </c>
      <c r="D5200" s="15">
        <f>IFERROR(__xludf.DUMMYFUNCTION("""COMPUTED_VALUE"""),1.012)</f>
        <v>1.012</v>
      </c>
      <c r="E5200" s="16">
        <f>IFERROR(__xludf.DUMMYFUNCTION("""COMPUTED_VALUE"""),63.0)</f>
        <v>63</v>
      </c>
      <c r="F5200" s="19" t="str">
        <f>IFERROR(__xludf.DUMMYFUNCTION("""COMPUTED_VALUE"""),"BLUE")</f>
        <v>BLUE</v>
      </c>
      <c r="G5200" s="20" t="str">
        <f>IFERROR(__xludf.DUMMYFUNCTION("""COMPUTED_VALUE"""),"Uncle Sams Cider (11/12/2021) (Blue)")</f>
        <v>Uncle Sams Cider (11/12/2021) (Blue)</v>
      </c>
      <c r="H5200" s="19"/>
    </row>
    <row r="5201">
      <c r="A5201" s="9"/>
      <c r="B5201" s="15"/>
      <c r="C5201" s="9">
        <f>IFERROR(__xludf.DUMMYFUNCTION("""COMPUTED_VALUE"""),44551.0151508796)</f>
        <v>44551.01515</v>
      </c>
      <c r="D5201" s="15">
        <f>IFERROR(__xludf.DUMMYFUNCTION("""COMPUTED_VALUE"""),1.012)</f>
        <v>1.012</v>
      </c>
      <c r="E5201" s="16">
        <f>IFERROR(__xludf.DUMMYFUNCTION("""COMPUTED_VALUE"""),63.0)</f>
        <v>63</v>
      </c>
      <c r="F5201" s="19" t="str">
        <f>IFERROR(__xludf.DUMMYFUNCTION("""COMPUTED_VALUE"""),"BLUE")</f>
        <v>BLUE</v>
      </c>
      <c r="G5201" s="20" t="str">
        <f>IFERROR(__xludf.DUMMYFUNCTION("""COMPUTED_VALUE"""),"Uncle Sams Cider (11/12/2021) (Blue)")</f>
        <v>Uncle Sams Cider (11/12/2021) (Blue)</v>
      </c>
      <c r="H5201" s="19"/>
    </row>
    <row r="5202">
      <c r="A5202" s="9"/>
      <c r="B5202" s="15"/>
      <c r="C5202" s="9">
        <f>IFERROR(__xludf.DUMMYFUNCTION("""COMPUTED_VALUE"""),44551.0047298958)</f>
        <v>44551.00473</v>
      </c>
      <c r="D5202" s="15">
        <f>IFERROR(__xludf.DUMMYFUNCTION("""COMPUTED_VALUE"""),1.012)</f>
        <v>1.012</v>
      </c>
      <c r="E5202" s="16">
        <f>IFERROR(__xludf.DUMMYFUNCTION("""COMPUTED_VALUE"""),63.0)</f>
        <v>63</v>
      </c>
      <c r="F5202" s="19" t="str">
        <f>IFERROR(__xludf.DUMMYFUNCTION("""COMPUTED_VALUE"""),"BLUE")</f>
        <v>BLUE</v>
      </c>
      <c r="G5202" s="20" t="str">
        <f>IFERROR(__xludf.DUMMYFUNCTION("""COMPUTED_VALUE"""),"Uncle Sams Cider (11/12/2021) (Blue)")</f>
        <v>Uncle Sams Cider (11/12/2021) (Blue)</v>
      </c>
      <c r="H5202" s="19"/>
    </row>
    <row r="5203">
      <c r="A5203" s="9"/>
      <c r="B5203" s="15"/>
      <c r="C5203" s="9">
        <f>IFERROR(__xludf.DUMMYFUNCTION("""COMPUTED_VALUE"""),44550.9943091087)</f>
        <v>44550.99431</v>
      </c>
      <c r="D5203" s="15">
        <f>IFERROR(__xludf.DUMMYFUNCTION("""COMPUTED_VALUE"""),1.012)</f>
        <v>1.012</v>
      </c>
      <c r="E5203" s="16">
        <f>IFERROR(__xludf.DUMMYFUNCTION("""COMPUTED_VALUE"""),63.0)</f>
        <v>63</v>
      </c>
      <c r="F5203" s="19" t="str">
        <f>IFERROR(__xludf.DUMMYFUNCTION("""COMPUTED_VALUE"""),"BLUE")</f>
        <v>BLUE</v>
      </c>
      <c r="G5203" s="20" t="str">
        <f>IFERROR(__xludf.DUMMYFUNCTION("""COMPUTED_VALUE"""),"Uncle Sams Cider (11/12/2021) (Blue)")</f>
        <v>Uncle Sams Cider (11/12/2021) (Blue)</v>
      </c>
      <c r="H5203" s="19"/>
    </row>
    <row r="5204">
      <c r="A5204" s="9"/>
      <c r="B5204" s="15"/>
      <c r="C5204" s="9">
        <f>IFERROR(__xludf.DUMMYFUNCTION("""COMPUTED_VALUE"""),44550.9838879629)</f>
        <v>44550.98389</v>
      </c>
      <c r="D5204" s="15">
        <f>IFERROR(__xludf.DUMMYFUNCTION("""COMPUTED_VALUE"""),1.012)</f>
        <v>1.012</v>
      </c>
      <c r="E5204" s="16">
        <f>IFERROR(__xludf.DUMMYFUNCTION("""COMPUTED_VALUE"""),63.0)</f>
        <v>63</v>
      </c>
      <c r="F5204" s="19" t="str">
        <f>IFERROR(__xludf.DUMMYFUNCTION("""COMPUTED_VALUE"""),"BLUE")</f>
        <v>BLUE</v>
      </c>
      <c r="G5204" s="20" t="str">
        <f>IFERROR(__xludf.DUMMYFUNCTION("""COMPUTED_VALUE"""),"Uncle Sams Cider (11/12/2021) (Blue)")</f>
        <v>Uncle Sams Cider (11/12/2021) (Blue)</v>
      </c>
      <c r="H5204" s="19"/>
    </row>
    <row r="5205">
      <c r="A5205" s="9"/>
      <c r="B5205" s="15"/>
      <c r="C5205" s="9">
        <f>IFERROR(__xludf.DUMMYFUNCTION("""COMPUTED_VALUE"""),44550.9734662731)</f>
        <v>44550.97347</v>
      </c>
      <c r="D5205" s="15">
        <f>IFERROR(__xludf.DUMMYFUNCTION("""COMPUTED_VALUE"""),1.013)</f>
        <v>1.013</v>
      </c>
      <c r="E5205" s="16">
        <f>IFERROR(__xludf.DUMMYFUNCTION("""COMPUTED_VALUE"""),62.0)</f>
        <v>62</v>
      </c>
      <c r="F5205" s="19" t="str">
        <f>IFERROR(__xludf.DUMMYFUNCTION("""COMPUTED_VALUE"""),"BLUE")</f>
        <v>BLUE</v>
      </c>
      <c r="G5205" s="20" t="str">
        <f>IFERROR(__xludf.DUMMYFUNCTION("""COMPUTED_VALUE"""),"Uncle Sams Cider (11/12/2021) (Blue)")</f>
        <v>Uncle Sams Cider (11/12/2021) (Blue)</v>
      </c>
      <c r="H5205" s="19"/>
    </row>
    <row r="5206">
      <c r="A5206" s="9"/>
      <c r="B5206" s="15"/>
      <c r="C5206" s="9">
        <f>IFERROR(__xludf.DUMMYFUNCTION("""COMPUTED_VALUE"""),44550.9630456944)</f>
        <v>44550.96305</v>
      </c>
      <c r="D5206" s="15">
        <f>IFERROR(__xludf.DUMMYFUNCTION("""COMPUTED_VALUE"""),1.013)</f>
        <v>1.013</v>
      </c>
      <c r="E5206" s="16">
        <f>IFERROR(__xludf.DUMMYFUNCTION("""COMPUTED_VALUE"""),63.0)</f>
        <v>63</v>
      </c>
      <c r="F5206" s="19" t="str">
        <f>IFERROR(__xludf.DUMMYFUNCTION("""COMPUTED_VALUE"""),"BLUE")</f>
        <v>BLUE</v>
      </c>
      <c r="G5206" s="20" t="str">
        <f>IFERROR(__xludf.DUMMYFUNCTION("""COMPUTED_VALUE"""),"Uncle Sams Cider (11/12/2021) (Blue)")</f>
        <v>Uncle Sams Cider (11/12/2021) (Blue)</v>
      </c>
      <c r="H5206" s="19"/>
    </row>
    <row r="5207">
      <c r="A5207" s="9"/>
      <c r="B5207" s="15"/>
      <c r="C5207" s="9">
        <f>IFERROR(__xludf.DUMMYFUNCTION("""COMPUTED_VALUE"""),44550.9526141666)</f>
        <v>44550.95261</v>
      </c>
      <c r="D5207" s="15">
        <f>IFERROR(__xludf.DUMMYFUNCTION("""COMPUTED_VALUE"""),1.012)</f>
        <v>1.012</v>
      </c>
      <c r="E5207" s="16">
        <f>IFERROR(__xludf.DUMMYFUNCTION("""COMPUTED_VALUE"""),63.0)</f>
        <v>63</v>
      </c>
      <c r="F5207" s="19" t="str">
        <f>IFERROR(__xludf.DUMMYFUNCTION("""COMPUTED_VALUE"""),"BLUE")</f>
        <v>BLUE</v>
      </c>
      <c r="G5207" s="20" t="str">
        <f>IFERROR(__xludf.DUMMYFUNCTION("""COMPUTED_VALUE"""),"Uncle Sams Cider (11/12/2021) (Blue)")</f>
        <v>Uncle Sams Cider (11/12/2021) (Blue)</v>
      </c>
      <c r="H5207" s="19"/>
    </row>
    <row r="5208">
      <c r="A5208" s="9"/>
      <c r="B5208" s="15"/>
      <c r="C5208" s="9">
        <f>IFERROR(__xludf.DUMMYFUNCTION("""COMPUTED_VALUE"""),44550.942193912)</f>
        <v>44550.94219</v>
      </c>
      <c r="D5208" s="15">
        <f>IFERROR(__xludf.DUMMYFUNCTION("""COMPUTED_VALUE"""),1.012)</f>
        <v>1.012</v>
      </c>
      <c r="E5208" s="16">
        <f>IFERROR(__xludf.DUMMYFUNCTION("""COMPUTED_VALUE"""),63.0)</f>
        <v>63</v>
      </c>
      <c r="F5208" s="19" t="str">
        <f>IFERROR(__xludf.DUMMYFUNCTION("""COMPUTED_VALUE"""),"BLUE")</f>
        <v>BLUE</v>
      </c>
      <c r="G5208" s="20" t="str">
        <f>IFERROR(__xludf.DUMMYFUNCTION("""COMPUTED_VALUE"""),"Uncle Sams Cider (11/12/2021) (Blue)")</f>
        <v>Uncle Sams Cider (11/12/2021) (Blue)</v>
      </c>
      <c r="H5208" s="19"/>
    </row>
    <row r="5209">
      <c r="A5209" s="9"/>
      <c r="B5209" s="15"/>
      <c r="C5209" s="9">
        <f>IFERROR(__xludf.DUMMYFUNCTION("""COMPUTED_VALUE"""),44550.93177228)</f>
        <v>44550.93177</v>
      </c>
      <c r="D5209" s="15">
        <f>IFERROR(__xludf.DUMMYFUNCTION("""COMPUTED_VALUE"""),1.013)</f>
        <v>1.013</v>
      </c>
      <c r="E5209" s="16">
        <f>IFERROR(__xludf.DUMMYFUNCTION("""COMPUTED_VALUE"""),63.0)</f>
        <v>63</v>
      </c>
      <c r="F5209" s="19" t="str">
        <f>IFERROR(__xludf.DUMMYFUNCTION("""COMPUTED_VALUE"""),"BLUE")</f>
        <v>BLUE</v>
      </c>
      <c r="G5209" s="20" t="str">
        <f>IFERROR(__xludf.DUMMYFUNCTION("""COMPUTED_VALUE"""),"Uncle Sams Cider (11/12/2021) (Blue)")</f>
        <v>Uncle Sams Cider (11/12/2021) (Blue)</v>
      </c>
      <c r="H5209" s="19"/>
    </row>
    <row r="5210">
      <c r="A5210" s="9"/>
      <c r="B5210" s="15"/>
      <c r="C5210" s="9">
        <f>IFERROR(__xludf.DUMMYFUNCTION("""COMPUTED_VALUE"""),44550.9213508912)</f>
        <v>44550.92135</v>
      </c>
      <c r="D5210" s="15">
        <f>IFERROR(__xludf.DUMMYFUNCTION("""COMPUTED_VALUE"""),1.012)</f>
        <v>1.012</v>
      </c>
      <c r="E5210" s="16">
        <f>IFERROR(__xludf.DUMMYFUNCTION("""COMPUTED_VALUE"""),63.0)</f>
        <v>63</v>
      </c>
      <c r="F5210" s="19" t="str">
        <f>IFERROR(__xludf.DUMMYFUNCTION("""COMPUTED_VALUE"""),"BLUE")</f>
        <v>BLUE</v>
      </c>
      <c r="G5210" s="20" t="str">
        <f>IFERROR(__xludf.DUMMYFUNCTION("""COMPUTED_VALUE"""),"Uncle Sams Cider (11/12/2021) (Blue)")</f>
        <v>Uncle Sams Cider (11/12/2021) (Blue)</v>
      </c>
      <c r="H5210" s="19"/>
    </row>
    <row r="5211">
      <c r="A5211" s="9"/>
      <c r="B5211" s="15"/>
      <c r="C5211" s="9">
        <f>IFERROR(__xludf.DUMMYFUNCTION("""COMPUTED_VALUE"""),44550.9109276157)</f>
        <v>44550.91093</v>
      </c>
      <c r="D5211" s="15">
        <f>IFERROR(__xludf.DUMMYFUNCTION("""COMPUTED_VALUE"""),1.013)</f>
        <v>1.013</v>
      </c>
      <c r="E5211" s="16">
        <f>IFERROR(__xludf.DUMMYFUNCTION("""COMPUTED_VALUE"""),63.0)</f>
        <v>63</v>
      </c>
      <c r="F5211" s="19" t="str">
        <f>IFERROR(__xludf.DUMMYFUNCTION("""COMPUTED_VALUE"""),"BLUE")</f>
        <v>BLUE</v>
      </c>
      <c r="G5211" s="20" t="str">
        <f>IFERROR(__xludf.DUMMYFUNCTION("""COMPUTED_VALUE"""),"Uncle Sams Cider (11/12/2021) (Blue)")</f>
        <v>Uncle Sams Cider (11/12/2021) (Blue)</v>
      </c>
      <c r="H5211" s="19"/>
    </row>
    <row r="5212">
      <c r="A5212" s="9"/>
      <c r="B5212" s="15"/>
      <c r="C5212" s="9">
        <f>IFERROR(__xludf.DUMMYFUNCTION("""COMPUTED_VALUE"""),44550.9004925925)</f>
        <v>44550.90049</v>
      </c>
      <c r="D5212" s="15">
        <f>IFERROR(__xludf.DUMMYFUNCTION("""COMPUTED_VALUE"""),1.012)</f>
        <v>1.012</v>
      </c>
      <c r="E5212" s="16">
        <f>IFERROR(__xludf.DUMMYFUNCTION("""COMPUTED_VALUE"""),63.0)</f>
        <v>63</v>
      </c>
      <c r="F5212" s="19" t="str">
        <f>IFERROR(__xludf.DUMMYFUNCTION("""COMPUTED_VALUE"""),"BLUE")</f>
        <v>BLUE</v>
      </c>
      <c r="G5212" s="20" t="str">
        <f>IFERROR(__xludf.DUMMYFUNCTION("""COMPUTED_VALUE"""),"Uncle Sams Cider (11/12/2021) (Blue)")</f>
        <v>Uncle Sams Cider (11/12/2021) (Blue)</v>
      </c>
      <c r="H5212" s="19"/>
    </row>
    <row r="5213">
      <c r="A5213" s="9"/>
      <c r="B5213" s="15"/>
      <c r="C5213" s="9">
        <f>IFERROR(__xludf.DUMMYFUNCTION("""COMPUTED_VALUE"""),44550.8900699305)</f>
        <v>44550.89007</v>
      </c>
      <c r="D5213" s="15">
        <f>IFERROR(__xludf.DUMMYFUNCTION("""COMPUTED_VALUE"""),1.013)</f>
        <v>1.013</v>
      </c>
      <c r="E5213" s="16">
        <f>IFERROR(__xludf.DUMMYFUNCTION("""COMPUTED_VALUE"""),63.0)</f>
        <v>63</v>
      </c>
      <c r="F5213" s="19" t="str">
        <f>IFERROR(__xludf.DUMMYFUNCTION("""COMPUTED_VALUE"""),"BLUE")</f>
        <v>BLUE</v>
      </c>
      <c r="G5213" s="20" t="str">
        <f>IFERROR(__xludf.DUMMYFUNCTION("""COMPUTED_VALUE"""),"Uncle Sams Cider (11/12/2021) (Blue)")</f>
        <v>Uncle Sams Cider (11/12/2021) (Blue)</v>
      </c>
      <c r="H5213" s="19"/>
    </row>
    <row r="5214">
      <c r="A5214" s="9"/>
      <c r="B5214" s="15"/>
      <c r="C5214" s="9">
        <f>IFERROR(__xludf.DUMMYFUNCTION("""COMPUTED_VALUE"""),44550.8796487847)</f>
        <v>44550.87965</v>
      </c>
      <c r="D5214" s="15">
        <f>IFERROR(__xludf.DUMMYFUNCTION("""COMPUTED_VALUE"""),1.012)</f>
        <v>1.012</v>
      </c>
      <c r="E5214" s="16">
        <f>IFERROR(__xludf.DUMMYFUNCTION("""COMPUTED_VALUE"""),63.0)</f>
        <v>63</v>
      </c>
      <c r="F5214" s="19" t="str">
        <f>IFERROR(__xludf.DUMMYFUNCTION("""COMPUTED_VALUE"""),"BLUE")</f>
        <v>BLUE</v>
      </c>
      <c r="G5214" s="20" t="str">
        <f>IFERROR(__xludf.DUMMYFUNCTION("""COMPUTED_VALUE"""),"Uncle Sams Cider (11/12/2021) (Blue)")</f>
        <v>Uncle Sams Cider (11/12/2021) (Blue)</v>
      </c>
      <c r="H5214" s="19"/>
    </row>
    <row r="5215">
      <c r="A5215" s="9"/>
      <c r="B5215" s="15"/>
      <c r="C5215" s="9">
        <f>IFERROR(__xludf.DUMMYFUNCTION("""COMPUTED_VALUE"""),44550.8692283217)</f>
        <v>44550.86923</v>
      </c>
      <c r="D5215" s="15">
        <f>IFERROR(__xludf.DUMMYFUNCTION("""COMPUTED_VALUE"""),1.012)</f>
        <v>1.012</v>
      </c>
      <c r="E5215" s="16">
        <f>IFERROR(__xludf.DUMMYFUNCTION("""COMPUTED_VALUE"""),63.0)</f>
        <v>63</v>
      </c>
      <c r="F5215" s="19" t="str">
        <f>IFERROR(__xludf.DUMMYFUNCTION("""COMPUTED_VALUE"""),"BLUE")</f>
        <v>BLUE</v>
      </c>
      <c r="G5215" s="20" t="str">
        <f>IFERROR(__xludf.DUMMYFUNCTION("""COMPUTED_VALUE"""),"Uncle Sams Cider (11/12/2021) (Blue)")</f>
        <v>Uncle Sams Cider (11/12/2021) (Blue)</v>
      </c>
      <c r="H5215" s="19"/>
    </row>
    <row r="5216">
      <c r="A5216" s="9"/>
      <c r="B5216" s="15"/>
      <c r="C5216" s="9">
        <f>IFERROR(__xludf.DUMMYFUNCTION("""COMPUTED_VALUE"""),44550.8587954745)</f>
        <v>44550.8588</v>
      </c>
      <c r="D5216" s="15">
        <f>IFERROR(__xludf.DUMMYFUNCTION("""COMPUTED_VALUE"""),1.013)</f>
        <v>1.013</v>
      </c>
      <c r="E5216" s="16">
        <f>IFERROR(__xludf.DUMMYFUNCTION("""COMPUTED_VALUE"""),63.0)</f>
        <v>63</v>
      </c>
      <c r="F5216" s="19" t="str">
        <f>IFERROR(__xludf.DUMMYFUNCTION("""COMPUTED_VALUE"""),"BLUE")</f>
        <v>BLUE</v>
      </c>
      <c r="G5216" s="20" t="str">
        <f>IFERROR(__xludf.DUMMYFUNCTION("""COMPUTED_VALUE"""),"Uncle Sams Cider (11/12/2021) (Blue)")</f>
        <v>Uncle Sams Cider (11/12/2021) (Blue)</v>
      </c>
      <c r="H5216" s="19"/>
    </row>
    <row r="5217">
      <c r="A5217" s="9"/>
      <c r="B5217" s="15"/>
      <c r="C5217" s="9">
        <f>IFERROR(__xludf.DUMMYFUNCTION("""COMPUTED_VALUE"""),44550.84837603)</f>
        <v>44550.84838</v>
      </c>
      <c r="D5217" s="15">
        <f>IFERROR(__xludf.DUMMYFUNCTION("""COMPUTED_VALUE"""),1.012)</f>
        <v>1.012</v>
      </c>
      <c r="E5217" s="16">
        <f>IFERROR(__xludf.DUMMYFUNCTION("""COMPUTED_VALUE"""),63.0)</f>
        <v>63</v>
      </c>
      <c r="F5217" s="19" t="str">
        <f>IFERROR(__xludf.DUMMYFUNCTION("""COMPUTED_VALUE"""),"BLUE")</f>
        <v>BLUE</v>
      </c>
      <c r="G5217" s="20" t="str">
        <f>IFERROR(__xludf.DUMMYFUNCTION("""COMPUTED_VALUE"""),"Uncle Sams Cider (11/12/2021) (Blue)")</f>
        <v>Uncle Sams Cider (11/12/2021) (Blue)</v>
      </c>
      <c r="H5217" s="19"/>
    </row>
    <row r="5218">
      <c r="A5218" s="9"/>
      <c r="B5218" s="15"/>
      <c r="C5218" s="9">
        <f>IFERROR(__xludf.DUMMYFUNCTION("""COMPUTED_VALUE"""),44550.8379540393)</f>
        <v>44550.83795</v>
      </c>
      <c r="D5218" s="15">
        <f>IFERROR(__xludf.DUMMYFUNCTION("""COMPUTED_VALUE"""),1.013)</f>
        <v>1.013</v>
      </c>
      <c r="E5218" s="16">
        <f>IFERROR(__xludf.DUMMYFUNCTION("""COMPUTED_VALUE"""),63.0)</f>
        <v>63</v>
      </c>
      <c r="F5218" s="19" t="str">
        <f>IFERROR(__xludf.DUMMYFUNCTION("""COMPUTED_VALUE"""),"BLUE")</f>
        <v>BLUE</v>
      </c>
      <c r="G5218" s="20" t="str">
        <f>IFERROR(__xludf.DUMMYFUNCTION("""COMPUTED_VALUE"""),"Uncle Sams Cider (11/12/2021) (Blue)")</f>
        <v>Uncle Sams Cider (11/12/2021) (Blue)</v>
      </c>
      <c r="H5218" s="19"/>
    </row>
    <row r="5219">
      <c r="A5219" s="9"/>
      <c r="B5219" s="15"/>
      <c r="C5219" s="9">
        <f>IFERROR(__xludf.DUMMYFUNCTION("""COMPUTED_VALUE"""),44550.8275314699)</f>
        <v>44550.82753</v>
      </c>
      <c r="D5219" s="15">
        <f>IFERROR(__xludf.DUMMYFUNCTION("""COMPUTED_VALUE"""),1.013)</f>
        <v>1.013</v>
      </c>
      <c r="E5219" s="16">
        <f>IFERROR(__xludf.DUMMYFUNCTION("""COMPUTED_VALUE"""),63.0)</f>
        <v>63</v>
      </c>
      <c r="F5219" s="19" t="str">
        <f>IFERROR(__xludf.DUMMYFUNCTION("""COMPUTED_VALUE"""),"BLUE")</f>
        <v>BLUE</v>
      </c>
      <c r="G5219" s="20" t="str">
        <f>IFERROR(__xludf.DUMMYFUNCTION("""COMPUTED_VALUE"""),"Uncle Sams Cider (11/12/2021) (Blue)")</f>
        <v>Uncle Sams Cider (11/12/2021) (Blue)</v>
      </c>
      <c r="H5219" s="19"/>
    </row>
    <row r="5220">
      <c r="A5220" s="9"/>
      <c r="B5220" s="15"/>
      <c r="C5220" s="9">
        <f>IFERROR(__xludf.DUMMYFUNCTION("""COMPUTED_VALUE"""),44550.8171090277)</f>
        <v>44550.81711</v>
      </c>
      <c r="D5220" s="15">
        <f>IFERROR(__xludf.DUMMYFUNCTION("""COMPUTED_VALUE"""),1.013)</f>
        <v>1.013</v>
      </c>
      <c r="E5220" s="16">
        <f>IFERROR(__xludf.DUMMYFUNCTION("""COMPUTED_VALUE"""),63.0)</f>
        <v>63</v>
      </c>
      <c r="F5220" s="19" t="str">
        <f>IFERROR(__xludf.DUMMYFUNCTION("""COMPUTED_VALUE"""),"BLUE")</f>
        <v>BLUE</v>
      </c>
      <c r="G5220" s="20" t="str">
        <f>IFERROR(__xludf.DUMMYFUNCTION("""COMPUTED_VALUE"""),"Uncle Sams Cider (11/12/2021) (Blue)")</f>
        <v>Uncle Sams Cider (11/12/2021) (Blue)</v>
      </c>
      <c r="H5220" s="19"/>
    </row>
    <row r="5221">
      <c r="A5221" s="9"/>
      <c r="B5221" s="15"/>
      <c r="C5221" s="9">
        <f>IFERROR(__xludf.DUMMYFUNCTION("""COMPUTED_VALUE"""),44550.8066880092)</f>
        <v>44550.80669</v>
      </c>
      <c r="D5221" s="15">
        <f>IFERROR(__xludf.DUMMYFUNCTION("""COMPUTED_VALUE"""),1.013)</f>
        <v>1.013</v>
      </c>
      <c r="E5221" s="16">
        <f>IFERROR(__xludf.DUMMYFUNCTION("""COMPUTED_VALUE"""),63.0)</f>
        <v>63</v>
      </c>
      <c r="F5221" s="19" t="str">
        <f>IFERROR(__xludf.DUMMYFUNCTION("""COMPUTED_VALUE"""),"BLUE")</f>
        <v>BLUE</v>
      </c>
      <c r="G5221" s="20" t="str">
        <f>IFERROR(__xludf.DUMMYFUNCTION("""COMPUTED_VALUE"""),"Uncle Sams Cider (11/12/2021) (Blue)")</f>
        <v>Uncle Sams Cider (11/12/2021) (Blue)</v>
      </c>
      <c r="H5221" s="19"/>
    </row>
    <row r="5222">
      <c r="A5222" s="9"/>
      <c r="B5222" s="15"/>
      <c r="C5222" s="9">
        <f>IFERROR(__xludf.DUMMYFUNCTION("""COMPUTED_VALUE"""),44550.796266655)</f>
        <v>44550.79627</v>
      </c>
      <c r="D5222" s="15">
        <f>IFERROR(__xludf.DUMMYFUNCTION("""COMPUTED_VALUE"""),1.012)</f>
        <v>1.012</v>
      </c>
      <c r="E5222" s="16">
        <f>IFERROR(__xludf.DUMMYFUNCTION("""COMPUTED_VALUE"""),63.0)</f>
        <v>63</v>
      </c>
      <c r="F5222" s="19" t="str">
        <f>IFERROR(__xludf.DUMMYFUNCTION("""COMPUTED_VALUE"""),"BLUE")</f>
        <v>BLUE</v>
      </c>
      <c r="G5222" s="20" t="str">
        <f>IFERROR(__xludf.DUMMYFUNCTION("""COMPUTED_VALUE"""),"Uncle Sams Cider (11/12/2021) (Blue)")</f>
        <v>Uncle Sams Cider (11/12/2021) (Blue)</v>
      </c>
      <c r="H5222" s="19"/>
    </row>
    <row r="5223">
      <c r="A5223" s="9"/>
      <c r="B5223" s="15"/>
      <c r="C5223" s="9">
        <f>IFERROR(__xludf.DUMMYFUNCTION("""COMPUTED_VALUE"""),44550.7858437962)</f>
        <v>44550.78584</v>
      </c>
      <c r="D5223" s="15">
        <f>IFERROR(__xludf.DUMMYFUNCTION("""COMPUTED_VALUE"""),1.013)</f>
        <v>1.013</v>
      </c>
      <c r="E5223" s="16">
        <f>IFERROR(__xludf.DUMMYFUNCTION("""COMPUTED_VALUE"""),63.0)</f>
        <v>63</v>
      </c>
      <c r="F5223" s="19" t="str">
        <f>IFERROR(__xludf.DUMMYFUNCTION("""COMPUTED_VALUE"""),"BLUE")</f>
        <v>BLUE</v>
      </c>
      <c r="G5223" s="20" t="str">
        <f>IFERROR(__xludf.DUMMYFUNCTION("""COMPUTED_VALUE"""),"Uncle Sams Cider (11/12/2021) (Blue)")</f>
        <v>Uncle Sams Cider (11/12/2021) (Blue)</v>
      </c>
      <c r="H5223" s="19"/>
    </row>
    <row r="5224">
      <c r="A5224" s="9"/>
      <c r="B5224" s="15"/>
      <c r="C5224" s="9">
        <f>IFERROR(__xludf.DUMMYFUNCTION("""COMPUTED_VALUE"""),44550.7754111805)</f>
        <v>44550.77541</v>
      </c>
      <c r="D5224" s="15">
        <f>IFERROR(__xludf.DUMMYFUNCTION("""COMPUTED_VALUE"""),1.013)</f>
        <v>1.013</v>
      </c>
      <c r="E5224" s="16">
        <f>IFERROR(__xludf.DUMMYFUNCTION("""COMPUTED_VALUE"""),63.0)</f>
        <v>63</v>
      </c>
      <c r="F5224" s="19" t="str">
        <f>IFERROR(__xludf.DUMMYFUNCTION("""COMPUTED_VALUE"""),"BLUE")</f>
        <v>BLUE</v>
      </c>
      <c r="G5224" s="20" t="str">
        <f>IFERROR(__xludf.DUMMYFUNCTION("""COMPUTED_VALUE"""),"Uncle Sams Cider (11/12/2021) (Blue)")</f>
        <v>Uncle Sams Cider (11/12/2021) (Blue)</v>
      </c>
      <c r="H5224" s="19"/>
    </row>
    <row r="5225">
      <c r="A5225" s="9"/>
      <c r="B5225" s="15"/>
      <c r="C5225" s="9">
        <f>IFERROR(__xludf.DUMMYFUNCTION("""COMPUTED_VALUE"""),44550.7649889351)</f>
        <v>44550.76499</v>
      </c>
      <c r="D5225" s="15">
        <f>IFERROR(__xludf.DUMMYFUNCTION("""COMPUTED_VALUE"""),1.013)</f>
        <v>1.013</v>
      </c>
      <c r="E5225" s="16">
        <f>IFERROR(__xludf.DUMMYFUNCTION("""COMPUTED_VALUE"""),63.0)</f>
        <v>63</v>
      </c>
      <c r="F5225" s="19" t="str">
        <f>IFERROR(__xludf.DUMMYFUNCTION("""COMPUTED_VALUE"""),"BLUE")</f>
        <v>BLUE</v>
      </c>
      <c r="G5225" s="20" t="str">
        <f>IFERROR(__xludf.DUMMYFUNCTION("""COMPUTED_VALUE"""),"Uncle Sams Cider (11/12/2021) (Blue)")</f>
        <v>Uncle Sams Cider (11/12/2021) (Blue)</v>
      </c>
      <c r="H5225" s="19"/>
    </row>
    <row r="5226">
      <c r="A5226" s="9"/>
      <c r="B5226" s="15"/>
      <c r="C5226" s="9">
        <f>IFERROR(__xludf.DUMMYFUNCTION("""COMPUTED_VALUE"""),44550.7545676273)</f>
        <v>44550.75457</v>
      </c>
      <c r="D5226" s="15">
        <f>IFERROR(__xludf.DUMMYFUNCTION("""COMPUTED_VALUE"""),1.013)</f>
        <v>1.013</v>
      </c>
      <c r="E5226" s="16">
        <f>IFERROR(__xludf.DUMMYFUNCTION("""COMPUTED_VALUE"""),63.0)</f>
        <v>63</v>
      </c>
      <c r="F5226" s="19" t="str">
        <f>IFERROR(__xludf.DUMMYFUNCTION("""COMPUTED_VALUE"""),"BLUE")</f>
        <v>BLUE</v>
      </c>
      <c r="G5226" s="20" t="str">
        <f>IFERROR(__xludf.DUMMYFUNCTION("""COMPUTED_VALUE"""),"Uncle Sams Cider (11/12/2021) (Blue)")</f>
        <v>Uncle Sams Cider (11/12/2021) (Blue)</v>
      </c>
      <c r="H5226" s="19"/>
    </row>
    <row r="5227">
      <c r="A5227" s="9"/>
      <c r="B5227" s="15"/>
      <c r="C5227" s="9">
        <f>IFERROR(__xludf.DUMMYFUNCTION("""COMPUTED_VALUE"""),44550.7441491782)</f>
        <v>44550.74415</v>
      </c>
      <c r="D5227" s="15">
        <f>IFERROR(__xludf.DUMMYFUNCTION("""COMPUTED_VALUE"""),1.013)</f>
        <v>1.013</v>
      </c>
      <c r="E5227" s="16">
        <f>IFERROR(__xludf.DUMMYFUNCTION("""COMPUTED_VALUE"""),63.0)</f>
        <v>63</v>
      </c>
      <c r="F5227" s="19" t="str">
        <f>IFERROR(__xludf.DUMMYFUNCTION("""COMPUTED_VALUE"""),"BLUE")</f>
        <v>BLUE</v>
      </c>
      <c r="G5227" s="20" t="str">
        <f>IFERROR(__xludf.DUMMYFUNCTION("""COMPUTED_VALUE"""),"Uncle Sams Cider (11/12/2021) (Blue)")</f>
        <v>Uncle Sams Cider (11/12/2021) (Blue)</v>
      </c>
      <c r="H5227" s="19"/>
    </row>
    <row r="5228">
      <c r="A5228" s="9"/>
      <c r="B5228" s="15"/>
      <c r="C5228" s="9">
        <f>IFERROR(__xludf.DUMMYFUNCTION("""COMPUTED_VALUE"""),44550.733726412)</f>
        <v>44550.73373</v>
      </c>
      <c r="D5228" s="15">
        <f>IFERROR(__xludf.DUMMYFUNCTION("""COMPUTED_VALUE"""),1.013)</f>
        <v>1.013</v>
      </c>
      <c r="E5228" s="16">
        <f>IFERROR(__xludf.DUMMYFUNCTION("""COMPUTED_VALUE"""),63.0)</f>
        <v>63</v>
      </c>
      <c r="F5228" s="19" t="str">
        <f>IFERROR(__xludf.DUMMYFUNCTION("""COMPUTED_VALUE"""),"BLUE")</f>
        <v>BLUE</v>
      </c>
      <c r="G5228" s="20" t="str">
        <f>IFERROR(__xludf.DUMMYFUNCTION("""COMPUTED_VALUE"""),"Uncle Sams Cider (11/12/2021) (Blue)")</f>
        <v>Uncle Sams Cider (11/12/2021) (Blue)</v>
      </c>
      <c r="H5228" s="19"/>
    </row>
    <row r="5229">
      <c r="A5229" s="9"/>
      <c r="B5229" s="15"/>
      <c r="C5229" s="9">
        <f>IFERROR(__xludf.DUMMYFUNCTION("""COMPUTED_VALUE"""),44550.7233052546)</f>
        <v>44550.72331</v>
      </c>
      <c r="D5229" s="15">
        <f>IFERROR(__xludf.DUMMYFUNCTION("""COMPUTED_VALUE"""),1.013)</f>
        <v>1.013</v>
      </c>
      <c r="E5229" s="16">
        <f>IFERROR(__xludf.DUMMYFUNCTION("""COMPUTED_VALUE"""),63.0)</f>
        <v>63</v>
      </c>
      <c r="F5229" s="19" t="str">
        <f>IFERROR(__xludf.DUMMYFUNCTION("""COMPUTED_VALUE"""),"BLUE")</f>
        <v>BLUE</v>
      </c>
      <c r="G5229" s="20" t="str">
        <f>IFERROR(__xludf.DUMMYFUNCTION("""COMPUTED_VALUE"""),"Uncle Sams Cider (11/12/2021) (Blue)")</f>
        <v>Uncle Sams Cider (11/12/2021) (Blue)</v>
      </c>
      <c r="H5229" s="19"/>
    </row>
    <row r="5230">
      <c r="A5230" s="9"/>
      <c r="B5230" s="15"/>
      <c r="C5230" s="9">
        <f>IFERROR(__xludf.DUMMYFUNCTION("""COMPUTED_VALUE"""),44550.7128836805)</f>
        <v>44550.71288</v>
      </c>
      <c r="D5230" s="15">
        <f>IFERROR(__xludf.DUMMYFUNCTION("""COMPUTED_VALUE"""),1.013)</f>
        <v>1.013</v>
      </c>
      <c r="E5230" s="16">
        <f>IFERROR(__xludf.DUMMYFUNCTION("""COMPUTED_VALUE"""),63.0)</f>
        <v>63</v>
      </c>
      <c r="F5230" s="19" t="str">
        <f>IFERROR(__xludf.DUMMYFUNCTION("""COMPUTED_VALUE"""),"BLUE")</f>
        <v>BLUE</v>
      </c>
      <c r="G5230" s="20" t="str">
        <f>IFERROR(__xludf.DUMMYFUNCTION("""COMPUTED_VALUE"""),"Uncle Sams Cider (11/12/2021) (Blue)")</f>
        <v>Uncle Sams Cider (11/12/2021) (Blue)</v>
      </c>
      <c r="H5230" s="19"/>
    </row>
    <row r="5231">
      <c r="A5231" s="9"/>
      <c r="B5231" s="15"/>
      <c r="C5231" s="9">
        <f>IFERROR(__xludf.DUMMYFUNCTION("""COMPUTED_VALUE"""),44550.7024492708)</f>
        <v>44550.70245</v>
      </c>
      <c r="D5231" s="15">
        <f>IFERROR(__xludf.DUMMYFUNCTION("""COMPUTED_VALUE"""),1.013)</f>
        <v>1.013</v>
      </c>
      <c r="E5231" s="16">
        <f>IFERROR(__xludf.DUMMYFUNCTION("""COMPUTED_VALUE"""),63.0)</f>
        <v>63</v>
      </c>
      <c r="F5231" s="19" t="str">
        <f>IFERROR(__xludf.DUMMYFUNCTION("""COMPUTED_VALUE"""),"BLUE")</f>
        <v>BLUE</v>
      </c>
      <c r="G5231" s="20" t="str">
        <f>IFERROR(__xludf.DUMMYFUNCTION("""COMPUTED_VALUE"""),"Uncle Sams Cider (11/12/2021) (Blue)")</f>
        <v>Uncle Sams Cider (11/12/2021) (Blue)</v>
      </c>
      <c r="H5231" s="19"/>
    </row>
    <row r="5232">
      <c r="A5232" s="9"/>
      <c r="B5232" s="15"/>
      <c r="C5232" s="9">
        <f>IFERROR(__xludf.DUMMYFUNCTION("""COMPUTED_VALUE"""),44550.692027743)</f>
        <v>44550.69203</v>
      </c>
      <c r="D5232" s="15">
        <f>IFERROR(__xludf.DUMMYFUNCTION("""COMPUTED_VALUE"""),1.012)</f>
        <v>1.012</v>
      </c>
      <c r="E5232" s="16">
        <f>IFERROR(__xludf.DUMMYFUNCTION("""COMPUTED_VALUE"""),63.0)</f>
        <v>63</v>
      </c>
      <c r="F5232" s="19" t="str">
        <f>IFERROR(__xludf.DUMMYFUNCTION("""COMPUTED_VALUE"""),"BLUE")</f>
        <v>BLUE</v>
      </c>
      <c r="G5232" s="20" t="str">
        <f>IFERROR(__xludf.DUMMYFUNCTION("""COMPUTED_VALUE"""),"Uncle Sams Cider (11/12/2021) (Blue)")</f>
        <v>Uncle Sams Cider (11/12/2021) (Blue)</v>
      </c>
      <c r="H5232" s="19"/>
    </row>
    <row r="5233">
      <c r="A5233" s="9"/>
      <c r="B5233" s="15"/>
      <c r="C5233" s="9">
        <f>IFERROR(__xludf.DUMMYFUNCTION("""COMPUTED_VALUE"""),44550.6815930092)</f>
        <v>44550.68159</v>
      </c>
      <c r="D5233" s="15">
        <f>IFERROR(__xludf.DUMMYFUNCTION("""COMPUTED_VALUE"""),1.012)</f>
        <v>1.012</v>
      </c>
      <c r="E5233" s="16">
        <f>IFERROR(__xludf.DUMMYFUNCTION("""COMPUTED_VALUE"""),63.0)</f>
        <v>63</v>
      </c>
      <c r="F5233" s="19" t="str">
        <f>IFERROR(__xludf.DUMMYFUNCTION("""COMPUTED_VALUE"""),"BLUE")</f>
        <v>BLUE</v>
      </c>
      <c r="G5233" s="20" t="str">
        <f>IFERROR(__xludf.DUMMYFUNCTION("""COMPUTED_VALUE"""),"Uncle Sams Cider (11/12/2021) (Blue)")</f>
        <v>Uncle Sams Cider (11/12/2021) (Blue)</v>
      </c>
      <c r="H5233" s="19"/>
    </row>
    <row r="5234">
      <c r="A5234" s="9"/>
      <c r="B5234" s="15"/>
      <c r="C5234" s="9">
        <f>IFERROR(__xludf.DUMMYFUNCTION("""COMPUTED_VALUE"""),44550.6711714583)</f>
        <v>44550.67117</v>
      </c>
      <c r="D5234" s="15">
        <f>IFERROR(__xludf.DUMMYFUNCTION("""COMPUTED_VALUE"""),1.013)</f>
        <v>1.013</v>
      </c>
      <c r="E5234" s="16">
        <f>IFERROR(__xludf.DUMMYFUNCTION("""COMPUTED_VALUE"""),63.0)</f>
        <v>63</v>
      </c>
      <c r="F5234" s="19" t="str">
        <f>IFERROR(__xludf.DUMMYFUNCTION("""COMPUTED_VALUE"""),"BLUE")</f>
        <v>BLUE</v>
      </c>
      <c r="G5234" s="20" t="str">
        <f>IFERROR(__xludf.DUMMYFUNCTION("""COMPUTED_VALUE"""),"Uncle Sams Cider (11/12/2021) (Blue)")</f>
        <v>Uncle Sams Cider (11/12/2021) (Blue)</v>
      </c>
      <c r="H5234" s="19"/>
    </row>
    <row r="5235">
      <c r="A5235" s="9"/>
      <c r="B5235" s="15"/>
      <c r="C5235" s="9">
        <f>IFERROR(__xludf.DUMMYFUNCTION("""COMPUTED_VALUE"""),44550.6607512152)</f>
        <v>44550.66075</v>
      </c>
      <c r="D5235" s="15">
        <f>IFERROR(__xludf.DUMMYFUNCTION("""COMPUTED_VALUE"""),1.013)</f>
        <v>1.013</v>
      </c>
      <c r="E5235" s="16">
        <f>IFERROR(__xludf.DUMMYFUNCTION("""COMPUTED_VALUE"""),63.0)</f>
        <v>63</v>
      </c>
      <c r="F5235" s="19" t="str">
        <f>IFERROR(__xludf.DUMMYFUNCTION("""COMPUTED_VALUE"""),"BLUE")</f>
        <v>BLUE</v>
      </c>
      <c r="G5235" s="20" t="str">
        <f>IFERROR(__xludf.DUMMYFUNCTION("""COMPUTED_VALUE"""),"Uncle Sams Cider (11/12/2021) (Blue)")</f>
        <v>Uncle Sams Cider (11/12/2021) (Blue)</v>
      </c>
      <c r="H5235" s="19"/>
    </row>
    <row r="5236">
      <c r="A5236" s="9"/>
      <c r="B5236" s="15"/>
      <c r="C5236" s="9">
        <f>IFERROR(__xludf.DUMMYFUNCTION("""COMPUTED_VALUE"""),44550.6503329513)</f>
        <v>44550.65033</v>
      </c>
      <c r="D5236" s="15">
        <f>IFERROR(__xludf.DUMMYFUNCTION("""COMPUTED_VALUE"""),1.012)</f>
        <v>1.012</v>
      </c>
      <c r="E5236" s="16">
        <f>IFERROR(__xludf.DUMMYFUNCTION("""COMPUTED_VALUE"""),63.0)</f>
        <v>63</v>
      </c>
      <c r="F5236" s="19" t="str">
        <f>IFERROR(__xludf.DUMMYFUNCTION("""COMPUTED_VALUE"""),"BLUE")</f>
        <v>BLUE</v>
      </c>
      <c r="G5236" s="20" t="str">
        <f>IFERROR(__xludf.DUMMYFUNCTION("""COMPUTED_VALUE"""),"Uncle Sams Cider (11/12/2021) (Blue)")</f>
        <v>Uncle Sams Cider (11/12/2021) (Blue)</v>
      </c>
      <c r="H5236" s="19"/>
    </row>
    <row r="5237">
      <c r="A5237" s="9"/>
      <c r="B5237" s="15"/>
      <c r="C5237" s="9">
        <f>IFERROR(__xludf.DUMMYFUNCTION("""COMPUTED_VALUE"""),44550.639888449)</f>
        <v>44550.63989</v>
      </c>
      <c r="D5237" s="15">
        <f>IFERROR(__xludf.DUMMYFUNCTION("""COMPUTED_VALUE"""),1.013)</f>
        <v>1.013</v>
      </c>
      <c r="E5237" s="16">
        <f>IFERROR(__xludf.DUMMYFUNCTION("""COMPUTED_VALUE"""),63.0)</f>
        <v>63</v>
      </c>
      <c r="F5237" s="19" t="str">
        <f>IFERROR(__xludf.DUMMYFUNCTION("""COMPUTED_VALUE"""),"BLUE")</f>
        <v>BLUE</v>
      </c>
      <c r="G5237" s="20" t="str">
        <f>IFERROR(__xludf.DUMMYFUNCTION("""COMPUTED_VALUE"""),"Uncle Sams Cider (11/12/2021) (Blue)")</f>
        <v>Uncle Sams Cider (11/12/2021) (Blue)</v>
      </c>
      <c r="H5237" s="19"/>
    </row>
    <row r="5238">
      <c r="A5238" s="9"/>
      <c r="B5238" s="15"/>
      <c r="C5238" s="9">
        <f>IFERROR(__xludf.DUMMYFUNCTION("""COMPUTED_VALUE"""),44550.6294676967)</f>
        <v>44550.62947</v>
      </c>
      <c r="D5238" s="15">
        <f>IFERROR(__xludf.DUMMYFUNCTION("""COMPUTED_VALUE"""),1.013)</f>
        <v>1.013</v>
      </c>
      <c r="E5238" s="16">
        <f>IFERROR(__xludf.DUMMYFUNCTION("""COMPUTED_VALUE"""),63.0)</f>
        <v>63</v>
      </c>
      <c r="F5238" s="19" t="str">
        <f>IFERROR(__xludf.DUMMYFUNCTION("""COMPUTED_VALUE"""),"BLUE")</f>
        <v>BLUE</v>
      </c>
      <c r="G5238" s="20" t="str">
        <f>IFERROR(__xludf.DUMMYFUNCTION("""COMPUTED_VALUE"""),"Uncle Sams Cider (11/12/2021) (Blue)")</f>
        <v>Uncle Sams Cider (11/12/2021) (Blue)</v>
      </c>
      <c r="H5238" s="19"/>
    </row>
    <row r="5239">
      <c r="A5239" s="9"/>
      <c r="B5239" s="15"/>
      <c r="C5239" s="9">
        <f>IFERROR(__xludf.DUMMYFUNCTION("""COMPUTED_VALUE"""),44550.6190451967)</f>
        <v>44550.61905</v>
      </c>
      <c r="D5239" s="15">
        <f>IFERROR(__xludf.DUMMYFUNCTION("""COMPUTED_VALUE"""),1.013)</f>
        <v>1.013</v>
      </c>
      <c r="E5239" s="16">
        <f>IFERROR(__xludf.DUMMYFUNCTION("""COMPUTED_VALUE"""),63.0)</f>
        <v>63</v>
      </c>
      <c r="F5239" s="19" t="str">
        <f>IFERROR(__xludf.DUMMYFUNCTION("""COMPUTED_VALUE"""),"BLUE")</f>
        <v>BLUE</v>
      </c>
      <c r="G5239" s="20" t="str">
        <f>IFERROR(__xludf.DUMMYFUNCTION("""COMPUTED_VALUE"""),"Uncle Sams Cider (11/12/2021) (Blue)")</f>
        <v>Uncle Sams Cider (11/12/2021) (Blue)</v>
      </c>
      <c r="H5239" s="19"/>
    </row>
    <row r="5240">
      <c r="A5240" s="9"/>
      <c r="B5240" s="15"/>
      <c r="C5240" s="9">
        <f>IFERROR(__xludf.DUMMYFUNCTION("""COMPUTED_VALUE"""),44550.6086253587)</f>
        <v>44550.60863</v>
      </c>
      <c r="D5240" s="15">
        <f>IFERROR(__xludf.DUMMYFUNCTION("""COMPUTED_VALUE"""),1.013)</f>
        <v>1.013</v>
      </c>
      <c r="E5240" s="16">
        <f>IFERROR(__xludf.DUMMYFUNCTION("""COMPUTED_VALUE"""),63.0)</f>
        <v>63</v>
      </c>
      <c r="F5240" s="19" t="str">
        <f>IFERROR(__xludf.DUMMYFUNCTION("""COMPUTED_VALUE"""),"BLUE")</f>
        <v>BLUE</v>
      </c>
      <c r="G5240" s="20" t="str">
        <f>IFERROR(__xludf.DUMMYFUNCTION("""COMPUTED_VALUE"""),"Uncle Sams Cider (11/12/2021) (Blue)")</f>
        <v>Uncle Sams Cider (11/12/2021) (Blue)</v>
      </c>
      <c r="H5240" s="19"/>
    </row>
    <row r="5241">
      <c r="A5241" s="9"/>
      <c r="B5241" s="15"/>
      <c r="C5241" s="9">
        <f>IFERROR(__xludf.DUMMYFUNCTION("""COMPUTED_VALUE"""),44550.5982016435)</f>
        <v>44550.5982</v>
      </c>
      <c r="D5241" s="15">
        <f>IFERROR(__xludf.DUMMYFUNCTION("""COMPUTED_VALUE"""),1.013)</f>
        <v>1.013</v>
      </c>
      <c r="E5241" s="16">
        <f>IFERROR(__xludf.DUMMYFUNCTION("""COMPUTED_VALUE"""),63.0)</f>
        <v>63</v>
      </c>
      <c r="F5241" s="19" t="str">
        <f>IFERROR(__xludf.DUMMYFUNCTION("""COMPUTED_VALUE"""),"BLUE")</f>
        <v>BLUE</v>
      </c>
      <c r="G5241" s="20" t="str">
        <f>IFERROR(__xludf.DUMMYFUNCTION("""COMPUTED_VALUE"""),"Uncle Sams Cider (11/12/2021) (Blue)")</f>
        <v>Uncle Sams Cider (11/12/2021) (Blue)</v>
      </c>
      <c r="H5241" s="19"/>
    </row>
    <row r="5242">
      <c r="A5242" s="9"/>
      <c r="B5242" s="15"/>
      <c r="C5242" s="9">
        <f>IFERROR(__xludf.DUMMYFUNCTION("""COMPUTED_VALUE"""),44550.5877806018)</f>
        <v>44550.58778</v>
      </c>
      <c r="D5242" s="15">
        <f>IFERROR(__xludf.DUMMYFUNCTION("""COMPUTED_VALUE"""),1.013)</f>
        <v>1.013</v>
      </c>
      <c r="E5242" s="16">
        <f>IFERROR(__xludf.DUMMYFUNCTION("""COMPUTED_VALUE"""),63.0)</f>
        <v>63</v>
      </c>
      <c r="F5242" s="19" t="str">
        <f>IFERROR(__xludf.DUMMYFUNCTION("""COMPUTED_VALUE"""),"BLUE")</f>
        <v>BLUE</v>
      </c>
      <c r="G5242" s="20" t="str">
        <f>IFERROR(__xludf.DUMMYFUNCTION("""COMPUTED_VALUE"""),"Uncle Sams Cider (11/12/2021) (Blue)")</f>
        <v>Uncle Sams Cider (11/12/2021) (Blue)</v>
      </c>
      <c r="H5242" s="19"/>
    </row>
    <row r="5243">
      <c r="A5243" s="9"/>
      <c r="B5243" s="15"/>
      <c r="C5243" s="9">
        <f>IFERROR(__xludf.DUMMYFUNCTION("""COMPUTED_VALUE"""),44550.5773581134)</f>
        <v>44550.57736</v>
      </c>
      <c r="D5243" s="15">
        <f>IFERROR(__xludf.DUMMYFUNCTION("""COMPUTED_VALUE"""),1.013)</f>
        <v>1.013</v>
      </c>
      <c r="E5243" s="16">
        <f>IFERROR(__xludf.DUMMYFUNCTION("""COMPUTED_VALUE"""),63.0)</f>
        <v>63</v>
      </c>
      <c r="F5243" s="19" t="str">
        <f>IFERROR(__xludf.DUMMYFUNCTION("""COMPUTED_VALUE"""),"BLUE")</f>
        <v>BLUE</v>
      </c>
      <c r="G5243" s="20" t="str">
        <f>IFERROR(__xludf.DUMMYFUNCTION("""COMPUTED_VALUE"""),"Uncle Sams Cider (11/12/2021) (Blue)")</f>
        <v>Uncle Sams Cider (11/12/2021) (Blue)</v>
      </c>
      <c r="H5243" s="19"/>
    </row>
    <row r="5244">
      <c r="A5244" s="9"/>
      <c r="B5244" s="15"/>
      <c r="C5244" s="9">
        <f>IFERROR(__xludf.DUMMYFUNCTION("""COMPUTED_VALUE"""),44550.5669368865)</f>
        <v>44550.56694</v>
      </c>
      <c r="D5244" s="15">
        <f>IFERROR(__xludf.DUMMYFUNCTION("""COMPUTED_VALUE"""),1.013)</f>
        <v>1.013</v>
      </c>
      <c r="E5244" s="16">
        <f>IFERROR(__xludf.DUMMYFUNCTION("""COMPUTED_VALUE"""),63.0)</f>
        <v>63</v>
      </c>
      <c r="F5244" s="19" t="str">
        <f>IFERROR(__xludf.DUMMYFUNCTION("""COMPUTED_VALUE"""),"BLUE")</f>
        <v>BLUE</v>
      </c>
      <c r="G5244" s="20" t="str">
        <f>IFERROR(__xludf.DUMMYFUNCTION("""COMPUTED_VALUE"""),"Uncle Sams Cider (11/12/2021) (Blue)")</f>
        <v>Uncle Sams Cider (11/12/2021) (Blue)</v>
      </c>
      <c r="H5244" s="19"/>
    </row>
    <row r="5245">
      <c r="A5245" s="9"/>
      <c r="B5245" s="15"/>
      <c r="C5245" s="9">
        <f>IFERROR(__xludf.DUMMYFUNCTION("""COMPUTED_VALUE"""),44550.556514537)</f>
        <v>44550.55651</v>
      </c>
      <c r="D5245" s="15">
        <f>IFERROR(__xludf.DUMMYFUNCTION("""COMPUTED_VALUE"""),1.013)</f>
        <v>1.013</v>
      </c>
      <c r="E5245" s="16">
        <f>IFERROR(__xludf.DUMMYFUNCTION("""COMPUTED_VALUE"""),63.0)</f>
        <v>63</v>
      </c>
      <c r="F5245" s="19" t="str">
        <f>IFERROR(__xludf.DUMMYFUNCTION("""COMPUTED_VALUE"""),"BLUE")</f>
        <v>BLUE</v>
      </c>
      <c r="G5245" s="20" t="str">
        <f>IFERROR(__xludf.DUMMYFUNCTION("""COMPUTED_VALUE"""),"Uncle Sams Cider (11/12/2021) (Blue)")</f>
        <v>Uncle Sams Cider (11/12/2021) (Blue)</v>
      </c>
      <c r="H5245" s="19"/>
    </row>
    <row r="5246">
      <c r="A5246" s="9"/>
      <c r="B5246" s="15"/>
      <c r="C5246" s="9">
        <f>IFERROR(__xludf.DUMMYFUNCTION("""COMPUTED_VALUE"""),44550.5460947453)</f>
        <v>44550.54609</v>
      </c>
      <c r="D5246" s="15">
        <f>IFERROR(__xludf.DUMMYFUNCTION("""COMPUTED_VALUE"""),1.013)</f>
        <v>1.013</v>
      </c>
      <c r="E5246" s="16">
        <f>IFERROR(__xludf.DUMMYFUNCTION("""COMPUTED_VALUE"""),63.0)</f>
        <v>63</v>
      </c>
      <c r="F5246" s="19" t="str">
        <f>IFERROR(__xludf.DUMMYFUNCTION("""COMPUTED_VALUE"""),"BLUE")</f>
        <v>BLUE</v>
      </c>
      <c r="G5246" s="20" t="str">
        <f>IFERROR(__xludf.DUMMYFUNCTION("""COMPUTED_VALUE"""),"Uncle Sams Cider (11/12/2021) (Blue)")</f>
        <v>Uncle Sams Cider (11/12/2021) (Blue)</v>
      </c>
      <c r="H5246" s="19"/>
    </row>
    <row r="5247">
      <c r="A5247" s="9"/>
      <c r="B5247" s="15"/>
      <c r="C5247" s="9">
        <f>IFERROR(__xludf.DUMMYFUNCTION("""COMPUTED_VALUE"""),44550.5356720601)</f>
        <v>44550.53567</v>
      </c>
      <c r="D5247" s="15">
        <f>IFERROR(__xludf.DUMMYFUNCTION("""COMPUTED_VALUE"""),1.013)</f>
        <v>1.013</v>
      </c>
      <c r="E5247" s="16">
        <f>IFERROR(__xludf.DUMMYFUNCTION("""COMPUTED_VALUE"""),63.0)</f>
        <v>63</v>
      </c>
      <c r="F5247" s="19" t="str">
        <f>IFERROR(__xludf.DUMMYFUNCTION("""COMPUTED_VALUE"""),"BLUE")</f>
        <v>BLUE</v>
      </c>
      <c r="G5247" s="20" t="str">
        <f>IFERROR(__xludf.DUMMYFUNCTION("""COMPUTED_VALUE"""),"Uncle Sams Cider (11/12/2021) (Blue)")</f>
        <v>Uncle Sams Cider (11/12/2021) (Blue)</v>
      </c>
      <c r="H5247" s="19"/>
    </row>
    <row r="5248">
      <c r="A5248" s="9"/>
      <c r="B5248" s="15"/>
      <c r="C5248" s="9">
        <f>IFERROR(__xludf.DUMMYFUNCTION("""COMPUTED_VALUE"""),44550.5252506365)</f>
        <v>44550.52525</v>
      </c>
      <c r="D5248" s="15">
        <f>IFERROR(__xludf.DUMMYFUNCTION("""COMPUTED_VALUE"""),1.013)</f>
        <v>1.013</v>
      </c>
      <c r="E5248" s="16">
        <f>IFERROR(__xludf.DUMMYFUNCTION("""COMPUTED_VALUE"""),63.0)</f>
        <v>63</v>
      </c>
      <c r="F5248" s="19" t="str">
        <f>IFERROR(__xludf.DUMMYFUNCTION("""COMPUTED_VALUE"""),"BLUE")</f>
        <v>BLUE</v>
      </c>
      <c r="G5248" s="20" t="str">
        <f>IFERROR(__xludf.DUMMYFUNCTION("""COMPUTED_VALUE"""),"Uncle Sams Cider (11/12/2021) (Blue)")</f>
        <v>Uncle Sams Cider (11/12/2021) (Blue)</v>
      </c>
      <c r="H5248" s="19"/>
    </row>
    <row r="5249">
      <c r="A5249" s="9"/>
      <c r="B5249" s="15"/>
      <c r="C5249" s="9">
        <f>IFERROR(__xludf.DUMMYFUNCTION("""COMPUTED_VALUE"""),44550.5148305671)</f>
        <v>44550.51483</v>
      </c>
      <c r="D5249" s="15">
        <f>IFERROR(__xludf.DUMMYFUNCTION("""COMPUTED_VALUE"""),1.013)</f>
        <v>1.013</v>
      </c>
      <c r="E5249" s="16">
        <f>IFERROR(__xludf.DUMMYFUNCTION("""COMPUTED_VALUE"""),63.0)</f>
        <v>63</v>
      </c>
      <c r="F5249" s="19" t="str">
        <f>IFERROR(__xludf.DUMMYFUNCTION("""COMPUTED_VALUE"""),"BLUE")</f>
        <v>BLUE</v>
      </c>
      <c r="G5249" s="20" t="str">
        <f>IFERROR(__xludf.DUMMYFUNCTION("""COMPUTED_VALUE"""),"Uncle Sams Cider (11/12/2021) (Blue)")</f>
        <v>Uncle Sams Cider (11/12/2021) (Blue)</v>
      </c>
      <c r="H5249" s="19"/>
    </row>
    <row r="5250">
      <c r="A5250" s="9"/>
      <c r="B5250" s="15"/>
      <c r="C5250" s="9">
        <f>IFERROR(__xludf.DUMMYFUNCTION("""COMPUTED_VALUE"""),44550.5044097569)</f>
        <v>44550.50441</v>
      </c>
      <c r="D5250" s="15">
        <f>IFERROR(__xludf.DUMMYFUNCTION("""COMPUTED_VALUE"""),1.013)</f>
        <v>1.013</v>
      </c>
      <c r="E5250" s="16">
        <f>IFERROR(__xludf.DUMMYFUNCTION("""COMPUTED_VALUE"""),63.0)</f>
        <v>63</v>
      </c>
      <c r="F5250" s="19" t="str">
        <f>IFERROR(__xludf.DUMMYFUNCTION("""COMPUTED_VALUE"""),"BLUE")</f>
        <v>BLUE</v>
      </c>
      <c r="G5250" s="20" t="str">
        <f>IFERROR(__xludf.DUMMYFUNCTION("""COMPUTED_VALUE"""),"Uncle Sams Cider (11/12/2021) (Blue)")</f>
        <v>Uncle Sams Cider (11/12/2021) (Blue)</v>
      </c>
      <c r="H5250" s="19"/>
    </row>
    <row r="5251">
      <c r="A5251" s="9"/>
      <c r="B5251" s="15"/>
      <c r="C5251" s="9">
        <f>IFERROR(__xludf.DUMMYFUNCTION("""COMPUTED_VALUE"""),44550.4939898611)</f>
        <v>44550.49399</v>
      </c>
      <c r="D5251" s="15">
        <f>IFERROR(__xludf.DUMMYFUNCTION("""COMPUTED_VALUE"""),1.013)</f>
        <v>1.013</v>
      </c>
      <c r="E5251" s="16">
        <f>IFERROR(__xludf.DUMMYFUNCTION("""COMPUTED_VALUE"""),63.0)</f>
        <v>63</v>
      </c>
      <c r="F5251" s="19" t="str">
        <f>IFERROR(__xludf.DUMMYFUNCTION("""COMPUTED_VALUE"""),"BLUE")</f>
        <v>BLUE</v>
      </c>
      <c r="G5251" s="20" t="str">
        <f>IFERROR(__xludf.DUMMYFUNCTION("""COMPUTED_VALUE"""),"Uncle Sams Cider (11/12/2021) (Blue)")</f>
        <v>Uncle Sams Cider (11/12/2021) (Blue)</v>
      </c>
      <c r="H5251" s="19"/>
    </row>
    <row r="5252">
      <c r="A5252" s="9"/>
      <c r="B5252" s="15"/>
      <c r="C5252" s="9">
        <f>IFERROR(__xludf.DUMMYFUNCTION("""COMPUTED_VALUE"""),44550.48357125)</f>
        <v>44550.48357</v>
      </c>
      <c r="D5252" s="15">
        <f>IFERROR(__xludf.DUMMYFUNCTION("""COMPUTED_VALUE"""),1.013)</f>
        <v>1.013</v>
      </c>
      <c r="E5252" s="16">
        <f>IFERROR(__xludf.DUMMYFUNCTION("""COMPUTED_VALUE"""),63.0)</f>
        <v>63</v>
      </c>
      <c r="F5252" s="19" t="str">
        <f>IFERROR(__xludf.DUMMYFUNCTION("""COMPUTED_VALUE"""),"BLUE")</f>
        <v>BLUE</v>
      </c>
      <c r="G5252" s="20" t="str">
        <f>IFERROR(__xludf.DUMMYFUNCTION("""COMPUTED_VALUE"""),"Uncle Sams Cider (11/12/2021) (Blue)")</f>
        <v>Uncle Sams Cider (11/12/2021) (Blue)</v>
      </c>
      <c r="H5252" s="19"/>
    </row>
    <row r="5253">
      <c r="A5253" s="9"/>
      <c r="B5253" s="15"/>
      <c r="C5253" s="9">
        <f>IFERROR(__xludf.DUMMYFUNCTION("""COMPUTED_VALUE"""),44550.4731506018)</f>
        <v>44550.47315</v>
      </c>
      <c r="D5253" s="15">
        <f>IFERROR(__xludf.DUMMYFUNCTION("""COMPUTED_VALUE"""),1.013)</f>
        <v>1.013</v>
      </c>
      <c r="E5253" s="16">
        <f>IFERROR(__xludf.DUMMYFUNCTION("""COMPUTED_VALUE"""),63.0)</f>
        <v>63</v>
      </c>
      <c r="F5253" s="19" t="str">
        <f>IFERROR(__xludf.DUMMYFUNCTION("""COMPUTED_VALUE"""),"BLUE")</f>
        <v>BLUE</v>
      </c>
      <c r="G5253" s="20" t="str">
        <f>IFERROR(__xludf.DUMMYFUNCTION("""COMPUTED_VALUE"""),"Uncle Sams Cider (11/12/2021) (Blue)")</f>
        <v>Uncle Sams Cider (11/12/2021) (Blue)</v>
      </c>
      <c r="H5253" s="19"/>
    </row>
    <row r="5254">
      <c r="A5254" s="9"/>
      <c r="B5254" s="15"/>
      <c r="C5254" s="9">
        <f>IFERROR(__xludf.DUMMYFUNCTION("""COMPUTED_VALUE"""),44550.4627290509)</f>
        <v>44550.46273</v>
      </c>
      <c r="D5254" s="15">
        <f>IFERROR(__xludf.DUMMYFUNCTION("""COMPUTED_VALUE"""),1.013)</f>
        <v>1.013</v>
      </c>
      <c r="E5254" s="16">
        <f>IFERROR(__xludf.DUMMYFUNCTION("""COMPUTED_VALUE"""),63.0)</f>
        <v>63</v>
      </c>
      <c r="F5254" s="19" t="str">
        <f>IFERROR(__xludf.DUMMYFUNCTION("""COMPUTED_VALUE"""),"BLUE")</f>
        <v>BLUE</v>
      </c>
      <c r="G5254" s="20" t="str">
        <f>IFERROR(__xludf.DUMMYFUNCTION("""COMPUTED_VALUE"""),"Uncle Sams Cider (11/12/2021) (Blue)")</f>
        <v>Uncle Sams Cider (11/12/2021) (Blue)</v>
      </c>
      <c r="H5254" s="19"/>
    </row>
    <row r="5255">
      <c r="A5255" s="9"/>
      <c r="B5255" s="15"/>
      <c r="C5255" s="9">
        <f>IFERROR(__xludf.DUMMYFUNCTION("""COMPUTED_VALUE"""),44550.4523083449)</f>
        <v>44550.45231</v>
      </c>
      <c r="D5255" s="15">
        <f>IFERROR(__xludf.DUMMYFUNCTION("""COMPUTED_VALUE"""),1.013)</f>
        <v>1.013</v>
      </c>
      <c r="E5255" s="16">
        <f>IFERROR(__xludf.DUMMYFUNCTION("""COMPUTED_VALUE"""),63.0)</f>
        <v>63</v>
      </c>
      <c r="F5255" s="19" t="str">
        <f>IFERROR(__xludf.DUMMYFUNCTION("""COMPUTED_VALUE"""),"BLUE")</f>
        <v>BLUE</v>
      </c>
      <c r="G5255" s="20" t="str">
        <f>IFERROR(__xludf.DUMMYFUNCTION("""COMPUTED_VALUE"""),"Uncle Sams Cider (11/12/2021) (Blue)")</f>
        <v>Uncle Sams Cider (11/12/2021) (Blue)</v>
      </c>
      <c r="H5255" s="19"/>
    </row>
    <row r="5256">
      <c r="A5256" s="9"/>
      <c r="B5256" s="15"/>
      <c r="C5256" s="9">
        <f>IFERROR(__xludf.DUMMYFUNCTION("""COMPUTED_VALUE"""),44550.4418869907)</f>
        <v>44550.44189</v>
      </c>
      <c r="D5256" s="15">
        <f>IFERROR(__xludf.DUMMYFUNCTION("""COMPUTED_VALUE"""),1.013)</f>
        <v>1.013</v>
      </c>
      <c r="E5256" s="16">
        <f>IFERROR(__xludf.DUMMYFUNCTION("""COMPUTED_VALUE"""),63.0)</f>
        <v>63</v>
      </c>
      <c r="F5256" s="19" t="str">
        <f>IFERROR(__xludf.DUMMYFUNCTION("""COMPUTED_VALUE"""),"BLUE")</f>
        <v>BLUE</v>
      </c>
      <c r="G5256" s="20" t="str">
        <f>IFERROR(__xludf.DUMMYFUNCTION("""COMPUTED_VALUE"""),"Uncle Sams Cider (11/12/2021) (Blue)")</f>
        <v>Uncle Sams Cider (11/12/2021) (Blue)</v>
      </c>
      <c r="H5256" s="19"/>
    </row>
    <row r="5257">
      <c r="A5257" s="9"/>
      <c r="B5257" s="15"/>
      <c r="C5257" s="9">
        <f>IFERROR(__xludf.DUMMYFUNCTION("""COMPUTED_VALUE"""),44550.4314655786)</f>
        <v>44550.43147</v>
      </c>
      <c r="D5257" s="15">
        <f>IFERROR(__xludf.DUMMYFUNCTION("""COMPUTED_VALUE"""),1.013)</f>
        <v>1.013</v>
      </c>
      <c r="E5257" s="16">
        <f>IFERROR(__xludf.DUMMYFUNCTION("""COMPUTED_VALUE"""),63.0)</f>
        <v>63</v>
      </c>
      <c r="F5257" s="19" t="str">
        <f>IFERROR(__xludf.DUMMYFUNCTION("""COMPUTED_VALUE"""),"BLUE")</f>
        <v>BLUE</v>
      </c>
      <c r="G5257" s="20" t="str">
        <f>IFERROR(__xludf.DUMMYFUNCTION("""COMPUTED_VALUE"""),"Uncle Sams Cider (11/12/2021) (Blue)")</f>
        <v>Uncle Sams Cider (11/12/2021) (Blue)</v>
      </c>
      <c r="H5257" s="19"/>
    </row>
    <row r="5258">
      <c r="A5258" s="9"/>
      <c r="B5258" s="15"/>
      <c r="C5258" s="9">
        <f>IFERROR(__xludf.DUMMYFUNCTION("""COMPUTED_VALUE"""),44550.4210429398)</f>
        <v>44550.42104</v>
      </c>
      <c r="D5258" s="15">
        <f>IFERROR(__xludf.DUMMYFUNCTION("""COMPUTED_VALUE"""),1.013)</f>
        <v>1.013</v>
      </c>
      <c r="E5258" s="16">
        <f>IFERROR(__xludf.DUMMYFUNCTION("""COMPUTED_VALUE"""),63.0)</f>
        <v>63</v>
      </c>
      <c r="F5258" s="19" t="str">
        <f>IFERROR(__xludf.DUMMYFUNCTION("""COMPUTED_VALUE"""),"BLUE")</f>
        <v>BLUE</v>
      </c>
      <c r="G5258" s="20" t="str">
        <f>IFERROR(__xludf.DUMMYFUNCTION("""COMPUTED_VALUE"""),"Uncle Sams Cider (11/12/2021) (Blue)")</f>
        <v>Uncle Sams Cider (11/12/2021) (Blue)</v>
      </c>
      <c r="H5258" s="19"/>
    </row>
    <row r="5259">
      <c r="A5259" s="9"/>
      <c r="B5259" s="15"/>
      <c r="C5259" s="9">
        <f>IFERROR(__xludf.DUMMYFUNCTION("""COMPUTED_VALUE"""),44550.4106237731)</f>
        <v>44550.41062</v>
      </c>
      <c r="D5259" s="15">
        <f>IFERROR(__xludf.DUMMYFUNCTION("""COMPUTED_VALUE"""),1.013)</f>
        <v>1.013</v>
      </c>
      <c r="E5259" s="16">
        <f>IFERROR(__xludf.DUMMYFUNCTION("""COMPUTED_VALUE"""),63.0)</f>
        <v>63</v>
      </c>
      <c r="F5259" s="19" t="str">
        <f>IFERROR(__xludf.DUMMYFUNCTION("""COMPUTED_VALUE"""),"BLUE")</f>
        <v>BLUE</v>
      </c>
      <c r="G5259" s="20" t="str">
        <f>IFERROR(__xludf.DUMMYFUNCTION("""COMPUTED_VALUE"""),"Uncle Sams Cider (11/12/2021) (Blue)")</f>
        <v>Uncle Sams Cider (11/12/2021) (Blue)</v>
      </c>
      <c r="H5259" s="19"/>
    </row>
    <row r="5260">
      <c r="A5260" s="9"/>
      <c r="B5260" s="15"/>
      <c r="C5260" s="9">
        <f>IFERROR(__xludf.DUMMYFUNCTION("""COMPUTED_VALUE"""),44550.400201956)</f>
        <v>44550.4002</v>
      </c>
      <c r="D5260" s="15">
        <f>IFERROR(__xludf.DUMMYFUNCTION("""COMPUTED_VALUE"""),1.013)</f>
        <v>1.013</v>
      </c>
      <c r="E5260" s="16">
        <f>IFERROR(__xludf.DUMMYFUNCTION("""COMPUTED_VALUE"""),63.0)</f>
        <v>63</v>
      </c>
      <c r="F5260" s="19" t="str">
        <f>IFERROR(__xludf.DUMMYFUNCTION("""COMPUTED_VALUE"""),"BLUE")</f>
        <v>BLUE</v>
      </c>
      <c r="G5260" s="20" t="str">
        <f>IFERROR(__xludf.DUMMYFUNCTION("""COMPUTED_VALUE"""),"Uncle Sams Cider (11/12/2021) (Blue)")</f>
        <v>Uncle Sams Cider (11/12/2021) (Blue)</v>
      </c>
      <c r="H5260" s="19"/>
    </row>
    <row r="5261">
      <c r="A5261" s="9"/>
      <c r="B5261" s="15"/>
      <c r="C5261" s="9">
        <f>IFERROR(__xludf.DUMMYFUNCTION("""COMPUTED_VALUE"""),44550.3897806249)</f>
        <v>44550.38978</v>
      </c>
      <c r="D5261" s="15">
        <f>IFERROR(__xludf.DUMMYFUNCTION("""COMPUTED_VALUE"""),1.013)</f>
        <v>1.013</v>
      </c>
      <c r="E5261" s="16">
        <f>IFERROR(__xludf.DUMMYFUNCTION("""COMPUTED_VALUE"""),63.0)</f>
        <v>63</v>
      </c>
      <c r="F5261" s="19" t="str">
        <f>IFERROR(__xludf.DUMMYFUNCTION("""COMPUTED_VALUE"""),"BLUE")</f>
        <v>BLUE</v>
      </c>
      <c r="G5261" s="20" t="str">
        <f>IFERROR(__xludf.DUMMYFUNCTION("""COMPUTED_VALUE"""),"Uncle Sams Cider (11/12/2021) (Blue)")</f>
        <v>Uncle Sams Cider (11/12/2021) (Blue)</v>
      </c>
      <c r="H5261" s="19"/>
    </row>
    <row r="5262">
      <c r="A5262" s="9"/>
      <c r="B5262" s="15"/>
      <c r="C5262" s="9">
        <f>IFERROR(__xludf.DUMMYFUNCTION("""COMPUTED_VALUE"""),44550.3793477083)</f>
        <v>44550.37935</v>
      </c>
      <c r="D5262" s="15">
        <f>IFERROR(__xludf.DUMMYFUNCTION("""COMPUTED_VALUE"""),1.013)</f>
        <v>1.013</v>
      </c>
      <c r="E5262" s="16">
        <f>IFERROR(__xludf.DUMMYFUNCTION("""COMPUTED_VALUE"""),63.0)</f>
        <v>63</v>
      </c>
      <c r="F5262" s="19" t="str">
        <f>IFERROR(__xludf.DUMMYFUNCTION("""COMPUTED_VALUE"""),"BLUE")</f>
        <v>BLUE</v>
      </c>
      <c r="G5262" s="20" t="str">
        <f>IFERROR(__xludf.DUMMYFUNCTION("""COMPUTED_VALUE"""),"Uncle Sams Cider (11/12/2021) (Blue)")</f>
        <v>Uncle Sams Cider (11/12/2021) (Blue)</v>
      </c>
      <c r="H5262" s="19"/>
    </row>
    <row r="5263">
      <c r="A5263" s="9"/>
      <c r="B5263" s="15"/>
      <c r="C5263" s="9">
        <f>IFERROR(__xludf.DUMMYFUNCTION("""COMPUTED_VALUE"""),44550.3689270601)</f>
        <v>44550.36893</v>
      </c>
      <c r="D5263" s="15">
        <f>IFERROR(__xludf.DUMMYFUNCTION("""COMPUTED_VALUE"""),1.013)</f>
        <v>1.013</v>
      </c>
      <c r="E5263" s="16">
        <f>IFERROR(__xludf.DUMMYFUNCTION("""COMPUTED_VALUE"""),63.0)</f>
        <v>63</v>
      </c>
      <c r="F5263" s="19" t="str">
        <f>IFERROR(__xludf.DUMMYFUNCTION("""COMPUTED_VALUE"""),"BLUE")</f>
        <v>BLUE</v>
      </c>
      <c r="G5263" s="20" t="str">
        <f>IFERROR(__xludf.DUMMYFUNCTION("""COMPUTED_VALUE"""),"Uncle Sams Cider (11/12/2021) (Blue)")</f>
        <v>Uncle Sams Cider (11/12/2021) (Blue)</v>
      </c>
      <c r="H5263" s="19"/>
    </row>
    <row r="5264">
      <c r="A5264" s="9"/>
      <c r="B5264" s="15"/>
      <c r="C5264" s="9">
        <f>IFERROR(__xludf.DUMMYFUNCTION("""COMPUTED_VALUE"""),44550.3585068634)</f>
        <v>44550.35851</v>
      </c>
      <c r="D5264" s="15">
        <f>IFERROR(__xludf.DUMMYFUNCTION("""COMPUTED_VALUE"""),1.013)</f>
        <v>1.013</v>
      </c>
      <c r="E5264" s="16">
        <f>IFERROR(__xludf.DUMMYFUNCTION("""COMPUTED_VALUE"""),63.0)</f>
        <v>63</v>
      </c>
      <c r="F5264" s="19" t="str">
        <f>IFERROR(__xludf.DUMMYFUNCTION("""COMPUTED_VALUE"""),"BLUE")</f>
        <v>BLUE</v>
      </c>
      <c r="G5264" s="20" t="str">
        <f>IFERROR(__xludf.DUMMYFUNCTION("""COMPUTED_VALUE"""),"Uncle Sams Cider (11/12/2021) (Blue)")</f>
        <v>Uncle Sams Cider (11/12/2021) (Blue)</v>
      </c>
      <c r="H5264" s="19"/>
    </row>
    <row r="5265">
      <c r="A5265" s="9"/>
      <c r="B5265" s="15"/>
      <c r="C5265" s="9">
        <f>IFERROR(__xludf.DUMMYFUNCTION("""COMPUTED_VALUE"""),44550.3480848726)</f>
        <v>44550.34808</v>
      </c>
      <c r="D5265" s="15">
        <f>IFERROR(__xludf.DUMMYFUNCTION("""COMPUTED_VALUE"""),1.013)</f>
        <v>1.013</v>
      </c>
      <c r="E5265" s="16">
        <f>IFERROR(__xludf.DUMMYFUNCTION("""COMPUTED_VALUE"""),63.0)</f>
        <v>63</v>
      </c>
      <c r="F5265" s="19" t="str">
        <f>IFERROR(__xludf.DUMMYFUNCTION("""COMPUTED_VALUE"""),"BLUE")</f>
        <v>BLUE</v>
      </c>
      <c r="G5265" s="20" t="str">
        <f>IFERROR(__xludf.DUMMYFUNCTION("""COMPUTED_VALUE"""),"Uncle Sams Cider (11/12/2021) (Blue)")</f>
        <v>Uncle Sams Cider (11/12/2021) (Blue)</v>
      </c>
      <c r="H5265" s="19"/>
    </row>
    <row r="5266">
      <c r="A5266" s="9"/>
      <c r="B5266" s="15"/>
      <c r="C5266" s="9">
        <f>IFERROR(__xludf.DUMMYFUNCTION("""COMPUTED_VALUE"""),44550.3376636921)</f>
        <v>44550.33766</v>
      </c>
      <c r="D5266" s="15">
        <f>IFERROR(__xludf.DUMMYFUNCTION("""COMPUTED_VALUE"""),1.013)</f>
        <v>1.013</v>
      </c>
      <c r="E5266" s="16">
        <f>IFERROR(__xludf.DUMMYFUNCTION("""COMPUTED_VALUE"""),63.0)</f>
        <v>63</v>
      </c>
      <c r="F5266" s="19" t="str">
        <f>IFERROR(__xludf.DUMMYFUNCTION("""COMPUTED_VALUE"""),"BLUE")</f>
        <v>BLUE</v>
      </c>
      <c r="G5266" s="20" t="str">
        <f>IFERROR(__xludf.DUMMYFUNCTION("""COMPUTED_VALUE"""),"Uncle Sams Cider (11/12/2021) (Blue)")</f>
        <v>Uncle Sams Cider (11/12/2021) (Blue)</v>
      </c>
      <c r="H5266" s="19"/>
    </row>
    <row r="5267">
      <c r="A5267" s="9"/>
      <c r="B5267" s="15"/>
      <c r="C5267" s="9">
        <f>IFERROR(__xludf.DUMMYFUNCTION("""COMPUTED_VALUE"""),44550.3272433564)</f>
        <v>44550.32724</v>
      </c>
      <c r="D5267" s="15">
        <f>IFERROR(__xludf.DUMMYFUNCTION("""COMPUTED_VALUE"""),1.013)</f>
        <v>1.013</v>
      </c>
      <c r="E5267" s="16">
        <f>IFERROR(__xludf.DUMMYFUNCTION("""COMPUTED_VALUE"""),63.0)</f>
        <v>63</v>
      </c>
      <c r="F5267" s="19" t="str">
        <f>IFERROR(__xludf.DUMMYFUNCTION("""COMPUTED_VALUE"""),"BLUE")</f>
        <v>BLUE</v>
      </c>
      <c r="G5267" s="20" t="str">
        <f>IFERROR(__xludf.DUMMYFUNCTION("""COMPUTED_VALUE"""),"Uncle Sams Cider (11/12/2021) (Blue)")</f>
        <v>Uncle Sams Cider (11/12/2021) (Blue)</v>
      </c>
      <c r="H5267" s="19"/>
    </row>
    <row r="5268">
      <c r="A5268" s="9"/>
      <c r="B5268" s="15"/>
      <c r="C5268" s="9">
        <f>IFERROR(__xludf.DUMMYFUNCTION("""COMPUTED_VALUE"""),44550.3168078703)</f>
        <v>44550.31681</v>
      </c>
      <c r="D5268" s="15">
        <f>IFERROR(__xludf.DUMMYFUNCTION("""COMPUTED_VALUE"""),1.013)</f>
        <v>1.013</v>
      </c>
      <c r="E5268" s="16">
        <f>IFERROR(__xludf.DUMMYFUNCTION("""COMPUTED_VALUE"""),63.0)</f>
        <v>63</v>
      </c>
      <c r="F5268" s="19" t="str">
        <f>IFERROR(__xludf.DUMMYFUNCTION("""COMPUTED_VALUE"""),"BLUE")</f>
        <v>BLUE</v>
      </c>
      <c r="G5268" s="20" t="str">
        <f>IFERROR(__xludf.DUMMYFUNCTION("""COMPUTED_VALUE"""),"Uncle Sams Cider (11/12/2021) (Blue)")</f>
        <v>Uncle Sams Cider (11/12/2021) (Blue)</v>
      </c>
      <c r="H5268" s="19"/>
    </row>
    <row r="5269">
      <c r="A5269" s="9"/>
      <c r="B5269" s="15"/>
      <c r="C5269" s="9">
        <f>IFERROR(__xludf.DUMMYFUNCTION("""COMPUTED_VALUE"""),44550.3063865624)</f>
        <v>44550.30639</v>
      </c>
      <c r="D5269" s="15">
        <f>IFERROR(__xludf.DUMMYFUNCTION("""COMPUTED_VALUE"""),1.013)</f>
        <v>1.013</v>
      </c>
      <c r="E5269" s="16">
        <f>IFERROR(__xludf.DUMMYFUNCTION("""COMPUTED_VALUE"""),63.0)</f>
        <v>63</v>
      </c>
      <c r="F5269" s="19" t="str">
        <f>IFERROR(__xludf.DUMMYFUNCTION("""COMPUTED_VALUE"""),"BLUE")</f>
        <v>BLUE</v>
      </c>
      <c r="G5269" s="20" t="str">
        <f>IFERROR(__xludf.DUMMYFUNCTION("""COMPUTED_VALUE"""),"Uncle Sams Cider (11/12/2021) (Blue)")</f>
        <v>Uncle Sams Cider (11/12/2021) (Blue)</v>
      </c>
      <c r="H5269" s="19"/>
    </row>
    <row r="5270">
      <c r="A5270" s="9"/>
      <c r="B5270" s="15"/>
      <c r="C5270" s="9">
        <f>IFERROR(__xludf.DUMMYFUNCTION("""COMPUTED_VALUE"""),44550.2959661574)</f>
        <v>44550.29597</v>
      </c>
      <c r="D5270" s="15">
        <f>IFERROR(__xludf.DUMMYFUNCTION("""COMPUTED_VALUE"""),1.013)</f>
        <v>1.013</v>
      </c>
      <c r="E5270" s="16">
        <f>IFERROR(__xludf.DUMMYFUNCTION("""COMPUTED_VALUE"""),63.0)</f>
        <v>63</v>
      </c>
      <c r="F5270" s="19" t="str">
        <f>IFERROR(__xludf.DUMMYFUNCTION("""COMPUTED_VALUE"""),"BLUE")</f>
        <v>BLUE</v>
      </c>
      <c r="G5270" s="20" t="str">
        <f>IFERROR(__xludf.DUMMYFUNCTION("""COMPUTED_VALUE"""),"Uncle Sams Cider (11/12/2021) (Blue)")</f>
        <v>Uncle Sams Cider (11/12/2021) (Blue)</v>
      </c>
      <c r="H5270" s="19"/>
    </row>
    <row r="5271">
      <c r="A5271" s="9"/>
      <c r="B5271" s="15"/>
      <c r="C5271" s="9">
        <f>IFERROR(__xludf.DUMMYFUNCTION("""COMPUTED_VALUE"""),44550.2855459143)</f>
        <v>44550.28555</v>
      </c>
      <c r="D5271" s="15">
        <f>IFERROR(__xludf.DUMMYFUNCTION("""COMPUTED_VALUE"""),1.013)</f>
        <v>1.013</v>
      </c>
      <c r="E5271" s="16">
        <f>IFERROR(__xludf.DUMMYFUNCTION("""COMPUTED_VALUE"""),63.0)</f>
        <v>63</v>
      </c>
      <c r="F5271" s="19" t="str">
        <f>IFERROR(__xludf.DUMMYFUNCTION("""COMPUTED_VALUE"""),"BLUE")</f>
        <v>BLUE</v>
      </c>
      <c r="G5271" s="20" t="str">
        <f>IFERROR(__xludf.DUMMYFUNCTION("""COMPUTED_VALUE"""),"Uncle Sams Cider (11/12/2021) (Blue)")</f>
        <v>Uncle Sams Cider (11/12/2021) (Blue)</v>
      </c>
      <c r="H5271" s="19"/>
    </row>
    <row r="5272">
      <c r="A5272" s="9"/>
      <c r="B5272" s="15"/>
      <c r="C5272" s="9">
        <f>IFERROR(__xludf.DUMMYFUNCTION("""COMPUTED_VALUE"""),44550.2751134953)</f>
        <v>44550.27511</v>
      </c>
      <c r="D5272" s="15">
        <f>IFERROR(__xludf.DUMMYFUNCTION("""COMPUTED_VALUE"""),1.013)</f>
        <v>1.013</v>
      </c>
      <c r="E5272" s="16">
        <f>IFERROR(__xludf.DUMMYFUNCTION("""COMPUTED_VALUE"""),63.0)</f>
        <v>63</v>
      </c>
      <c r="F5272" s="19" t="str">
        <f>IFERROR(__xludf.DUMMYFUNCTION("""COMPUTED_VALUE"""),"BLUE")</f>
        <v>BLUE</v>
      </c>
      <c r="G5272" s="20" t="str">
        <f>IFERROR(__xludf.DUMMYFUNCTION("""COMPUTED_VALUE"""),"Uncle Sams Cider (11/12/2021) (Blue)")</f>
        <v>Uncle Sams Cider (11/12/2021) (Blue)</v>
      </c>
      <c r="H5272" s="19"/>
    </row>
    <row r="5273">
      <c r="A5273" s="9"/>
      <c r="B5273" s="15"/>
      <c r="C5273" s="9">
        <f>IFERROR(__xludf.DUMMYFUNCTION("""COMPUTED_VALUE"""),44550.2646922453)</f>
        <v>44550.26469</v>
      </c>
      <c r="D5273" s="15">
        <f>IFERROR(__xludf.DUMMYFUNCTION("""COMPUTED_VALUE"""),1.013)</f>
        <v>1.013</v>
      </c>
      <c r="E5273" s="16">
        <f>IFERROR(__xludf.DUMMYFUNCTION("""COMPUTED_VALUE"""),63.0)</f>
        <v>63</v>
      </c>
      <c r="F5273" s="19" t="str">
        <f>IFERROR(__xludf.DUMMYFUNCTION("""COMPUTED_VALUE"""),"BLUE")</f>
        <v>BLUE</v>
      </c>
      <c r="G5273" s="20" t="str">
        <f>IFERROR(__xludf.DUMMYFUNCTION("""COMPUTED_VALUE"""),"Uncle Sams Cider (11/12/2021) (Blue)")</f>
        <v>Uncle Sams Cider (11/12/2021) (Blue)</v>
      </c>
      <c r="H5273" s="19"/>
    </row>
    <row r="5274">
      <c r="A5274" s="9"/>
      <c r="B5274" s="15"/>
      <c r="C5274" s="9">
        <f>IFERROR(__xludf.DUMMYFUNCTION("""COMPUTED_VALUE"""),44550.2542588078)</f>
        <v>44550.25426</v>
      </c>
      <c r="D5274" s="15">
        <f>IFERROR(__xludf.DUMMYFUNCTION("""COMPUTED_VALUE"""),1.013)</f>
        <v>1.013</v>
      </c>
      <c r="E5274" s="16">
        <f>IFERROR(__xludf.DUMMYFUNCTION("""COMPUTED_VALUE"""),63.0)</f>
        <v>63</v>
      </c>
      <c r="F5274" s="19" t="str">
        <f>IFERROR(__xludf.DUMMYFUNCTION("""COMPUTED_VALUE"""),"BLUE")</f>
        <v>BLUE</v>
      </c>
      <c r="G5274" s="20" t="str">
        <f>IFERROR(__xludf.DUMMYFUNCTION("""COMPUTED_VALUE"""),"Uncle Sams Cider (11/12/2021) (Blue)")</f>
        <v>Uncle Sams Cider (11/12/2021) (Blue)</v>
      </c>
      <c r="H5274" s="19"/>
    </row>
    <row r="5275">
      <c r="A5275" s="9"/>
      <c r="B5275" s="15"/>
      <c r="C5275" s="9">
        <f>IFERROR(__xludf.DUMMYFUNCTION("""COMPUTED_VALUE"""),44550.2438367245)</f>
        <v>44550.24384</v>
      </c>
      <c r="D5275" s="15">
        <f>IFERROR(__xludf.DUMMYFUNCTION("""COMPUTED_VALUE"""),1.013)</f>
        <v>1.013</v>
      </c>
      <c r="E5275" s="16">
        <f>IFERROR(__xludf.DUMMYFUNCTION("""COMPUTED_VALUE"""),63.0)</f>
        <v>63</v>
      </c>
      <c r="F5275" s="19" t="str">
        <f>IFERROR(__xludf.DUMMYFUNCTION("""COMPUTED_VALUE"""),"BLUE")</f>
        <v>BLUE</v>
      </c>
      <c r="G5275" s="20" t="str">
        <f>IFERROR(__xludf.DUMMYFUNCTION("""COMPUTED_VALUE"""),"Uncle Sams Cider (11/12/2021) (Blue)")</f>
        <v>Uncle Sams Cider (11/12/2021) (Blue)</v>
      </c>
      <c r="H5275" s="19"/>
    </row>
    <row r="5276">
      <c r="A5276" s="9"/>
      <c r="B5276" s="15"/>
      <c r="C5276" s="9">
        <f>IFERROR(__xludf.DUMMYFUNCTION("""COMPUTED_VALUE"""),44550.2334131828)</f>
        <v>44550.23341</v>
      </c>
      <c r="D5276" s="15">
        <f>IFERROR(__xludf.DUMMYFUNCTION("""COMPUTED_VALUE"""),1.013)</f>
        <v>1.013</v>
      </c>
      <c r="E5276" s="16">
        <f>IFERROR(__xludf.DUMMYFUNCTION("""COMPUTED_VALUE"""),63.0)</f>
        <v>63</v>
      </c>
      <c r="F5276" s="19" t="str">
        <f>IFERROR(__xludf.DUMMYFUNCTION("""COMPUTED_VALUE"""),"BLUE")</f>
        <v>BLUE</v>
      </c>
      <c r="G5276" s="20" t="str">
        <f>IFERROR(__xludf.DUMMYFUNCTION("""COMPUTED_VALUE"""),"Uncle Sams Cider (11/12/2021) (Blue)")</f>
        <v>Uncle Sams Cider (11/12/2021) (Blue)</v>
      </c>
      <c r="H5276" s="19"/>
    </row>
    <row r="5277">
      <c r="A5277" s="9"/>
      <c r="B5277" s="15"/>
      <c r="C5277" s="9">
        <f>IFERROR(__xludf.DUMMYFUNCTION("""COMPUTED_VALUE"""),44550.2229926851)</f>
        <v>44550.22299</v>
      </c>
      <c r="D5277" s="15">
        <f>IFERROR(__xludf.DUMMYFUNCTION("""COMPUTED_VALUE"""),1.013)</f>
        <v>1.013</v>
      </c>
      <c r="E5277" s="16">
        <f>IFERROR(__xludf.DUMMYFUNCTION("""COMPUTED_VALUE"""),63.0)</f>
        <v>63</v>
      </c>
      <c r="F5277" s="19" t="str">
        <f>IFERROR(__xludf.DUMMYFUNCTION("""COMPUTED_VALUE"""),"BLUE")</f>
        <v>BLUE</v>
      </c>
      <c r="G5277" s="20" t="str">
        <f>IFERROR(__xludf.DUMMYFUNCTION("""COMPUTED_VALUE"""),"Uncle Sams Cider (11/12/2021) (Blue)")</f>
        <v>Uncle Sams Cider (11/12/2021) (Blue)</v>
      </c>
      <c r="H5277" s="19"/>
    </row>
    <row r="5278">
      <c r="A5278" s="9"/>
      <c r="B5278" s="15"/>
      <c r="C5278" s="9">
        <f>IFERROR(__xludf.DUMMYFUNCTION("""COMPUTED_VALUE"""),44550.2125722569)</f>
        <v>44550.21257</v>
      </c>
      <c r="D5278" s="15">
        <f>IFERROR(__xludf.DUMMYFUNCTION("""COMPUTED_VALUE"""),1.013)</f>
        <v>1.013</v>
      </c>
      <c r="E5278" s="16">
        <f>IFERROR(__xludf.DUMMYFUNCTION("""COMPUTED_VALUE"""),63.0)</f>
        <v>63</v>
      </c>
      <c r="F5278" s="19" t="str">
        <f>IFERROR(__xludf.DUMMYFUNCTION("""COMPUTED_VALUE"""),"BLUE")</f>
        <v>BLUE</v>
      </c>
      <c r="G5278" s="20" t="str">
        <f>IFERROR(__xludf.DUMMYFUNCTION("""COMPUTED_VALUE"""),"Uncle Sams Cider (11/12/2021) (Blue)")</f>
        <v>Uncle Sams Cider (11/12/2021) (Blue)</v>
      </c>
      <c r="H5278" s="19"/>
    </row>
    <row r="5279">
      <c r="A5279" s="9"/>
      <c r="B5279" s="15"/>
      <c r="C5279" s="9">
        <f>IFERROR(__xludf.DUMMYFUNCTION("""COMPUTED_VALUE"""),44550.2021515856)</f>
        <v>44550.20215</v>
      </c>
      <c r="D5279" s="15">
        <f>IFERROR(__xludf.DUMMYFUNCTION("""COMPUTED_VALUE"""),1.013)</f>
        <v>1.013</v>
      </c>
      <c r="E5279" s="16">
        <f>IFERROR(__xludf.DUMMYFUNCTION("""COMPUTED_VALUE"""),63.0)</f>
        <v>63</v>
      </c>
      <c r="F5279" s="19" t="str">
        <f>IFERROR(__xludf.DUMMYFUNCTION("""COMPUTED_VALUE"""),"BLUE")</f>
        <v>BLUE</v>
      </c>
      <c r="G5279" s="20" t="str">
        <f>IFERROR(__xludf.DUMMYFUNCTION("""COMPUTED_VALUE"""),"Uncle Sams Cider (11/12/2021) (Blue)")</f>
        <v>Uncle Sams Cider (11/12/2021) (Blue)</v>
      </c>
      <c r="H5279" s="19"/>
    </row>
    <row r="5280">
      <c r="A5280" s="9"/>
      <c r="B5280" s="15"/>
      <c r="C5280" s="9">
        <f>IFERROR(__xludf.DUMMYFUNCTION("""COMPUTED_VALUE"""),44550.1917316203)</f>
        <v>44550.19173</v>
      </c>
      <c r="D5280" s="15">
        <f>IFERROR(__xludf.DUMMYFUNCTION("""COMPUTED_VALUE"""),1.013)</f>
        <v>1.013</v>
      </c>
      <c r="E5280" s="16">
        <f>IFERROR(__xludf.DUMMYFUNCTION("""COMPUTED_VALUE"""),63.0)</f>
        <v>63</v>
      </c>
      <c r="F5280" s="19" t="str">
        <f>IFERROR(__xludf.DUMMYFUNCTION("""COMPUTED_VALUE"""),"BLUE")</f>
        <v>BLUE</v>
      </c>
      <c r="G5280" s="20" t="str">
        <f>IFERROR(__xludf.DUMMYFUNCTION("""COMPUTED_VALUE"""),"Uncle Sams Cider (11/12/2021) (Blue)")</f>
        <v>Uncle Sams Cider (11/12/2021) (Blue)</v>
      </c>
      <c r="H5280" s="19"/>
    </row>
    <row r="5281">
      <c r="A5281" s="9"/>
      <c r="B5281" s="15"/>
      <c r="C5281" s="9">
        <f>IFERROR(__xludf.DUMMYFUNCTION("""COMPUTED_VALUE"""),44550.1813123148)</f>
        <v>44550.18131</v>
      </c>
      <c r="D5281" s="15">
        <f>IFERROR(__xludf.DUMMYFUNCTION("""COMPUTED_VALUE"""),1.013)</f>
        <v>1.013</v>
      </c>
      <c r="E5281" s="16">
        <f>IFERROR(__xludf.DUMMYFUNCTION("""COMPUTED_VALUE"""),63.0)</f>
        <v>63</v>
      </c>
      <c r="F5281" s="19" t="str">
        <f>IFERROR(__xludf.DUMMYFUNCTION("""COMPUTED_VALUE"""),"BLUE")</f>
        <v>BLUE</v>
      </c>
      <c r="G5281" s="20" t="str">
        <f>IFERROR(__xludf.DUMMYFUNCTION("""COMPUTED_VALUE"""),"Uncle Sams Cider (11/12/2021) (Blue)")</f>
        <v>Uncle Sams Cider (11/12/2021) (Blue)</v>
      </c>
      <c r="H5281" s="19"/>
    </row>
    <row r="5282">
      <c r="A5282" s="9"/>
      <c r="B5282" s="15"/>
      <c r="C5282" s="9">
        <f>IFERROR(__xludf.DUMMYFUNCTION("""COMPUTED_VALUE"""),44550.1708890393)</f>
        <v>44550.17089</v>
      </c>
      <c r="D5282" s="15">
        <f>IFERROR(__xludf.DUMMYFUNCTION("""COMPUTED_VALUE"""),1.013)</f>
        <v>1.013</v>
      </c>
      <c r="E5282" s="16">
        <f>IFERROR(__xludf.DUMMYFUNCTION("""COMPUTED_VALUE"""),63.0)</f>
        <v>63</v>
      </c>
      <c r="F5282" s="19" t="str">
        <f>IFERROR(__xludf.DUMMYFUNCTION("""COMPUTED_VALUE"""),"BLUE")</f>
        <v>BLUE</v>
      </c>
      <c r="G5282" s="20" t="str">
        <f>IFERROR(__xludf.DUMMYFUNCTION("""COMPUTED_VALUE"""),"Uncle Sams Cider (11/12/2021) (Blue)")</f>
        <v>Uncle Sams Cider (11/12/2021) (Blue)</v>
      </c>
      <c r="H5282" s="19"/>
    </row>
    <row r="5283">
      <c r="A5283" s="9"/>
      <c r="B5283" s="15"/>
      <c r="C5283" s="9">
        <f>IFERROR(__xludf.DUMMYFUNCTION("""COMPUTED_VALUE"""),44550.1604700347)</f>
        <v>44550.16047</v>
      </c>
      <c r="D5283" s="15">
        <f>IFERROR(__xludf.DUMMYFUNCTION("""COMPUTED_VALUE"""),1.013)</f>
        <v>1.013</v>
      </c>
      <c r="E5283" s="16">
        <f>IFERROR(__xludf.DUMMYFUNCTION("""COMPUTED_VALUE"""),63.0)</f>
        <v>63</v>
      </c>
      <c r="F5283" s="19" t="str">
        <f>IFERROR(__xludf.DUMMYFUNCTION("""COMPUTED_VALUE"""),"BLUE")</f>
        <v>BLUE</v>
      </c>
      <c r="G5283" s="20" t="str">
        <f>IFERROR(__xludf.DUMMYFUNCTION("""COMPUTED_VALUE"""),"Uncle Sams Cider (11/12/2021) (Blue)")</f>
        <v>Uncle Sams Cider (11/12/2021) (Blue)</v>
      </c>
      <c r="H5283" s="19"/>
    </row>
    <row r="5284">
      <c r="A5284" s="9"/>
      <c r="B5284" s="15"/>
      <c r="C5284" s="9">
        <f>IFERROR(__xludf.DUMMYFUNCTION("""COMPUTED_VALUE"""),44550.1500376273)</f>
        <v>44550.15004</v>
      </c>
      <c r="D5284" s="15">
        <f>IFERROR(__xludf.DUMMYFUNCTION("""COMPUTED_VALUE"""),1.013)</f>
        <v>1.013</v>
      </c>
      <c r="E5284" s="16">
        <f>IFERROR(__xludf.DUMMYFUNCTION("""COMPUTED_VALUE"""),63.0)</f>
        <v>63</v>
      </c>
      <c r="F5284" s="19" t="str">
        <f>IFERROR(__xludf.DUMMYFUNCTION("""COMPUTED_VALUE"""),"BLUE")</f>
        <v>BLUE</v>
      </c>
      <c r="G5284" s="20" t="str">
        <f>IFERROR(__xludf.DUMMYFUNCTION("""COMPUTED_VALUE"""),"Uncle Sams Cider (11/12/2021) (Blue)")</f>
        <v>Uncle Sams Cider (11/12/2021) (Blue)</v>
      </c>
      <c r="H5284" s="19"/>
    </row>
    <row r="5285">
      <c r="A5285" s="9"/>
      <c r="B5285" s="15"/>
      <c r="C5285" s="9">
        <f>IFERROR(__xludf.DUMMYFUNCTION("""COMPUTED_VALUE"""),44550.1396180324)</f>
        <v>44550.13962</v>
      </c>
      <c r="D5285" s="15">
        <f>IFERROR(__xludf.DUMMYFUNCTION("""COMPUTED_VALUE"""),1.013)</f>
        <v>1.013</v>
      </c>
      <c r="E5285" s="16">
        <f>IFERROR(__xludf.DUMMYFUNCTION("""COMPUTED_VALUE"""),63.0)</f>
        <v>63</v>
      </c>
      <c r="F5285" s="19" t="str">
        <f>IFERROR(__xludf.DUMMYFUNCTION("""COMPUTED_VALUE"""),"BLUE")</f>
        <v>BLUE</v>
      </c>
      <c r="G5285" s="20" t="str">
        <f>IFERROR(__xludf.DUMMYFUNCTION("""COMPUTED_VALUE"""),"Uncle Sams Cider (11/12/2021) (Blue)")</f>
        <v>Uncle Sams Cider (11/12/2021) (Blue)</v>
      </c>
      <c r="H5285" s="19"/>
    </row>
    <row r="5286">
      <c r="A5286" s="9"/>
      <c r="B5286" s="15"/>
      <c r="C5286" s="9">
        <f>IFERROR(__xludf.DUMMYFUNCTION("""COMPUTED_VALUE"""),44550.1291979976)</f>
        <v>44550.1292</v>
      </c>
      <c r="D5286" s="15">
        <f>IFERROR(__xludf.DUMMYFUNCTION("""COMPUTED_VALUE"""),1.013)</f>
        <v>1.013</v>
      </c>
      <c r="E5286" s="16">
        <f>IFERROR(__xludf.DUMMYFUNCTION("""COMPUTED_VALUE"""),63.0)</f>
        <v>63</v>
      </c>
      <c r="F5286" s="19" t="str">
        <f>IFERROR(__xludf.DUMMYFUNCTION("""COMPUTED_VALUE"""),"BLUE")</f>
        <v>BLUE</v>
      </c>
      <c r="G5286" s="20" t="str">
        <f>IFERROR(__xludf.DUMMYFUNCTION("""COMPUTED_VALUE"""),"Uncle Sams Cider (11/12/2021) (Blue)")</f>
        <v>Uncle Sams Cider (11/12/2021) (Blue)</v>
      </c>
      <c r="H5286" s="19"/>
    </row>
    <row r="5287">
      <c r="A5287" s="9"/>
      <c r="B5287" s="15"/>
      <c r="C5287" s="9">
        <f>IFERROR(__xludf.DUMMYFUNCTION("""COMPUTED_VALUE"""),44550.1187762384)</f>
        <v>44550.11878</v>
      </c>
      <c r="D5287" s="15">
        <f>IFERROR(__xludf.DUMMYFUNCTION("""COMPUTED_VALUE"""),1.013)</f>
        <v>1.013</v>
      </c>
      <c r="E5287" s="16">
        <f>IFERROR(__xludf.DUMMYFUNCTION("""COMPUTED_VALUE"""),63.0)</f>
        <v>63</v>
      </c>
      <c r="F5287" s="19" t="str">
        <f>IFERROR(__xludf.DUMMYFUNCTION("""COMPUTED_VALUE"""),"BLUE")</f>
        <v>BLUE</v>
      </c>
      <c r="G5287" s="20" t="str">
        <f>IFERROR(__xludf.DUMMYFUNCTION("""COMPUTED_VALUE"""),"Uncle Sams Cider (11/12/2021) (Blue)")</f>
        <v>Uncle Sams Cider (11/12/2021) (Blue)</v>
      </c>
      <c r="H5287" s="19"/>
    </row>
    <row r="5288">
      <c r="A5288" s="9"/>
      <c r="B5288" s="15"/>
      <c r="C5288" s="9">
        <f>IFERROR(__xludf.DUMMYFUNCTION("""COMPUTED_VALUE"""),44550.108354375)</f>
        <v>44550.10835</v>
      </c>
      <c r="D5288" s="15">
        <f>IFERROR(__xludf.DUMMYFUNCTION("""COMPUTED_VALUE"""),1.013)</f>
        <v>1.013</v>
      </c>
      <c r="E5288" s="16">
        <f>IFERROR(__xludf.DUMMYFUNCTION("""COMPUTED_VALUE"""),63.0)</f>
        <v>63</v>
      </c>
      <c r="F5288" s="19" t="str">
        <f>IFERROR(__xludf.DUMMYFUNCTION("""COMPUTED_VALUE"""),"BLUE")</f>
        <v>BLUE</v>
      </c>
      <c r="G5288" s="20" t="str">
        <f>IFERROR(__xludf.DUMMYFUNCTION("""COMPUTED_VALUE"""),"Uncle Sams Cider (11/12/2021) (Blue)")</f>
        <v>Uncle Sams Cider (11/12/2021) (Blue)</v>
      </c>
      <c r="H5288" s="19"/>
    </row>
    <row r="5289">
      <c r="A5289" s="9"/>
      <c r="B5289" s="15"/>
      <c r="C5289" s="9">
        <f>IFERROR(__xludf.DUMMYFUNCTION("""COMPUTED_VALUE"""),44550.097932824)</f>
        <v>44550.09793</v>
      </c>
      <c r="D5289" s="15">
        <f>IFERROR(__xludf.DUMMYFUNCTION("""COMPUTED_VALUE"""),1.013)</f>
        <v>1.013</v>
      </c>
      <c r="E5289" s="16">
        <f>IFERROR(__xludf.DUMMYFUNCTION("""COMPUTED_VALUE"""),63.0)</f>
        <v>63</v>
      </c>
      <c r="F5289" s="19" t="str">
        <f>IFERROR(__xludf.DUMMYFUNCTION("""COMPUTED_VALUE"""),"BLUE")</f>
        <v>BLUE</v>
      </c>
      <c r="G5289" s="20" t="str">
        <f>IFERROR(__xludf.DUMMYFUNCTION("""COMPUTED_VALUE"""),"Uncle Sams Cider (11/12/2021) (Blue)")</f>
        <v>Uncle Sams Cider (11/12/2021) (Blue)</v>
      </c>
      <c r="H5289" s="19"/>
    </row>
    <row r="5290">
      <c r="A5290" s="9"/>
      <c r="B5290" s="15"/>
      <c r="C5290" s="9">
        <f>IFERROR(__xludf.DUMMYFUNCTION("""COMPUTED_VALUE"""),44550.0874995601)</f>
        <v>44550.0875</v>
      </c>
      <c r="D5290" s="15">
        <f>IFERROR(__xludf.DUMMYFUNCTION("""COMPUTED_VALUE"""),1.013)</f>
        <v>1.013</v>
      </c>
      <c r="E5290" s="16">
        <f>IFERROR(__xludf.DUMMYFUNCTION("""COMPUTED_VALUE"""),63.0)</f>
        <v>63</v>
      </c>
      <c r="F5290" s="19" t="str">
        <f>IFERROR(__xludf.DUMMYFUNCTION("""COMPUTED_VALUE"""),"BLUE")</f>
        <v>BLUE</v>
      </c>
      <c r="G5290" s="20" t="str">
        <f>IFERROR(__xludf.DUMMYFUNCTION("""COMPUTED_VALUE"""),"Uncle Sams Cider (11/12/2021) (Blue)")</f>
        <v>Uncle Sams Cider (11/12/2021) (Blue)</v>
      </c>
      <c r="H5290" s="19"/>
    </row>
    <row r="5291">
      <c r="A5291" s="9"/>
      <c r="B5291" s="15"/>
      <c r="C5291" s="9">
        <f>IFERROR(__xludf.DUMMYFUNCTION("""COMPUTED_VALUE"""),44550.0770770601)</f>
        <v>44550.07708</v>
      </c>
      <c r="D5291" s="15">
        <f>IFERROR(__xludf.DUMMYFUNCTION("""COMPUTED_VALUE"""),1.013)</f>
        <v>1.013</v>
      </c>
      <c r="E5291" s="16">
        <f>IFERROR(__xludf.DUMMYFUNCTION("""COMPUTED_VALUE"""),63.0)</f>
        <v>63</v>
      </c>
      <c r="F5291" s="19" t="str">
        <f>IFERROR(__xludf.DUMMYFUNCTION("""COMPUTED_VALUE"""),"BLUE")</f>
        <v>BLUE</v>
      </c>
      <c r="G5291" s="20" t="str">
        <f>IFERROR(__xludf.DUMMYFUNCTION("""COMPUTED_VALUE"""),"Uncle Sams Cider (11/12/2021) (Blue)")</f>
        <v>Uncle Sams Cider (11/12/2021) (Blue)</v>
      </c>
      <c r="H5291" s="19"/>
    </row>
    <row r="5292">
      <c r="A5292" s="9"/>
      <c r="B5292" s="15"/>
      <c r="C5292" s="9">
        <f>IFERROR(__xludf.DUMMYFUNCTION("""COMPUTED_VALUE"""),44550.0666456481)</f>
        <v>44550.06665</v>
      </c>
      <c r="D5292" s="15">
        <f>IFERROR(__xludf.DUMMYFUNCTION("""COMPUTED_VALUE"""),1.013)</f>
        <v>1.013</v>
      </c>
      <c r="E5292" s="16">
        <f>IFERROR(__xludf.DUMMYFUNCTION("""COMPUTED_VALUE"""),63.0)</f>
        <v>63</v>
      </c>
      <c r="F5292" s="19" t="str">
        <f>IFERROR(__xludf.DUMMYFUNCTION("""COMPUTED_VALUE"""),"BLUE")</f>
        <v>BLUE</v>
      </c>
      <c r="G5292" s="20" t="str">
        <f>IFERROR(__xludf.DUMMYFUNCTION("""COMPUTED_VALUE"""),"Uncle Sams Cider (11/12/2021) (Blue)")</f>
        <v>Uncle Sams Cider (11/12/2021) (Blue)</v>
      </c>
      <c r="H5292" s="19"/>
    </row>
    <row r="5293">
      <c r="A5293" s="9"/>
      <c r="B5293" s="15"/>
      <c r="C5293" s="9">
        <f>IFERROR(__xludf.DUMMYFUNCTION("""COMPUTED_VALUE"""),44550.0562244907)</f>
        <v>44550.05622</v>
      </c>
      <c r="D5293" s="15">
        <f>IFERROR(__xludf.DUMMYFUNCTION("""COMPUTED_VALUE"""),1.013)</f>
        <v>1.013</v>
      </c>
      <c r="E5293" s="16">
        <f>IFERROR(__xludf.DUMMYFUNCTION("""COMPUTED_VALUE"""),63.0)</f>
        <v>63</v>
      </c>
      <c r="F5293" s="19" t="str">
        <f>IFERROR(__xludf.DUMMYFUNCTION("""COMPUTED_VALUE"""),"BLUE")</f>
        <v>BLUE</v>
      </c>
      <c r="G5293" s="20" t="str">
        <f>IFERROR(__xludf.DUMMYFUNCTION("""COMPUTED_VALUE"""),"Uncle Sams Cider (11/12/2021) (Blue)")</f>
        <v>Uncle Sams Cider (11/12/2021) (Blue)</v>
      </c>
      <c r="H5293" s="19"/>
    </row>
    <row r="5294">
      <c r="A5294" s="9"/>
      <c r="B5294" s="15"/>
      <c r="C5294" s="9">
        <f>IFERROR(__xludf.DUMMYFUNCTION("""COMPUTED_VALUE"""),44550.0458025231)</f>
        <v>44550.0458</v>
      </c>
      <c r="D5294" s="15">
        <f>IFERROR(__xludf.DUMMYFUNCTION("""COMPUTED_VALUE"""),1.013)</f>
        <v>1.013</v>
      </c>
      <c r="E5294" s="16">
        <f>IFERROR(__xludf.DUMMYFUNCTION("""COMPUTED_VALUE"""),63.0)</f>
        <v>63</v>
      </c>
      <c r="F5294" s="19" t="str">
        <f>IFERROR(__xludf.DUMMYFUNCTION("""COMPUTED_VALUE"""),"BLUE")</f>
        <v>BLUE</v>
      </c>
      <c r="G5294" s="20" t="str">
        <f>IFERROR(__xludf.DUMMYFUNCTION("""COMPUTED_VALUE"""),"Uncle Sams Cider (11/12/2021) (Blue)")</f>
        <v>Uncle Sams Cider (11/12/2021) (Blue)</v>
      </c>
      <c r="H5294" s="19"/>
    </row>
    <row r="5295">
      <c r="A5295" s="9"/>
      <c r="B5295" s="15"/>
      <c r="C5295" s="9">
        <f>IFERROR(__xludf.DUMMYFUNCTION("""COMPUTED_VALUE"""),44550.035379375)</f>
        <v>44550.03538</v>
      </c>
      <c r="D5295" s="15">
        <f>IFERROR(__xludf.DUMMYFUNCTION("""COMPUTED_VALUE"""),1.013)</f>
        <v>1.013</v>
      </c>
      <c r="E5295" s="16">
        <f>IFERROR(__xludf.DUMMYFUNCTION("""COMPUTED_VALUE"""),63.0)</f>
        <v>63</v>
      </c>
      <c r="F5295" s="19" t="str">
        <f>IFERROR(__xludf.DUMMYFUNCTION("""COMPUTED_VALUE"""),"BLUE")</f>
        <v>BLUE</v>
      </c>
      <c r="G5295" s="20" t="str">
        <f>IFERROR(__xludf.DUMMYFUNCTION("""COMPUTED_VALUE"""),"Uncle Sams Cider (11/12/2021) (Blue)")</f>
        <v>Uncle Sams Cider (11/12/2021) (Blue)</v>
      </c>
      <c r="H5295" s="19"/>
    </row>
    <row r="5296">
      <c r="A5296" s="9"/>
      <c r="B5296" s="15"/>
      <c r="C5296" s="9">
        <f>IFERROR(__xludf.DUMMYFUNCTION("""COMPUTED_VALUE"""),44550.0249581018)</f>
        <v>44550.02496</v>
      </c>
      <c r="D5296" s="15">
        <f>IFERROR(__xludf.DUMMYFUNCTION("""COMPUTED_VALUE"""),1.013)</f>
        <v>1.013</v>
      </c>
      <c r="E5296" s="16">
        <f>IFERROR(__xludf.DUMMYFUNCTION("""COMPUTED_VALUE"""),63.0)</f>
        <v>63</v>
      </c>
      <c r="F5296" s="19" t="str">
        <f>IFERROR(__xludf.DUMMYFUNCTION("""COMPUTED_VALUE"""),"BLUE")</f>
        <v>BLUE</v>
      </c>
      <c r="G5296" s="20" t="str">
        <f>IFERROR(__xludf.DUMMYFUNCTION("""COMPUTED_VALUE"""),"Uncle Sams Cider (11/12/2021) (Blue)")</f>
        <v>Uncle Sams Cider (11/12/2021) (Blue)</v>
      </c>
      <c r="H5296" s="19"/>
    </row>
    <row r="5297">
      <c r="A5297" s="9"/>
      <c r="B5297" s="15"/>
      <c r="C5297" s="9">
        <f>IFERROR(__xludf.DUMMYFUNCTION("""COMPUTED_VALUE"""),44550.0145361689)</f>
        <v>44550.01454</v>
      </c>
      <c r="D5297" s="15">
        <f>IFERROR(__xludf.DUMMYFUNCTION("""COMPUTED_VALUE"""),1.013)</f>
        <v>1.013</v>
      </c>
      <c r="E5297" s="16">
        <f>IFERROR(__xludf.DUMMYFUNCTION("""COMPUTED_VALUE"""),63.0)</f>
        <v>63</v>
      </c>
      <c r="F5297" s="19" t="str">
        <f>IFERROR(__xludf.DUMMYFUNCTION("""COMPUTED_VALUE"""),"BLUE")</f>
        <v>BLUE</v>
      </c>
      <c r="G5297" s="20" t="str">
        <f>IFERROR(__xludf.DUMMYFUNCTION("""COMPUTED_VALUE"""),"Uncle Sams Cider (11/12/2021) (Blue)")</f>
        <v>Uncle Sams Cider (11/12/2021) (Blue)</v>
      </c>
      <c r="H5297" s="19"/>
    </row>
    <row r="5298">
      <c r="A5298" s="9"/>
      <c r="B5298" s="15"/>
      <c r="C5298" s="9">
        <f>IFERROR(__xludf.DUMMYFUNCTION("""COMPUTED_VALUE"""),44550.0040925925)</f>
        <v>44550.00409</v>
      </c>
      <c r="D5298" s="15">
        <f>IFERROR(__xludf.DUMMYFUNCTION("""COMPUTED_VALUE"""),1.013)</f>
        <v>1.013</v>
      </c>
      <c r="E5298" s="16">
        <f>IFERROR(__xludf.DUMMYFUNCTION("""COMPUTED_VALUE"""),63.0)</f>
        <v>63</v>
      </c>
      <c r="F5298" s="19" t="str">
        <f>IFERROR(__xludf.DUMMYFUNCTION("""COMPUTED_VALUE"""),"BLUE")</f>
        <v>BLUE</v>
      </c>
      <c r="G5298" s="20" t="str">
        <f>IFERROR(__xludf.DUMMYFUNCTION("""COMPUTED_VALUE"""),"Uncle Sams Cider (11/12/2021) (Blue)")</f>
        <v>Uncle Sams Cider (11/12/2021) (Blue)</v>
      </c>
      <c r="H5298" s="19"/>
    </row>
    <row r="5299">
      <c r="A5299" s="9"/>
      <c r="B5299" s="15"/>
      <c r="C5299" s="9">
        <f>IFERROR(__xludf.DUMMYFUNCTION("""COMPUTED_VALUE"""),44549.9936608449)</f>
        <v>44549.99366</v>
      </c>
      <c r="D5299" s="15">
        <f>IFERROR(__xludf.DUMMYFUNCTION("""COMPUTED_VALUE"""),1.013)</f>
        <v>1.013</v>
      </c>
      <c r="E5299" s="16">
        <f>IFERROR(__xludf.DUMMYFUNCTION("""COMPUTED_VALUE"""),63.0)</f>
        <v>63</v>
      </c>
      <c r="F5299" s="19" t="str">
        <f>IFERROR(__xludf.DUMMYFUNCTION("""COMPUTED_VALUE"""),"BLUE")</f>
        <v>BLUE</v>
      </c>
      <c r="G5299" s="20" t="str">
        <f>IFERROR(__xludf.DUMMYFUNCTION("""COMPUTED_VALUE"""),"Uncle Sams Cider (11/12/2021) (Blue)")</f>
        <v>Uncle Sams Cider (11/12/2021) (Blue)</v>
      </c>
      <c r="H5299" s="19"/>
    </row>
    <row r="5300">
      <c r="A5300" s="9"/>
      <c r="B5300" s="15"/>
      <c r="C5300" s="9">
        <f>IFERROR(__xludf.DUMMYFUNCTION("""COMPUTED_VALUE"""),44549.9832398726)</f>
        <v>44549.98324</v>
      </c>
      <c r="D5300" s="15">
        <f>IFERROR(__xludf.DUMMYFUNCTION("""COMPUTED_VALUE"""),1.013)</f>
        <v>1.013</v>
      </c>
      <c r="E5300" s="16">
        <f>IFERROR(__xludf.DUMMYFUNCTION("""COMPUTED_VALUE"""),63.0)</f>
        <v>63</v>
      </c>
      <c r="F5300" s="19" t="str">
        <f>IFERROR(__xludf.DUMMYFUNCTION("""COMPUTED_VALUE"""),"BLUE")</f>
        <v>BLUE</v>
      </c>
      <c r="G5300" s="20" t="str">
        <f>IFERROR(__xludf.DUMMYFUNCTION("""COMPUTED_VALUE"""),"Uncle Sams Cider (11/12/2021) (Blue)")</f>
        <v>Uncle Sams Cider (11/12/2021) (Blue)</v>
      </c>
      <c r="H5300" s="19"/>
    </row>
    <row r="5301">
      <c r="A5301" s="9"/>
      <c r="B5301" s="15"/>
      <c r="C5301" s="9">
        <f>IFERROR(__xludf.DUMMYFUNCTION("""COMPUTED_VALUE"""),44549.9728200347)</f>
        <v>44549.97282</v>
      </c>
      <c r="D5301" s="15">
        <f>IFERROR(__xludf.DUMMYFUNCTION("""COMPUTED_VALUE"""),1.013)</f>
        <v>1.013</v>
      </c>
      <c r="E5301" s="16">
        <f>IFERROR(__xludf.DUMMYFUNCTION("""COMPUTED_VALUE"""),63.0)</f>
        <v>63</v>
      </c>
      <c r="F5301" s="19" t="str">
        <f>IFERROR(__xludf.DUMMYFUNCTION("""COMPUTED_VALUE"""),"BLUE")</f>
        <v>BLUE</v>
      </c>
      <c r="G5301" s="20" t="str">
        <f>IFERROR(__xludf.DUMMYFUNCTION("""COMPUTED_VALUE"""),"Uncle Sams Cider (11/12/2021) (Blue)")</f>
        <v>Uncle Sams Cider (11/12/2021) (Blue)</v>
      </c>
      <c r="H5301" s="19"/>
    </row>
    <row r="5302">
      <c r="A5302" s="9"/>
      <c r="B5302" s="15"/>
      <c r="C5302" s="9">
        <f>IFERROR(__xludf.DUMMYFUNCTION("""COMPUTED_VALUE"""),44549.9623997453)</f>
        <v>44549.9624</v>
      </c>
      <c r="D5302" s="15">
        <f>IFERROR(__xludf.DUMMYFUNCTION("""COMPUTED_VALUE"""),1.013)</f>
        <v>1.013</v>
      </c>
      <c r="E5302" s="16">
        <f>IFERROR(__xludf.DUMMYFUNCTION("""COMPUTED_VALUE"""),63.0)</f>
        <v>63</v>
      </c>
      <c r="F5302" s="19" t="str">
        <f>IFERROR(__xludf.DUMMYFUNCTION("""COMPUTED_VALUE"""),"BLUE")</f>
        <v>BLUE</v>
      </c>
      <c r="G5302" s="20" t="str">
        <f>IFERROR(__xludf.DUMMYFUNCTION("""COMPUTED_VALUE"""),"Uncle Sams Cider (11/12/2021) (Blue)")</f>
        <v>Uncle Sams Cider (11/12/2021) (Blue)</v>
      </c>
      <c r="H5302" s="19"/>
    </row>
    <row r="5303">
      <c r="A5303" s="9"/>
      <c r="B5303" s="15"/>
      <c r="C5303" s="9">
        <f>IFERROR(__xludf.DUMMYFUNCTION("""COMPUTED_VALUE"""),44549.9415585879)</f>
        <v>44549.94156</v>
      </c>
      <c r="D5303" s="15">
        <f>IFERROR(__xludf.DUMMYFUNCTION("""COMPUTED_VALUE"""),1.013)</f>
        <v>1.013</v>
      </c>
      <c r="E5303" s="16">
        <f>IFERROR(__xludf.DUMMYFUNCTION("""COMPUTED_VALUE"""),63.0)</f>
        <v>63</v>
      </c>
      <c r="F5303" s="19" t="str">
        <f>IFERROR(__xludf.DUMMYFUNCTION("""COMPUTED_VALUE"""),"BLUE")</f>
        <v>BLUE</v>
      </c>
      <c r="G5303" s="20" t="str">
        <f>IFERROR(__xludf.DUMMYFUNCTION("""COMPUTED_VALUE"""),"Uncle Sams Cider (11/12/2021) (Blue)")</f>
        <v>Uncle Sams Cider (11/12/2021) (Blue)</v>
      </c>
      <c r="H5303" s="19"/>
    </row>
    <row r="5304">
      <c r="A5304" s="9"/>
      <c r="B5304" s="15"/>
      <c r="C5304" s="9">
        <f>IFERROR(__xludf.DUMMYFUNCTION("""COMPUTED_VALUE"""),44549.9311378009)</f>
        <v>44549.93114</v>
      </c>
      <c r="D5304" s="15">
        <f>IFERROR(__xludf.DUMMYFUNCTION("""COMPUTED_VALUE"""),1.013)</f>
        <v>1.013</v>
      </c>
      <c r="E5304" s="16">
        <f>IFERROR(__xludf.DUMMYFUNCTION("""COMPUTED_VALUE"""),63.0)</f>
        <v>63</v>
      </c>
      <c r="F5304" s="19" t="str">
        <f>IFERROR(__xludf.DUMMYFUNCTION("""COMPUTED_VALUE"""),"BLUE")</f>
        <v>BLUE</v>
      </c>
      <c r="G5304" s="20" t="str">
        <f>IFERROR(__xludf.DUMMYFUNCTION("""COMPUTED_VALUE"""),"Uncle Sams Cider (11/12/2021) (Blue)")</f>
        <v>Uncle Sams Cider (11/12/2021) (Blue)</v>
      </c>
      <c r="H5304" s="19"/>
    </row>
    <row r="5305">
      <c r="A5305" s="9"/>
      <c r="B5305" s="15"/>
      <c r="C5305" s="9">
        <f>IFERROR(__xludf.DUMMYFUNCTION("""COMPUTED_VALUE"""),44549.9207154976)</f>
        <v>44549.92072</v>
      </c>
      <c r="D5305" s="15">
        <f>IFERROR(__xludf.DUMMYFUNCTION("""COMPUTED_VALUE"""),1.013)</f>
        <v>1.013</v>
      </c>
      <c r="E5305" s="16">
        <f>IFERROR(__xludf.DUMMYFUNCTION("""COMPUTED_VALUE"""),63.0)</f>
        <v>63</v>
      </c>
      <c r="F5305" s="19" t="str">
        <f>IFERROR(__xludf.DUMMYFUNCTION("""COMPUTED_VALUE"""),"BLUE")</f>
        <v>BLUE</v>
      </c>
      <c r="G5305" s="20" t="str">
        <f>IFERROR(__xludf.DUMMYFUNCTION("""COMPUTED_VALUE"""),"Uncle Sams Cider (11/12/2021) (Blue)")</f>
        <v>Uncle Sams Cider (11/12/2021) (Blue)</v>
      </c>
      <c r="H5305" s="19"/>
    </row>
    <row r="5306">
      <c r="A5306" s="9"/>
      <c r="B5306" s="15"/>
      <c r="C5306" s="9">
        <f>IFERROR(__xludf.DUMMYFUNCTION("""COMPUTED_VALUE"""),44549.9102956134)</f>
        <v>44549.9103</v>
      </c>
      <c r="D5306" s="15">
        <f>IFERROR(__xludf.DUMMYFUNCTION("""COMPUTED_VALUE"""),1.013)</f>
        <v>1.013</v>
      </c>
      <c r="E5306" s="16">
        <f>IFERROR(__xludf.DUMMYFUNCTION("""COMPUTED_VALUE"""),63.0)</f>
        <v>63</v>
      </c>
      <c r="F5306" s="19" t="str">
        <f>IFERROR(__xludf.DUMMYFUNCTION("""COMPUTED_VALUE"""),"BLUE")</f>
        <v>BLUE</v>
      </c>
      <c r="G5306" s="20" t="str">
        <f>IFERROR(__xludf.DUMMYFUNCTION("""COMPUTED_VALUE"""),"Uncle Sams Cider (11/12/2021) (Blue)")</f>
        <v>Uncle Sams Cider (11/12/2021) (Blue)</v>
      </c>
      <c r="H5306" s="19"/>
    </row>
    <row r="5307">
      <c r="A5307" s="9"/>
      <c r="B5307" s="15"/>
      <c r="C5307" s="9">
        <f>IFERROR(__xludf.DUMMYFUNCTION("""COMPUTED_VALUE"""),44549.8998742013)</f>
        <v>44549.89987</v>
      </c>
      <c r="D5307" s="15">
        <f>IFERROR(__xludf.DUMMYFUNCTION("""COMPUTED_VALUE"""),1.013)</f>
        <v>1.013</v>
      </c>
      <c r="E5307" s="16">
        <f>IFERROR(__xludf.DUMMYFUNCTION("""COMPUTED_VALUE"""),63.0)</f>
        <v>63</v>
      </c>
      <c r="F5307" s="19" t="str">
        <f>IFERROR(__xludf.DUMMYFUNCTION("""COMPUTED_VALUE"""),"BLUE")</f>
        <v>BLUE</v>
      </c>
      <c r="G5307" s="20" t="str">
        <f>IFERROR(__xludf.DUMMYFUNCTION("""COMPUTED_VALUE"""),"Uncle Sams Cider (11/12/2021) (Blue)")</f>
        <v>Uncle Sams Cider (11/12/2021) (Blue)</v>
      </c>
      <c r="H5307" s="19"/>
    </row>
    <row r="5308">
      <c r="A5308" s="9"/>
      <c r="B5308" s="15"/>
      <c r="C5308" s="9">
        <f>IFERROR(__xludf.DUMMYFUNCTION("""COMPUTED_VALUE"""),44549.8894543402)</f>
        <v>44549.88945</v>
      </c>
      <c r="D5308" s="15">
        <f>IFERROR(__xludf.DUMMYFUNCTION("""COMPUTED_VALUE"""),1.013)</f>
        <v>1.013</v>
      </c>
      <c r="E5308" s="16">
        <f>IFERROR(__xludf.DUMMYFUNCTION("""COMPUTED_VALUE"""),63.0)</f>
        <v>63</v>
      </c>
      <c r="F5308" s="19" t="str">
        <f>IFERROR(__xludf.DUMMYFUNCTION("""COMPUTED_VALUE"""),"BLUE")</f>
        <v>BLUE</v>
      </c>
      <c r="G5308" s="20" t="str">
        <f>IFERROR(__xludf.DUMMYFUNCTION("""COMPUTED_VALUE"""),"Uncle Sams Cider (11/12/2021) (Blue)")</f>
        <v>Uncle Sams Cider (11/12/2021) (Blue)</v>
      </c>
      <c r="H5308" s="19"/>
    </row>
    <row r="5309">
      <c r="A5309" s="9"/>
      <c r="B5309" s="15"/>
      <c r="C5309" s="9">
        <f>IFERROR(__xludf.DUMMYFUNCTION("""COMPUTED_VALUE"""),44549.879033206)</f>
        <v>44549.87903</v>
      </c>
      <c r="D5309" s="15">
        <f>IFERROR(__xludf.DUMMYFUNCTION("""COMPUTED_VALUE"""),1.013)</f>
        <v>1.013</v>
      </c>
      <c r="E5309" s="16">
        <f>IFERROR(__xludf.DUMMYFUNCTION("""COMPUTED_VALUE"""),63.0)</f>
        <v>63</v>
      </c>
      <c r="F5309" s="19" t="str">
        <f>IFERROR(__xludf.DUMMYFUNCTION("""COMPUTED_VALUE"""),"BLUE")</f>
        <v>BLUE</v>
      </c>
      <c r="G5309" s="20" t="str">
        <f>IFERROR(__xludf.DUMMYFUNCTION("""COMPUTED_VALUE"""),"Uncle Sams Cider (11/12/2021) (Blue)")</f>
        <v>Uncle Sams Cider (11/12/2021) (Blue)</v>
      </c>
      <c r="H5309" s="19"/>
    </row>
    <row r="5310">
      <c r="A5310" s="9"/>
      <c r="B5310" s="15"/>
      <c r="C5310" s="9">
        <f>IFERROR(__xludf.DUMMYFUNCTION("""COMPUTED_VALUE"""),44549.8686123611)</f>
        <v>44549.86861</v>
      </c>
      <c r="D5310" s="15">
        <f>IFERROR(__xludf.DUMMYFUNCTION("""COMPUTED_VALUE"""),1.013)</f>
        <v>1.013</v>
      </c>
      <c r="E5310" s="16">
        <f>IFERROR(__xludf.DUMMYFUNCTION("""COMPUTED_VALUE"""),63.0)</f>
        <v>63</v>
      </c>
      <c r="F5310" s="19" t="str">
        <f>IFERROR(__xludf.DUMMYFUNCTION("""COMPUTED_VALUE"""),"BLUE")</f>
        <v>BLUE</v>
      </c>
      <c r="G5310" s="20" t="str">
        <f>IFERROR(__xludf.DUMMYFUNCTION("""COMPUTED_VALUE"""),"Uncle Sams Cider (11/12/2021) (Blue)")</f>
        <v>Uncle Sams Cider (11/12/2021) (Blue)</v>
      </c>
      <c r="H5310" s="19"/>
    </row>
    <row r="5311">
      <c r="A5311" s="9"/>
      <c r="B5311" s="15"/>
      <c r="C5311" s="9">
        <f>IFERROR(__xludf.DUMMYFUNCTION("""COMPUTED_VALUE"""),44549.8581913888)</f>
        <v>44549.85819</v>
      </c>
      <c r="D5311" s="15">
        <f>IFERROR(__xludf.DUMMYFUNCTION("""COMPUTED_VALUE"""),1.013)</f>
        <v>1.013</v>
      </c>
      <c r="E5311" s="16">
        <f>IFERROR(__xludf.DUMMYFUNCTION("""COMPUTED_VALUE"""),63.0)</f>
        <v>63</v>
      </c>
      <c r="F5311" s="19" t="str">
        <f>IFERROR(__xludf.DUMMYFUNCTION("""COMPUTED_VALUE"""),"BLUE")</f>
        <v>BLUE</v>
      </c>
      <c r="G5311" s="20" t="str">
        <f>IFERROR(__xludf.DUMMYFUNCTION("""COMPUTED_VALUE"""),"Uncle Sams Cider (11/12/2021) (Blue)")</f>
        <v>Uncle Sams Cider (11/12/2021) (Blue)</v>
      </c>
      <c r="H5311" s="19"/>
    </row>
    <row r="5312">
      <c r="A5312" s="9"/>
      <c r="B5312" s="15"/>
      <c r="C5312" s="9">
        <f>IFERROR(__xludf.DUMMYFUNCTION("""COMPUTED_VALUE"""),44549.8477692708)</f>
        <v>44549.84777</v>
      </c>
      <c r="D5312" s="15">
        <f>IFERROR(__xludf.DUMMYFUNCTION("""COMPUTED_VALUE"""),1.013)</f>
        <v>1.013</v>
      </c>
      <c r="E5312" s="16">
        <f>IFERROR(__xludf.DUMMYFUNCTION("""COMPUTED_VALUE"""),63.0)</f>
        <v>63</v>
      </c>
      <c r="F5312" s="19" t="str">
        <f>IFERROR(__xludf.DUMMYFUNCTION("""COMPUTED_VALUE"""),"BLUE")</f>
        <v>BLUE</v>
      </c>
      <c r="G5312" s="20" t="str">
        <f>IFERROR(__xludf.DUMMYFUNCTION("""COMPUTED_VALUE"""),"Uncle Sams Cider (11/12/2021) (Blue)")</f>
        <v>Uncle Sams Cider (11/12/2021) (Blue)</v>
      </c>
      <c r="H5312" s="19"/>
    </row>
    <row r="5313">
      <c r="A5313" s="9"/>
      <c r="B5313" s="15"/>
      <c r="C5313" s="9">
        <f>IFERROR(__xludf.DUMMYFUNCTION("""COMPUTED_VALUE"""),44549.8373504166)</f>
        <v>44549.83735</v>
      </c>
      <c r="D5313" s="15">
        <f>IFERROR(__xludf.DUMMYFUNCTION("""COMPUTED_VALUE"""),1.013)</f>
        <v>1.013</v>
      </c>
      <c r="E5313" s="16">
        <f>IFERROR(__xludf.DUMMYFUNCTION("""COMPUTED_VALUE"""),63.0)</f>
        <v>63</v>
      </c>
      <c r="F5313" s="19" t="str">
        <f>IFERROR(__xludf.DUMMYFUNCTION("""COMPUTED_VALUE"""),"BLUE")</f>
        <v>BLUE</v>
      </c>
      <c r="G5313" s="20" t="str">
        <f>IFERROR(__xludf.DUMMYFUNCTION("""COMPUTED_VALUE"""),"Uncle Sams Cider (11/12/2021) (Blue)")</f>
        <v>Uncle Sams Cider (11/12/2021) (Blue)</v>
      </c>
      <c r="H5313" s="19"/>
    </row>
    <row r="5314">
      <c r="A5314" s="9"/>
      <c r="B5314" s="15"/>
      <c r="C5314" s="9">
        <f>IFERROR(__xludf.DUMMYFUNCTION("""COMPUTED_VALUE"""),44549.8269291203)</f>
        <v>44549.82693</v>
      </c>
      <c r="D5314" s="15">
        <f>IFERROR(__xludf.DUMMYFUNCTION("""COMPUTED_VALUE"""),1.013)</f>
        <v>1.013</v>
      </c>
      <c r="E5314" s="16">
        <f>IFERROR(__xludf.DUMMYFUNCTION("""COMPUTED_VALUE"""),63.0)</f>
        <v>63</v>
      </c>
      <c r="F5314" s="19" t="str">
        <f>IFERROR(__xludf.DUMMYFUNCTION("""COMPUTED_VALUE"""),"BLUE")</f>
        <v>BLUE</v>
      </c>
      <c r="G5314" s="20" t="str">
        <f>IFERROR(__xludf.DUMMYFUNCTION("""COMPUTED_VALUE"""),"Uncle Sams Cider (11/12/2021) (Blue)")</f>
        <v>Uncle Sams Cider (11/12/2021) (Blue)</v>
      </c>
      <c r="H5314" s="19"/>
    </row>
    <row r="5315">
      <c r="A5315" s="9"/>
      <c r="B5315" s="15"/>
      <c r="C5315" s="9">
        <f>IFERROR(__xludf.DUMMYFUNCTION("""COMPUTED_VALUE"""),44549.81650728)</f>
        <v>44549.81651</v>
      </c>
      <c r="D5315" s="15">
        <f>IFERROR(__xludf.DUMMYFUNCTION("""COMPUTED_VALUE"""),1.013)</f>
        <v>1.013</v>
      </c>
      <c r="E5315" s="16">
        <f>IFERROR(__xludf.DUMMYFUNCTION("""COMPUTED_VALUE"""),63.0)</f>
        <v>63</v>
      </c>
      <c r="F5315" s="19" t="str">
        <f>IFERROR(__xludf.DUMMYFUNCTION("""COMPUTED_VALUE"""),"BLUE")</f>
        <v>BLUE</v>
      </c>
      <c r="G5315" s="20" t="str">
        <f>IFERROR(__xludf.DUMMYFUNCTION("""COMPUTED_VALUE"""),"Uncle Sams Cider (11/12/2021) (Blue)")</f>
        <v>Uncle Sams Cider (11/12/2021) (Blue)</v>
      </c>
      <c r="H5315" s="19"/>
    </row>
    <row r="5316">
      <c r="A5316" s="9"/>
      <c r="B5316" s="15"/>
      <c r="C5316" s="9">
        <f>IFERROR(__xludf.DUMMYFUNCTION("""COMPUTED_VALUE"""),44549.8060858796)</f>
        <v>44549.80609</v>
      </c>
      <c r="D5316" s="15">
        <f>IFERROR(__xludf.DUMMYFUNCTION("""COMPUTED_VALUE"""),1.013)</f>
        <v>1.013</v>
      </c>
      <c r="E5316" s="16">
        <f>IFERROR(__xludf.DUMMYFUNCTION("""COMPUTED_VALUE"""),63.0)</f>
        <v>63</v>
      </c>
      <c r="F5316" s="19" t="str">
        <f>IFERROR(__xludf.DUMMYFUNCTION("""COMPUTED_VALUE"""),"BLUE")</f>
        <v>BLUE</v>
      </c>
      <c r="G5316" s="20" t="str">
        <f>IFERROR(__xludf.DUMMYFUNCTION("""COMPUTED_VALUE"""),"Uncle Sams Cider (11/12/2021) (Blue)")</f>
        <v>Uncle Sams Cider (11/12/2021) (Blue)</v>
      </c>
      <c r="H5316" s="19"/>
    </row>
    <row r="5317">
      <c r="A5317" s="9"/>
      <c r="B5317" s="15"/>
      <c r="C5317" s="9">
        <f>IFERROR(__xludf.DUMMYFUNCTION("""COMPUTED_VALUE"""),44549.7956303587)</f>
        <v>44549.79563</v>
      </c>
      <c r="D5317" s="15">
        <f>IFERROR(__xludf.DUMMYFUNCTION("""COMPUTED_VALUE"""),1.013)</f>
        <v>1.013</v>
      </c>
      <c r="E5317" s="16">
        <f>IFERROR(__xludf.DUMMYFUNCTION("""COMPUTED_VALUE"""),63.0)</f>
        <v>63</v>
      </c>
      <c r="F5317" s="19" t="str">
        <f>IFERROR(__xludf.DUMMYFUNCTION("""COMPUTED_VALUE"""),"BLUE")</f>
        <v>BLUE</v>
      </c>
      <c r="G5317" s="20" t="str">
        <f>IFERROR(__xludf.DUMMYFUNCTION("""COMPUTED_VALUE"""),"Uncle Sams Cider (11/12/2021) (Blue)")</f>
        <v>Uncle Sams Cider (11/12/2021) (Blue)</v>
      </c>
      <c r="H5317" s="19"/>
    </row>
    <row r="5318">
      <c r="A5318" s="9"/>
      <c r="B5318" s="15"/>
      <c r="C5318" s="9">
        <f>IFERROR(__xludf.DUMMYFUNCTION("""COMPUTED_VALUE"""),44549.7852090393)</f>
        <v>44549.78521</v>
      </c>
      <c r="D5318" s="15">
        <f>IFERROR(__xludf.DUMMYFUNCTION("""COMPUTED_VALUE"""),1.013)</f>
        <v>1.013</v>
      </c>
      <c r="E5318" s="16">
        <f>IFERROR(__xludf.DUMMYFUNCTION("""COMPUTED_VALUE"""),63.0)</f>
        <v>63</v>
      </c>
      <c r="F5318" s="19" t="str">
        <f>IFERROR(__xludf.DUMMYFUNCTION("""COMPUTED_VALUE"""),"BLUE")</f>
        <v>BLUE</v>
      </c>
      <c r="G5318" s="20" t="str">
        <f>IFERROR(__xludf.DUMMYFUNCTION("""COMPUTED_VALUE"""),"Uncle Sams Cider (11/12/2021) (Blue)")</f>
        <v>Uncle Sams Cider (11/12/2021) (Blue)</v>
      </c>
      <c r="H5318" s="19"/>
    </row>
    <row r="5319">
      <c r="A5319" s="9"/>
      <c r="B5319" s="15"/>
      <c r="C5319" s="9">
        <f>IFERROR(__xludf.DUMMYFUNCTION("""COMPUTED_VALUE"""),44549.7747887499)</f>
        <v>44549.77479</v>
      </c>
      <c r="D5319" s="15">
        <f>IFERROR(__xludf.DUMMYFUNCTION("""COMPUTED_VALUE"""),1.013)</f>
        <v>1.013</v>
      </c>
      <c r="E5319" s="16">
        <f>IFERROR(__xludf.DUMMYFUNCTION("""COMPUTED_VALUE"""),63.0)</f>
        <v>63</v>
      </c>
      <c r="F5319" s="19" t="str">
        <f>IFERROR(__xludf.DUMMYFUNCTION("""COMPUTED_VALUE"""),"BLUE")</f>
        <v>BLUE</v>
      </c>
      <c r="G5319" s="20" t="str">
        <f>IFERROR(__xludf.DUMMYFUNCTION("""COMPUTED_VALUE"""),"Uncle Sams Cider (11/12/2021) (Blue)")</f>
        <v>Uncle Sams Cider (11/12/2021) (Blue)</v>
      </c>
      <c r="H5319" s="19"/>
    </row>
    <row r="5320">
      <c r="A5320" s="9"/>
      <c r="B5320" s="15"/>
      <c r="C5320" s="9">
        <f>IFERROR(__xludf.DUMMYFUNCTION("""COMPUTED_VALUE"""),44549.764366493)</f>
        <v>44549.76437</v>
      </c>
      <c r="D5320" s="15">
        <f>IFERROR(__xludf.DUMMYFUNCTION("""COMPUTED_VALUE"""),1.013)</f>
        <v>1.013</v>
      </c>
      <c r="E5320" s="16">
        <f>IFERROR(__xludf.DUMMYFUNCTION("""COMPUTED_VALUE"""),63.0)</f>
        <v>63</v>
      </c>
      <c r="F5320" s="19" t="str">
        <f>IFERROR(__xludf.DUMMYFUNCTION("""COMPUTED_VALUE"""),"BLUE")</f>
        <v>BLUE</v>
      </c>
      <c r="G5320" s="20" t="str">
        <f>IFERROR(__xludf.DUMMYFUNCTION("""COMPUTED_VALUE"""),"Uncle Sams Cider (11/12/2021) (Blue)")</f>
        <v>Uncle Sams Cider (11/12/2021) (Blue)</v>
      </c>
      <c r="H5320" s="19"/>
    </row>
    <row r="5321">
      <c r="A5321" s="9"/>
      <c r="B5321" s="15"/>
      <c r="C5321" s="9">
        <f>IFERROR(__xludf.DUMMYFUNCTION("""COMPUTED_VALUE"""),44549.7539465277)</f>
        <v>44549.75395</v>
      </c>
      <c r="D5321" s="15">
        <f>IFERROR(__xludf.DUMMYFUNCTION("""COMPUTED_VALUE"""),1.013)</f>
        <v>1.013</v>
      </c>
      <c r="E5321" s="16">
        <f>IFERROR(__xludf.DUMMYFUNCTION("""COMPUTED_VALUE"""),63.0)</f>
        <v>63</v>
      </c>
      <c r="F5321" s="19" t="str">
        <f>IFERROR(__xludf.DUMMYFUNCTION("""COMPUTED_VALUE"""),"BLUE")</f>
        <v>BLUE</v>
      </c>
      <c r="G5321" s="20" t="str">
        <f>IFERROR(__xludf.DUMMYFUNCTION("""COMPUTED_VALUE"""),"Uncle Sams Cider (11/12/2021) (Blue)")</f>
        <v>Uncle Sams Cider (11/12/2021) (Blue)</v>
      </c>
      <c r="H5321" s="19"/>
    </row>
    <row r="5322">
      <c r="A5322" s="9"/>
      <c r="B5322" s="15"/>
      <c r="C5322" s="9">
        <f>IFERROR(__xludf.DUMMYFUNCTION("""COMPUTED_VALUE"""),44549.7435237384)</f>
        <v>44549.74352</v>
      </c>
      <c r="D5322" s="15">
        <f>IFERROR(__xludf.DUMMYFUNCTION("""COMPUTED_VALUE"""),1.013)</f>
        <v>1.013</v>
      </c>
      <c r="E5322" s="16">
        <f>IFERROR(__xludf.DUMMYFUNCTION("""COMPUTED_VALUE"""),63.0)</f>
        <v>63</v>
      </c>
      <c r="F5322" s="19" t="str">
        <f>IFERROR(__xludf.DUMMYFUNCTION("""COMPUTED_VALUE"""),"BLUE")</f>
        <v>BLUE</v>
      </c>
      <c r="G5322" s="20" t="str">
        <f>IFERROR(__xludf.DUMMYFUNCTION("""COMPUTED_VALUE"""),"Uncle Sams Cider (11/12/2021) (Blue)")</f>
        <v>Uncle Sams Cider (11/12/2021) (Blue)</v>
      </c>
      <c r="H5322" s="19"/>
    </row>
    <row r="5323">
      <c r="A5323" s="9"/>
      <c r="B5323" s="15"/>
      <c r="C5323" s="9">
        <f>IFERROR(__xludf.DUMMYFUNCTION("""COMPUTED_VALUE"""),44549.7330929166)</f>
        <v>44549.73309</v>
      </c>
      <c r="D5323" s="15">
        <f>IFERROR(__xludf.DUMMYFUNCTION("""COMPUTED_VALUE"""),1.013)</f>
        <v>1.013</v>
      </c>
      <c r="E5323" s="16">
        <f>IFERROR(__xludf.DUMMYFUNCTION("""COMPUTED_VALUE"""),63.0)</f>
        <v>63</v>
      </c>
      <c r="F5323" s="19" t="str">
        <f>IFERROR(__xludf.DUMMYFUNCTION("""COMPUTED_VALUE"""),"BLUE")</f>
        <v>BLUE</v>
      </c>
      <c r="G5323" s="20" t="str">
        <f>IFERROR(__xludf.DUMMYFUNCTION("""COMPUTED_VALUE"""),"Uncle Sams Cider (11/12/2021) (Blue)")</f>
        <v>Uncle Sams Cider (11/12/2021) (Blue)</v>
      </c>
      <c r="H5323" s="19"/>
    </row>
    <row r="5324">
      <c r="A5324" s="9"/>
      <c r="B5324" s="15"/>
      <c r="C5324" s="9">
        <f>IFERROR(__xludf.DUMMYFUNCTION("""COMPUTED_VALUE"""),44549.7226598495)</f>
        <v>44549.72266</v>
      </c>
      <c r="D5324" s="15">
        <f>IFERROR(__xludf.DUMMYFUNCTION("""COMPUTED_VALUE"""),1.013)</f>
        <v>1.013</v>
      </c>
      <c r="E5324" s="16">
        <f>IFERROR(__xludf.DUMMYFUNCTION("""COMPUTED_VALUE"""),63.0)</f>
        <v>63</v>
      </c>
      <c r="F5324" s="19" t="str">
        <f>IFERROR(__xludf.DUMMYFUNCTION("""COMPUTED_VALUE"""),"BLUE")</f>
        <v>BLUE</v>
      </c>
      <c r="G5324" s="20" t="str">
        <f>IFERROR(__xludf.DUMMYFUNCTION("""COMPUTED_VALUE"""),"Uncle Sams Cider (11/12/2021) (Blue)")</f>
        <v>Uncle Sams Cider (11/12/2021) (Blue)</v>
      </c>
      <c r="H5324" s="19"/>
    </row>
    <row r="5325">
      <c r="A5325" s="9"/>
      <c r="B5325" s="15"/>
      <c r="C5325" s="9">
        <f>IFERROR(__xludf.DUMMYFUNCTION("""COMPUTED_VALUE"""),44549.712227037)</f>
        <v>44549.71223</v>
      </c>
      <c r="D5325" s="15">
        <f>IFERROR(__xludf.DUMMYFUNCTION("""COMPUTED_VALUE"""),1.013)</f>
        <v>1.013</v>
      </c>
      <c r="E5325" s="16">
        <f>IFERROR(__xludf.DUMMYFUNCTION("""COMPUTED_VALUE"""),63.0)</f>
        <v>63</v>
      </c>
      <c r="F5325" s="19" t="str">
        <f>IFERROR(__xludf.DUMMYFUNCTION("""COMPUTED_VALUE"""),"BLUE")</f>
        <v>BLUE</v>
      </c>
      <c r="G5325" s="20" t="str">
        <f>IFERROR(__xludf.DUMMYFUNCTION("""COMPUTED_VALUE"""),"Uncle Sams Cider (11/12/2021) (Blue)")</f>
        <v>Uncle Sams Cider (11/12/2021) (Blue)</v>
      </c>
      <c r="H5325" s="19"/>
    </row>
    <row r="5326">
      <c r="A5326" s="9"/>
      <c r="B5326" s="15"/>
      <c r="C5326" s="9">
        <f>IFERROR(__xludf.DUMMYFUNCTION("""COMPUTED_VALUE"""),44549.7017937615)</f>
        <v>44549.70179</v>
      </c>
      <c r="D5326" s="15">
        <f>IFERROR(__xludf.DUMMYFUNCTION("""COMPUTED_VALUE"""),1.013)</f>
        <v>1.013</v>
      </c>
      <c r="E5326" s="16">
        <f>IFERROR(__xludf.DUMMYFUNCTION("""COMPUTED_VALUE"""),63.0)</f>
        <v>63</v>
      </c>
      <c r="F5326" s="19" t="str">
        <f>IFERROR(__xludf.DUMMYFUNCTION("""COMPUTED_VALUE"""),"BLUE")</f>
        <v>BLUE</v>
      </c>
      <c r="G5326" s="20" t="str">
        <f>IFERROR(__xludf.DUMMYFUNCTION("""COMPUTED_VALUE"""),"Uncle Sams Cider (11/12/2021) (Blue)")</f>
        <v>Uncle Sams Cider (11/12/2021) (Blue)</v>
      </c>
      <c r="H5326" s="19"/>
    </row>
    <row r="5327">
      <c r="A5327" s="9"/>
      <c r="B5327" s="15"/>
      <c r="C5327" s="9">
        <f>IFERROR(__xludf.DUMMYFUNCTION("""COMPUTED_VALUE"""),44549.691373206)</f>
        <v>44549.69137</v>
      </c>
      <c r="D5327" s="15">
        <f>IFERROR(__xludf.DUMMYFUNCTION("""COMPUTED_VALUE"""),1.013)</f>
        <v>1.013</v>
      </c>
      <c r="E5327" s="16">
        <f>IFERROR(__xludf.DUMMYFUNCTION("""COMPUTED_VALUE"""),63.0)</f>
        <v>63</v>
      </c>
      <c r="F5327" s="19" t="str">
        <f>IFERROR(__xludf.DUMMYFUNCTION("""COMPUTED_VALUE"""),"BLUE")</f>
        <v>BLUE</v>
      </c>
      <c r="G5327" s="20" t="str">
        <f>IFERROR(__xludf.DUMMYFUNCTION("""COMPUTED_VALUE"""),"Uncle Sams Cider (11/12/2021) (Blue)")</f>
        <v>Uncle Sams Cider (11/12/2021) (Blue)</v>
      </c>
      <c r="H5327" s="19"/>
    </row>
    <row r="5328">
      <c r="A5328" s="9"/>
      <c r="B5328" s="15"/>
      <c r="C5328" s="9">
        <f>IFERROR(__xludf.DUMMYFUNCTION("""COMPUTED_VALUE"""),44549.6809401041)</f>
        <v>44549.68094</v>
      </c>
      <c r="D5328" s="15">
        <f>IFERROR(__xludf.DUMMYFUNCTION("""COMPUTED_VALUE"""),1.013)</f>
        <v>1.013</v>
      </c>
      <c r="E5328" s="16">
        <f>IFERROR(__xludf.DUMMYFUNCTION("""COMPUTED_VALUE"""),63.0)</f>
        <v>63</v>
      </c>
      <c r="F5328" s="19" t="str">
        <f>IFERROR(__xludf.DUMMYFUNCTION("""COMPUTED_VALUE"""),"BLUE")</f>
        <v>BLUE</v>
      </c>
      <c r="G5328" s="20" t="str">
        <f>IFERROR(__xludf.DUMMYFUNCTION("""COMPUTED_VALUE"""),"Uncle Sams Cider (11/12/2021) (Blue)")</f>
        <v>Uncle Sams Cider (11/12/2021) (Blue)</v>
      </c>
      <c r="H5328" s="19"/>
    </row>
    <row r="5329">
      <c r="A5329" s="9"/>
      <c r="B5329" s="15"/>
      <c r="C5329" s="9">
        <f>IFERROR(__xludf.DUMMYFUNCTION("""COMPUTED_VALUE"""),44549.6705198263)</f>
        <v>44549.67052</v>
      </c>
      <c r="D5329" s="15">
        <f>IFERROR(__xludf.DUMMYFUNCTION("""COMPUTED_VALUE"""),1.013)</f>
        <v>1.013</v>
      </c>
      <c r="E5329" s="16">
        <f>IFERROR(__xludf.DUMMYFUNCTION("""COMPUTED_VALUE"""),63.0)</f>
        <v>63</v>
      </c>
      <c r="F5329" s="19" t="str">
        <f>IFERROR(__xludf.DUMMYFUNCTION("""COMPUTED_VALUE"""),"BLUE")</f>
        <v>BLUE</v>
      </c>
      <c r="G5329" s="20" t="str">
        <f>IFERROR(__xludf.DUMMYFUNCTION("""COMPUTED_VALUE"""),"Uncle Sams Cider (11/12/2021) (Blue)")</f>
        <v>Uncle Sams Cider (11/12/2021) (Blue)</v>
      </c>
      <c r="H5329" s="19"/>
    </row>
    <row r="5330">
      <c r="A5330" s="9"/>
      <c r="B5330" s="15"/>
      <c r="C5330" s="9">
        <f>IFERROR(__xludf.DUMMYFUNCTION("""COMPUTED_VALUE"""),44549.6601001273)</f>
        <v>44549.6601</v>
      </c>
      <c r="D5330" s="15">
        <f>IFERROR(__xludf.DUMMYFUNCTION("""COMPUTED_VALUE"""),1.013)</f>
        <v>1.013</v>
      </c>
      <c r="E5330" s="16">
        <f>IFERROR(__xludf.DUMMYFUNCTION("""COMPUTED_VALUE"""),63.0)</f>
        <v>63</v>
      </c>
      <c r="F5330" s="19" t="str">
        <f>IFERROR(__xludf.DUMMYFUNCTION("""COMPUTED_VALUE"""),"BLUE")</f>
        <v>BLUE</v>
      </c>
      <c r="G5330" s="20" t="str">
        <f>IFERROR(__xludf.DUMMYFUNCTION("""COMPUTED_VALUE"""),"Uncle Sams Cider (11/12/2021) (Blue)")</f>
        <v>Uncle Sams Cider (11/12/2021) (Blue)</v>
      </c>
      <c r="H5330" s="19"/>
    </row>
    <row r="5331">
      <c r="A5331" s="9"/>
      <c r="B5331" s="15"/>
      <c r="C5331" s="9">
        <f>IFERROR(__xludf.DUMMYFUNCTION("""COMPUTED_VALUE"""),44549.6496793287)</f>
        <v>44549.64968</v>
      </c>
      <c r="D5331" s="15">
        <f>IFERROR(__xludf.DUMMYFUNCTION("""COMPUTED_VALUE"""),1.013)</f>
        <v>1.013</v>
      </c>
      <c r="E5331" s="16">
        <f>IFERROR(__xludf.DUMMYFUNCTION("""COMPUTED_VALUE"""),63.0)</f>
        <v>63</v>
      </c>
      <c r="F5331" s="19" t="str">
        <f>IFERROR(__xludf.DUMMYFUNCTION("""COMPUTED_VALUE"""),"BLUE")</f>
        <v>BLUE</v>
      </c>
      <c r="G5331" s="20" t="str">
        <f>IFERROR(__xludf.DUMMYFUNCTION("""COMPUTED_VALUE"""),"Uncle Sams Cider (11/12/2021) (Blue)")</f>
        <v>Uncle Sams Cider (11/12/2021) (Blue)</v>
      </c>
      <c r="H5331" s="19"/>
    </row>
    <row r="5332">
      <c r="A5332" s="9"/>
      <c r="B5332" s="15"/>
      <c r="C5332" s="9">
        <f>IFERROR(__xludf.DUMMYFUNCTION("""COMPUTED_VALUE"""),44549.6392586574)</f>
        <v>44549.63926</v>
      </c>
      <c r="D5332" s="15">
        <f>IFERROR(__xludf.DUMMYFUNCTION("""COMPUTED_VALUE"""),1.013)</f>
        <v>1.013</v>
      </c>
      <c r="E5332" s="16">
        <f>IFERROR(__xludf.DUMMYFUNCTION("""COMPUTED_VALUE"""),63.0)</f>
        <v>63</v>
      </c>
      <c r="F5332" s="19" t="str">
        <f>IFERROR(__xludf.DUMMYFUNCTION("""COMPUTED_VALUE"""),"BLUE")</f>
        <v>BLUE</v>
      </c>
      <c r="G5332" s="20" t="str">
        <f>IFERROR(__xludf.DUMMYFUNCTION("""COMPUTED_VALUE"""),"Uncle Sams Cider (11/12/2021) (Blue)")</f>
        <v>Uncle Sams Cider (11/12/2021) (Blue)</v>
      </c>
      <c r="H5332" s="19"/>
    </row>
    <row r="5333">
      <c r="A5333" s="9"/>
      <c r="B5333" s="15"/>
      <c r="C5333" s="9">
        <f>IFERROR(__xludf.DUMMYFUNCTION("""COMPUTED_VALUE"""),44549.6288374884)</f>
        <v>44549.62884</v>
      </c>
      <c r="D5333" s="15">
        <f>IFERROR(__xludf.DUMMYFUNCTION("""COMPUTED_VALUE"""),1.013)</f>
        <v>1.013</v>
      </c>
      <c r="E5333" s="16">
        <f>IFERROR(__xludf.DUMMYFUNCTION("""COMPUTED_VALUE"""),63.0)</f>
        <v>63</v>
      </c>
      <c r="F5333" s="19" t="str">
        <f>IFERROR(__xludf.DUMMYFUNCTION("""COMPUTED_VALUE"""),"BLUE")</f>
        <v>BLUE</v>
      </c>
      <c r="G5333" s="20" t="str">
        <f>IFERROR(__xludf.DUMMYFUNCTION("""COMPUTED_VALUE"""),"Uncle Sams Cider (11/12/2021) (Blue)")</f>
        <v>Uncle Sams Cider (11/12/2021) (Blue)</v>
      </c>
      <c r="H5333" s="19"/>
    </row>
    <row r="5334">
      <c r="A5334" s="9"/>
      <c r="B5334" s="15"/>
      <c r="C5334" s="9">
        <f>IFERROR(__xludf.DUMMYFUNCTION("""COMPUTED_VALUE"""),44549.6184161921)</f>
        <v>44549.61842</v>
      </c>
      <c r="D5334" s="15">
        <f>IFERROR(__xludf.DUMMYFUNCTION("""COMPUTED_VALUE"""),1.013)</f>
        <v>1.013</v>
      </c>
      <c r="E5334" s="16">
        <f>IFERROR(__xludf.DUMMYFUNCTION("""COMPUTED_VALUE"""),63.0)</f>
        <v>63</v>
      </c>
      <c r="F5334" s="19" t="str">
        <f>IFERROR(__xludf.DUMMYFUNCTION("""COMPUTED_VALUE"""),"BLUE")</f>
        <v>BLUE</v>
      </c>
      <c r="G5334" s="20" t="str">
        <f>IFERROR(__xludf.DUMMYFUNCTION("""COMPUTED_VALUE"""),"Uncle Sams Cider (11/12/2021) (Blue)")</f>
        <v>Uncle Sams Cider (11/12/2021) (Blue)</v>
      </c>
      <c r="H5334" s="19"/>
    </row>
    <row r="5335">
      <c r="A5335" s="9"/>
      <c r="B5335" s="15"/>
      <c r="C5335" s="9">
        <f>IFERROR(__xludf.DUMMYFUNCTION("""COMPUTED_VALUE"""),44549.6079946875)</f>
        <v>44549.60799</v>
      </c>
      <c r="D5335" s="15">
        <f>IFERROR(__xludf.DUMMYFUNCTION("""COMPUTED_VALUE"""),1.013)</f>
        <v>1.013</v>
      </c>
      <c r="E5335" s="16">
        <f>IFERROR(__xludf.DUMMYFUNCTION("""COMPUTED_VALUE"""),63.0)</f>
        <v>63</v>
      </c>
      <c r="F5335" s="19" t="str">
        <f>IFERROR(__xludf.DUMMYFUNCTION("""COMPUTED_VALUE"""),"BLUE")</f>
        <v>BLUE</v>
      </c>
      <c r="G5335" s="20" t="str">
        <f>IFERROR(__xludf.DUMMYFUNCTION("""COMPUTED_VALUE"""),"Uncle Sams Cider (11/12/2021) (Blue)")</f>
        <v>Uncle Sams Cider (11/12/2021) (Blue)</v>
      </c>
      <c r="H5335" s="19"/>
    </row>
    <row r="5336">
      <c r="A5336" s="9"/>
      <c r="B5336" s="15"/>
      <c r="C5336" s="9">
        <f>IFERROR(__xludf.DUMMYFUNCTION("""COMPUTED_VALUE"""),44549.5975723611)</f>
        <v>44549.59757</v>
      </c>
      <c r="D5336" s="15">
        <f>IFERROR(__xludf.DUMMYFUNCTION("""COMPUTED_VALUE"""),1.013)</f>
        <v>1.013</v>
      </c>
      <c r="E5336" s="16">
        <f>IFERROR(__xludf.DUMMYFUNCTION("""COMPUTED_VALUE"""),63.0)</f>
        <v>63</v>
      </c>
      <c r="F5336" s="19" t="str">
        <f>IFERROR(__xludf.DUMMYFUNCTION("""COMPUTED_VALUE"""),"BLUE")</f>
        <v>BLUE</v>
      </c>
      <c r="G5336" s="20" t="str">
        <f>IFERROR(__xludf.DUMMYFUNCTION("""COMPUTED_VALUE"""),"Uncle Sams Cider (11/12/2021) (Blue)")</f>
        <v>Uncle Sams Cider (11/12/2021) (Blue)</v>
      </c>
      <c r="H5336" s="19"/>
    </row>
    <row r="5337">
      <c r="A5337" s="9"/>
      <c r="B5337" s="15"/>
      <c r="C5337" s="9">
        <f>IFERROR(__xludf.DUMMYFUNCTION("""COMPUTED_VALUE"""),44549.5871503819)</f>
        <v>44549.58715</v>
      </c>
      <c r="D5337" s="15">
        <f>IFERROR(__xludf.DUMMYFUNCTION("""COMPUTED_VALUE"""),1.013)</f>
        <v>1.013</v>
      </c>
      <c r="E5337" s="16">
        <f>IFERROR(__xludf.DUMMYFUNCTION("""COMPUTED_VALUE"""),63.0)</f>
        <v>63</v>
      </c>
      <c r="F5337" s="19" t="str">
        <f>IFERROR(__xludf.DUMMYFUNCTION("""COMPUTED_VALUE"""),"BLUE")</f>
        <v>BLUE</v>
      </c>
      <c r="G5337" s="20" t="str">
        <f>IFERROR(__xludf.DUMMYFUNCTION("""COMPUTED_VALUE"""),"Uncle Sams Cider (11/12/2021) (Blue)")</f>
        <v>Uncle Sams Cider (11/12/2021) (Blue)</v>
      </c>
      <c r="H5337" s="19"/>
    </row>
    <row r="5338">
      <c r="A5338" s="9"/>
      <c r="B5338" s="15"/>
      <c r="C5338" s="9">
        <f>IFERROR(__xludf.DUMMYFUNCTION("""COMPUTED_VALUE"""),44549.5767298611)</f>
        <v>44549.57673</v>
      </c>
      <c r="D5338" s="15">
        <f>IFERROR(__xludf.DUMMYFUNCTION("""COMPUTED_VALUE"""),1.013)</f>
        <v>1.013</v>
      </c>
      <c r="E5338" s="16">
        <f>IFERROR(__xludf.DUMMYFUNCTION("""COMPUTED_VALUE"""),63.0)</f>
        <v>63</v>
      </c>
      <c r="F5338" s="19" t="str">
        <f>IFERROR(__xludf.DUMMYFUNCTION("""COMPUTED_VALUE"""),"BLUE")</f>
        <v>BLUE</v>
      </c>
      <c r="G5338" s="20" t="str">
        <f>IFERROR(__xludf.DUMMYFUNCTION("""COMPUTED_VALUE"""),"Uncle Sams Cider (11/12/2021) (Blue)")</f>
        <v>Uncle Sams Cider (11/12/2021) (Blue)</v>
      </c>
      <c r="H5338" s="19"/>
    </row>
    <row r="5339">
      <c r="A5339" s="9"/>
      <c r="B5339" s="15"/>
      <c r="C5339" s="9">
        <f>IFERROR(__xludf.DUMMYFUNCTION("""COMPUTED_VALUE"""),44549.5663098495)</f>
        <v>44549.56631</v>
      </c>
      <c r="D5339" s="15">
        <f>IFERROR(__xludf.DUMMYFUNCTION("""COMPUTED_VALUE"""),1.013)</f>
        <v>1.013</v>
      </c>
      <c r="E5339" s="16">
        <f>IFERROR(__xludf.DUMMYFUNCTION("""COMPUTED_VALUE"""),63.0)</f>
        <v>63</v>
      </c>
      <c r="F5339" s="19" t="str">
        <f>IFERROR(__xludf.DUMMYFUNCTION("""COMPUTED_VALUE"""),"BLUE")</f>
        <v>BLUE</v>
      </c>
      <c r="G5339" s="20" t="str">
        <f>IFERROR(__xludf.DUMMYFUNCTION("""COMPUTED_VALUE"""),"Uncle Sams Cider (11/12/2021) (Blue)")</f>
        <v>Uncle Sams Cider (11/12/2021) (Blue)</v>
      </c>
      <c r="H5339" s="19"/>
    </row>
    <row r="5340">
      <c r="A5340" s="9"/>
      <c r="B5340" s="15"/>
      <c r="C5340" s="9">
        <f>IFERROR(__xludf.DUMMYFUNCTION("""COMPUTED_VALUE"""),44549.555888287)</f>
        <v>44549.55589</v>
      </c>
      <c r="D5340" s="15">
        <f>IFERROR(__xludf.DUMMYFUNCTION("""COMPUTED_VALUE"""),1.013)</f>
        <v>1.013</v>
      </c>
      <c r="E5340" s="16">
        <f>IFERROR(__xludf.DUMMYFUNCTION("""COMPUTED_VALUE"""),63.0)</f>
        <v>63</v>
      </c>
      <c r="F5340" s="19" t="str">
        <f>IFERROR(__xludf.DUMMYFUNCTION("""COMPUTED_VALUE"""),"BLUE")</f>
        <v>BLUE</v>
      </c>
      <c r="G5340" s="20" t="str">
        <f>IFERROR(__xludf.DUMMYFUNCTION("""COMPUTED_VALUE"""),"Uncle Sams Cider (11/12/2021) (Blue)")</f>
        <v>Uncle Sams Cider (11/12/2021) (Blue)</v>
      </c>
      <c r="H5340" s="19"/>
    </row>
    <row r="5341">
      <c r="A5341" s="9"/>
      <c r="B5341" s="15"/>
      <c r="C5341" s="9">
        <f>IFERROR(__xludf.DUMMYFUNCTION("""COMPUTED_VALUE"""),44549.5454562615)</f>
        <v>44549.54546</v>
      </c>
      <c r="D5341" s="15">
        <f>IFERROR(__xludf.DUMMYFUNCTION("""COMPUTED_VALUE"""),1.013)</f>
        <v>1.013</v>
      </c>
      <c r="E5341" s="16">
        <f>IFERROR(__xludf.DUMMYFUNCTION("""COMPUTED_VALUE"""),63.0)</f>
        <v>63</v>
      </c>
      <c r="F5341" s="19" t="str">
        <f>IFERROR(__xludf.DUMMYFUNCTION("""COMPUTED_VALUE"""),"BLUE")</f>
        <v>BLUE</v>
      </c>
      <c r="G5341" s="20" t="str">
        <f>IFERROR(__xludf.DUMMYFUNCTION("""COMPUTED_VALUE"""),"Uncle Sams Cider (11/12/2021) (Blue)")</f>
        <v>Uncle Sams Cider (11/12/2021) (Blue)</v>
      </c>
      <c r="H5341" s="19"/>
    </row>
    <row r="5342">
      <c r="A5342" s="9"/>
      <c r="B5342" s="15"/>
      <c r="C5342" s="9">
        <f>IFERROR(__xludf.DUMMYFUNCTION("""COMPUTED_VALUE"""),44549.5350349884)</f>
        <v>44549.53503</v>
      </c>
      <c r="D5342" s="15">
        <f>IFERROR(__xludf.DUMMYFUNCTION("""COMPUTED_VALUE"""),1.013)</f>
        <v>1.013</v>
      </c>
      <c r="E5342" s="16">
        <f>IFERROR(__xludf.DUMMYFUNCTION("""COMPUTED_VALUE"""),63.0)</f>
        <v>63</v>
      </c>
      <c r="F5342" s="19" t="str">
        <f>IFERROR(__xludf.DUMMYFUNCTION("""COMPUTED_VALUE"""),"BLUE")</f>
        <v>BLUE</v>
      </c>
      <c r="G5342" s="20" t="str">
        <f>IFERROR(__xludf.DUMMYFUNCTION("""COMPUTED_VALUE"""),"Uncle Sams Cider (11/12/2021) (Blue)")</f>
        <v>Uncle Sams Cider (11/12/2021) (Blue)</v>
      </c>
      <c r="H5342" s="19"/>
    </row>
    <row r="5343">
      <c r="A5343" s="9"/>
      <c r="B5343" s="15"/>
      <c r="C5343" s="9">
        <f>IFERROR(__xludf.DUMMYFUNCTION("""COMPUTED_VALUE"""),44549.5246141782)</f>
        <v>44549.52461</v>
      </c>
      <c r="D5343" s="15">
        <f>IFERROR(__xludf.DUMMYFUNCTION("""COMPUTED_VALUE"""),1.013)</f>
        <v>1.013</v>
      </c>
      <c r="E5343" s="16">
        <f>IFERROR(__xludf.DUMMYFUNCTION("""COMPUTED_VALUE"""),63.0)</f>
        <v>63</v>
      </c>
      <c r="F5343" s="19" t="str">
        <f>IFERROR(__xludf.DUMMYFUNCTION("""COMPUTED_VALUE"""),"BLUE")</f>
        <v>BLUE</v>
      </c>
      <c r="G5343" s="20" t="str">
        <f>IFERROR(__xludf.DUMMYFUNCTION("""COMPUTED_VALUE"""),"Uncle Sams Cider (11/12/2021) (Blue)")</f>
        <v>Uncle Sams Cider (11/12/2021) (Blue)</v>
      </c>
      <c r="H5343" s="19"/>
    </row>
    <row r="5344">
      <c r="A5344" s="9"/>
      <c r="B5344" s="15"/>
      <c r="C5344" s="9">
        <f>IFERROR(__xludf.DUMMYFUNCTION("""COMPUTED_VALUE"""),44549.5141926504)</f>
        <v>44549.51419</v>
      </c>
      <c r="D5344" s="15">
        <f>IFERROR(__xludf.DUMMYFUNCTION("""COMPUTED_VALUE"""),1.013)</f>
        <v>1.013</v>
      </c>
      <c r="E5344" s="16">
        <f>IFERROR(__xludf.DUMMYFUNCTION("""COMPUTED_VALUE"""),63.0)</f>
        <v>63</v>
      </c>
      <c r="F5344" s="19" t="str">
        <f>IFERROR(__xludf.DUMMYFUNCTION("""COMPUTED_VALUE"""),"BLUE")</f>
        <v>BLUE</v>
      </c>
      <c r="G5344" s="20" t="str">
        <f>IFERROR(__xludf.DUMMYFUNCTION("""COMPUTED_VALUE"""),"Uncle Sams Cider (11/12/2021) (Blue)")</f>
        <v>Uncle Sams Cider (11/12/2021) (Blue)</v>
      </c>
      <c r="H5344" s="19"/>
    </row>
    <row r="5345">
      <c r="A5345" s="9"/>
      <c r="B5345" s="15"/>
      <c r="C5345" s="9">
        <f>IFERROR(__xludf.DUMMYFUNCTION("""COMPUTED_VALUE"""),44549.5037707754)</f>
        <v>44549.50377</v>
      </c>
      <c r="D5345" s="15">
        <f>IFERROR(__xludf.DUMMYFUNCTION("""COMPUTED_VALUE"""),1.013)</f>
        <v>1.013</v>
      </c>
      <c r="E5345" s="16">
        <f>IFERROR(__xludf.DUMMYFUNCTION("""COMPUTED_VALUE"""),63.0)</f>
        <v>63</v>
      </c>
      <c r="F5345" s="19" t="str">
        <f>IFERROR(__xludf.DUMMYFUNCTION("""COMPUTED_VALUE"""),"BLUE")</f>
        <v>BLUE</v>
      </c>
      <c r="G5345" s="20" t="str">
        <f>IFERROR(__xludf.DUMMYFUNCTION("""COMPUTED_VALUE"""),"Uncle Sams Cider (11/12/2021) (Blue)")</f>
        <v>Uncle Sams Cider (11/12/2021) (Blue)</v>
      </c>
      <c r="H5345" s="19"/>
    </row>
    <row r="5346">
      <c r="A5346" s="9"/>
      <c r="B5346" s="15"/>
      <c r="C5346" s="9">
        <f>IFERROR(__xludf.DUMMYFUNCTION("""COMPUTED_VALUE"""),44549.4933511342)</f>
        <v>44549.49335</v>
      </c>
      <c r="D5346" s="15">
        <f>IFERROR(__xludf.DUMMYFUNCTION("""COMPUTED_VALUE"""),1.013)</f>
        <v>1.013</v>
      </c>
      <c r="E5346" s="16">
        <f>IFERROR(__xludf.DUMMYFUNCTION("""COMPUTED_VALUE"""),63.0)</f>
        <v>63</v>
      </c>
      <c r="F5346" s="19" t="str">
        <f>IFERROR(__xludf.DUMMYFUNCTION("""COMPUTED_VALUE"""),"BLUE")</f>
        <v>BLUE</v>
      </c>
      <c r="G5346" s="20" t="str">
        <f>IFERROR(__xludf.DUMMYFUNCTION("""COMPUTED_VALUE"""),"Uncle Sams Cider (11/12/2021) (Blue)")</f>
        <v>Uncle Sams Cider (11/12/2021) (Blue)</v>
      </c>
      <c r="H5346" s="19"/>
    </row>
    <row r="5347">
      <c r="A5347" s="9"/>
      <c r="B5347" s="15"/>
      <c r="C5347" s="9">
        <f>IFERROR(__xludf.DUMMYFUNCTION("""COMPUTED_VALUE"""),44549.4829177777)</f>
        <v>44549.48292</v>
      </c>
      <c r="D5347" s="15">
        <f>IFERROR(__xludf.DUMMYFUNCTION("""COMPUTED_VALUE"""),1.013)</f>
        <v>1.013</v>
      </c>
      <c r="E5347" s="16">
        <f>IFERROR(__xludf.DUMMYFUNCTION("""COMPUTED_VALUE"""),63.0)</f>
        <v>63</v>
      </c>
      <c r="F5347" s="19" t="str">
        <f>IFERROR(__xludf.DUMMYFUNCTION("""COMPUTED_VALUE"""),"BLUE")</f>
        <v>BLUE</v>
      </c>
      <c r="G5347" s="20" t="str">
        <f>IFERROR(__xludf.DUMMYFUNCTION("""COMPUTED_VALUE"""),"Uncle Sams Cider (11/12/2021) (Blue)")</f>
        <v>Uncle Sams Cider (11/12/2021) (Blue)</v>
      </c>
      <c r="H5347" s="19"/>
    </row>
    <row r="5348">
      <c r="A5348" s="9"/>
      <c r="B5348" s="15"/>
      <c r="C5348" s="9">
        <f>IFERROR(__xludf.DUMMYFUNCTION("""COMPUTED_VALUE"""),44549.472484699)</f>
        <v>44549.47248</v>
      </c>
      <c r="D5348" s="15">
        <f>IFERROR(__xludf.DUMMYFUNCTION("""COMPUTED_VALUE"""),1.013)</f>
        <v>1.013</v>
      </c>
      <c r="E5348" s="16">
        <f>IFERROR(__xludf.DUMMYFUNCTION("""COMPUTED_VALUE"""),63.0)</f>
        <v>63</v>
      </c>
      <c r="F5348" s="19" t="str">
        <f>IFERROR(__xludf.DUMMYFUNCTION("""COMPUTED_VALUE"""),"BLUE")</f>
        <v>BLUE</v>
      </c>
      <c r="G5348" s="20" t="str">
        <f>IFERROR(__xludf.DUMMYFUNCTION("""COMPUTED_VALUE"""),"Uncle Sams Cider (11/12/2021) (Blue)")</f>
        <v>Uncle Sams Cider (11/12/2021) (Blue)</v>
      </c>
      <c r="H5348" s="19"/>
    </row>
    <row r="5349">
      <c r="A5349" s="9"/>
      <c r="B5349" s="15"/>
      <c r="C5349" s="9">
        <f>IFERROR(__xludf.DUMMYFUNCTION("""COMPUTED_VALUE"""),44549.4620631249)</f>
        <v>44549.46206</v>
      </c>
      <c r="D5349" s="15">
        <f>IFERROR(__xludf.DUMMYFUNCTION("""COMPUTED_VALUE"""),1.013)</f>
        <v>1.013</v>
      </c>
      <c r="E5349" s="16">
        <f>IFERROR(__xludf.DUMMYFUNCTION("""COMPUTED_VALUE"""),63.0)</f>
        <v>63</v>
      </c>
      <c r="F5349" s="19" t="str">
        <f>IFERROR(__xludf.DUMMYFUNCTION("""COMPUTED_VALUE"""),"BLUE")</f>
        <v>BLUE</v>
      </c>
      <c r="G5349" s="20" t="str">
        <f>IFERROR(__xludf.DUMMYFUNCTION("""COMPUTED_VALUE"""),"Uncle Sams Cider (11/12/2021) (Blue)")</f>
        <v>Uncle Sams Cider (11/12/2021) (Blue)</v>
      </c>
      <c r="H5349" s="19"/>
    </row>
    <row r="5350">
      <c r="A5350" s="9"/>
      <c r="B5350" s="15"/>
      <c r="C5350" s="9">
        <f>IFERROR(__xludf.DUMMYFUNCTION("""COMPUTED_VALUE"""),44549.4516422338)</f>
        <v>44549.45164</v>
      </c>
      <c r="D5350" s="15">
        <f>IFERROR(__xludf.DUMMYFUNCTION("""COMPUTED_VALUE"""),1.013)</f>
        <v>1.013</v>
      </c>
      <c r="E5350" s="16">
        <f>IFERROR(__xludf.DUMMYFUNCTION("""COMPUTED_VALUE"""),63.0)</f>
        <v>63</v>
      </c>
      <c r="F5350" s="19" t="str">
        <f>IFERROR(__xludf.DUMMYFUNCTION("""COMPUTED_VALUE"""),"BLUE")</f>
        <v>BLUE</v>
      </c>
      <c r="G5350" s="20" t="str">
        <f>IFERROR(__xludf.DUMMYFUNCTION("""COMPUTED_VALUE"""),"Uncle Sams Cider (11/12/2021) (Blue)")</f>
        <v>Uncle Sams Cider (11/12/2021) (Blue)</v>
      </c>
      <c r="H5350" s="19"/>
    </row>
    <row r="5351">
      <c r="A5351" s="9"/>
      <c r="B5351" s="15"/>
      <c r="C5351" s="9">
        <f>IFERROR(__xludf.DUMMYFUNCTION("""COMPUTED_VALUE"""),44549.4412217129)</f>
        <v>44549.44122</v>
      </c>
      <c r="D5351" s="15">
        <f>IFERROR(__xludf.DUMMYFUNCTION("""COMPUTED_VALUE"""),1.013)</f>
        <v>1.013</v>
      </c>
      <c r="E5351" s="16">
        <f>IFERROR(__xludf.DUMMYFUNCTION("""COMPUTED_VALUE"""),63.0)</f>
        <v>63</v>
      </c>
      <c r="F5351" s="19" t="str">
        <f>IFERROR(__xludf.DUMMYFUNCTION("""COMPUTED_VALUE"""),"BLUE")</f>
        <v>BLUE</v>
      </c>
      <c r="G5351" s="20" t="str">
        <f>IFERROR(__xludf.DUMMYFUNCTION("""COMPUTED_VALUE"""),"Uncle Sams Cider (11/12/2021) (Blue)")</f>
        <v>Uncle Sams Cider (11/12/2021) (Blue)</v>
      </c>
      <c r="H5351" s="19"/>
    </row>
    <row r="5352">
      <c r="A5352" s="9"/>
      <c r="B5352" s="15"/>
      <c r="C5352" s="9">
        <f>IFERROR(__xludf.DUMMYFUNCTION("""COMPUTED_VALUE"""),44549.4308018749)</f>
        <v>44549.4308</v>
      </c>
      <c r="D5352" s="15">
        <f>IFERROR(__xludf.DUMMYFUNCTION("""COMPUTED_VALUE"""),1.013)</f>
        <v>1.013</v>
      </c>
      <c r="E5352" s="16">
        <f>IFERROR(__xludf.DUMMYFUNCTION("""COMPUTED_VALUE"""),63.0)</f>
        <v>63</v>
      </c>
      <c r="F5352" s="19" t="str">
        <f>IFERROR(__xludf.DUMMYFUNCTION("""COMPUTED_VALUE"""),"BLUE")</f>
        <v>BLUE</v>
      </c>
      <c r="G5352" s="20" t="str">
        <f>IFERROR(__xludf.DUMMYFUNCTION("""COMPUTED_VALUE"""),"Uncle Sams Cider (11/12/2021) (Blue)")</f>
        <v>Uncle Sams Cider (11/12/2021) (Blue)</v>
      </c>
      <c r="H5352" s="19"/>
    </row>
    <row r="5353">
      <c r="A5353" s="9"/>
      <c r="B5353" s="15"/>
      <c r="C5353" s="9">
        <f>IFERROR(__xludf.DUMMYFUNCTION("""COMPUTED_VALUE"""),44549.4203797222)</f>
        <v>44549.42038</v>
      </c>
      <c r="D5353" s="15">
        <f>IFERROR(__xludf.DUMMYFUNCTION("""COMPUTED_VALUE"""),1.013)</f>
        <v>1.013</v>
      </c>
      <c r="E5353" s="16">
        <f>IFERROR(__xludf.DUMMYFUNCTION("""COMPUTED_VALUE"""),63.0)</f>
        <v>63</v>
      </c>
      <c r="F5353" s="19" t="str">
        <f>IFERROR(__xludf.DUMMYFUNCTION("""COMPUTED_VALUE"""),"BLUE")</f>
        <v>BLUE</v>
      </c>
      <c r="G5353" s="20" t="str">
        <f>IFERROR(__xludf.DUMMYFUNCTION("""COMPUTED_VALUE"""),"Uncle Sams Cider (11/12/2021) (Blue)")</f>
        <v>Uncle Sams Cider (11/12/2021) (Blue)</v>
      </c>
      <c r="H5353" s="19"/>
    </row>
    <row r="5354">
      <c r="A5354" s="9"/>
      <c r="B5354" s="15"/>
      <c r="C5354" s="9">
        <f>IFERROR(__xludf.DUMMYFUNCTION("""COMPUTED_VALUE"""),44549.4099608564)</f>
        <v>44549.40996</v>
      </c>
      <c r="D5354" s="15">
        <f>IFERROR(__xludf.DUMMYFUNCTION("""COMPUTED_VALUE"""),1.013)</f>
        <v>1.013</v>
      </c>
      <c r="E5354" s="16">
        <f>IFERROR(__xludf.DUMMYFUNCTION("""COMPUTED_VALUE"""),63.0)</f>
        <v>63</v>
      </c>
      <c r="F5354" s="19" t="str">
        <f>IFERROR(__xludf.DUMMYFUNCTION("""COMPUTED_VALUE"""),"BLUE")</f>
        <v>BLUE</v>
      </c>
      <c r="G5354" s="20" t="str">
        <f>IFERROR(__xludf.DUMMYFUNCTION("""COMPUTED_VALUE"""),"Uncle Sams Cider (11/12/2021) (Blue)")</f>
        <v>Uncle Sams Cider (11/12/2021) (Blue)</v>
      </c>
      <c r="H5354" s="19"/>
    </row>
    <row r="5355">
      <c r="A5355" s="9"/>
      <c r="B5355" s="15"/>
      <c r="C5355" s="9">
        <f>IFERROR(__xludf.DUMMYFUNCTION("""COMPUTED_VALUE"""),44549.3995294791)</f>
        <v>44549.39953</v>
      </c>
      <c r="D5355" s="15">
        <f>IFERROR(__xludf.DUMMYFUNCTION("""COMPUTED_VALUE"""),1.013)</f>
        <v>1.013</v>
      </c>
      <c r="E5355" s="16">
        <f>IFERROR(__xludf.DUMMYFUNCTION("""COMPUTED_VALUE"""),63.0)</f>
        <v>63</v>
      </c>
      <c r="F5355" s="19" t="str">
        <f>IFERROR(__xludf.DUMMYFUNCTION("""COMPUTED_VALUE"""),"BLUE")</f>
        <v>BLUE</v>
      </c>
      <c r="G5355" s="20" t="str">
        <f>IFERROR(__xludf.DUMMYFUNCTION("""COMPUTED_VALUE"""),"Uncle Sams Cider (11/12/2021) (Blue)")</f>
        <v>Uncle Sams Cider (11/12/2021) (Blue)</v>
      </c>
      <c r="H5355" s="19"/>
    </row>
    <row r="5356">
      <c r="A5356" s="9"/>
      <c r="B5356" s="15"/>
      <c r="C5356" s="9">
        <f>IFERROR(__xludf.DUMMYFUNCTION("""COMPUTED_VALUE"""),44549.3891084606)</f>
        <v>44549.38911</v>
      </c>
      <c r="D5356" s="15">
        <f>IFERROR(__xludf.DUMMYFUNCTION("""COMPUTED_VALUE"""),1.013)</f>
        <v>1.013</v>
      </c>
      <c r="E5356" s="16">
        <f>IFERROR(__xludf.DUMMYFUNCTION("""COMPUTED_VALUE"""),63.0)</f>
        <v>63</v>
      </c>
      <c r="F5356" s="19" t="str">
        <f>IFERROR(__xludf.DUMMYFUNCTION("""COMPUTED_VALUE"""),"BLUE")</f>
        <v>BLUE</v>
      </c>
      <c r="G5356" s="20" t="str">
        <f>IFERROR(__xludf.DUMMYFUNCTION("""COMPUTED_VALUE"""),"Uncle Sams Cider (11/12/2021) (Blue)")</f>
        <v>Uncle Sams Cider (11/12/2021) (Blue)</v>
      </c>
      <c r="H5356" s="19"/>
    </row>
    <row r="5357">
      <c r="A5357" s="9"/>
      <c r="B5357" s="15"/>
      <c r="C5357" s="9">
        <f>IFERROR(__xludf.DUMMYFUNCTION("""COMPUTED_VALUE"""),44549.3786872106)</f>
        <v>44549.37869</v>
      </c>
      <c r="D5357" s="15">
        <f>IFERROR(__xludf.DUMMYFUNCTION("""COMPUTED_VALUE"""),1.013)</f>
        <v>1.013</v>
      </c>
      <c r="E5357" s="16">
        <f>IFERROR(__xludf.DUMMYFUNCTION("""COMPUTED_VALUE"""),63.0)</f>
        <v>63</v>
      </c>
      <c r="F5357" s="19" t="str">
        <f>IFERROR(__xludf.DUMMYFUNCTION("""COMPUTED_VALUE"""),"BLUE")</f>
        <v>BLUE</v>
      </c>
      <c r="G5357" s="20" t="str">
        <f>IFERROR(__xludf.DUMMYFUNCTION("""COMPUTED_VALUE"""),"Uncle Sams Cider (11/12/2021) (Blue)")</f>
        <v>Uncle Sams Cider (11/12/2021) (Blue)</v>
      </c>
      <c r="H5357" s="19"/>
    </row>
    <row r="5358">
      <c r="A5358" s="9"/>
      <c r="B5358" s="15"/>
      <c r="C5358" s="9">
        <f>IFERROR(__xludf.DUMMYFUNCTION("""COMPUTED_VALUE"""),44549.3682658217)</f>
        <v>44549.36827</v>
      </c>
      <c r="D5358" s="15">
        <f>IFERROR(__xludf.DUMMYFUNCTION("""COMPUTED_VALUE"""),1.013)</f>
        <v>1.013</v>
      </c>
      <c r="E5358" s="16">
        <f>IFERROR(__xludf.DUMMYFUNCTION("""COMPUTED_VALUE"""),63.0)</f>
        <v>63</v>
      </c>
      <c r="F5358" s="19" t="str">
        <f>IFERROR(__xludf.DUMMYFUNCTION("""COMPUTED_VALUE"""),"BLUE")</f>
        <v>BLUE</v>
      </c>
      <c r="G5358" s="20" t="str">
        <f>IFERROR(__xludf.DUMMYFUNCTION("""COMPUTED_VALUE"""),"Uncle Sams Cider (11/12/2021) (Blue)")</f>
        <v>Uncle Sams Cider (11/12/2021) (Blue)</v>
      </c>
      <c r="H5358" s="19"/>
    </row>
    <row r="5359">
      <c r="A5359" s="9"/>
      <c r="B5359" s="15"/>
      <c r="C5359" s="9">
        <f>IFERROR(__xludf.DUMMYFUNCTION("""COMPUTED_VALUE"""),44549.3578457754)</f>
        <v>44549.35785</v>
      </c>
      <c r="D5359" s="15">
        <f>IFERROR(__xludf.DUMMYFUNCTION("""COMPUTED_VALUE"""),1.013)</f>
        <v>1.013</v>
      </c>
      <c r="E5359" s="16">
        <f>IFERROR(__xludf.DUMMYFUNCTION("""COMPUTED_VALUE"""),63.0)</f>
        <v>63</v>
      </c>
      <c r="F5359" s="19" t="str">
        <f>IFERROR(__xludf.DUMMYFUNCTION("""COMPUTED_VALUE"""),"BLUE")</f>
        <v>BLUE</v>
      </c>
      <c r="G5359" s="20" t="str">
        <f>IFERROR(__xludf.DUMMYFUNCTION("""COMPUTED_VALUE"""),"Uncle Sams Cider (11/12/2021) (Blue)")</f>
        <v>Uncle Sams Cider (11/12/2021) (Blue)</v>
      </c>
      <c r="H5359" s="19"/>
    </row>
    <row r="5360">
      <c r="A5360" s="9"/>
      <c r="B5360" s="15"/>
      <c r="C5360" s="9">
        <f>IFERROR(__xludf.DUMMYFUNCTION("""COMPUTED_VALUE"""),44549.3474018865)</f>
        <v>44549.3474</v>
      </c>
      <c r="D5360" s="15">
        <f>IFERROR(__xludf.DUMMYFUNCTION("""COMPUTED_VALUE"""),1.013)</f>
        <v>1.013</v>
      </c>
      <c r="E5360" s="16">
        <f>IFERROR(__xludf.DUMMYFUNCTION("""COMPUTED_VALUE"""),63.0)</f>
        <v>63</v>
      </c>
      <c r="F5360" s="19" t="str">
        <f>IFERROR(__xludf.DUMMYFUNCTION("""COMPUTED_VALUE"""),"BLUE")</f>
        <v>BLUE</v>
      </c>
      <c r="G5360" s="20" t="str">
        <f>IFERROR(__xludf.DUMMYFUNCTION("""COMPUTED_VALUE"""),"Uncle Sams Cider (11/12/2021) (Blue)")</f>
        <v>Uncle Sams Cider (11/12/2021) (Blue)</v>
      </c>
      <c r="H5360" s="19"/>
    </row>
    <row r="5361">
      <c r="A5361" s="9"/>
      <c r="B5361" s="15"/>
      <c r="C5361" s="9">
        <f>IFERROR(__xludf.DUMMYFUNCTION("""COMPUTED_VALUE"""),44549.3369682523)</f>
        <v>44549.33697</v>
      </c>
      <c r="D5361" s="15">
        <f>IFERROR(__xludf.DUMMYFUNCTION("""COMPUTED_VALUE"""),1.013)</f>
        <v>1.013</v>
      </c>
      <c r="E5361" s="16">
        <f>IFERROR(__xludf.DUMMYFUNCTION("""COMPUTED_VALUE"""),63.0)</f>
        <v>63</v>
      </c>
      <c r="F5361" s="19" t="str">
        <f>IFERROR(__xludf.DUMMYFUNCTION("""COMPUTED_VALUE"""),"BLUE")</f>
        <v>BLUE</v>
      </c>
      <c r="G5361" s="20" t="str">
        <f>IFERROR(__xludf.DUMMYFUNCTION("""COMPUTED_VALUE"""),"Uncle Sams Cider (11/12/2021) (Blue)")</f>
        <v>Uncle Sams Cider (11/12/2021) (Blue)</v>
      </c>
      <c r="H5361" s="19"/>
    </row>
    <row r="5362">
      <c r="A5362" s="9"/>
      <c r="B5362" s="15"/>
      <c r="C5362" s="9">
        <f>IFERROR(__xludf.DUMMYFUNCTION("""COMPUTED_VALUE"""),44549.3265479166)</f>
        <v>44549.32655</v>
      </c>
      <c r="D5362" s="15">
        <f>IFERROR(__xludf.DUMMYFUNCTION("""COMPUTED_VALUE"""),1.013)</f>
        <v>1.013</v>
      </c>
      <c r="E5362" s="16">
        <f>IFERROR(__xludf.DUMMYFUNCTION("""COMPUTED_VALUE"""),63.0)</f>
        <v>63</v>
      </c>
      <c r="F5362" s="19" t="str">
        <f>IFERROR(__xludf.DUMMYFUNCTION("""COMPUTED_VALUE"""),"BLUE")</f>
        <v>BLUE</v>
      </c>
      <c r="G5362" s="20" t="str">
        <f>IFERROR(__xludf.DUMMYFUNCTION("""COMPUTED_VALUE"""),"Uncle Sams Cider (11/12/2021) (Blue)")</f>
        <v>Uncle Sams Cider (11/12/2021) (Blue)</v>
      </c>
      <c r="H5362" s="19"/>
    </row>
    <row r="5363">
      <c r="A5363" s="9"/>
      <c r="B5363" s="15"/>
      <c r="C5363" s="9">
        <f>IFERROR(__xludf.DUMMYFUNCTION("""COMPUTED_VALUE"""),44549.3161275694)</f>
        <v>44549.31613</v>
      </c>
      <c r="D5363" s="15">
        <f>IFERROR(__xludf.DUMMYFUNCTION("""COMPUTED_VALUE"""),1.013)</f>
        <v>1.013</v>
      </c>
      <c r="E5363" s="16">
        <f>IFERROR(__xludf.DUMMYFUNCTION("""COMPUTED_VALUE"""),63.0)</f>
        <v>63</v>
      </c>
      <c r="F5363" s="19" t="str">
        <f>IFERROR(__xludf.DUMMYFUNCTION("""COMPUTED_VALUE"""),"BLUE")</f>
        <v>BLUE</v>
      </c>
      <c r="G5363" s="20" t="str">
        <f>IFERROR(__xludf.DUMMYFUNCTION("""COMPUTED_VALUE"""),"Uncle Sams Cider (11/12/2021) (Blue)")</f>
        <v>Uncle Sams Cider (11/12/2021) (Blue)</v>
      </c>
      <c r="H5363" s="19"/>
    </row>
    <row r="5364">
      <c r="A5364" s="9"/>
      <c r="B5364" s="15"/>
      <c r="C5364" s="9">
        <f>IFERROR(__xludf.DUMMYFUNCTION("""COMPUTED_VALUE"""),44549.3057043055)</f>
        <v>44549.3057</v>
      </c>
      <c r="D5364" s="15">
        <f>IFERROR(__xludf.DUMMYFUNCTION("""COMPUTED_VALUE"""),1.013)</f>
        <v>1.013</v>
      </c>
      <c r="E5364" s="16">
        <f>IFERROR(__xludf.DUMMYFUNCTION("""COMPUTED_VALUE"""),63.0)</f>
        <v>63</v>
      </c>
      <c r="F5364" s="19" t="str">
        <f>IFERROR(__xludf.DUMMYFUNCTION("""COMPUTED_VALUE"""),"BLUE")</f>
        <v>BLUE</v>
      </c>
      <c r="G5364" s="20" t="str">
        <f>IFERROR(__xludf.DUMMYFUNCTION("""COMPUTED_VALUE"""),"Uncle Sams Cider (11/12/2021) (Blue)")</f>
        <v>Uncle Sams Cider (11/12/2021) (Blue)</v>
      </c>
      <c r="H5364" s="19"/>
    </row>
    <row r="5365">
      <c r="A5365" s="9"/>
      <c r="B5365" s="15"/>
      <c r="C5365" s="9">
        <f>IFERROR(__xludf.DUMMYFUNCTION("""COMPUTED_VALUE"""),44549.2952853472)</f>
        <v>44549.29529</v>
      </c>
      <c r="D5365" s="15">
        <f>IFERROR(__xludf.DUMMYFUNCTION("""COMPUTED_VALUE"""),1.013)</f>
        <v>1.013</v>
      </c>
      <c r="E5365" s="16">
        <f>IFERROR(__xludf.DUMMYFUNCTION("""COMPUTED_VALUE"""),63.0)</f>
        <v>63</v>
      </c>
      <c r="F5365" s="19" t="str">
        <f>IFERROR(__xludf.DUMMYFUNCTION("""COMPUTED_VALUE"""),"BLUE")</f>
        <v>BLUE</v>
      </c>
      <c r="G5365" s="20" t="str">
        <f>IFERROR(__xludf.DUMMYFUNCTION("""COMPUTED_VALUE"""),"Uncle Sams Cider (11/12/2021) (Blue)")</f>
        <v>Uncle Sams Cider (11/12/2021) (Blue)</v>
      </c>
      <c r="H5365" s="19"/>
    </row>
    <row r="5366">
      <c r="A5366" s="9"/>
      <c r="B5366" s="15"/>
      <c r="C5366" s="9">
        <f>IFERROR(__xludf.DUMMYFUNCTION("""COMPUTED_VALUE"""),44549.2848637615)</f>
        <v>44549.28486</v>
      </c>
      <c r="D5366" s="15">
        <f>IFERROR(__xludf.DUMMYFUNCTION("""COMPUTED_VALUE"""),1.013)</f>
        <v>1.013</v>
      </c>
      <c r="E5366" s="16">
        <f>IFERROR(__xludf.DUMMYFUNCTION("""COMPUTED_VALUE"""),63.0)</f>
        <v>63</v>
      </c>
      <c r="F5366" s="19" t="str">
        <f>IFERROR(__xludf.DUMMYFUNCTION("""COMPUTED_VALUE"""),"BLUE")</f>
        <v>BLUE</v>
      </c>
      <c r="G5366" s="20" t="str">
        <f>IFERROR(__xludf.DUMMYFUNCTION("""COMPUTED_VALUE"""),"Uncle Sams Cider (11/12/2021) (Blue)")</f>
        <v>Uncle Sams Cider (11/12/2021) (Blue)</v>
      </c>
      <c r="H5366" s="19"/>
    </row>
    <row r="5367">
      <c r="A5367" s="9"/>
      <c r="B5367" s="15"/>
      <c r="C5367" s="9">
        <f>IFERROR(__xludf.DUMMYFUNCTION("""COMPUTED_VALUE"""),44549.2744428588)</f>
        <v>44549.27444</v>
      </c>
      <c r="D5367" s="15">
        <f>IFERROR(__xludf.DUMMYFUNCTION("""COMPUTED_VALUE"""),1.013)</f>
        <v>1.013</v>
      </c>
      <c r="E5367" s="16">
        <f>IFERROR(__xludf.DUMMYFUNCTION("""COMPUTED_VALUE"""),63.0)</f>
        <v>63</v>
      </c>
      <c r="F5367" s="19" t="str">
        <f>IFERROR(__xludf.DUMMYFUNCTION("""COMPUTED_VALUE"""),"BLUE")</f>
        <v>BLUE</v>
      </c>
      <c r="G5367" s="20" t="str">
        <f>IFERROR(__xludf.DUMMYFUNCTION("""COMPUTED_VALUE"""),"Uncle Sams Cider (11/12/2021) (Blue)")</f>
        <v>Uncle Sams Cider (11/12/2021) (Blue)</v>
      </c>
      <c r="H5367" s="19"/>
    </row>
    <row r="5368">
      <c r="A5368" s="9"/>
      <c r="B5368" s="15"/>
      <c r="C5368" s="9">
        <f>IFERROR(__xludf.DUMMYFUNCTION("""COMPUTED_VALUE"""),44549.2640208217)</f>
        <v>44549.26402</v>
      </c>
      <c r="D5368" s="15">
        <f>IFERROR(__xludf.DUMMYFUNCTION("""COMPUTED_VALUE"""),1.013)</f>
        <v>1.013</v>
      </c>
      <c r="E5368" s="16">
        <f>IFERROR(__xludf.DUMMYFUNCTION("""COMPUTED_VALUE"""),63.0)</f>
        <v>63</v>
      </c>
      <c r="F5368" s="19" t="str">
        <f>IFERROR(__xludf.DUMMYFUNCTION("""COMPUTED_VALUE"""),"BLUE")</f>
        <v>BLUE</v>
      </c>
      <c r="G5368" s="20" t="str">
        <f>IFERROR(__xludf.DUMMYFUNCTION("""COMPUTED_VALUE"""),"Uncle Sams Cider (11/12/2021) (Blue)")</f>
        <v>Uncle Sams Cider (11/12/2021) (Blue)</v>
      </c>
      <c r="H5368" s="19"/>
    </row>
    <row r="5369">
      <c r="A5369" s="9"/>
      <c r="B5369" s="15"/>
      <c r="C5369" s="9">
        <f>IFERROR(__xludf.DUMMYFUNCTION("""COMPUTED_VALUE"""),44549.2535977314)</f>
        <v>44549.2536</v>
      </c>
      <c r="D5369" s="15">
        <f>IFERROR(__xludf.DUMMYFUNCTION("""COMPUTED_VALUE"""),1.013)</f>
        <v>1.013</v>
      </c>
      <c r="E5369" s="16">
        <f>IFERROR(__xludf.DUMMYFUNCTION("""COMPUTED_VALUE"""),63.0)</f>
        <v>63</v>
      </c>
      <c r="F5369" s="19" t="str">
        <f>IFERROR(__xludf.DUMMYFUNCTION("""COMPUTED_VALUE"""),"BLUE")</f>
        <v>BLUE</v>
      </c>
      <c r="G5369" s="20" t="str">
        <f>IFERROR(__xludf.DUMMYFUNCTION("""COMPUTED_VALUE"""),"Uncle Sams Cider (11/12/2021) (Blue)")</f>
        <v>Uncle Sams Cider (11/12/2021) (Blue)</v>
      </c>
      <c r="H5369" s="19"/>
    </row>
    <row r="5370">
      <c r="A5370" s="9"/>
      <c r="B5370" s="15"/>
      <c r="C5370" s="9">
        <f>IFERROR(__xludf.DUMMYFUNCTION("""COMPUTED_VALUE"""),44549.2431766898)</f>
        <v>44549.24318</v>
      </c>
      <c r="D5370" s="15">
        <f>IFERROR(__xludf.DUMMYFUNCTION("""COMPUTED_VALUE"""),1.013)</f>
        <v>1.013</v>
      </c>
      <c r="E5370" s="16">
        <f>IFERROR(__xludf.DUMMYFUNCTION("""COMPUTED_VALUE"""),63.0)</f>
        <v>63</v>
      </c>
      <c r="F5370" s="19" t="str">
        <f>IFERROR(__xludf.DUMMYFUNCTION("""COMPUTED_VALUE"""),"BLUE")</f>
        <v>BLUE</v>
      </c>
      <c r="G5370" s="20" t="str">
        <f>IFERROR(__xludf.DUMMYFUNCTION("""COMPUTED_VALUE"""),"Uncle Sams Cider (11/12/2021) (Blue)")</f>
        <v>Uncle Sams Cider (11/12/2021) (Blue)</v>
      </c>
      <c r="H5370" s="19"/>
    </row>
    <row r="5371">
      <c r="A5371" s="9"/>
      <c r="B5371" s="15"/>
      <c r="C5371" s="9">
        <f>IFERROR(__xludf.DUMMYFUNCTION("""COMPUTED_VALUE"""),44549.2327436689)</f>
        <v>44549.23274</v>
      </c>
      <c r="D5371" s="15">
        <f>IFERROR(__xludf.DUMMYFUNCTION("""COMPUTED_VALUE"""),1.013)</f>
        <v>1.013</v>
      </c>
      <c r="E5371" s="16">
        <f>IFERROR(__xludf.DUMMYFUNCTION("""COMPUTED_VALUE"""),63.0)</f>
        <v>63</v>
      </c>
      <c r="F5371" s="19" t="str">
        <f>IFERROR(__xludf.DUMMYFUNCTION("""COMPUTED_VALUE"""),"BLUE")</f>
        <v>BLUE</v>
      </c>
      <c r="G5371" s="20" t="str">
        <f>IFERROR(__xludf.DUMMYFUNCTION("""COMPUTED_VALUE"""),"Uncle Sams Cider (11/12/2021) (Blue)")</f>
        <v>Uncle Sams Cider (11/12/2021) (Blue)</v>
      </c>
      <c r="H5371" s="19"/>
    </row>
    <row r="5372">
      <c r="A5372" s="9"/>
      <c r="B5372" s="15"/>
      <c r="C5372" s="9">
        <f>IFERROR(__xludf.DUMMYFUNCTION("""COMPUTED_VALUE"""),44549.2223236574)</f>
        <v>44549.22232</v>
      </c>
      <c r="D5372" s="15">
        <f>IFERROR(__xludf.DUMMYFUNCTION("""COMPUTED_VALUE"""),1.013)</f>
        <v>1.013</v>
      </c>
      <c r="E5372" s="16">
        <f>IFERROR(__xludf.DUMMYFUNCTION("""COMPUTED_VALUE"""),63.0)</f>
        <v>63</v>
      </c>
      <c r="F5372" s="19" t="str">
        <f>IFERROR(__xludf.DUMMYFUNCTION("""COMPUTED_VALUE"""),"BLUE")</f>
        <v>BLUE</v>
      </c>
      <c r="G5372" s="20" t="str">
        <f>IFERROR(__xludf.DUMMYFUNCTION("""COMPUTED_VALUE"""),"Uncle Sams Cider (11/12/2021) (Blue)")</f>
        <v>Uncle Sams Cider (11/12/2021) (Blue)</v>
      </c>
      <c r="H5372" s="19"/>
    </row>
    <row r="5373">
      <c r="A5373" s="9"/>
      <c r="B5373" s="15"/>
      <c r="C5373" s="9">
        <f>IFERROR(__xludf.DUMMYFUNCTION("""COMPUTED_VALUE"""),44549.2118898495)</f>
        <v>44549.21189</v>
      </c>
      <c r="D5373" s="15">
        <f>IFERROR(__xludf.DUMMYFUNCTION("""COMPUTED_VALUE"""),1.013)</f>
        <v>1.013</v>
      </c>
      <c r="E5373" s="16">
        <f>IFERROR(__xludf.DUMMYFUNCTION("""COMPUTED_VALUE"""),63.0)</f>
        <v>63</v>
      </c>
      <c r="F5373" s="19" t="str">
        <f>IFERROR(__xludf.DUMMYFUNCTION("""COMPUTED_VALUE"""),"BLUE")</f>
        <v>BLUE</v>
      </c>
      <c r="G5373" s="20" t="str">
        <f>IFERROR(__xludf.DUMMYFUNCTION("""COMPUTED_VALUE"""),"Uncle Sams Cider (11/12/2021) (Blue)")</f>
        <v>Uncle Sams Cider (11/12/2021) (Blue)</v>
      </c>
      <c r="H5373" s="19"/>
    </row>
    <row r="5374">
      <c r="A5374" s="9"/>
      <c r="B5374" s="15"/>
      <c r="C5374" s="9">
        <f>IFERROR(__xludf.DUMMYFUNCTION("""COMPUTED_VALUE"""),44549.2014690972)</f>
        <v>44549.20147</v>
      </c>
      <c r="D5374" s="15">
        <f>IFERROR(__xludf.DUMMYFUNCTION("""COMPUTED_VALUE"""),1.013)</f>
        <v>1.013</v>
      </c>
      <c r="E5374" s="16">
        <f>IFERROR(__xludf.DUMMYFUNCTION("""COMPUTED_VALUE"""),63.0)</f>
        <v>63</v>
      </c>
      <c r="F5374" s="19" t="str">
        <f>IFERROR(__xludf.DUMMYFUNCTION("""COMPUTED_VALUE"""),"BLUE")</f>
        <v>BLUE</v>
      </c>
      <c r="G5374" s="20" t="str">
        <f>IFERROR(__xludf.DUMMYFUNCTION("""COMPUTED_VALUE"""),"Uncle Sams Cider (11/12/2021) (Blue)")</f>
        <v>Uncle Sams Cider (11/12/2021) (Blue)</v>
      </c>
      <c r="H5374" s="19"/>
    </row>
    <row r="5375">
      <c r="A5375" s="9"/>
      <c r="B5375" s="15"/>
      <c r="C5375" s="9">
        <f>IFERROR(__xludf.DUMMYFUNCTION("""COMPUTED_VALUE"""),44549.1910365162)</f>
        <v>44549.19104</v>
      </c>
      <c r="D5375" s="15">
        <f>IFERROR(__xludf.DUMMYFUNCTION("""COMPUTED_VALUE"""),1.013)</f>
        <v>1.013</v>
      </c>
      <c r="E5375" s="16">
        <f>IFERROR(__xludf.DUMMYFUNCTION("""COMPUTED_VALUE"""),63.0)</f>
        <v>63</v>
      </c>
      <c r="F5375" s="19" t="str">
        <f>IFERROR(__xludf.DUMMYFUNCTION("""COMPUTED_VALUE"""),"BLUE")</f>
        <v>BLUE</v>
      </c>
      <c r="G5375" s="20" t="str">
        <f>IFERROR(__xludf.DUMMYFUNCTION("""COMPUTED_VALUE"""),"Uncle Sams Cider (11/12/2021) (Blue)")</f>
        <v>Uncle Sams Cider (11/12/2021) (Blue)</v>
      </c>
      <c r="H5375" s="19"/>
    </row>
    <row r="5376">
      <c r="A5376" s="9"/>
      <c r="B5376" s="15"/>
      <c r="C5376" s="9">
        <f>IFERROR(__xludf.DUMMYFUNCTION("""COMPUTED_VALUE"""),44549.1806161458)</f>
        <v>44549.18062</v>
      </c>
      <c r="D5376" s="15">
        <f>IFERROR(__xludf.DUMMYFUNCTION("""COMPUTED_VALUE"""),1.013)</f>
        <v>1.013</v>
      </c>
      <c r="E5376" s="16">
        <f>IFERROR(__xludf.DUMMYFUNCTION("""COMPUTED_VALUE"""),63.0)</f>
        <v>63</v>
      </c>
      <c r="F5376" s="19" t="str">
        <f>IFERROR(__xludf.DUMMYFUNCTION("""COMPUTED_VALUE"""),"BLUE")</f>
        <v>BLUE</v>
      </c>
      <c r="G5376" s="20" t="str">
        <f>IFERROR(__xludf.DUMMYFUNCTION("""COMPUTED_VALUE"""),"Uncle Sams Cider (11/12/2021) (Blue)")</f>
        <v>Uncle Sams Cider (11/12/2021) (Blue)</v>
      </c>
      <c r="H5376" s="19"/>
    </row>
    <row r="5377">
      <c r="A5377" s="9"/>
      <c r="B5377" s="15"/>
      <c r="C5377" s="9">
        <f>IFERROR(__xludf.DUMMYFUNCTION("""COMPUTED_VALUE"""),44549.1701960185)</f>
        <v>44549.1702</v>
      </c>
      <c r="D5377" s="15">
        <f>IFERROR(__xludf.DUMMYFUNCTION("""COMPUTED_VALUE"""),1.013)</f>
        <v>1.013</v>
      </c>
      <c r="E5377" s="16">
        <f>IFERROR(__xludf.DUMMYFUNCTION("""COMPUTED_VALUE"""),63.0)</f>
        <v>63</v>
      </c>
      <c r="F5377" s="19" t="str">
        <f>IFERROR(__xludf.DUMMYFUNCTION("""COMPUTED_VALUE"""),"BLUE")</f>
        <v>BLUE</v>
      </c>
      <c r="G5377" s="20" t="str">
        <f>IFERROR(__xludf.DUMMYFUNCTION("""COMPUTED_VALUE"""),"Uncle Sams Cider (11/12/2021) (Blue)")</f>
        <v>Uncle Sams Cider (11/12/2021) (Blue)</v>
      </c>
      <c r="H5377" s="19"/>
    </row>
    <row r="5378">
      <c r="A5378" s="9"/>
      <c r="B5378" s="15"/>
      <c r="C5378" s="9">
        <f>IFERROR(__xludf.DUMMYFUNCTION("""COMPUTED_VALUE"""),44549.1597748148)</f>
        <v>44549.15977</v>
      </c>
      <c r="D5378" s="15">
        <f>IFERROR(__xludf.DUMMYFUNCTION("""COMPUTED_VALUE"""),1.013)</f>
        <v>1.013</v>
      </c>
      <c r="E5378" s="16">
        <f>IFERROR(__xludf.DUMMYFUNCTION("""COMPUTED_VALUE"""),63.0)</f>
        <v>63</v>
      </c>
      <c r="F5378" s="19" t="str">
        <f>IFERROR(__xludf.DUMMYFUNCTION("""COMPUTED_VALUE"""),"BLUE")</f>
        <v>BLUE</v>
      </c>
      <c r="G5378" s="20" t="str">
        <f>IFERROR(__xludf.DUMMYFUNCTION("""COMPUTED_VALUE"""),"Uncle Sams Cider (11/12/2021) (Blue)")</f>
        <v>Uncle Sams Cider (11/12/2021) (Blue)</v>
      </c>
      <c r="H5378" s="19"/>
    </row>
    <row r="5379">
      <c r="A5379" s="9"/>
      <c r="B5379" s="15"/>
      <c r="C5379" s="9">
        <f>IFERROR(__xludf.DUMMYFUNCTION("""COMPUTED_VALUE"""),44549.1493542361)</f>
        <v>44549.14935</v>
      </c>
      <c r="D5379" s="15">
        <f>IFERROR(__xludf.DUMMYFUNCTION("""COMPUTED_VALUE"""),1.014)</f>
        <v>1.014</v>
      </c>
      <c r="E5379" s="16">
        <f>IFERROR(__xludf.DUMMYFUNCTION("""COMPUTED_VALUE"""),63.0)</f>
        <v>63</v>
      </c>
      <c r="F5379" s="19" t="str">
        <f>IFERROR(__xludf.DUMMYFUNCTION("""COMPUTED_VALUE"""),"BLUE")</f>
        <v>BLUE</v>
      </c>
      <c r="G5379" s="20" t="str">
        <f>IFERROR(__xludf.DUMMYFUNCTION("""COMPUTED_VALUE"""),"Uncle Sams Cider (11/12/2021) (Blue)")</f>
        <v>Uncle Sams Cider (11/12/2021) (Blue)</v>
      </c>
      <c r="H5379" s="19"/>
    </row>
    <row r="5380">
      <c r="A5380" s="9"/>
      <c r="B5380" s="15"/>
      <c r="C5380" s="9">
        <f>IFERROR(__xludf.DUMMYFUNCTION("""COMPUTED_VALUE"""),44549.1389206134)</f>
        <v>44549.13892</v>
      </c>
      <c r="D5380" s="15">
        <f>IFERROR(__xludf.DUMMYFUNCTION("""COMPUTED_VALUE"""),1.013)</f>
        <v>1.013</v>
      </c>
      <c r="E5380" s="16">
        <f>IFERROR(__xludf.DUMMYFUNCTION("""COMPUTED_VALUE"""),63.0)</f>
        <v>63</v>
      </c>
      <c r="F5380" s="19" t="str">
        <f>IFERROR(__xludf.DUMMYFUNCTION("""COMPUTED_VALUE"""),"BLUE")</f>
        <v>BLUE</v>
      </c>
      <c r="G5380" s="20" t="str">
        <f>IFERROR(__xludf.DUMMYFUNCTION("""COMPUTED_VALUE"""),"Uncle Sams Cider (11/12/2021) (Blue)")</f>
        <v>Uncle Sams Cider (11/12/2021) (Blue)</v>
      </c>
      <c r="H5380" s="19"/>
    </row>
    <row r="5381">
      <c r="A5381" s="9"/>
      <c r="B5381" s="15"/>
      <c r="C5381" s="9">
        <f>IFERROR(__xludf.DUMMYFUNCTION("""COMPUTED_VALUE"""),44549.1284873263)</f>
        <v>44549.12849</v>
      </c>
      <c r="D5381" s="15">
        <f>IFERROR(__xludf.DUMMYFUNCTION("""COMPUTED_VALUE"""),1.013)</f>
        <v>1.013</v>
      </c>
      <c r="E5381" s="16">
        <f>IFERROR(__xludf.DUMMYFUNCTION("""COMPUTED_VALUE"""),63.0)</f>
        <v>63</v>
      </c>
      <c r="F5381" s="19" t="str">
        <f>IFERROR(__xludf.DUMMYFUNCTION("""COMPUTED_VALUE"""),"BLUE")</f>
        <v>BLUE</v>
      </c>
      <c r="G5381" s="20" t="str">
        <f>IFERROR(__xludf.DUMMYFUNCTION("""COMPUTED_VALUE"""),"Uncle Sams Cider (11/12/2021) (Blue)")</f>
        <v>Uncle Sams Cider (11/12/2021) (Blue)</v>
      </c>
      <c r="H5381" s="19"/>
    </row>
    <row r="5382">
      <c r="A5382" s="9"/>
      <c r="B5382" s="15"/>
      <c r="C5382" s="9">
        <f>IFERROR(__xludf.DUMMYFUNCTION("""COMPUTED_VALUE"""),44549.1180673032)</f>
        <v>44549.11807</v>
      </c>
      <c r="D5382" s="15">
        <f>IFERROR(__xludf.DUMMYFUNCTION("""COMPUTED_VALUE"""),1.013)</f>
        <v>1.013</v>
      </c>
      <c r="E5382" s="16">
        <f>IFERROR(__xludf.DUMMYFUNCTION("""COMPUTED_VALUE"""),63.0)</f>
        <v>63</v>
      </c>
      <c r="F5382" s="19" t="str">
        <f>IFERROR(__xludf.DUMMYFUNCTION("""COMPUTED_VALUE"""),"BLUE")</f>
        <v>BLUE</v>
      </c>
      <c r="G5382" s="20" t="str">
        <f>IFERROR(__xludf.DUMMYFUNCTION("""COMPUTED_VALUE"""),"Uncle Sams Cider (11/12/2021) (Blue)")</f>
        <v>Uncle Sams Cider (11/12/2021) (Blue)</v>
      </c>
      <c r="H5382" s="19"/>
    </row>
    <row r="5383">
      <c r="A5383" s="9"/>
      <c r="B5383" s="15"/>
      <c r="C5383" s="9">
        <f>IFERROR(__xludf.DUMMYFUNCTION("""COMPUTED_VALUE"""),44549.1076357291)</f>
        <v>44549.10764</v>
      </c>
      <c r="D5383" s="15">
        <f>IFERROR(__xludf.DUMMYFUNCTION("""COMPUTED_VALUE"""),1.013)</f>
        <v>1.013</v>
      </c>
      <c r="E5383" s="16">
        <f>IFERROR(__xludf.DUMMYFUNCTION("""COMPUTED_VALUE"""),63.0)</f>
        <v>63</v>
      </c>
      <c r="F5383" s="19" t="str">
        <f>IFERROR(__xludf.DUMMYFUNCTION("""COMPUTED_VALUE"""),"BLUE")</f>
        <v>BLUE</v>
      </c>
      <c r="G5383" s="20" t="str">
        <f>IFERROR(__xludf.DUMMYFUNCTION("""COMPUTED_VALUE"""),"Uncle Sams Cider (11/12/2021) (Blue)")</f>
        <v>Uncle Sams Cider (11/12/2021) (Blue)</v>
      </c>
      <c r="H5383" s="19"/>
    </row>
    <row r="5384">
      <c r="A5384" s="9"/>
      <c r="B5384" s="15"/>
      <c r="C5384" s="9">
        <f>IFERROR(__xludf.DUMMYFUNCTION("""COMPUTED_VALUE"""),44549.097214537)</f>
        <v>44549.09721</v>
      </c>
      <c r="D5384" s="15">
        <f>IFERROR(__xludf.DUMMYFUNCTION("""COMPUTED_VALUE"""),1.013)</f>
        <v>1.013</v>
      </c>
      <c r="E5384" s="16">
        <f>IFERROR(__xludf.DUMMYFUNCTION("""COMPUTED_VALUE"""),63.0)</f>
        <v>63</v>
      </c>
      <c r="F5384" s="19" t="str">
        <f>IFERROR(__xludf.DUMMYFUNCTION("""COMPUTED_VALUE"""),"BLUE")</f>
        <v>BLUE</v>
      </c>
      <c r="G5384" s="20" t="str">
        <f>IFERROR(__xludf.DUMMYFUNCTION("""COMPUTED_VALUE"""),"Uncle Sams Cider (11/12/2021) (Blue)")</f>
        <v>Uncle Sams Cider (11/12/2021) (Blue)</v>
      </c>
      <c r="H5384" s="19"/>
    </row>
    <row r="5385">
      <c r="A5385" s="9"/>
      <c r="B5385" s="15"/>
      <c r="C5385" s="9">
        <f>IFERROR(__xludf.DUMMYFUNCTION("""COMPUTED_VALUE"""),44549.0867813078)</f>
        <v>44549.08678</v>
      </c>
      <c r="D5385" s="15">
        <f>IFERROR(__xludf.DUMMYFUNCTION("""COMPUTED_VALUE"""),1.013)</f>
        <v>1.013</v>
      </c>
      <c r="E5385" s="16">
        <f>IFERROR(__xludf.DUMMYFUNCTION("""COMPUTED_VALUE"""),63.0)</f>
        <v>63</v>
      </c>
      <c r="F5385" s="19" t="str">
        <f>IFERROR(__xludf.DUMMYFUNCTION("""COMPUTED_VALUE"""),"BLUE")</f>
        <v>BLUE</v>
      </c>
      <c r="G5385" s="20" t="str">
        <f>IFERROR(__xludf.DUMMYFUNCTION("""COMPUTED_VALUE"""),"Uncle Sams Cider (11/12/2021) (Blue)")</f>
        <v>Uncle Sams Cider (11/12/2021) (Blue)</v>
      </c>
      <c r="H5385" s="19"/>
    </row>
    <row r="5386">
      <c r="A5386" s="9"/>
      <c r="B5386" s="15"/>
      <c r="C5386" s="9">
        <f>IFERROR(__xludf.DUMMYFUNCTION("""COMPUTED_VALUE"""),44549.0763585995)</f>
        <v>44549.07636</v>
      </c>
      <c r="D5386" s="15">
        <f>IFERROR(__xludf.DUMMYFUNCTION("""COMPUTED_VALUE"""),1.014)</f>
        <v>1.014</v>
      </c>
      <c r="E5386" s="16">
        <f>IFERROR(__xludf.DUMMYFUNCTION("""COMPUTED_VALUE"""),63.0)</f>
        <v>63</v>
      </c>
      <c r="F5386" s="19" t="str">
        <f>IFERROR(__xludf.DUMMYFUNCTION("""COMPUTED_VALUE"""),"BLUE")</f>
        <v>BLUE</v>
      </c>
      <c r="G5386" s="20" t="str">
        <f>IFERROR(__xludf.DUMMYFUNCTION("""COMPUTED_VALUE"""),"Uncle Sams Cider (11/12/2021) (Blue)")</f>
        <v>Uncle Sams Cider (11/12/2021) (Blue)</v>
      </c>
      <c r="H5386" s="19"/>
    </row>
    <row r="5387">
      <c r="A5387" s="9"/>
      <c r="B5387" s="15"/>
      <c r="C5387" s="9">
        <f>IFERROR(__xludf.DUMMYFUNCTION("""COMPUTED_VALUE"""),44549.0659276736)</f>
        <v>44549.06593</v>
      </c>
      <c r="D5387" s="15">
        <f>IFERROR(__xludf.DUMMYFUNCTION("""COMPUTED_VALUE"""),1.013)</f>
        <v>1.013</v>
      </c>
      <c r="E5387" s="16">
        <f>IFERROR(__xludf.DUMMYFUNCTION("""COMPUTED_VALUE"""),63.0)</f>
        <v>63</v>
      </c>
      <c r="F5387" s="19" t="str">
        <f>IFERROR(__xludf.DUMMYFUNCTION("""COMPUTED_VALUE"""),"BLUE")</f>
        <v>BLUE</v>
      </c>
      <c r="G5387" s="20" t="str">
        <f>IFERROR(__xludf.DUMMYFUNCTION("""COMPUTED_VALUE"""),"Uncle Sams Cider (11/12/2021) (Blue)")</f>
        <v>Uncle Sams Cider (11/12/2021) (Blue)</v>
      </c>
      <c r="H5387" s="19"/>
    </row>
    <row r="5388">
      <c r="A5388" s="9"/>
      <c r="B5388" s="15"/>
      <c r="C5388" s="9">
        <f>IFERROR(__xludf.DUMMYFUNCTION("""COMPUTED_VALUE"""),44549.0554955671)</f>
        <v>44549.0555</v>
      </c>
      <c r="D5388" s="15">
        <f>IFERROR(__xludf.DUMMYFUNCTION("""COMPUTED_VALUE"""),1.014)</f>
        <v>1.014</v>
      </c>
      <c r="E5388" s="16">
        <f>IFERROR(__xludf.DUMMYFUNCTION("""COMPUTED_VALUE"""),63.0)</f>
        <v>63</v>
      </c>
      <c r="F5388" s="19" t="str">
        <f>IFERROR(__xludf.DUMMYFUNCTION("""COMPUTED_VALUE"""),"BLUE")</f>
        <v>BLUE</v>
      </c>
      <c r="G5388" s="20" t="str">
        <f>IFERROR(__xludf.DUMMYFUNCTION("""COMPUTED_VALUE"""),"Uncle Sams Cider (11/12/2021) (Blue)")</f>
        <v>Uncle Sams Cider (11/12/2021) (Blue)</v>
      </c>
      <c r="H5388" s="19"/>
    </row>
    <row r="5389">
      <c r="A5389" s="9"/>
      <c r="B5389" s="15"/>
      <c r="C5389" s="9">
        <f>IFERROR(__xludf.DUMMYFUNCTION("""COMPUTED_VALUE"""),44549.0450635763)</f>
        <v>44549.04506</v>
      </c>
      <c r="D5389" s="15">
        <f>IFERROR(__xludf.DUMMYFUNCTION("""COMPUTED_VALUE"""),1.013)</f>
        <v>1.013</v>
      </c>
      <c r="E5389" s="16">
        <f>IFERROR(__xludf.DUMMYFUNCTION("""COMPUTED_VALUE"""),63.0)</f>
        <v>63</v>
      </c>
      <c r="F5389" s="19" t="str">
        <f>IFERROR(__xludf.DUMMYFUNCTION("""COMPUTED_VALUE"""),"BLUE")</f>
        <v>BLUE</v>
      </c>
      <c r="G5389" s="20" t="str">
        <f>IFERROR(__xludf.DUMMYFUNCTION("""COMPUTED_VALUE"""),"Uncle Sams Cider (11/12/2021) (Blue)")</f>
        <v>Uncle Sams Cider (11/12/2021) (Blue)</v>
      </c>
      <c r="H5389" s="19"/>
    </row>
    <row r="5390">
      <c r="A5390" s="9"/>
      <c r="B5390" s="15"/>
      <c r="C5390" s="9">
        <f>IFERROR(__xludf.DUMMYFUNCTION("""COMPUTED_VALUE"""),44549.0346419097)</f>
        <v>44549.03464</v>
      </c>
      <c r="D5390" s="15">
        <f>IFERROR(__xludf.DUMMYFUNCTION("""COMPUTED_VALUE"""),1.014)</f>
        <v>1.014</v>
      </c>
      <c r="E5390" s="16">
        <f>IFERROR(__xludf.DUMMYFUNCTION("""COMPUTED_VALUE"""),63.0)</f>
        <v>63</v>
      </c>
      <c r="F5390" s="19" t="str">
        <f>IFERROR(__xludf.DUMMYFUNCTION("""COMPUTED_VALUE"""),"BLUE")</f>
        <v>BLUE</v>
      </c>
      <c r="G5390" s="20" t="str">
        <f>IFERROR(__xludf.DUMMYFUNCTION("""COMPUTED_VALUE"""),"Uncle Sams Cider (11/12/2021) (Blue)")</f>
        <v>Uncle Sams Cider (11/12/2021) (Blue)</v>
      </c>
      <c r="H5390" s="19"/>
    </row>
    <row r="5391">
      <c r="A5391" s="9"/>
      <c r="B5391" s="15"/>
      <c r="C5391" s="9">
        <f>IFERROR(__xludf.DUMMYFUNCTION("""COMPUTED_VALUE"""),44549.0242213773)</f>
        <v>44549.02422</v>
      </c>
      <c r="D5391" s="15">
        <f>IFERROR(__xludf.DUMMYFUNCTION("""COMPUTED_VALUE"""),1.013)</f>
        <v>1.013</v>
      </c>
      <c r="E5391" s="16">
        <f>IFERROR(__xludf.DUMMYFUNCTION("""COMPUTED_VALUE"""),63.0)</f>
        <v>63</v>
      </c>
      <c r="F5391" s="19" t="str">
        <f>IFERROR(__xludf.DUMMYFUNCTION("""COMPUTED_VALUE"""),"BLUE")</f>
        <v>BLUE</v>
      </c>
      <c r="G5391" s="20" t="str">
        <f>IFERROR(__xludf.DUMMYFUNCTION("""COMPUTED_VALUE"""),"Uncle Sams Cider (11/12/2021) (Blue)")</f>
        <v>Uncle Sams Cider (11/12/2021) (Blue)</v>
      </c>
      <c r="H5391" s="19"/>
    </row>
    <row r="5392">
      <c r="A5392" s="9"/>
      <c r="B5392" s="15"/>
      <c r="C5392" s="9">
        <f>IFERROR(__xludf.DUMMYFUNCTION("""COMPUTED_VALUE"""),44549.0137989467)</f>
        <v>44549.0138</v>
      </c>
      <c r="D5392" s="15">
        <f>IFERROR(__xludf.DUMMYFUNCTION("""COMPUTED_VALUE"""),1.013)</f>
        <v>1.013</v>
      </c>
      <c r="E5392" s="16">
        <f>IFERROR(__xludf.DUMMYFUNCTION("""COMPUTED_VALUE"""),63.0)</f>
        <v>63</v>
      </c>
      <c r="F5392" s="19" t="str">
        <f>IFERROR(__xludf.DUMMYFUNCTION("""COMPUTED_VALUE"""),"BLUE")</f>
        <v>BLUE</v>
      </c>
      <c r="G5392" s="20" t="str">
        <f>IFERROR(__xludf.DUMMYFUNCTION("""COMPUTED_VALUE"""),"Uncle Sams Cider (11/12/2021) (Blue)")</f>
        <v>Uncle Sams Cider (11/12/2021) (Blue)</v>
      </c>
      <c r="H5392" s="19"/>
    </row>
    <row r="5393">
      <c r="A5393" s="9"/>
      <c r="B5393" s="15"/>
      <c r="C5393" s="9">
        <f>IFERROR(__xludf.DUMMYFUNCTION("""COMPUTED_VALUE"""),44549.0033669907)</f>
        <v>44549.00337</v>
      </c>
      <c r="D5393" s="15">
        <f>IFERROR(__xludf.DUMMYFUNCTION("""COMPUTED_VALUE"""),1.014)</f>
        <v>1.014</v>
      </c>
      <c r="E5393" s="16">
        <f>IFERROR(__xludf.DUMMYFUNCTION("""COMPUTED_VALUE"""),63.0)</f>
        <v>63</v>
      </c>
      <c r="F5393" s="19" t="str">
        <f>IFERROR(__xludf.DUMMYFUNCTION("""COMPUTED_VALUE"""),"BLUE")</f>
        <v>BLUE</v>
      </c>
      <c r="G5393" s="20" t="str">
        <f>IFERROR(__xludf.DUMMYFUNCTION("""COMPUTED_VALUE"""),"Uncle Sams Cider (11/12/2021) (Blue)")</f>
        <v>Uncle Sams Cider (11/12/2021) (Blue)</v>
      </c>
      <c r="H5393" s="19"/>
    </row>
    <row r="5394">
      <c r="A5394" s="9"/>
      <c r="B5394" s="15"/>
      <c r="C5394" s="9">
        <f>IFERROR(__xludf.DUMMYFUNCTION("""COMPUTED_VALUE"""),44548.9929477662)</f>
        <v>44548.99295</v>
      </c>
      <c r="D5394" s="15">
        <f>IFERROR(__xludf.DUMMYFUNCTION("""COMPUTED_VALUE"""),1.014)</f>
        <v>1.014</v>
      </c>
      <c r="E5394" s="16">
        <f>IFERROR(__xludf.DUMMYFUNCTION("""COMPUTED_VALUE"""),63.0)</f>
        <v>63</v>
      </c>
      <c r="F5394" s="19" t="str">
        <f>IFERROR(__xludf.DUMMYFUNCTION("""COMPUTED_VALUE"""),"BLUE")</f>
        <v>BLUE</v>
      </c>
      <c r="G5394" s="20" t="str">
        <f>IFERROR(__xludf.DUMMYFUNCTION("""COMPUTED_VALUE"""),"Uncle Sams Cider (11/12/2021) (Blue)")</f>
        <v>Uncle Sams Cider (11/12/2021) (Blue)</v>
      </c>
      <c r="H5394" s="19"/>
    </row>
    <row r="5395">
      <c r="A5395" s="9"/>
      <c r="B5395" s="15"/>
      <c r="C5395" s="9">
        <f>IFERROR(__xludf.DUMMYFUNCTION("""COMPUTED_VALUE"""),44548.9825151851)</f>
        <v>44548.98252</v>
      </c>
      <c r="D5395" s="15">
        <f>IFERROR(__xludf.DUMMYFUNCTION("""COMPUTED_VALUE"""),1.014)</f>
        <v>1.014</v>
      </c>
      <c r="E5395" s="16">
        <f>IFERROR(__xludf.DUMMYFUNCTION("""COMPUTED_VALUE"""),63.0)</f>
        <v>63</v>
      </c>
      <c r="F5395" s="19" t="str">
        <f>IFERROR(__xludf.DUMMYFUNCTION("""COMPUTED_VALUE"""),"BLUE")</f>
        <v>BLUE</v>
      </c>
      <c r="G5395" s="20" t="str">
        <f>IFERROR(__xludf.DUMMYFUNCTION("""COMPUTED_VALUE"""),"Uncle Sams Cider (11/12/2021) (Blue)")</f>
        <v>Uncle Sams Cider (11/12/2021) (Blue)</v>
      </c>
      <c r="H5395" s="19"/>
    </row>
    <row r="5396">
      <c r="A5396" s="9"/>
      <c r="B5396" s="15"/>
      <c r="C5396" s="9">
        <f>IFERROR(__xludf.DUMMYFUNCTION("""COMPUTED_VALUE"""),44548.9720805902)</f>
        <v>44548.97208</v>
      </c>
      <c r="D5396" s="15">
        <f>IFERROR(__xludf.DUMMYFUNCTION("""COMPUTED_VALUE"""),1.014)</f>
        <v>1.014</v>
      </c>
      <c r="E5396" s="16">
        <f>IFERROR(__xludf.DUMMYFUNCTION("""COMPUTED_VALUE"""),63.0)</f>
        <v>63</v>
      </c>
      <c r="F5396" s="19" t="str">
        <f>IFERROR(__xludf.DUMMYFUNCTION("""COMPUTED_VALUE"""),"BLUE")</f>
        <v>BLUE</v>
      </c>
      <c r="G5396" s="20" t="str">
        <f>IFERROR(__xludf.DUMMYFUNCTION("""COMPUTED_VALUE"""),"Uncle Sams Cider (11/12/2021) (Blue)")</f>
        <v>Uncle Sams Cider (11/12/2021) (Blue)</v>
      </c>
      <c r="H5396" s="19"/>
    </row>
    <row r="5397">
      <c r="A5397" s="9"/>
      <c r="B5397" s="15"/>
      <c r="C5397" s="9">
        <f>IFERROR(__xludf.DUMMYFUNCTION("""COMPUTED_VALUE"""),44548.9616477893)</f>
        <v>44548.96165</v>
      </c>
      <c r="D5397" s="15">
        <f>IFERROR(__xludf.DUMMYFUNCTION("""COMPUTED_VALUE"""),1.014)</f>
        <v>1.014</v>
      </c>
      <c r="E5397" s="16">
        <f>IFERROR(__xludf.DUMMYFUNCTION("""COMPUTED_VALUE"""),63.0)</f>
        <v>63</v>
      </c>
      <c r="F5397" s="19" t="str">
        <f>IFERROR(__xludf.DUMMYFUNCTION("""COMPUTED_VALUE"""),"BLUE")</f>
        <v>BLUE</v>
      </c>
      <c r="G5397" s="20" t="str">
        <f>IFERROR(__xludf.DUMMYFUNCTION("""COMPUTED_VALUE"""),"Uncle Sams Cider (11/12/2021) (Blue)")</f>
        <v>Uncle Sams Cider (11/12/2021) (Blue)</v>
      </c>
      <c r="H5397" s="19"/>
    </row>
    <row r="5398">
      <c r="A5398" s="9"/>
      <c r="B5398" s="15"/>
      <c r="C5398" s="9">
        <f>IFERROR(__xludf.DUMMYFUNCTION("""COMPUTED_VALUE"""),44548.9512274999)</f>
        <v>44548.95123</v>
      </c>
      <c r="D5398" s="15">
        <f>IFERROR(__xludf.DUMMYFUNCTION("""COMPUTED_VALUE"""),1.014)</f>
        <v>1.014</v>
      </c>
      <c r="E5398" s="16">
        <f>IFERROR(__xludf.DUMMYFUNCTION("""COMPUTED_VALUE"""),63.0)</f>
        <v>63</v>
      </c>
      <c r="F5398" s="19" t="str">
        <f>IFERROR(__xludf.DUMMYFUNCTION("""COMPUTED_VALUE"""),"BLUE")</f>
        <v>BLUE</v>
      </c>
      <c r="G5398" s="20" t="str">
        <f>IFERROR(__xludf.DUMMYFUNCTION("""COMPUTED_VALUE"""),"Uncle Sams Cider (11/12/2021) (Blue)")</f>
        <v>Uncle Sams Cider (11/12/2021) (Blue)</v>
      </c>
      <c r="H5398" s="19"/>
    </row>
    <row r="5399">
      <c r="A5399" s="9"/>
      <c r="B5399" s="15"/>
      <c r="C5399" s="9">
        <f>IFERROR(__xludf.DUMMYFUNCTION("""COMPUTED_VALUE"""),44548.9408064004)</f>
        <v>44548.94081</v>
      </c>
      <c r="D5399" s="15">
        <f>IFERROR(__xludf.DUMMYFUNCTION("""COMPUTED_VALUE"""),1.013)</f>
        <v>1.013</v>
      </c>
      <c r="E5399" s="16">
        <f>IFERROR(__xludf.DUMMYFUNCTION("""COMPUTED_VALUE"""),63.0)</f>
        <v>63</v>
      </c>
      <c r="F5399" s="19" t="str">
        <f>IFERROR(__xludf.DUMMYFUNCTION("""COMPUTED_VALUE"""),"BLUE")</f>
        <v>BLUE</v>
      </c>
      <c r="G5399" s="20" t="str">
        <f>IFERROR(__xludf.DUMMYFUNCTION("""COMPUTED_VALUE"""),"Uncle Sams Cider (11/12/2021) (Blue)")</f>
        <v>Uncle Sams Cider (11/12/2021) (Blue)</v>
      </c>
      <c r="H5399" s="19"/>
    </row>
    <row r="5400">
      <c r="A5400" s="9"/>
      <c r="B5400" s="15"/>
      <c r="C5400" s="9">
        <f>IFERROR(__xludf.DUMMYFUNCTION("""COMPUTED_VALUE"""),44548.9303719328)</f>
        <v>44548.93037</v>
      </c>
      <c r="D5400" s="15">
        <f>IFERROR(__xludf.DUMMYFUNCTION("""COMPUTED_VALUE"""),1.014)</f>
        <v>1.014</v>
      </c>
      <c r="E5400" s="16">
        <f>IFERROR(__xludf.DUMMYFUNCTION("""COMPUTED_VALUE"""),63.0)</f>
        <v>63</v>
      </c>
      <c r="F5400" s="19" t="str">
        <f>IFERROR(__xludf.DUMMYFUNCTION("""COMPUTED_VALUE"""),"BLUE")</f>
        <v>BLUE</v>
      </c>
      <c r="G5400" s="20" t="str">
        <f>IFERROR(__xludf.DUMMYFUNCTION("""COMPUTED_VALUE"""),"Uncle Sams Cider (11/12/2021) (Blue)")</f>
        <v>Uncle Sams Cider (11/12/2021) (Blue)</v>
      </c>
      <c r="H5400" s="19"/>
    </row>
    <row r="5401">
      <c r="A5401" s="9"/>
      <c r="B5401" s="15"/>
      <c r="C5401" s="9">
        <f>IFERROR(__xludf.DUMMYFUNCTION("""COMPUTED_VALUE"""),44548.9199515972)</f>
        <v>44548.91995</v>
      </c>
      <c r="D5401" s="15">
        <f>IFERROR(__xludf.DUMMYFUNCTION("""COMPUTED_VALUE"""),1.014)</f>
        <v>1.014</v>
      </c>
      <c r="E5401" s="16">
        <f>IFERROR(__xludf.DUMMYFUNCTION("""COMPUTED_VALUE"""),63.0)</f>
        <v>63</v>
      </c>
      <c r="F5401" s="19" t="str">
        <f>IFERROR(__xludf.DUMMYFUNCTION("""COMPUTED_VALUE"""),"BLUE")</f>
        <v>BLUE</v>
      </c>
      <c r="G5401" s="20" t="str">
        <f>IFERROR(__xludf.DUMMYFUNCTION("""COMPUTED_VALUE"""),"Uncle Sams Cider (11/12/2021) (Blue)")</f>
        <v>Uncle Sams Cider (11/12/2021) (Blue)</v>
      </c>
      <c r="H5401" s="19"/>
    </row>
    <row r="5402">
      <c r="A5402" s="9"/>
      <c r="B5402" s="15"/>
      <c r="C5402" s="9">
        <f>IFERROR(__xludf.DUMMYFUNCTION("""COMPUTED_VALUE"""),44548.9095306481)</f>
        <v>44548.90953</v>
      </c>
      <c r="D5402" s="15">
        <f>IFERROR(__xludf.DUMMYFUNCTION("""COMPUTED_VALUE"""),1.014)</f>
        <v>1.014</v>
      </c>
      <c r="E5402" s="16">
        <f>IFERROR(__xludf.DUMMYFUNCTION("""COMPUTED_VALUE"""),63.0)</f>
        <v>63</v>
      </c>
      <c r="F5402" s="19" t="str">
        <f>IFERROR(__xludf.DUMMYFUNCTION("""COMPUTED_VALUE"""),"BLUE")</f>
        <v>BLUE</v>
      </c>
      <c r="G5402" s="20" t="str">
        <f>IFERROR(__xludf.DUMMYFUNCTION("""COMPUTED_VALUE"""),"Uncle Sams Cider (11/12/2021) (Blue)")</f>
        <v>Uncle Sams Cider (11/12/2021) (Blue)</v>
      </c>
      <c r="H5402" s="19"/>
    </row>
    <row r="5403">
      <c r="A5403" s="9"/>
      <c r="B5403" s="15"/>
      <c r="C5403" s="9">
        <f>IFERROR(__xludf.DUMMYFUNCTION("""COMPUTED_VALUE"""),44548.8990979745)</f>
        <v>44548.8991</v>
      </c>
      <c r="D5403" s="15">
        <f>IFERROR(__xludf.DUMMYFUNCTION("""COMPUTED_VALUE"""),1.014)</f>
        <v>1.014</v>
      </c>
      <c r="E5403" s="16">
        <f>IFERROR(__xludf.DUMMYFUNCTION("""COMPUTED_VALUE"""),63.0)</f>
        <v>63</v>
      </c>
      <c r="F5403" s="19" t="str">
        <f>IFERROR(__xludf.DUMMYFUNCTION("""COMPUTED_VALUE"""),"BLUE")</f>
        <v>BLUE</v>
      </c>
      <c r="G5403" s="20" t="str">
        <f>IFERROR(__xludf.DUMMYFUNCTION("""COMPUTED_VALUE"""),"Uncle Sams Cider (11/12/2021) (Blue)")</f>
        <v>Uncle Sams Cider (11/12/2021) (Blue)</v>
      </c>
      <c r="H5403" s="19"/>
    </row>
    <row r="5404">
      <c r="A5404" s="9"/>
      <c r="B5404" s="15"/>
      <c r="C5404" s="9">
        <f>IFERROR(__xludf.DUMMYFUNCTION("""COMPUTED_VALUE"""),44548.8886775231)</f>
        <v>44548.88868</v>
      </c>
      <c r="D5404" s="15">
        <f>IFERROR(__xludf.DUMMYFUNCTION("""COMPUTED_VALUE"""),1.014)</f>
        <v>1.014</v>
      </c>
      <c r="E5404" s="16">
        <f>IFERROR(__xludf.DUMMYFUNCTION("""COMPUTED_VALUE"""),63.0)</f>
        <v>63</v>
      </c>
      <c r="F5404" s="19" t="str">
        <f>IFERROR(__xludf.DUMMYFUNCTION("""COMPUTED_VALUE"""),"BLUE")</f>
        <v>BLUE</v>
      </c>
      <c r="G5404" s="20" t="str">
        <f>IFERROR(__xludf.DUMMYFUNCTION("""COMPUTED_VALUE"""),"Uncle Sams Cider (11/12/2021) (Blue)")</f>
        <v>Uncle Sams Cider (11/12/2021) (Blue)</v>
      </c>
      <c r="H5404" s="19"/>
    </row>
    <row r="5405">
      <c r="A5405" s="9"/>
      <c r="B5405" s="15"/>
      <c r="C5405" s="9">
        <f>IFERROR(__xludf.DUMMYFUNCTION("""COMPUTED_VALUE"""),44548.8782566435)</f>
        <v>44548.87826</v>
      </c>
      <c r="D5405" s="15">
        <f>IFERROR(__xludf.DUMMYFUNCTION("""COMPUTED_VALUE"""),1.013)</f>
        <v>1.013</v>
      </c>
      <c r="E5405" s="16">
        <f>IFERROR(__xludf.DUMMYFUNCTION("""COMPUTED_VALUE"""),63.0)</f>
        <v>63</v>
      </c>
      <c r="F5405" s="19" t="str">
        <f>IFERROR(__xludf.DUMMYFUNCTION("""COMPUTED_VALUE"""),"BLUE")</f>
        <v>BLUE</v>
      </c>
      <c r="G5405" s="20" t="str">
        <f>IFERROR(__xludf.DUMMYFUNCTION("""COMPUTED_VALUE"""),"Uncle Sams Cider (11/12/2021) (Blue)")</f>
        <v>Uncle Sams Cider (11/12/2021) (Blue)</v>
      </c>
      <c r="H5405" s="19"/>
    </row>
    <row r="5406">
      <c r="A5406" s="9"/>
      <c r="B5406" s="15"/>
      <c r="C5406" s="9">
        <f>IFERROR(__xludf.DUMMYFUNCTION("""COMPUTED_VALUE"""),44548.8678345023)</f>
        <v>44548.86783</v>
      </c>
      <c r="D5406" s="15">
        <f>IFERROR(__xludf.DUMMYFUNCTION("""COMPUTED_VALUE"""),1.014)</f>
        <v>1.014</v>
      </c>
      <c r="E5406" s="16">
        <f>IFERROR(__xludf.DUMMYFUNCTION("""COMPUTED_VALUE"""),63.0)</f>
        <v>63</v>
      </c>
      <c r="F5406" s="19" t="str">
        <f>IFERROR(__xludf.DUMMYFUNCTION("""COMPUTED_VALUE"""),"BLUE")</f>
        <v>BLUE</v>
      </c>
      <c r="G5406" s="20" t="str">
        <f>IFERROR(__xludf.DUMMYFUNCTION("""COMPUTED_VALUE"""),"Uncle Sams Cider (11/12/2021) (Blue)")</f>
        <v>Uncle Sams Cider (11/12/2021) (Blue)</v>
      </c>
      <c r="H5406" s="19"/>
    </row>
    <row r="5407">
      <c r="A5407" s="9"/>
      <c r="B5407" s="15"/>
      <c r="C5407" s="9">
        <f>IFERROR(__xludf.DUMMYFUNCTION("""COMPUTED_VALUE"""),44548.8573895254)</f>
        <v>44548.85739</v>
      </c>
      <c r="D5407" s="15">
        <f>IFERROR(__xludf.DUMMYFUNCTION("""COMPUTED_VALUE"""),1.014)</f>
        <v>1.014</v>
      </c>
      <c r="E5407" s="16">
        <f>IFERROR(__xludf.DUMMYFUNCTION("""COMPUTED_VALUE"""),63.0)</f>
        <v>63</v>
      </c>
      <c r="F5407" s="19" t="str">
        <f>IFERROR(__xludf.DUMMYFUNCTION("""COMPUTED_VALUE"""),"BLUE")</f>
        <v>BLUE</v>
      </c>
      <c r="G5407" s="20" t="str">
        <f>IFERROR(__xludf.DUMMYFUNCTION("""COMPUTED_VALUE"""),"Uncle Sams Cider (11/12/2021) (Blue)")</f>
        <v>Uncle Sams Cider (11/12/2021) (Blue)</v>
      </c>
      <c r="H5407" s="19"/>
    </row>
    <row r="5408">
      <c r="A5408" s="9"/>
      <c r="B5408" s="15"/>
      <c r="C5408" s="9">
        <f>IFERROR(__xludf.DUMMYFUNCTION("""COMPUTED_VALUE"""),44548.846968206)</f>
        <v>44548.84697</v>
      </c>
      <c r="D5408" s="15">
        <f>IFERROR(__xludf.DUMMYFUNCTION("""COMPUTED_VALUE"""),1.013)</f>
        <v>1.013</v>
      </c>
      <c r="E5408" s="16">
        <f>IFERROR(__xludf.DUMMYFUNCTION("""COMPUTED_VALUE"""),63.0)</f>
        <v>63</v>
      </c>
      <c r="F5408" s="19" t="str">
        <f>IFERROR(__xludf.DUMMYFUNCTION("""COMPUTED_VALUE"""),"BLUE")</f>
        <v>BLUE</v>
      </c>
      <c r="G5408" s="20" t="str">
        <f>IFERROR(__xludf.DUMMYFUNCTION("""COMPUTED_VALUE"""),"Uncle Sams Cider (11/12/2021) (Blue)")</f>
        <v>Uncle Sams Cider (11/12/2021) (Blue)</v>
      </c>
      <c r="H5408" s="19"/>
    </row>
    <row r="5409">
      <c r="A5409" s="9"/>
      <c r="B5409" s="15"/>
      <c r="C5409" s="9">
        <f>IFERROR(__xludf.DUMMYFUNCTION("""COMPUTED_VALUE"""),44548.8365468287)</f>
        <v>44548.83655</v>
      </c>
      <c r="D5409" s="15">
        <f>IFERROR(__xludf.DUMMYFUNCTION("""COMPUTED_VALUE"""),1.013)</f>
        <v>1.013</v>
      </c>
      <c r="E5409" s="16">
        <f>IFERROR(__xludf.DUMMYFUNCTION("""COMPUTED_VALUE"""),63.0)</f>
        <v>63</v>
      </c>
      <c r="F5409" s="19" t="str">
        <f>IFERROR(__xludf.DUMMYFUNCTION("""COMPUTED_VALUE"""),"BLUE")</f>
        <v>BLUE</v>
      </c>
      <c r="G5409" s="20" t="str">
        <f>IFERROR(__xludf.DUMMYFUNCTION("""COMPUTED_VALUE"""),"Uncle Sams Cider (11/12/2021) (Blue)")</f>
        <v>Uncle Sams Cider (11/12/2021) (Blue)</v>
      </c>
      <c r="H5409" s="19"/>
    </row>
    <row r="5410">
      <c r="A5410" s="9"/>
      <c r="B5410" s="15"/>
      <c r="C5410" s="9">
        <f>IFERROR(__xludf.DUMMYFUNCTION("""COMPUTED_VALUE"""),44548.8261266203)</f>
        <v>44548.82613</v>
      </c>
      <c r="D5410" s="15">
        <f>IFERROR(__xludf.DUMMYFUNCTION("""COMPUTED_VALUE"""),1.014)</f>
        <v>1.014</v>
      </c>
      <c r="E5410" s="16">
        <f>IFERROR(__xludf.DUMMYFUNCTION("""COMPUTED_VALUE"""),63.0)</f>
        <v>63</v>
      </c>
      <c r="F5410" s="19" t="str">
        <f>IFERROR(__xludf.DUMMYFUNCTION("""COMPUTED_VALUE"""),"BLUE")</f>
        <v>BLUE</v>
      </c>
      <c r="G5410" s="20" t="str">
        <f>IFERROR(__xludf.DUMMYFUNCTION("""COMPUTED_VALUE"""),"Uncle Sams Cider (11/12/2021) (Blue)")</f>
        <v>Uncle Sams Cider (11/12/2021) (Blue)</v>
      </c>
      <c r="H5410" s="19"/>
    </row>
    <row r="5411">
      <c r="A5411" s="9"/>
      <c r="B5411" s="15"/>
      <c r="C5411" s="9">
        <f>IFERROR(__xludf.DUMMYFUNCTION("""COMPUTED_VALUE"""),44548.8157055902)</f>
        <v>44548.81571</v>
      </c>
      <c r="D5411" s="15">
        <f>IFERROR(__xludf.DUMMYFUNCTION("""COMPUTED_VALUE"""),1.014)</f>
        <v>1.014</v>
      </c>
      <c r="E5411" s="16">
        <f>IFERROR(__xludf.DUMMYFUNCTION("""COMPUTED_VALUE"""),63.0)</f>
        <v>63</v>
      </c>
      <c r="F5411" s="19" t="str">
        <f>IFERROR(__xludf.DUMMYFUNCTION("""COMPUTED_VALUE"""),"BLUE")</f>
        <v>BLUE</v>
      </c>
      <c r="G5411" s="20" t="str">
        <f>IFERROR(__xludf.DUMMYFUNCTION("""COMPUTED_VALUE"""),"Uncle Sams Cider (11/12/2021) (Blue)")</f>
        <v>Uncle Sams Cider (11/12/2021) (Blue)</v>
      </c>
      <c r="H5411" s="19"/>
    </row>
    <row r="5412">
      <c r="A5412" s="9"/>
      <c r="B5412" s="15"/>
      <c r="C5412" s="9">
        <f>IFERROR(__xludf.DUMMYFUNCTION("""COMPUTED_VALUE"""),44548.8052831944)</f>
        <v>44548.80528</v>
      </c>
      <c r="D5412" s="15">
        <f>IFERROR(__xludf.DUMMYFUNCTION("""COMPUTED_VALUE"""),1.014)</f>
        <v>1.014</v>
      </c>
      <c r="E5412" s="16">
        <f>IFERROR(__xludf.DUMMYFUNCTION("""COMPUTED_VALUE"""),63.0)</f>
        <v>63</v>
      </c>
      <c r="F5412" s="19" t="str">
        <f>IFERROR(__xludf.DUMMYFUNCTION("""COMPUTED_VALUE"""),"BLUE")</f>
        <v>BLUE</v>
      </c>
      <c r="G5412" s="20" t="str">
        <f>IFERROR(__xludf.DUMMYFUNCTION("""COMPUTED_VALUE"""),"Uncle Sams Cider (11/12/2021) (Blue)")</f>
        <v>Uncle Sams Cider (11/12/2021) (Blue)</v>
      </c>
      <c r="H5412" s="19"/>
    </row>
    <row r="5413">
      <c r="A5413" s="9"/>
      <c r="B5413" s="15"/>
      <c r="C5413" s="9">
        <f>IFERROR(__xludf.DUMMYFUNCTION("""COMPUTED_VALUE"""),44548.794849155)</f>
        <v>44548.79485</v>
      </c>
      <c r="D5413" s="15">
        <f>IFERROR(__xludf.DUMMYFUNCTION("""COMPUTED_VALUE"""),1.014)</f>
        <v>1.014</v>
      </c>
      <c r="E5413" s="16">
        <f>IFERROR(__xludf.DUMMYFUNCTION("""COMPUTED_VALUE"""),63.0)</f>
        <v>63</v>
      </c>
      <c r="F5413" s="19" t="str">
        <f>IFERROR(__xludf.DUMMYFUNCTION("""COMPUTED_VALUE"""),"BLUE")</f>
        <v>BLUE</v>
      </c>
      <c r="G5413" s="20" t="str">
        <f>IFERROR(__xludf.DUMMYFUNCTION("""COMPUTED_VALUE"""),"Uncle Sams Cider (11/12/2021) (Blue)")</f>
        <v>Uncle Sams Cider (11/12/2021) (Blue)</v>
      </c>
      <c r="H5413" s="19"/>
    </row>
    <row r="5414">
      <c r="A5414" s="9"/>
      <c r="B5414" s="15"/>
      <c r="C5414" s="9">
        <f>IFERROR(__xludf.DUMMYFUNCTION("""COMPUTED_VALUE"""),44548.7844273958)</f>
        <v>44548.78443</v>
      </c>
      <c r="D5414" s="15">
        <f>IFERROR(__xludf.DUMMYFUNCTION("""COMPUTED_VALUE"""),1.014)</f>
        <v>1.014</v>
      </c>
      <c r="E5414" s="16">
        <f>IFERROR(__xludf.DUMMYFUNCTION("""COMPUTED_VALUE"""),63.0)</f>
        <v>63</v>
      </c>
      <c r="F5414" s="19" t="str">
        <f>IFERROR(__xludf.DUMMYFUNCTION("""COMPUTED_VALUE"""),"BLUE")</f>
        <v>BLUE</v>
      </c>
      <c r="G5414" s="20" t="str">
        <f>IFERROR(__xludf.DUMMYFUNCTION("""COMPUTED_VALUE"""),"Uncle Sams Cider (11/12/2021) (Blue)")</f>
        <v>Uncle Sams Cider (11/12/2021) (Blue)</v>
      </c>
      <c r="H5414" s="19"/>
    </row>
    <row r="5415">
      <c r="A5415" s="9"/>
      <c r="B5415" s="15"/>
      <c r="C5415" s="9">
        <f>IFERROR(__xludf.DUMMYFUNCTION("""COMPUTED_VALUE"""),44548.7740047337)</f>
        <v>44548.774</v>
      </c>
      <c r="D5415" s="15">
        <f>IFERROR(__xludf.DUMMYFUNCTION("""COMPUTED_VALUE"""),1.014)</f>
        <v>1.014</v>
      </c>
      <c r="E5415" s="16">
        <f>IFERROR(__xludf.DUMMYFUNCTION("""COMPUTED_VALUE"""),63.0)</f>
        <v>63</v>
      </c>
      <c r="F5415" s="19" t="str">
        <f>IFERROR(__xludf.DUMMYFUNCTION("""COMPUTED_VALUE"""),"BLUE")</f>
        <v>BLUE</v>
      </c>
      <c r="G5415" s="20" t="str">
        <f>IFERROR(__xludf.DUMMYFUNCTION("""COMPUTED_VALUE"""),"Uncle Sams Cider (11/12/2021) (Blue)")</f>
        <v>Uncle Sams Cider (11/12/2021) (Blue)</v>
      </c>
      <c r="H5415" s="19"/>
    </row>
    <row r="5416">
      <c r="A5416" s="9"/>
      <c r="B5416" s="15"/>
      <c r="C5416" s="9">
        <f>IFERROR(__xludf.DUMMYFUNCTION("""COMPUTED_VALUE"""),44548.7635842708)</f>
        <v>44548.76358</v>
      </c>
      <c r="D5416" s="15">
        <f>IFERROR(__xludf.DUMMYFUNCTION("""COMPUTED_VALUE"""),1.014)</f>
        <v>1.014</v>
      </c>
      <c r="E5416" s="16">
        <f>IFERROR(__xludf.DUMMYFUNCTION("""COMPUTED_VALUE"""),63.0)</f>
        <v>63</v>
      </c>
      <c r="F5416" s="19" t="str">
        <f>IFERROR(__xludf.DUMMYFUNCTION("""COMPUTED_VALUE"""),"BLUE")</f>
        <v>BLUE</v>
      </c>
      <c r="G5416" s="20" t="str">
        <f>IFERROR(__xludf.DUMMYFUNCTION("""COMPUTED_VALUE"""),"Uncle Sams Cider (11/12/2021) (Blue)")</f>
        <v>Uncle Sams Cider (11/12/2021) (Blue)</v>
      </c>
      <c r="H5416" s="19"/>
    </row>
    <row r="5417">
      <c r="A5417" s="9"/>
      <c r="B5417" s="15"/>
      <c r="C5417" s="9">
        <f>IFERROR(__xludf.DUMMYFUNCTION("""COMPUTED_VALUE"""),44548.7531628819)</f>
        <v>44548.75316</v>
      </c>
      <c r="D5417" s="15">
        <f>IFERROR(__xludf.DUMMYFUNCTION("""COMPUTED_VALUE"""),1.014)</f>
        <v>1.014</v>
      </c>
      <c r="E5417" s="16">
        <f>IFERROR(__xludf.DUMMYFUNCTION("""COMPUTED_VALUE"""),63.0)</f>
        <v>63</v>
      </c>
      <c r="F5417" s="19" t="str">
        <f>IFERROR(__xludf.DUMMYFUNCTION("""COMPUTED_VALUE"""),"BLUE")</f>
        <v>BLUE</v>
      </c>
      <c r="G5417" s="20" t="str">
        <f>IFERROR(__xludf.DUMMYFUNCTION("""COMPUTED_VALUE"""),"Uncle Sams Cider (11/12/2021) (Blue)")</f>
        <v>Uncle Sams Cider (11/12/2021) (Blue)</v>
      </c>
      <c r="H5417" s="19"/>
    </row>
    <row r="5418">
      <c r="A5418" s="9"/>
      <c r="B5418" s="15"/>
      <c r="C5418" s="9">
        <f>IFERROR(__xludf.DUMMYFUNCTION("""COMPUTED_VALUE"""),44548.7427425694)</f>
        <v>44548.74274</v>
      </c>
      <c r="D5418" s="15">
        <f>IFERROR(__xludf.DUMMYFUNCTION("""COMPUTED_VALUE"""),1.014)</f>
        <v>1.014</v>
      </c>
      <c r="E5418" s="16">
        <f>IFERROR(__xludf.DUMMYFUNCTION("""COMPUTED_VALUE"""),63.0)</f>
        <v>63</v>
      </c>
      <c r="F5418" s="19" t="str">
        <f>IFERROR(__xludf.DUMMYFUNCTION("""COMPUTED_VALUE"""),"BLUE")</f>
        <v>BLUE</v>
      </c>
      <c r="G5418" s="20" t="str">
        <f>IFERROR(__xludf.DUMMYFUNCTION("""COMPUTED_VALUE"""),"Uncle Sams Cider (11/12/2021) (Blue)")</f>
        <v>Uncle Sams Cider (11/12/2021) (Blue)</v>
      </c>
      <c r="H5418" s="19"/>
    </row>
    <row r="5419">
      <c r="A5419" s="9"/>
      <c r="B5419" s="15"/>
      <c r="C5419" s="9">
        <f>IFERROR(__xludf.DUMMYFUNCTION("""COMPUTED_VALUE"""),44548.7323209027)</f>
        <v>44548.73232</v>
      </c>
      <c r="D5419" s="15">
        <f>IFERROR(__xludf.DUMMYFUNCTION("""COMPUTED_VALUE"""),1.014)</f>
        <v>1.014</v>
      </c>
      <c r="E5419" s="16">
        <f>IFERROR(__xludf.DUMMYFUNCTION("""COMPUTED_VALUE"""),63.0)</f>
        <v>63</v>
      </c>
      <c r="F5419" s="19" t="str">
        <f>IFERROR(__xludf.DUMMYFUNCTION("""COMPUTED_VALUE"""),"BLUE")</f>
        <v>BLUE</v>
      </c>
      <c r="G5419" s="20" t="str">
        <f>IFERROR(__xludf.DUMMYFUNCTION("""COMPUTED_VALUE"""),"Uncle Sams Cider (11/12/2021) (Blue)")</f>
        <v>Uncle Sams Cider (11/12/2021) (Blue)</v>
      </c>
      <c r="H5419" s="19"/>
    </row>
    <row r="5420">
      <c r="A5420" s="9"/>
      <c r="B5420" s="15"/>
      <c r="C5420" s="9">
        <f>IFERROR(__xludf.DUMMYFUNCTION("""COMPUTED_VALUE"""),44548.7218999652)</f>
        <v>44548.7219</v>
      </c>
      <c r="D5420" s="15">
        <f>IFERROR(__xludf.DUMMYFUNCTION("""COMPUTED_VALUE"""),1.014)</f>
        <v>1.014</v>
      </c>
      <c r="E5420" s="16">
        <f>IFERROR(__xludf.DUMMYFUNCTION("""COMPUTED_VALUE"""),63.0)</f>
        <v>63</v>
      </c>
      <c r="F5420" s="19" t="str">
        <f>IFERROR(__xludf.DUMMYFUNCTION("""COMPUTED_VALUE"""),"BLUE")</f>
        <v>BLUE</v>
      </c>
      <c r="G5420" s="20" t="str">
        <f>IFERROR(__xludf.DUMMYFUNCTION("""COMPUTED_VALUE"""),"Uncle Sams Cider (11/12/2021) (Blue)")</f>
        <v>Uncle Sams Cider (11/12/2021) (Blue)</v>
      </c>
      <c r="H5420" s="19"/>
    </row>
    <row r="5421">
      <c r="A5421" s="9"/>
      <c r="B5421" s="15"/>
      <c r="C5421" s="9">
        <f>IFERROR(__xludf.DUMMYFUNCTION("""COMPUTED_VALUE"""),44548.7114781365)</f>
        <v>44548.71148</v>
      </c>
      <c r="D5421" s="15">
        <f>IFERROR(__xludf.DUMMYFUNCTION("""COMPUTED_VALUE"""),1.014)</f>
        <v>1.014</v>
      </c>
      <c r="E5421" s="16">
        <f>IFERROR(__xludf.DUMMYFUNCTION("""COMPUTED_VALUE"""),63.0)</f>
        <v>63</v>
      </c>
      <c r="F5421" s="19" t="str">
        <f>IFERROR(__xludf.DUMMYFUNCTION("""COMPUTED_VALUE"""),"BLUE")</f>
        <v>BLUE</v>
      </c>
      <c r="G5421" s="20" t="str">
        <f>IFERROR(__xludf.DUMMYFUNCTION("""COMPUTED_VALUE"""),"Uncle Sams Cider (11/12/2021) (Blue)")</f>
        <v>Uncle Sams Cider (11/12/2021) (Blue)</v>
      </c>
      <c r="H5421" s="19"/>
    </row>
    <row r="5422">
      <c r="A5422" s="9"/>
      <c r="B5422" s="15"/>
      <c r="C5422" s="9">
        <f>IFERROR(__xludf.DUMMYFUNCTION("""COMPUTED_VALUE"""),44548.7010573032)</f>
        <v>44548.70106</v>
      </c>
      <c r="D5422" s="15">
        <f>IFERROR(__xludf.DUMMYFUNCTION("""COMPUTED_VALUE"""),1.014)</f>
        <v>1.014</v>
      </c>
      <c r="E5422" s="16">
        <f>IFERROR(__xludf.DUMMYFUNCTION("""COMPUTED_VALUE"""),63.0)</f>
        <v>63</v>
      </c>
      <c r="F5422" s="19" t="str">
        <f>IFERROR(__xludf.DUMMYFUNCTION("""COMPUTED_VALUE"""),"BLUE")</f>
        <v>BLUE</v>
      </c>
      <c r="G5422" s="20" t="str">
        <f>IFERROR(__xludf.DUMMYFUNCTION("""COMPUTED_VALUE"""),"Uncle Sams Cider (11/12/2021) (Blue)")</f>
        <v>Uncle Sams Cider (11/12/2021) (Blue)</v>
      </c>
      <c r="H5422" s="19"/>
    </row>
    <row r="5423">
      <c r="A5423" s="9"/>
      <c r="B5423" s="15"/>
      <c r="C5423" s="9">
        <f>IFERROR(__xludf.DUMMYFUNCTION("""COMPUTED_VALUE"""),44548.6906257175)</f>
        <v>44548.69063</v>
      </c>
      <c r="D5423" s="15">
        <f>IFERROR(__xludf.DUMMYFUNCTION("""COMPUTED_VALUE"""),1.014)</f>
        <v>1.014</v>
      </c>
      <c r="E5423" s="16">
        <f>IFERROR(__xludf.DUMMYFUNCTION("""COMPUTED_VALUE"""),63.0)</f>
        <v>63</v>
      </c>
      <c r="F5423" s="19" t="str">
        <f>IFERROR(__xludf.DUMMYFUNCTION("""COMPUTED_VALUE"""),"BLUE")</f>
        <v>BLUE</v>
      </c>
      <c r="G5423" s="20" t="str">
        <f>IFERROR(__xludf.DUMMYFUNCTION("""COMPUTED_VALUE"""),"Uncle Sams Cider (11/12/2021) (Blue)")</f>
        <v>Uncle Sams Cider (11/12/2021) (Blue)</v>
      </c>
      <c r="H5423" s="19"/>
    </row>
    <row r="5424">
      <c r="A5424" s="9"/>
      <c r="B5424" s="15"/>
      <c r="C5424" s="9">
        <f>IFERROR(__xludf.DUMMYFUNCTION("""COMPUTED_VALUE"""),44548.6802046643)</f>
        <v>44548.6802</v>
      </c>
      <c r="D5424" s="15">
        <f>IFERROR(__xludf.DUMMYFUNCTION("""COMPUTED_VALUE"""),1.014)</f>
        <v>1.014</v>
      </c>
      <c r="E5424" s="16">
        <f>IFERROR(__xludf.DUMMYFUNCTION("""COMPUTED_VALUE"""),63.0)</f>
        <v>63</v>
      </c>
      <c r="F5424" s="19" t="str">
        <f>IFERROR(__xludf.DUMMYFUNCTION("""COMPUTED_VALUE"""),"BLUE")</f>
        <v>BLUE</v>
      </c>
      <c r="G5424" s="20" t="str">
        <f>IFERROR(__xludf.DUMMYFUNCTION("""COMPUTED_VALUE"""),"Uncle Sams Cider (11/12/2021) (Blue)")</f>
        <v>Uncle Sams Cider (11/12/2021) (Blue)</v>
      </c>
      <c r="H5424" s="19"/>
    </row>
    <row r="5425">
      <c r="A5425" s="9"/>
      <c r="B5425" s="15"/>
      <c r="C5425" s="9">
        <f>IFERROR(__xludf.DUMMYFUNCTION("""COMPUTED_VALUE"""),44548.6697838078)</f>
        <v>44548.66978</v>
      </c>
      <c r="D5425" s="15">
        <f>IFERROR(__xludf.DUMMYFUNCTION("""COMPUTED_VALUE"""),1.014)</f>
        <v>1.014</v>
      </c>
      <c r="E5425" s="16">
        <f>IFERROR(__xludf.DUMMYFUNCTION("""COMPUTED_VALUE"""),63.0)</f>
        <v>63</v>
      </c>
      <c r="F5425" s="19" t="str">
        <f>IFERROR(__xludf.DUMMYFUNCTION("""COMPUTED_VALUE"""),"BLUE")</f>
        <v>BLUE</v>
      </c>
      <c r="G5425" s="20" t="str">
        <f>IFERROR(__xludf.DUMMYFUNCTION("""COMPUTED_VALUE"""),"Uncle Sams Cider (11/12/2021) (Blue)")</f>
        <v>Uncle Sams Cider (11/12/2021) (Blue)</v>
      </c>
      <c r="H5425" s="19"/>
    </row>
    <row r="5426">
      <c r="A5426" s="9"/>
      <c r="B5426" s="15"/>
      <c r="C5426" s="9">
        <f>IFERROR(__xludf.DUMMYFUNCTION("""COMPUTED_VALUE"""),44548.6593634374)</f>
        <v>44548.65936</v>
      </c>
      <c r="D5426" s="15">
        <f>IFERROR(__xludf.DUMMYFUNCTION("""COMPUTED_VALUE"""),1.014)</f>
        <v>1.014</v>
      </c>
      <c r="E5426" s="16">
        <f>IFERROR(__xludf.DUMMYFUNCTION("""COMPUTED_VALUE"""),63.0)</f>
        <v>63</v>
      </c>
      <c r="F5426" s="19" t="str">
        <f>IFERROR(__xludf.DUMMYFUNCTION("""COMPUTED_VALUE"""),"BLUE")</f>
        <v>BLUE</v>
      </c>
      <c r="G5426" s="20" t="str">
        <f>IFERROR(__xludf.DUMMYFUNCTION("""COMPUTED_VALUE"""),"Uncle Sams Cider (11/12/2021) (Blue)")</f>
        <v>Uncle Sams Cider (11/12/2021) (Blue)</v>
      </c>
      <c r="H5426" s="19"/>
    </row>
    <row r="5427">
      <c r="A5427" s="9"/>
      <c r="B5427" s="15"/>
      <c r="C5427" s="9">
        <f>IFERROR(__xludf.DUMMYFUNCTION("""COMPUTED_VALUE"""),44548.6489434953)</f>
        <v>44548.64894</v>
      </c>
      <c r="D5427" s="15">
        <f>IFERROR(__xludf.DUMMYFUNCTION("""COMPUTED_VALUE"""),1.014)</f>
        <v>1.014</v>
      </c>
      <c r="E5427" s="16">
        <f>IFERROR(__xludf.DUMMYFUNCTION("""COMPUTED_VALUE"""),63.0)</f>
        <v>63</v>
      </c>
      <c r="F5427" s="19" t="str">
        <f>IFERROR(__xludf.DUMMYFUNCTION("""COMPUTED_VALUE"""),"BLUE")</f>
        <v>BLUE</v>
      </c>
      <c r="G5427" s="20" t="str">
        <f>IFERROR(__xludf.DUMMYFUNCTION("""COMPUTED_VALUE"""),"Uncle Sams Cider (11/12/2021) (Blue)")</f>
        <v>Uncle Sams Cider (11/12/2021) (Blue)</v>
      </c>
      <c r="H5427" s="19"/>
    </row>
    <row r="5428">
      <c r="A5428" s="9"/>
      <c r="B5428" s="15"/>
      <c r="C5428" s="9">
        <f>IFERROR(__xludf.DUMMYFUNCTION("""COMPUTED_VALUE"""),44548.638500706)</f>
        <v>44548.6385</v>
      </c>
      <c r="D5428" s="15">
        <f>IFERROR(__xludf.DUMMYFUNCTION("""COMPUTED_VALUE"""),1.014)</f>
        <v>1.014</v>
      </c>
      <c r="E5428" s="16">
        <f>IFERROR(__xludf.DUMMYFUNCTION("""COMPUTED_VALUE"""),63.0)</f>
        <v>63</v>
      </c>
      <c r="F5428" s="19" t="str">
        <f>IFERROR(__xludf.DUMMYFUNCTION("""COMPUTED_VALUE"""),"BLUE")</f>
        <v>BLUE</v>
      </c>
      <c r="G5428" s="20" t="str">
        <f>IFERROR(__xludf.DUMMYFUNCTION("""COMPUTED_VALUE"""),"Uncle Sams Cider (11/12/2021) (Blue)")</f>
        <v>Uncle Sams Cider (11/12/2021) (Blue)</v>
      </c>
      <c r="H5428" s="19"/>
    </row>
    <row r="5429">
      <c r="A5429" s="9"/>
      <c r="B5429" s="15"/>
      <c r="C5429" s="9">
        <f>IFERROR(__xludf.DUMMYFUNCTION("""COMPUTED_VALUE"""),44548.6280782291)</f>
        <v>44548.62808</v>
      </c>
      <c r="D5429" s="15">
        <f>IFERROR(__xludf.DUMMYFUNCTION("""COMPUTED_VALUE"""),1.014)</f>
        <v>1.014</v>
      </c>
      <c r="E5429" s="16">
        <f>IFERROR(__xludf.DUMMYFUNCTION("""COMPUTED_VALUE"""),63.0)</f>
        <v>63</v>
      </c>
      <c r="F5429" s="19" t="str">
        <f>IFERROR(__xludf.DUMMYFUNCTION("""COMPUTED_VALUE"""),"BLUE")</f>
        <v>BLUE</v>
      </c>
      <c r="G5429" s="20" t="str">
        <f>IFERROR(__xludf.DUMMYFUNCTION("""COMPUTED_VALUE"""),"Uncle Sams Cider (11/12/2021) (Blue)")</f>
        <v>Uncle Sams Cider (11/12/2021) (Blue)</v>
      </c>
      <c r="H5429" s="19"/>
    </row>
    <row r="5430">
      <c r="A5430" s="9"/>
      <c r="B5430" s="15"/>
      <c r="C5430" s="9">
        <f>IFERROR(__xludf.DUMMYFUNCTION("""COMPUTED_VALUE"""),44548.6176333564)</f>
        <v>44548.61763</v>
      </c>
      <c r="D5430" s="15">
        <f>IFERROR(__xludf.DUMMYFUNCTION("""COMPUTED_VALUE"""),1.014)</f>
        <v>1.014</v>
      </c>
      <c r="E5430" s="16">
        <f>IFERROR(__xludf.DUMMYFUNCTION("""COMPUTED_VALUE"""),63.0)</f>
        <v>63</v>
      </c>
      <c r="F5430" s="19" t="str">
        <f>IFERROR(__xludf.DUMMYFUNCTION("""COMPUTED_VALUE"""),"BLUE")</f>
        <v>BLUE</v>
      </c>
      <c r="G5430" s="20" t="str">
        <f>IFERROR(__xludf.DUMMYFUNCTION("""COMPUTED_VALUE"""),"Uncle Sams Cider (11/12/2021) (Blue)")</f>
        <v>Uncle Sams Cider (11/12/2021) (Blue)</v>
      </c>
      <c r="H5430" s="19"/>
    </row>
    <row r="5431">
      <c r="A5431" s="9"/>
      <c r="B5431" s="15"/>
      <c r="C5431" s="9">
        <f>IFERROR(__xludf.DUMMYFUNCTION("""COMPUTED_VALUE"""),44548.60721228)</f>
        <v>44548.60721</v>
      </c>
      <c r="D5431" s="15">
        <f>IFERROR(__xludf.DUMMYFUNCTION("""COMPUTED_VALUE"""),1.014)</f>
        <v>1.014</v>
      </c>
      <c r="E5431" s="16">
        <f>IFERROR(__xludf.DUMMYFUNCTION("""COMPUTED_VALUE"""),63.0)</f>
        <v>63</v>
      </c>
      <c r="F5431" s="19" t="str">
        <f>IFERROR(__xludf.DUMMYFUNCTION("""COMPUTED_VALUE"""),"BLUE")</f>
        <v>BLUE</v>
      </c>
      <c r="G5431" s="20" t="str">
        <f>IFERROR(__xludf.DUMMYFUNCTION("""COMPUTED_VALUE"""),"Uncle Sams Cider (11/12/2021) (Blue)")</f>
        <v>Uncle Sams Cider (11/12/2021) (Blue)</v>
      </c>
      <c r="H5431" s="19"/>
    </row>
    <row r="5432">
      <c r="A5432" s="9"/>
      <c r="B5432" s="15"/>
      <c r="C5432" s="9">
        <f>IFERROR(__xludf.DUMMYFUNCTION("""COMPUTED_VALUE"""),44548.5967927893)</f>
        <v>44548.59679</v>
      </c>
      <c r="D5432" s="15">
        <f>IFERROR(__xludf.DUMMYFUNCTION("""COMPUTED_VALUE"""),1.014)</f>
        <v>1.014</v>
      </c>
      <c r="E5432" s="16">
        <f>IFERROR(__xludf.DUMMYFUNCTION("""COMPUTED_VALUE"""),63.0)</f>
        <v>63</v>
      </c>
      <c r="F5432" s="19" t="str">
        <f>IFERROR(__xludf.DUMMYFUNCTION("""COMPUTED_VALUE"""),"BLUE")</f>
        <v>BLUE</v>
      </c>
      <c r="G5432" s="20" t="str">
        <f>IFERROR(__xludf.DUMMYFUNCTION("""COMPUTED_VALUE"""),"Uncle Sams Cider (11/12/2021) (Blue)")</f>
        <v>Uncle Sams Cider (11/12/2021) (Blue)</v>
      </c>
      <c r="H5432" s="19"/>
    </row>
    <row r="5433">
      <c r="A5433" s="9"/>
      <c r="B5433" s="15"/>
      <c r="C5433" s="9">
        <f>IFERROR(__xludf.DUMMYFUNCTION("""COMPUTED_VALUE"""),44548.5863729629)</f>
        <v>44548.58637</v>
      </c>
      <c r="D5433" s="15">
        <f>IFERROR(__xludf.DUMMYFUNCTION("""COMPUTED_VALUE"""),1.014)</f>
        <v>1.014</v>
      </c>
      <c r="E5433" s="16">
        <f>IFERROR(__xludf.DUMMYFUNCTION("""COMPUTED_VALUE"""),63.0)</f>
        <v>63</v>
      </c>
      <c r="F5433" s="19" t="str">
        <f>IFERROR(__xludf.DUMMYFUNCTION("""COMPUTED_VALUE"""),"BLUE")</f>
        <v>BLUE</v>
      </c>
      <c r="G5433" s="20" t="str">
        <f>IFERROR(__xludf.DUMMYFUNCTION("""COMPUTED_VALUE"""),"Uncle Sams Cider (11/12/2021) (Blue)")</f>
        <v>Uncle Sams Cider (11/12/2021) (Blue)</v>
      </c>
      <c r="H5433" s="19"/>
    </row>
    <row r="5434">
      <c r="A5434" s="9"/>
      <c r="B5434" s="15"/>
      <c r="C5434" s="9">
        <f>IFERROR(__xludf.DUMMYFUNCTION("""COMPUTED_VALUE"""),44548.575938831)</f>
        <v>44548.57594</v>
      </c>
      <c r="D5434" s="15">
        <f>IFERROR(__xludf.DUMMYFUNCTION("""COMPUTED_VALUE"""),1.014)</f>
        <v>1.014</v>
      </c>
      <c r="E5434" s="16">
        <f>IFERROR(__xludf.DUMMYFUNCTION("""COMPUTED_VALUE"""),63.0)</f>
        <v>63</v>
      </c>
      <c r="F5434" s="19" t="str">
        <f>IFERROR(__xludf.DUMMYFUNCTION("""COMPUTED_VALUE"""),"BLUE")</f>
        <v>BLUE</v>
      </c>
      <c r="G5434" s="20" t="str">
        <f>IFERROR(__xludf.DUMMYFUNCTION("""COMPUTED_VALUE"""),"Uncle Sams Cider (11/12/2021) (Blue)")</f>
        <v>Uncle Sams Cider (11/12/2021) (Blue)</v>
      </c>
      <c r="H5434" s="19"/>
    </row>
    <row r="5435">
      <c r="A5435" s="9"/>
      <c r="B5435" s="15"/>
      <c r="C5435" s="9">
        <f>IFERROR(__xludf.DUMMYFUNCTION("""COMPUTED_VALUE"""),44548.5655182175)</f>
        <v>44548.56552</v>
      </c>
      <c r="D5435" s="15">
        <f>IFERROR(__xludf.DUMMYFUNCTION("""COMPUTED_VALUE"""),1.014)</f>
        <v>1.014</v>
      </c>
      <c r="E5435" s="16">
        <f>IFERROR(__xludf.DUMMYFUNCTION("""COMPUTED_VALUE"""),63.0)</f>
        <v>63</v>
      </c>
      <c r="F5435" s="19" t="str">
        <f>IFERROR(__xludf.DUMMYFUNCTION("""COMPUTED_VALUE"""),"BLUE")</f>
        <v>BLUE</v>
      </c>
      <c r="G5435" s="20" t="str">
        <f>IFERROR(__xludf.DUMMYFUNCTION("""COMPUTED_VALUE"""),"Uncle Sams Cider (11/12/2021) (Blue)")</f>
        <v>Uncle Sams Cider (11/12/2021) (Blue)</v>
      </c>
      <c r="H5435" s="19"/>
    </row>
    <row r="5436">
      <c r="A5436" s="9"/>
      <c r="B5436" s="15"/>
      <c r="C5436" s="9">
        <f>IFERROR(__xludf.DUMMYFUNCTION("""COMPUTED_VALUE"""),44548.5550955671)</f>
        <v>44548.5551</v>
      </c>
      <c r="D5436" s="15">
        <f>IFERROR(__xludf.DUMMYFUNCTION("""COMPUTED_VALUE"""),1.014)</f>
        <v>1.014</v>
      </c>
      <c r="E5436" s="16">
        <f>IFERROR(__xludf.DUMMYFUNCTION("""COMPUTED_VALUE"""),63.0)</f>
        <v>63</v>
      </c>
      <c r="F5436" s="19" t="str">
        <f>IFERROR(__xludf.DUMMYFUNCTION("""COMPUTED_VALUE"""),"BLUE")</f>
        <v>BLUE</v>
      </c>
      <c r="G5436" s="20" t="str">
        <f>IFERROR(__xludf.DUMMYFUNCTION("""COMPUTED_VALUE"""),"Uncle Sams Cider (11/12/2021) (Blue)")</f>
        <v>Uncle Sams Cider (11/12/2021) (Blue)</v>
      </c>
      <c r="H5436" s="19"/>
    </row>
    <row r="5437">
      <c r="A5437" s="9"/>
      <c r="B5437" s="15"/>
      <c r="C5437" s="9">
        <f>IFERROR(__xludf.DUMMYFUNCTION("""COMPUTED_VALUE"""),44548.5446635069)</f>
        <v>44548.54466</v>
      </c>
      <c r="D5437" s="15">
        <f>IFERROR(__xludf.DUMMYFUNCTION("""COMPUTED_VALUE"""),1.014)</f>
        <v>1.014</v>
      </c>
      <c r="E5437" s="16">
        <f>IFERROR(__xludf.DUMMYFUNCTION("""COMPUTED_VALUE"""),63.0)</f>
        <v>63</v>
      </c>
      <c r="F5437" s="19" t="str">
        <f>IFERROR(__xludf.DUMMYFUNCTION("""COMPUTED_VALUE"""),"BLUE")</f>
        <v>BLUE</v>
      </c>
      <c r="G5437" s="20" t="str">
        <f>IFERROR(__xludf.DUMMYFUNCTION("""COMPUTED_VALUE"""),"Uncle Sams Cider (11/12/2021) (Blue)")</f>
        <v>Uncle Sams Cider (11/12/2021) (Blue)</v>
      </c>
      <c r="H5437" s="19"/>
    </row>
    <row r="5438">
      <c r="A5438" s="9"/>
      <c r="B5438" s="15"/>
      <c r="C5438" s="9">
        <f>IFERROR(__xludf.DUMMYFUNCTION("""COMPUTED_VALUE"""),44548.5342431018)</f>
        <v>44548.53424</v>
      </c>
      <c r="D5438" s="15">
        <f>IFERROR(__xludf.DUMMYFUNCTION("""COMPUTED_VALUE"""),1.014)</f>
        <v>1.014</v>
      </c>
      <c r="E5438" s="16">
        <f>IFERROR(__xludf.DUMMYFUNCTION("""COMPUTED_VALUE"""),63.0)</f>
        <v>63</v>
      </c>
      <c r="F5438" s="19" t="str">
        <f>IFERROR(__xludf.DUMMYFUNCTION("""COMPUTED_VALUE"""),"BLUE")</f>
        <v>BLUE</v>
      </c>
      <c r="G5438" s="20" t="str">
        <f>IFERROR(__xludf.DUMMYFUNCTION("""COMPUTED_VALUE"""),"Uncle Sams Cider (11/12/2021) (Blue)")</f>
        <v>Uncle Sams Cider (11/12/2021) (Blue)</v>
      </c>
      <c r="H5438" s="19"/>
    </row>
    <row r="5439">
      <c r="A5439" s="9"/>
      <c r="B5439" s="15"/>
      <c r="C5439" s="9">
        <f>IFERROR(__xludf.DUMMYFUNCTION("""COMPUTED_VALUE"""),44548.5238226967)</f>
        <v>44548.52382</v>
      </c>
      <c r="D5439" s="15">
        <f>IFERROR(__xludf.DUMMYFUNCTION("""COMPUTED_VALUE"""),1.014)</f>
        <v>1.014</v>
      </c>
      <c r="E5439" s="16">
        <f>IFERROR(__xludf.DUMMYFUNCTION("""COMPUTED_VALUE"""),63.0)</f>
        <v>63</v>
      </c>
      <c r="F5439" s="19" t="str">
        <f>IFERROR(__xludf.DUMMYFUNCTION("""COMPUTED_VALUE"""),"BLUE")</f>
        <v>BLUE</v>
      </c>
      <c r="G5439" s="20" t="str">
        <f>IFERROR(__xludf.DUMMYFUNCTION("""COMPUTED_VALUE"""),"Uncle Sams Cider (11/12/2021) (Blue)")</f>
        <v>Uncle Sams Cider (11/12/2021) (Blue)</v>
      </c>
      <c r="H5439" s="19"/>
    </row>
    <row r="5440">
      <c r="A5440" s="9"/>
      <c r="B5440" s="15"/>
      <c r="C5440" s="9">
        <f>IFERROR(__xludf.DUMMYFUNCTION("""COMPUTED_VALUE"""),44548.5134024421)</f>
        <v>44548.5134</v>
      </c>
      <c r="D5440" s="15">
        <f>IFERROR(__xludf.DUMMYFUNCTION("""COMPUTED_VALUE"""),1.014)</f>
        <v>1.014</v>
      </c>
      <c r="E5440" s="16">
        <f>IFERROR(__xludf.DUMMYFUNCTION("""COMPUTED_VALUE"""),63.0)</f>
        <v>63</v>
      </c>
      <c r="F5440" s="19" t="str">
        <f>IFERROR(__xludf.DUMMYFUNCTION("""COMPUTED_VALUE"""),"BLUE")</f>
        <v>BLUE</v>
      </c>
      <c r="G5440" s="20" t="str">
        <f>IFERROR(__xludf.DUMMYFUNCTION("""COMPUTED_VALUE"""),"Uncle Sams Cider (11/12/2021) (Blue)")</f>
        <v>Uncle Sams Cider (11/12/2021) (Blue)</v>
      </c>
      <c r="H5440" s="19"/>
    </row>
    <row r="5441">
      <c r="A5441" s="9"/>
      <c r="B5441" s="15"/>
      <c r="C5441" s="9">
        <f>IFERROR(__xludf.DUMMYFUNCTION("""COMPUTED_VALUE"""),44548.5029810301)</f>
        <v>44548.50298</v>
      </c>
      <c r="D5441" s="15">
        <f>IFERROR(__xludf.DUMMYFUNCTION("""COMPUTED_VALUE"""),1.014)</f>
        <v>1.014</v>
      </c>
      <c r="E5441" s="16">
        <f>IFERROR(__xludf.DUMMYFUNCTION("""COMPUTED_VALUE"""),63.0)</f>
        <v>63</v>
      </c>
      <c r="F5441" s="19" t="str">
        <f>IFERROR(__xludf.DUMMYFUNCTION("""COMPUTED_VALUE"""),"BLUE")</f>
        <v>BLUE</v>
      </c>
      <c r="G5441" s="20" t="str">
        <f>IFERROR(__xludf.DUMMYFUNCTION("""COMPUTED_VALUE"""),"Uncle Sams Cider (11/12/2021) (Blue)")</f>
        <v>Uncle Sams Cider (11/12/2021) (Blue)</v>
      </c>
      <c r="H5441" s="19"/>
    </row>
    <row r="5442">
      <c r="A5442" s="9"/>
      <c r="B5442" s="15"/>
      <c r="C5442" s="9">
        <f>IFERROR(__xludf.DUMMYFUNCTION("""COMPUTED_VALUE"""),44548.4925602199)</f>
        <v>44548.49256</v>
      </c>
      <c r="D5442" s="15">
        <f>IFERROR(__xludf.DUMMYFUNCTION("""COMPUTED_VALUE"""),1.014)</f>
        <v>1.014</v>
      </c>
      <c r="E5442" s="16">
        <f>IFERROR(__xludf.DUMMYFUNCTION("""COMPUTED_VALUE"""),63.0)</f>
        <v>63</v>
      </c>
      <c r="F5442" s="19" t="str">
        <f>IFERROR(__xludf.DUMMYFUNCTION("""COMPUTED_VALUE"""),"BLUE")</f>
        <v>BLUE</v>
      </c>
      <c r="G5442" s="20" t="str">
        <f>IFERROR(__xludf.DUMMYFUNCTION("""COMPUTED_VALUE"""),"Uncle Sams Cider (11/12/2021) (Blue)")</f>
        <v>Uncle Sams Cider (11/12/2021) (Blue)</v>
      </c>
      <c r="H5442" s="19"/>
    </row>
    <row r="5443">
      <c r="A5443" s="9"/>
      <c r="B5443" s="15"/>
      <c r="C5443" s="9">
        <f>IFERROR(__xludf.DUMMYFUNCTION("""COMPUTED_VALUE"""),44548.482140081)</f>
        <v>44548.48214</v>
      </c>
      <c r="D5443" s="15">
        <f>IFERROR(__xludf.DUMMYFUNCTION("""COMPUTED_VALUE"""),1.014)</f>
        <v>1.014</v>
      </c>
      <c r="E5443" s="16">
        <f>IFERROR(__xludf.DUMMYFUNCTION("""COMPUTED_VALUE"""),63.0)</f>
        <v>63</v>
      </c>
      <c r="F5443" s="19" t="str">
        <f>IFERROR(__xludf.DUMMYFUNCTION("""COMPUTED_VALUE"""),"BLUE")</f>
        <v>BLUE</v>
      </c>
      <c r="G5443" s="20" t="str">
        <f>IFERROR(__xludf.DUMMYFUNCTION("""COMPUTED_VALUE"""),"Uncle Sams Cider (11/12/2021) (Blue)")</f>
        <v>Uncle Sams Cider (11/12/2021) (Blue)</v>
      </c>
      <c r="H5443" s="19"/>
    </row>
    <row r="5444">
      <c r="A5444" s="9"/>
      <c r="B5444" s="15"/>
      <c r="C5444" s="9">
        <f>IFERROR(__xludf.DUMMYFUNCTION("""COMPUTED_VALUE"""),44548.4717179513)</f>
        <v>44548.47172</v>
      </c>
      <c r="D5444" s="15">
        <f>IFERROR(__xludf.DUMMYFUNCTION("""COMPUTED_VALUE"""),1.014)</f>
        <v>1.014</v>
      </c>
      <c r="E5444" s="16">
        <f>IFERROR(__xludf.DUMMYFUNCTION("""COMPUTED_VALUE"""),63.0)</f>
        <v>63</v>
      </c>
      <c r="F5444" s="19" t="str">
        <f>IFERROR(__xludf.DUMMYFUNCTION("""COMPUTED_VALUE"""),"BLUE")</f>
        <v>BLUE</v>
      </c>
      <c r="G5444" s="20" t="str">
        <f>IFERROR(__xludf.DUMMYFUNCTION("""COMPUTED_VALUE"""),"Uncle Sams Cider (11/12/2021) (Blue)")</f>
        <v>Uncle Sams Cider (11/12/2021) (Blue)</v>
      </c>
      <c r="H5444" s="19"/>
    </row>
    <row r="5445">
      <c r="A5445" s="9"/>
      <c r="B5445" s="15"/>
      <c r="C5445" s="9">
        <f>IFERROR(__xludf.DUMMYFUNCTION("""COMPUTED_VALUE"""),44548.4612853703)</f>
        <v>44548.46129</v>
      </c>
      <c r="D5445" s="15">
        <f>IFERROR(__xludf.DUMMYFUNCTION("""COMPUTED_VALUE"""),1.014)</f>
        <v>1.014</v>
      </c>
      <c r="E5445" s="16">
        <f>IFERROR(__xludf.DUMMYFUNCTION("""COMPUTED_VALUE"""),63.0)</f>
        <v>63</v>
      </c>
      <c r="F5445" s="19" t="str">
        <f>IFERROR(__xludf.DUMMYFUNCTION("""COMPUTED_VALUE"""),"BLUE")</f>
        <v>BLUE</v>
      </c>
      <c r="G5445" s="20" t="str">
        <f>IFERROR(__xludf.DUMMYFUNCTION("""COMPUTED_VALUE"""),"Uncle Sams Cider (11/12/2021) (Blue)")</f>
        <v>Uncle Sams Cider (11/12/2021) (Blue)</v>
      </c>
      <c r="H5445" s="19"/>
    </row>
    <row r="5446">
      <c r="A5446" s="9"/>
      <c r="B5446" s="15"/>
      <c r="C5446" s="9">
        <f>IFERROR(__xludf.DUMMYFUNCTION("""COMPUTED_VALUE"""),44548.4508638773)</f>
        <v>44548.45086</v>
      </c>
      <c r="D5446" s="15">
        <f>IFERROR(__xludf.DUMMYFUNCTION("""COMPUTED_VALUE"""),1.014)</f>
        <v>1.014</v>
      </c>
      <c r="E5446" s="16">
        <f>IFERROR(__xludf.DUMMYFUNCTION("""COMPUTED_VALUE"""),63.0)</f>
        <v>63</v>
      </c>
      <c r="F5446" s="19" t="str">
        <f>IFERROR(__xludf.DUMMYFUNCTION("""COMPUTED_VALUE"""),"BLUE")</f>
        <v>BLUE</v>
      </c>
      <c r="G5446" s="20" t="str">
        <f>IFERROR(__xludf.DUMMYFUNCTION("""COMPUTED_VALUE"""),"Uncle Sams Cider (11/12/2021) (Blue)")</f>
        <v>Uncle Sams Cider (11/12/2021) (Blue)</v>
      </c>
      <c r="H5446" s="19"/>
    </row>
    <row r="5447">
      <c r="A5447" s="9"/>
      <c r="B5447" s="15"/>
      <c r="C5447" s="9">
        <f>IFERROR(__xludf.DUMMYFUNCTION("""COMPUTED_VALUE"""),44548.4404419212)</f>
        <v>44548.44044</v>
      </c>
      <c r="D5447" s="15">
        <f>IFERROR(__xludf.DUMMYFUNCTION("""COMPUTED_VALUE"""),1.014)</f>
        <v>1.014</v>
      </c>
      <c r="E5447" s="16">
        <f>IFERROR(__xludf.DUMMYFUNCTION("""COMPUTED_VALUE"""),63.0)</f>
        <v>63</v>
      </c>
      <c r="F5447" s="19" t="str">
        <f>IFERROR(__xludf.DUMMYFUNCTION("""COMPUTED_VALUE"""),"BLUE")</f>
        <v>BLUE</v>
      </c>
      <c r="G5447" s="20" t="str">
        <f>IFERROR(__xludf.DUMMYFUNCTION("""COMPUTED_VALUE"""),"Uncle Sams Cider (11/12/2021) (Blue)")</f>
        <v>Uncle Sams Cider (11/12/2021) (Blue)</v>
      </c>
      <c r="H5447" s="19"/>
    </row>
    <row r="5448">
      <c r="A5448" s="9"/>
      <c r="B5448" s="15"/>
      <c r="C5448" s="9">
        <f>IFERROR(__xludf.DUMMYFUNCTION("""COMPUTED_VALUE"""),44548.4300199768)</f>
        <v>44548.43002</v>
      </c>
      <c r="D5448" s="15">
        <f>IFERROR(__xludf.DUMMYFUNCTION("""COMPUTED_VALUE"""),1.014)</f>
        <v>1.014</v>
      </c>
      <c r="E5448" s="16">
        <f>IFERROR(__xludf.DUMMYFUNCTION("""COMPUTED_VALUE"""),63.0)</f>
        <v>63</v>
      </c>
      <c r="F5448" s="19" t="str">
        <f>IFERROR(__xludf.DUMMYFUNCTION("""COMPUTED_VALUE"""),"BLUE")</f>
        <v>BLUE</v>
      </c>
      <c r="G5448" s="20" t="str">
        <f>IFERROR(__xludf.DUMMYFUNCTION("""COMPUTED_VALUE"""),"Uncle Sams Cider (11/12/2021) (Blue)")</f>
        <v>Uncle Sams Cider (11/12/2021) (Blue)</v>
      </c>
      <c r="H5448" s="19"/>
    </row>
    <row r="5449">
      <c r="A5449" s="9"/>
      <c r="B5449" s="15"/>
      <c r="C5449" s="9">
        <f>IFERROR(__xludf.DUMMYFUNCTION("""COMPUTED_VALUE"""),44548.4091677314)</f>
        <v>44548.40917</v>
      </c>
      <c r="D5449" s="15">
        <f>IFERROR(__xludf.DUMMYFUNCTION("""COMPUTED_VALUE"""),1.014)</f>
        <v>1.014</v>
      </c>
      <c r="E5449" s="16">
        <f>IFERROR(__xludf.DUMMYFUNCTION("""COMPUTED_VALUE"""),63.0)</f>
        <v>63</v>
      </c>
      <c r="F5449" s="19" t="str">
        <f>IFERROR(__xludf.DUMMYFUNCTION("""COMPUTED_VALUE"""),"BLUE")</f>
        <v>BLUE</v>
      </c>
      <c r="G5449" s="20" t="str">
        <f>IFERROR(__xludf.DUMMYFUNCTION("""COMPUTED_VALUE"""),"Uncle Sams Cider (11/12/2021) (Blue)")</f>
        <v>Uncle Sams Cider (11/12/2021) (Blue)</v>
      </c>
      <c r="H5449" s="19"/>
    </row>
    <row r="5450">
      <c r="A5450" s="9"/>
      <c r="B5450" s="15"/>
      <c r="C5450" s="9">
        <f>IFERROR(__xludf.DUMMYFUNCTION("""COMPUTED_VALUE"""),44548.3987464814)</f>
        <v>44548.39875</v>
      </c>
      <c r="D5450" s="15">
        <f>IFERROR(__xludf.DUMMYFUNCTION("""COMPUTED_VALUE"""),1.014)</f>
        <v>1.014</v>
      </c>
      <c r="E5450" s="16">
        <f>IFERROR(__xludf.DUMMYFUNCTION("""COMPUTED_VALUE"""),63.0)</f>
        <v>63</v>
      </c>
      <c r="F5450" s="19" t="str">
        <f>IFERROR(__xludf.DUMMYFUNCTION("""COMPUTED_VALUE"""),"BLUE")</f>
        <v>BLUE</v>
      </c>
      <c r="G5450" s="20" t="str">
        <f>IFERROR(__xludf.DUMMYFUNCTION("""COMPUTED_VALUE"""),"Uncle Sams Cider (11/12/2021) (Blue)")</f>
        <v>Uncle Sams Cider (11/12/2021) (Blue)</v>
      </c>
      <c r="H5450" s="19"/>
    </row>
    <row r="5451">
      <c r="A5451" s="9"/>
      <c r="B5451" s="15"/>
      <c r="C5451" s="9">
        <f>IFERROR(__xludf.DUMMYFUNCTION("""COMPUTED_VALUE"""),44548.3883248726)</f>
        <v>44548.38832</v>
      </c>
      <c r="D5451" s="15">
        <f>IFERROR(__xludf.DUMMYFUNCTION("""COMPUTED_VALUE"""),1.014)</f>
        <v>1.014</v>
      </c>
      <c r="E5451" s="16">
        <f>IFERROR(__xludf.DUMMYFUNCTION("""COMPUTED_VALUE"""),63.0)</f>
        <v>63</v>
      </c>
      <c r="F5451" s="19" t="str">
        <f>IFERROR(__xludf.DUMMYFUNCTION("""COMPUTED_VALUE"""),"BLUE")</f>
        <v>BLUE</v>
      </c>
      <c r="G5451" s="20" t="str">
        <f>IFERROR(__xludf.DUMMYFUNCTION("""COMPUTED_VALUE"""),"Uncle Sams Cider (11/12/2021) (Blue)")</f>
        <v>Uncle Sams Cider (11/12/2021) (Blue)</v>
      </c>
      <c r="H5451" s="19"/>
    </row>
    <row r="5452">
      <c r="A5452" s="9"/>
      <c r="B5452" s="15"/>
      <c r="C5452" s="9">
        <f>IFERROR(__xludf.DUMMYFUNCTION("""COMPUTED_VALUE"""),44548.3779051967)</f>
        <v>44548.37791</v>
      </c>
      <c r="D5452" s="15">
        <f>IFERROR(__xludf.DUMMYFUNCTION("""COMPUTED_VALUE"""),1.014)</f>
        <v>1.014</v>
      </c>
      <c r="E5452" s="16">
        <f>IFERROR(__xludf.DUMMYFUNCTION("""COMPUTED_VALUE"""),63.0)</f>
        <v>63</v>
      </c>
      <c r="F5452" s="19" t="str">
        <f>IFERROR(__xludf.DUMMYFUNCTION("""COMPUTED_VALUE"""),"BLUE")</f>
        <v>BLUE</v>
      </c>
      <c r="G5452" s="20" t="str">
        <f>IFERROR(__xludf.DUMMYFUNCTION("""COMPUTED_VALUE"""),"Uncle Sams Cider (11/12/2021) (Blue)")</f>
        <v>Uncle Sams Cider (11/12/2021) (Blue)</v>
      </c>
      <c r="H5452" s="19"/>
    </row>
    <row r="5453">
      <c r="A5453" s="9"/>
      <c r="B5453" s="15"/>
      <c r="C5453" s="9">
        <f>IFERROR(__xludf.DUMMYFUNCTION("""COMPUTED_VALUE"""),44548.367483125)</f>
        <v>44548.36748</v>
      </c>
      <c r="D5453" s="15">
        <f>IFERROR(__xludf.DUMMYFUNCTION("""COMPUTED_VALUE"""),1.014)</f>
        <v>1.014</v>
      </c>
      <c r="E5453" s="16">
        <f>IFERROR(__xludf.DUMMYFUNCTION("""COMPUTED_VALUE"""),63.0)</f>
        <v>63</v>
      </c>
      <c r="F5453" s="19" t="str">
        <f>IFERROR(__xludf.DUMMYFUNCTION("""COMPUTED_VALUE"""),"BLUE")</f>
        <v>BLUE</v>
      </c>
      <c r="G5453" s="20" t="str">
        <f>IFERROR(__xludf.DUMMYFUNCTION("""COMPUTED_VALUE"""),"Uncle Sams Cider (11/12/2021) (Blue)")</f>
        <v>Uncle Sams Cider (11/12/2021) (Blue)</v>
      </c>
      <c r="H5453" s="19"/>
    </row>
    <row r="5454">
      <c r="A5454" s="9"/>
      <c r="B5454" s="15"/>
      <c r="C5454" s="9">
        <f>IFERROR(__xludf.DUMMYFUNCTION("""COMPUTED_VALUE"""),44548.3570621527)</f>
        <v>44548.35706</v>
      </c>
      <c r="D5454" s="15">
        <f>IFERROR(__xludf.DUMMYFUNCTION("""COMPUTED_VALUE"""),1.014)</f>
        <v>1.014</v>
      </c>
      <c r="E5454" s="16">
        <f>IFERROR(__xludf.DUMMYFUNCTION("""COMPUTED_VALUE"""),63.0)</f>
        <v>63</v>
      </c>
      <c r="F5454" s="19" t="str">
        <f>IFERROR(__xludf.DUMMYFUNCTION("""COMPUTED_VALUE"""),"BLUE")</f>
        <v>BLUE</v>
      </c>
      <c r="G5454" s="20" t="str">
        <f>IFERROR(__xludf.DUMMYFUNCTION("""COMPUTED_VALUE"""),"Uncle Sams Cider (11/12/2021) (Blue)")</f>
        <v>Uncle Sams Cider (11/12/2021) (Blue)</v>
      </c>
      <c r="H5454" s="19"/>
    </row>
    <row r="5455">
      <c r="A5455" s="9"/>
      <c r="B5455" s="15"/>
      <c r="C5455" s="9">
        <f>IFERROR(__xludf.DUMMYFUNCTION("""COMPUTED_VALUE"""),44548.3466403935)</f>
        <v>44548.34664</v>
      </c>
      <c r="D5455" s="15">
        <f>IFERROR(__xludf.DUMMYFUNCTION("""COMPUTED_VALUE"""),1.014)</f>
        <v>1.014</v>
      </c>
      <c r="E5455" s="16">
        <f>IFERROR(__xludf.DUMMYFUNCTION("""COMPUTED_VALUE"""),63.0)</f>
        <v>63</v>
      </c>
      <c r="F5455" s="19" t="str">
        <f>IFERROR(__xludf.DUMMYFUNCTION("""COMPUTED_VALUE"""),"BLUE")</f>
        <v>BLUE</v>
      </c>
      <c r="G5455" s="20" t="str">
        <f>IFERROR(__xludf.DUMMYFUNCTION("""COMPUTED_VALUE"""),"Uncle Sams Cider (11/12/2021) (Blue)")</f>
        <v>Uncle Sams Cider (11/12/2021) (Blue)</v>
      </c>
      <c r="H5455" s="19"/>
    </row>
    <row r="5456">
      <c r="A5456" s="9"/>
      <c r="B5456" s="15"/>
      <c r="C5456" s="9">
        <f>IFERROR(__xludf.DUMMYFUNCTION("""COMPUTED_VALUE"""),44548.33621978)</f>
        <v>44548.33622</v>
      </c>
      <c r="D5456" s="15">
        <f>IFERROR(__xludf.DUMMYFUNCTION("""COMPUTED_VALUE"""),1.014)</f>
        <v>1.014</v>
      </c>
      <c r="E5456" s="16">
        <f>IFERROR(__xludf.DUMMYFUNCTION("""COMPUTED_VALUE"""),63.0)</f>
        <v>63</v>
      </c>
      <c r="F5456" s="19" t="str">
        <f>IFERROR(__xludf.DUMMYFUNCTION("""COMPUTED_VALUE"""),"BLUE")</f>
        <v>BLUE</v>
      </c>
      <c r="G5456" s="20" t="str">
        <f>IFERROR(__xludf.DUMMYFUNCTION("""COMPUTED_VALUE"""),"Uncle Sams Cider (11/12/2021) (Blue)")</f>
        <v>Uncle Sams Cider (11/12/2021) (Blue)</v>
      </c>
      <c r="H5456" s="19"/>
    </row>
    <row r="5457">
      <c r="A5457" s="9"/>
      <c r="B5457" s="15"/>
      <c r="C5457" s="9">
        <f>IFERROR(__xludf.DUMMYFUNCTION("""COMPUTED_VALUE"""),44548.3257866203)</f>
        <v>44548.32579</v>
      </c>
      <c r="D5457" s="15">
        <f>IFERROR(__xludf.DUMMYFUNCTION("""COMPUTED_VALUE"""),1.014)</f>
        <v>1.014</v>
      </c>
      <c r="E5457" s="16">
        <f>IFERROR(__xludf.DUMMYFUNCTION("""COMPUTED_VALUE"""),63.0)</f>
        <v>63</v>
      </c>
      <c r="F5457" s="19" t="str">
        <f>IFERROR(__xludf.DUMMYFUNCTION("""COMPUTED_VALUE"""),"BLUE")</f>
        <v>BLUE</v>
      </c>
      <c r="G5457" s="20" t="str">
        <f>IFERROR(__xludf.DUMMYFUNCTION("""COMPUTED_VALUE"""),"Uncle Sams Cider (11/12/2021) (Blue)")</f>
        <v>Uncle Sams Cider (11/12/2021) (Blue)</v>
      </c>
      <c r="H5457" s="19"/>
    </row>
    <row r="5458">
      <c r="A5458" s="9"/>
      <c r="B5458" s="15"/>
      <c r="C5458" s="9">
        <f>IFERROR(__xludf.DUMMYFUNCTION("""COMPUTED_VALUE"""),44548.3153659143)</f>
        <v>44548.31537</v>
      </c>
      <c r="D5458" s="15">
        <f>IFERROR(__xludf.DUMMYFUNCTION("""COMPUTED_VALUE"""),1.014)</f>
        <v>1.014</v>
      </c>
      <c r="E5458" s="16">
        <f>IFERROR(__xludf.DUMMYFUNCTION("""COMPUTED_VALUE"""),63.0)</f>
        <v>63</v>
      </c>
      <c r="F5458" s="19" t="str">
        <f>IFERROR(__xludf.DUMMYFUNCTION("""COMPUTED_VALUE"""),"BLUE")</f>
        <v>BLUE</v>
      </c>
      <c r="G5458" s="20" t="str">
        <f>IFERROR(__xludf.DUMMYFUNCTION("""COMPUTED_VALUE"""),"Uncle Sams Cider (11/12/2021) (Blue)")</f>
        <v>Uncle Sams Cider (11/12/2021) (Blue)</v>
      </c>
      <c r="H5458" s="19"/>
    </row>
    <row r="5459">
      <c r="A5459" s="9"/>
      <c r="B5459" s="15"/>
      <c r="C5459" s="9">
        <f>IFERROR(__xludf.DUMMYFUNCTION("""COMPUTED_VALUE"""),44548.3049451041)</f>
        <v>44548.30495</v>
      </c>
      <c r="D5459" s="15">
        <f>IFERROR(__xludf.DUMMYFUNCTION("""COMPUTED_VALUE"""),1.014)</f>
        <v>1.014</v>
      </c>
      <c r="E5459" s="16">
        <f>IFERROR(__xludf.DUMMYFUNCTION("""COMPUTED_VALUE"""),63.0)</f>
        <v>63</v>
      </c>
      <c r="F5459" s="19" t="str">
        <f>IFERROR(__xludf.DUMMYFUNCTION("""COMPUTED_VALUE"""),"BLUE")</f>
        <v>BLUE</v>
      </c>
      <c r="G5459" s="20" t="str">
        <f>IFERROR(__xludf.DUMMYFUNCTION("""COMPUTED_VALUE"""),"Uncle Sams Cider (11/12/2021) (Blue)")</f>
        <v>Uncle Sams Cider (11/12/2021) (Blue)</v>
      </c>
      <c r="H5459" s="19"/>
    </row>
    <row r="5460">
      <c r="A5460" s="9"/>
      <c r="B5460" s="15"/>
      <c r="C5460" s="9">
        <f>IFERROR(__xludf.DUMMYFUNCTION("""COMPUTED_VALUE"""),44548.2945227893)</f>
        <v>44548.29452</v>
      </c>
      <c r="D5460" s="15">
        <f>IFERROR(__xludf.DUMMYFUNCTION("""COMPUTED_VALUE"""),1.014)</f>
        <v>1.014</v>
      </c>
      <c r="E5460" s="16">
        <f>IFERROR(__xludf.DUMMYFUNCTION("""COMPUTED_VALUE"""),63.0)</f>
        <v>63</v>
      </c>
      <c r="F5460" s="19" t="str">
        <f>IFERROR(__xludf.DUMMYFUNCTION("""COMPUTED_VALUE"""),"BLUE")</f>
        <v>BLUE</v>
      </c>
      <c r="G5460" s="20" t="str">
        <f>IFERROR(__xludf.DUMMYFUNCTION("""COMPUTED_VALUE"""),"Uncle Sams Cider (11/12/2021) (Blue)")</f>
        <v>Uncle Sams Cider (11/12/2021) (Blue)</v>
      </c>
      <c r="H5460" s="19"/>
    </row>
    <row r="5461">
      <c r="A5461" s="9"/>
      <c r="B5461" s="15"/>
      <c r="C5461" s="9">
        <f>IFERROR(__xludf.DUMMYFUNCTION("""COMPUTED_VALUE"""),44548.2841013541)</f>
        <v>44548.2841</v>
      </c>
      <c r="D5461" s="15">
        <f>IFERROR(__xludf.DUMMYFUNCTION("""COMPUTED_VALUE"""),1.014)</f>
        <v>1.014</v>
      </c>
      <c r="E5461" s="16">
        <f>IFERROR(__xludf.DUMMYFUNCTION("""COMPUTED_VALUE"""),63.0)</f>
        <v>63</v>
      </c>
      <c r="F5461" s="19" t="str">
        <f>IFERROR(__xludf.DUMMYFUNCTION("""COMPUTED_VALUE"""),"BLUE")</f>
        <v>BLUE</v>
      </c>
      <c r="G5461" s="20" t="str">
        <f>IFERROR(__xludf.DUMMYFUNCTION("""COMPUTED_VALUE"""),"Uncle Sams Cider (11/12/2021) (Blue)")</f>
        <v>Uncle Sams Cider (11/12/2021) (Blue)</v>
      </c>
      <c r="H5461" s="19"/>
    </row>
    <row r="5462">
      <c r="A5462" s="9"/>
      <c r="B5462" s="15"/>
      <c r="C5462" s="9">
        <f>IFERROR(__xludf.DUMMYFUNCTION("""COMPUTED_VALUE"""),44548.273680405)</f>
        <v>44548.27368</v>
      </c>
      <c r="D5462" s="15">
        <f>IFERROR(__xludf.DUMMYFUNCTION("""COMPUTED_VALUE"""),1.014)</f>
        <v>1.014</v>
      </c>
      <c r="E5462" s="16">
        <f>IFERROR(__xludf.DUMMYFUNCTION("""COMPUTED_VALUE"""),63.0)</f>
        <v>63</v>
      </c>
      <c r="F5462" s="19" t="str">
        <f>IFERROR(__xludf.DUMMYFUNCTION("""COMPUTED_VALUE"""),"BLUE")</f>
        <v>BLUE</v>
      </c>
      <c r="G5462" s="20" t="str">
        <f>IFERROR(__xludf.DUMMYFUNCTION("""COMPUTED_VALUE"""),"Uncle Sams Cider (11/12/2021) (Blue)")</f>
        <v>Uncle Sams Cider (11/12/2021) (Blue)</v>
      </c>
      <c r="H5462" s="19"/>
    </row>
    <row r="5463">
      <c r="A5463" s="9"/>
      <c r="B5463" s="15"/>
      <c r="C5463" s="9">
        <f>IFERROR(__xludf.DUMMYFUNCTION("""COMPUTED_VALUE"""),44548.2632597569)</f>
        <v>44548.26326</v>
      </c>
      <c r="D5463" s="15">
        <f>IFERROR(__xludf.DUMMYFUNCTION("""COMPUTED_VALUE"""),1.014)</f>
        <v>1.014</v>
      </c>
      <c r="E5463" s="16">
        <f>IFERROR(__xludf.DUMMYFUNCTION("""COMPUTED_VALUE"""),63.0)</f>
        <v>63</v>
      </c>
      <c r="F5463" s="19" t="str">
        <f>IFERROR(__xludf.DUMMYFUNCTION("""COMPUTED_VALUE"""),"BLUE")</f>
        <v>BLUE</v>
      </c>
      <c r="G5463" s="20" t="str">
        <f>IFERROR(__xludf.DUMMYFUNCTION("""COMPUTED_VALUE"""),"Uncle Sams Cider (11/12/2021) (Blue)")</f>
        <v>Uncle Sams Cider (11/12/2021) (Blue)</v>
      </c>
      <c r="H5463" s="19"/>
    </row>
    <row r="5464">
      <c r="A5464" s="9"/>
      <c r="B5464" s="15"/>
      <c r="C5464" s="9">
        <f>IFERROR(__xludf.DUMMYFUNCTION("""COMPUTED_VALUE"""),44548.2528389004)</f>
        <v>44548.25284</v>
      </c>
      <c r="D5464" s="15">
        <f>IFERROR(__xludf.DUMMYFUNCTION("""COMPUTED_VALUE"""),1.014)</f>
        <v>1.014</v>
      </c>
      <c r="E5464" s="16">
        <f>IFERROR(__xludf.DUMMYFUNCTION("""COMPUTED_VALUE"""),63.0)</f>
        <v>63</v>
      </c>
      <c r="F5464" s="19" t="str">
        <f>IFERROR(__xludf.DUMMYFUNCTION("""COMPUTED_VALUE"""),"BLUE")</f>
        <v>BLUE</v>
      </c>
      <c r="G5464" s="20" t="str">
        <f>IFERROR(__xludf.DUMMYFUNCTION("""COMPUTED_VALUE"""),"Uncle Sams Cider (11/12/2021) (Blue)")</f>
        <v>Uncle Sams Cider (11/12/2021) (Blue)</v>
      </c>
      <c r="H5464" s="19"/>
    </row>
    <row r="5465">
      <c r="A5465" s="9"/>
      <c r="B5465" s="15"/>
      <c r="C5465" s="9">
        <f>IFERROR(__xludf.DUMMYFUNCTION("""COMPUTED_VALUE"""),44548.2424172222)</f>
        <v>44548.24242</v>
      </c>
      <c r="D5465" s="15">
        <f>IFERROR(__xludf.DUMMYFUNCTION("""COMPUTED_VALUE"""),1.014)</f>
        <v>1.014</v>
      </c>
      <c r="E5465" s="16">
        <f>IFERROR(__xludf.DUMMYFUNCTION("""COMPUTED_VALUE"""),63.0)</f>
        <v>63</v>
      </c>
      <c r="F5465" s="19" t="str">
        <f>IFERROR(__xludf.DUMMYFUNCTION("""COMPUTED_VALUE"""),"BLUE")</f>
        <v>BLUE</v>
      </c>
      <c r="G5465" s="20" t="str">
        <f>IFERROR(__xludf.DUMMYFUNCTION("""COMPUTED_VALUE"""),"Uncle Sams Cider (11/12/2021) (Blue)")</f>
        <v>Uncle Sams Cider (11/12/2021) (Blue)</v>
      </c>
      <c r="H5465" s="19"/>
    </row>
    <row r="5466">
      <c r="A5466" s="9"/>
      <c r="B5466" s="15"/>
      <c r="C5466" s="9">
        <f>IFERROR(__xludf.DUMMYFUNCTION("""COMPUTED_VALUE"""),44548.2319967013)</f>
        <v>44548.232</v>
      </c>
      <c r="D5466" s="15">
        <f>IFERROR(__xludf.DUMMYFUNCTION("""COMPUTED_VALUE"""),1.014)</f>
        <v>1.014</v>
      </c>
      <c r="E5466" s="16">
        <f>IFERROR(__xludf.DUMMYFUNCTION("""COMPUTED_VALUE"""),63.0)</f>
        <v>63</v>
      </c>
      <c r="F5466" s="19" t="str">
        <f>IFERROR(__xludf.DUMMYFUNCTION("""COMPUTED_VALUE"""),"BLUE")</f>
        <v>BLUE</v>
      </c>
      <c r="G5466" s="20" t="str">
        <f>IFERROR(__xludf.DUMMYFUNCTION("""COMPUTED_VALUE"""),"Uncle Sams Cider (11/12/2021) (Blue)")</f>
        <v>Uncle Sams Cider (11/12/2021) (Blue)</v>
      </c>
      <c r="H5466" s="19"/>
    </row>
    <row r="5467">
      <c r="A5467" s="9"/>
      <c r="B5467" s="15"/>
      <c r="C5467" s="9">
        <f>IFERROR(__xludf.DUMMYFUNCTION("""COMPUTED_VALUE"""),44548.2215759953)</f>
        <v>44548.22158</v>
      </c>
      <c r="D5467" s="15">
        <f>IFERROR(__xludf.DUMMYFUNCTION("""COMPUTED_VALUE"""),1.014)</f>
        <v>1.014</v>
      </c>
      <c r="E5467" s="16">
        <f>IFERROR(__xludf.DUMMYFUNCTION("""COMPUTED_VALUE"""),63.0)</f>
        <v>63</v>
      </c>
      <c r="F5467" s="19" t="str">
        <f>IFERROR(__xludf.DUMMYFUNCTION("""COMPUTED_VALUE"""),"BLUE")</f>
        <v>BLUE</v>
      </c>
      <c r="G5467" s="20" t="str">
        <f>IFERROR(__xludf.DUMMYFUNCTION("""COMPUTED_VALUE"""),"Uncle Sams Cider (11/12/2021) (Blue)")</f>
        <v>Uncle Sams Cider (11/12/2021) (Blue)</v>
      </c>
      <c r="H5467" s="19"/>
    </row>
    <row r="5468">
      <c r="A5468" s="9"/>
      <c r="B5468" s="15"/>
      <c r="C5468" s="9">
        <f>IFERROR(__xludf.DUMMYFUNCTION("""COMPUTED_VALUE"""),44548.2111551157)</f>
        <v>44548.21116</v>
      </c>
      <c r="D5468" s="15">
        <f>IFERROR(__xludf.DUMMYFUNCTION("""COMPUTED_VALUE"""),1.014)</f>
        <v>1.014</v>
      </c>
      <c r="E5468" s="16">
        <f>IFERROR(__xludf.DUMMYFUNCTION("""COMPUTED_VALUE"""),63.0)</f>
        <v>63</v>
      </c>
      <c r="F5468" s="19" t="str">
        <f>IFERROR(__xludf.DUMMYFUNCTION("""COMPUTED_VALUE"""),"BLUE")</f>
        <v>BLUE</v>
      </c>
      <c r="G5468" s="20" t="str">
        <f>IFERROR(__xludf.DUMMYFUNCTION("""COMPUTED_VALUE"""),"Uncle Sams Cider (11/12/2021) (Blue)")</f>
        <v>Uncle Sams Cider (11/12/2021) (Blue)</v>
      </c>
      <c r="H5468" s="19"/>
    </row>
    <row r="5469">
      <c r="A5469" s="9"/>
      <c r="B5469" s="15"/>
      <c r="C5469" s="9">
        <f>IFERROR(__xludf.DUMMYFUNCTION("""COMPUTED_VALUE"""),44548.2007230555)</f>
        <v>44548.20072</v>
      </c>
      <c r="D5469" s="15">
        <f>IFERROR(__xludf.DUMMYFUNCTION("""COMPUTED_VALUE"""),1.014)</f>
        <v>1.014</v>
      </c>
      <c r="E5469" s="16">
        <f>IFERROR(__xludf.DUMMYFUNCTION("""COMPUTED_VALUE"""),63.0)</f>
        <v>63</v>
      </c>
      <c r="F5469" s="19" t="str">
        <f>IFERROR(__xludf.DUMMYFUNCTION("""COMPUTED_VALUE"""),"BLUE")</f>
        <v>BLUE</v>
      </c>
      <c r="G5469" s="20" t="str">
        <f>IFERROR(__xludf.DUMMYFUNCTION("""COMPUTED_VALUE"""),"Uncle Sams Cider (11/12/2021) (Blue)")</f>
        <v>Uncle Sams Cider (11/12/2021) (Blue)</v>
      </c>
      <c r="H5469" s="19"/>
    </row>
    <row r="5470">
      <c r="A5470" s="9"/>
      <c r="B5470" s="15"/>
      <c r="C5470" s="9">
        <f>IFERROR(__xludf.DUMMYFUNCTION("""COMPUTED_VALUE"""),44548.1903018287)</f>
        <v>44548.1903</v>
      </c>
      <c r="D5470" s="15">
        <f>IFERROR(__xludf.DUMMYFUNCTION("""COMPUTED_VALUE"""),1.014)</f>
        <v>1.014</v>
      </c>
      <c r="E5470" s="16">
        <f>IFERROR(__xludf.DUMMYFUNCTION("""COMPUTED_VALUE"""),63.0)</f>
        <v>63</v>
      </c>
      <c r="F5470" s="19" t="str">
        <f>IFERROR(__xludf.DUMMYFUNCTION("""COMPUTED_VALUE"""),"BLUE")</f>
        <v>BLUE</v>
      </c>
      <c r="G5470" s="20" t="str">
        <f>IFERROR(__xludf.DUMMYFUNCTION("""COMPUTED_VALUE"""),"Uncle Sams Cider (11/12/2021) (Blue)")</f>
        <v>Uncle Sams Cider (11/12/2021) (Blue)</v>
      </c>
      <c r="H5470" s="19"/>
    </row>
    <row r="5471">
      <c r="A5471" s="9"/>
      <c r="B5471" s="15"/>
      <c r="C5471" s="9">
        <f>IFERROR(__xludf.DUMMYFUNCTION("""COMPUTED_VALUE"""),44548.1798799305)</f>
        <v>44548.17988</v>
      </c>
      <c r="D5471" s="15">
        <f>IFERROR(__xludf.DUMMYFUNCTION("""COMPUTED_VALUE"""),1.014)</f>
        <v>1.014</v>
      </c>
      <c r="E5471" s="16">
        <f>IFERROR(__xludf.DUMMYFUNCTION("""COMPUTED_VALUE"""),63.0)</f>
        <v>63</v>
      </c>
      <c r="F5471" s="19" t="str">
        <f>IFERROR(__xludf.DUMMYFUNCTION("""COMPUTED_VALUE"""),"BLUE")</f>
        <v>BLUE</v>
      </c>
      <c r="G5471" s="20" t="str">
        <f>IFERROR(__xludf.DUMMYFUNCTION("""COMPUTED_VALUE"""),"Uncle Sams Cider (11/12/2021) (Blue)")</f>
        <v>Uncle Sams Cider (11/12/2021) (Blue)</v>
      </c>
      <c r="H5471" s="19"/>
    </row>
    <row r="5472">
      <c r="A5472" s="9"/>
      <c r="B5472" s="15"/>
      <c r="C5472" s="9">
        <f>IFERROR(__xludf.DUMMYFUNCTION("""COMPUTED_VALUE"""),44548.1694371412)</f>
        <v>44548.16944</v>
      </c>
      <c r="D5472" s="15">
        <f>IFERROR(__xludf.DUMMYFUNCTION("""COMPUTED_VALUE"""),1.014)</f>
        <v>1.014</v>
      </c>
      <c r="E5472" s="16">
        <f>IFERROR(__xludf.DUMMYFUNCTION("""COMPUTED_VALUE"""),63.0)</f>
        <v>63</v>
      </c>
      <c r="F5472" s="19" t="str">
        <f>IFERROR(__xludf.DUMMYFUNCTION("""COMPUTED_VALUE"""),"BLUE")</f>
        <v>BLUE</v>
      </c>
      <c r="G5472" s="20" t="str">
        <f>IFERROR(__xludf.DUMMYFUNCTION("""COMPUTED_VALUE"""),"Uncle Sams Cider (11/12/2021) (Blue)")</f>
        <v>Uncle Sams Cider (11/12/2021) (Blue)</v>
      </c>
      <c r="H5472" s="19"/>
    </row>
    <row r="5473">
      <c r="A5473" s="9"/>
      <c r="B5473" s="15"/>
      <c r="C5473" s="9">
        <f>IFERROR(__xludf.DUMMYFUNCTION("""COMPUTED_VALUE"""),44548.1590174074)</f>
        <v>44548.15902</v>
      </c>
      <c r="D5473" s="15">
        <f>IFERROR(__xludf.DUMMYFUNCTION("""COMPUTED_VALUE"""),1.014)</f>
        <v>1.014</v>
      </c>
      <c r="E5473" s="16">
        <f>IFERROR(__xludf.DUMMYFUNCTION("""COMPUTED_VALUE"""),63.0)</f>
        <v>63</v>
      </c>
      <c r="F5473" s="19" t="str">
        <f>IFERROR(__xludf.DUMMYFUNCTION("""COMPUTED_VALUE"""),"BLUE")</f>
        <v>BLUE</v>
      </c>
      <c r="G5473" s="20" t="str">
        <f>IFERROR(__xludf.DUMMYFUNCTION("""COMPUTED_VALUE"""),"Uncle Sams Cider (11/12/2021) (Blue)")</f>
        <v>Uncle Sams Cider (11/12/2021) (Blue)</v>
      </c>
      <c r="H5473" s="19"/>
    </row>
    <row r="5474">
      <c r="A5474" s="9"/>
      <c r="B5474" s="15"/>
      <c r="C5474" s="9">
        <f>IFERROR(__xludf.DUMMYFUNCTION("""COMPUTED_VALUE"""),44548.1485977083)</f>
        <v>44548.1486</v>
      </c>
      <c r="D5474" s="15">
        <f>IFERROR(__xludf.DUMMYFUNCTION("""COMPUTED_VALUE"""),1.014)</f>
        <v>1.014</v>
      </c>
      <c r="E5474" s="16">
        <f>IFERROR(__xludf.DUMMYFUNCTION("""COMPUTED_VALUE"""),63.0)</f>
        <v>63</v>
      </c>
      <c r="F5474" s="19" t="str">
        <f>IFERROR(__xludf.DUMMYFUNCTION("""COMPUTED_VALUE"""),"BLUE")</f>
        <v>BLUE</v>
      </c>
      <c r="G5474" s="20" t="str">
        <f>IFERROR(__xludf.DUMMYFUNCTION("""COMPUTED_VALUE"""),"Uncle Sams Cider (11/12/2021) (Blue)")</f>
        <v>Uncle Sams Cider (11/12/2021) (Blue)</v>
      </c>
      <c r="H5474" s="19"/>
    </row>
    <row r="5475">
      <c r="A5475" s="9"/>
      <c r="B5475" s="15"/>
      <c r="C5475" s="9">
        <f>IFERROR(__xludf.DUMMYFUNCTION("""COMPUTED_VALUE"""),44548.1381752314)</f>
        <v>44548.13818</v>
      </c>
      <c r="D5475" s="15">
        <f>IFERROR(__xludf.DUMMYFUNCTION("""COMPUTED_VALUE"""),1.014)</f>
        <v>1.014</v>
      </c>
      <c r="E5475" s="16">
        <f>IFERROR(__xludf.DUMMYFUNCTION("""COMPUTED_VALUE"""),63.0)</f>
        <v>63</v>
      </c>
      <c r="F5475" s="19" t="str">
        <f>IFERROR(__xludf.DUMMYFUNCTION("""COMPUTED_VALUE"""),"BLUE")</f>
        <v>BLUE</v>
      </c>
      <c r="G5475" s="20" t="str">
        <f>IFERROR(__xludf.DUMMYFUNCTION("""COMPUTED_VALUE"""),"Uncle Sams Cider (11/12/2021) (Blue)")</f>
        <v>Uncle Sams Cider (11/12/2021) (Blue)</v>
      </c>
      <c r="H5475" s="19"/>
    </row>
    <row r="5476">
      <c r="A5476" s="9"/>
      <c r="B5476" s="15"/>
      <c r="C5476" s="9">
        <f>IFERROR(__xludf.DUMMYFUNCTION("""COMPUTED_VALUE"""),44548.1277534259)</f>
        <v>44548.12775</v>
      </c>
      <c r="D5476" s="15">
        <f>IFERROR(__xludf.DUMMYFUNCTION("""COMPUTED_VALUE"""),1.014)</f>
        <v>1.014</v>
      </c>
      <c r="E5476" s="16">
        <f>IFERROR(__xludf.DUMMYFUNCTION("""COMPUTED_VALUE"""),63.0)</f>
        <v>63</v>
      </c>
      <c r="F5476" s="19" t="str">
        <f>IFERROR(__xludf.DUMMYFUNCTION("""COMPUTED_VALUE"""),"BLUE")</f>
        <v>BLUE</v>
      </c>
      <c r="G5476" s="20" t="str">
        <f>IFERROR(__xludf.DUMMYFUNCTION("""COMPUTED_VALUE"""),"Uncle Sams Cider (11/12/2021) (Blue)")</f>
        <v>Uncle Sams Cider (11/12/2021) (Blue)</v>
      </c>
      <c r="H5476" s="19"/>
    </row>
    <row r="5477">
      <c r="A5477" s="9"/>
      <c r="B5477" s="15"/>
      <c r="C5477" s="9">
        <f>IFERROR(__xludf.DUMMYFUNCTION("""COMPUTED_VALUE"""),44548.1173331828)</f>
        <v>44548.11733</v>
      </c>
      <c r="D5477" s="15">
        <f>IFERROR(__xludf.DUMMYFUNCTION("""COMPUTED_VALUE"""),1.014)</f>
        <v>1.014</v>
      </c>
      <c r="E5477" s="16">
        <f>IFERROR(__xludf.DUMMYFUNCTION("""COMPUTED_VALUE"""),63.0)</f>
        <v>63</v>
      </c>
      <c r="F5477" s="19" t="str">
        <f>IFERROR(__xludf.DUMMYFUNCTION("""COMPUTED_VALUE"""),"BLUE")</f>
        <v>BLUE</v>
      </c>
      <c r="G5477" s="20" t="str">
        <f>IFERROR(__xludf.DUMMYFUNCTION("""COMPUTED_VALUE"""),"Uncle Sams Cider (11/12/2021) (Blue)")</f>
        <v>Uncle Sams Cider (11/12/2021) (Blue)</v>
      </c>
      <c r="H5477" s="19"/>
    </row>
    <row r="5478">
      <c r="A5478" s="9"/>
      <c r="B5478" s="15"/>
      <c r="C5478" s="9">
        <f>IFERROR(__xludf.DUMMYFUNCTION("""COMPUTED_VALUE"""),44548.1068990393)</f>
        <v>44548.1069</v>
      </c>
      <c r="D5478" s="15">
        <f>IFERROR(__xludf.DUMMYFUNCTION("""COMPUTED_VALUE"""),1.014)</f>
        <v>1.014</v>
      </c>
      <c r="E5478" s="16">
        <f>IFERROR(__xludf.DUMMYFUNCTION("""COMPUTED_VALUE"""),63.0)</f>
        <v>63</v>
      </c>
      <c r="F5478" s="19" t="str">
        <f>IFERROR(__xludf.DUMMYFUNCTION("""COMPUTED_VALUE"""),"BLUE")</f>
        <v>BLUE</v>
      </c>
      <c r="G5478" s="20" t="str">
        <f>IFERROR(__xludf.DUMMYFUNCTION("""COMPUTED_VALUE"""),"Uncle Sams Cider (11/12/2021) (Blue)")</f>
        <v>Uncle Sams Cider (11/12/2021) (Blue)</v>
      </c>
      <c r="H5478" s="19"/>
    </row>
    <row r="5479">
      <c r="A5479" s="9"/>
      <c r="B5479" s="15"/>
      <c r="C5479" s="9">
        <f>IFERROR(__xludf.DUMMYFUNCTION("""COMPUTED_VALUE"""),44548.0964680902)</f>
        <v>44548.09647</v>
      </c>
      <c r="D5479" s="15">
        <f>IFERROR(__xludf.DUMMYFUNCTION("""COMPUTED_VALUE"""),1.014)</f>
        <v>1.014</v>
      </c>
      <c r="E5479" s="16">
        <f>IFERROR(__xludf.DUMMYFUNCTION("""COMPUTED_VALUE"""),63.0)</f>
        <v>63</v>
      </c>
      <c r="F5479" s="19" t="str">
        <f>IFERROR(__xludf.DUMMYFUNCTION("""COMPUTED_VALUE"""),"BLUE")</f>
        <v>BLUE</v>
      </c>
      <c r="G5479" s="20" t="str">
        <f>IFERROR(__xludf.DUMMYFUNCTION("""COMPUTED_VALUE"""),"Uncle Sams Cider (11/12/2021) (Blue)")</f>
        <v>Uncle Sams Cider (11/12/2021) (Blue)</v>
      </c>
      <c r="H5479" s="19"/>
    </row>
    <row r="5480">
      <c r="A5480" s="9"/>
      <c r="B5480" s="15"/>
      <c r="C5480" s="9">
        <f>IFERROR(__xludf.DUMMYFUNCTION("""COMPUTED_VALUE"""),44548.0860245023)</f>
        <v>44548.08602</v>
      </c>
      <c r="D5480" s="15">
        <f>IFERROR(__xludf.DUMMYFUNCTION("""COMPUTED_VALUE"""),1.014)</f>
        <v>1.014</v>
      </c>
      <c r="E5480" s="16">
        <f>IFERROR(__xludf.DUMMYFUNCTION("""COMPUTED_VALUE"""),63.0)</f>
        <v>63</v>
      </c>
      <c r="F5480" s="19" t="str">
        <f>IFERROR(__xludf.DUMMYFUNCTION("""COMPUTED_VALUE"""),"BLUE")</f>
        <v>BLUE</v>
      </c>
      <c r="G5480" s="20" t="str">
        <f>IFERROR(__xludf.DUMMYFUNCTION("""COMPUTED_VALUE"""),"Uncle Sams Cider (11/12/2021) (Blue)")</f>
        <v>Uncle Sams Cider (11/12/2021) (Blue)</v>
      </c>
      <c r="H5480" s="19"/>
    </row>
    <row r="5481">
      <c r="A5481" s="9"/>
      <c r="B5481" s="15"/>
      <c r="C5481" s="9">
        <f>IFERROR(__xludf.DUMMYFUNCTION("""COMPUTED_VALUE"""),44548.0756027083)</f>
        <v>44548.0756</v>
      </c>
      <c r="D5481" s="15">
        <f>IFERROR(__xludf.DUMMYFUNCTION("""COMPUTED_VALUE"""),1.014)</f>
        <v>1.014</v>
      </c>
      <c r="E5481" s="16">
        <f>IFERROR(__xludf.DUMMYFUNCTION("""COMPUTED_VALUE"""),63.0)</f>
        <v>63</v>
      </c>
      <c r="F5481" s="19" t="str">
        <f>IFERROR(__xludf.DUMMYFUNCTION("""COMPUTED_VALUE"""),"BLUE")</f>
        <v>BLUE</v>
      </c>
      <c r="G5481" s="20" t="str">
        <f>IFERROR(__xludf.DUMMYFUNCTION("""COMPUTED_VALUE"""),"Uncle Sams Cider (11/12/2021) (Blue)")</f>
        <v>Uncle Sams Cider (11/12/2021) (Blue)</v>
      </c>
      <c r="H5481" s="19"/>
    </row>
    <row r="5482">
      <c r="A5482" s="9"/>
      <c r="B5482" s="15"/>
      <c r="C5482" s="9">
        <f>IFERROR(__xludf.DUMMYFUNCTION("""COMPUTED_VALUE"""),44548.0651799305)</f>
        <v>44548.06518</v>
      </c>
      <c r="D5482" s="15">
        <f>IFERROR(__xludf.DUMMYFUNCTION("""COMPUTED_VALUE"""),1.014)</f>
        <v>1.014</v>
      </c>
      <c r="E5482" s="16">
        <f>IFERROR(__xludf.DUMMYFUNCTION("""COMPUTED_VALUE"""),63.0)</f>
        <v>63</v>
      </c>
      <c r="F5482" s="19" t="str">
        <f>IFERROR(__xludf.DUMMYFUNCTION("""COMPUTED_VALUE"""),"BLUE")</f>
        <v>BLUE</v>
      </c>
      <c r="G5482" s="20" t="str">
        <f>IFERROR(__xludf.DUMMYFUNCTION("""COMPUTED_VALUE"""),"Uncle Sams Cider (11/12/2021) (Blue)")</f>
        <v>Uncle Sams Cider (11/12/2021) (Blue)</v>
      </c>
      <c r="H5482" s="19"/>
    </row>
    <row r="5483">
      <c r="A5483" s="9"/>
      <c r="B5483" s="15"/>
      <c r="C5483" s="9">
        <f>IFERROR(__xludf.DUMMYFUNCTION("""COMPUTED_VALUE"""),44548.054735243)</f>
        <v>44548.05474</v>
      </c>
      <c r="D5483" s="15">
        <f>IFERROR(__xludf.DUMMYFUNCTION("""COMPUTED_VALUE"""),1.014)</f>
        <v>1.014</v>
      </c>
      <c r="E5483" s="16">
        <f>IFERROR(__xludf.DUMMYFUNCTION("""COMPUTED_VALUE"""),63.0)</f>
        <v>63</v>
      </c>
      <c r="F5483" s="19" t="str">
        <f>IFERROR(__xludf.DUMMYFUNCTION("""COMPUTED_VALUE"""),"BLUE")</f>
        <v>BLUE</v>
      </c>
      <c r="G5483" s="20" t="str">
        <f>IFERROR(__xludf.DUMMYFUNCTION("""COMPUTED_VALUE"""),"Uncle Sams Cider (11/12/2021) (Blue)")</f>
        <v>Uncle Sams Cider (11/12/2021) (Blue)</v>
      </c>
      <c r="H5483" s="19"/>
    </row>
    <row r="5484">
      <c r="A5484" s="9"/>
      <c r="B5484" s="15"/>
      <c r="C5484" s="9">
        <f>IFERROR(__xludf.DUMMYFUNCTION("""COMPUTED_VALUE"""),44548.0443119907)</f>
        <v>44548.04431</v>
      </c>
      <c r="D5484" s="15">
        <f>IFERROR(__xludf.DUMMYFUNCTION("""COMPUTED_VALUE"""),1.014)</f>
        <v>1.014</v>
      </c>
      <c r="E5484" s="16">
        <f>IFERROR(__xludf.DUMMYFUNCTION("""COMPUTED_VALUE"""),63.0)</f>
        <v>63</v>
      </c>
      <c r="F5484" s="19" t="str">
        <f>IFERROR(__xludf.DUMMYFUNCTION("""COMPUTED_VALUE"""),"BLUE")</f>
        <v>BLUE</v>
      </c>
      <c r="G5484" s="20" t="str">
        <f>IFERROR(__xludf.DUMMYFUNCTION("""COMPUTED_VALUE"""),"Uncle Sams Cider (11/12/2021) (Blue)")</f>
        <v>Uncle Sams Cider (11/12/2021) (Blue)</v>
      </c>
      <c r="H5484" s="19"/>
    </row>
    <row r="5485">
      <c r="A5485" s="9"/>
      <c r="B5485" s="15"/>
      <c r="C5485" s="9">
        <f>IFERROR(__xludf.DUMMYFUNCTION("""COMPUTED_VALUE"""),44548.0338896759)</f>
        <v>44548.03389</v>
      </c>
      <c r="D5485" s="15">
        <f>IFERROR(__xludf.DUMMYFUNCTION("""COMPUTED_VALUE"""),1.014)</f>
        <v>1.014</v>
      </c>
      <c r="E5485" s="16">
        <f>IFERROR(__xludf.DUMMYFUNCTION("""COMPUTED_VALUE"""),63.0)</f>
        <v>63</v>
      </c>
      <c r="F5485" s="19" t="str">
        <f>IFERROR(__xludf.DUMMYFUNCTION("""COMPUTED_VALUE"""),"BLUE")</f>
        <v>BLUE</v>
      </c>
      <c r="G5485" s="20" t="str">
        <f>IFERROR(__xludf.DUMMYFUNCTION("""COMPUTED_VALUE"""),"Uncle Sams Cider (11/12/2021) (Blue)")</f>
        <v>Uncle Sams Cider (11/12/2021) (Blue)</v>
      </c>
      <c r="H5485" s="19"/>
    </row>
    <row r="5486">
      <c r="A5486" s="9"/>
      <c r="B5486" s="15"/>
      <c r="C5486" s="9">
        <f>IFERROR(__xludf.DUMMYFUNCTION("""COMPUTED_VALUE"""),44548.0234684259)</f>
        <v>44548.02347</v>
      </c>
      <c r="D5486" s="15">
        <f>IFERROR(__xludf.DUMMYFUNCTION("""COMPUTED_VALUE"""),1.014)</f>
        <v>1.014</v>
      </c>
      <c r="E5486" s="16">
        <f>IFERROR(__xludf.DUMMYFUNCTION("""COMPUTED_VALUE"""),63.0)</f>
        <v>63</v>
      </c>
      <c r="F5486" s="19" t="str">
        <f>IFERROR(__xludf.DUMMYFUNCTION("""COMPUTED_VALUE"""),"BLUE")</f>
        <v>BLUE</v>
      </c>
      <c r="G5486" s="20" t="str">
        <f>IFERROR(__xludf.DUMMYFUNCTION("""COMPUTED_VALUE"""),"Uncle Sams Cider (11/12/2021) (Blue)")</f>
        <v>Uncle Sams Cider (11/12/2021) (Blue)</v>
      </c>
      <c r="H5486" s="19"/>
    </row>
    <row r="5487">
      <c r="A5487" s="9"/>
      <c r="B5487" s="15"/>
      <c r="C5487" s="9">
        <f>IFERROR(__xludf.DUMMYFUNCTION("""COMPUTED_VALUE"""),44548.013024155)</f>
        <v>44548.01302</v>
      </c>
      <c r="D5487" s="15">
        <f>IFERROR(__xludf.DUMMYFUNCTION("""COMPUTED_VALUE"""),1.014)</f>
        <v>1.014</v>
      </c>
      <c r="E5487" s="16">
        <f>IFERROR(__xludf.DUMMYFUNCTION("""COMPUTED_VALUE"""),63.0)</f>
        <v>63</v>
      </c>
      <c r="F5487" s="19" t="str">
        <f>IFERROR(__xludf.DUMMYFUNCTION("""COMPUTED_VALUE"""),"BLUE")</f>
        <v>BLUE</v>
      </c>
      <c r="G5487" s="20" t="str">
        <f>IFERROR(__xludf.DUMMYFUNCTION("""COMPUTED_VALUE"""),"Uncle Sams Cider (11/12/2021) (Blue)")</f>
        <v>Uncle Sams Cider (11/12/2021) (Blue)</v>
      </c>
      <c r="H5487" s="19"/>
    </row>
    <row r="5488">
      <c r="A5488" s="9"/>
      <c r="B5488" s="15"/>
      <c r="C5488" s="9">
        <f>IFERROR(__xludf.DUMMYFUNCTION("""COMPUTED_VALUE"""),44548.0026023148)</f>
        <v>44548.0026</v>
      </c>
      <c r="D5488" s="15">
        <f>IFERROR(__xludf.DUMMYFUNCTION("""COMPUTED_VALUE"""),1.014)</f>
        <v>1.014</v>
      </c>
      <c r="E5488" s="16">
        <f>IFERROR(__xludf.DUMMYFUNCTION("""COMPUTED_VALUE"""),63.0)</f>
        <v>63</v>
      </c>
      <c r="F5488" s="19" t="str">
        <f>IFERROR(__xludf.DUMMYFUNCTION("""COMPUTED_VALUE"""),"BLUE")</f>
        <v>BLUE</v>
      </c>
      <c r="G5488" s="20" t="str">
        <f>IFERROR(__xludf.DUMMYFUNCTION("""COMPUTED_VALUE"""),"Uncle Sams Cider (11/12/2021) (Blue)")</f>
        <v>Uncle Sams Cider (11/12/2021) (Blue)</v>
      </c>
      <c r="H5488" s="19"/>
    </row>
    <row r="5489">
      <c r="A5489" s="9"/>
      <c r="B5489" s="15"/>
      <c r="C5489" s="9">
        <f>IFERROR(__xludf.DUMMYFUNCTION("""COMPUTED_VALUE"""),44547.9921810069)</f>
        <v>44547.99218</v>
      </c>
      <c r="D5489" s="15">
        <f>IFERROR(__xludf.DUMMYFUNCTION("""COMPUTED_VALUE"""),1.014)</f>
        <v>1.014</v>
      </c>
      <c r="E5489" s="16">
        <f>IFERROR(__xludf.DUMMYFUNCTION("""COMPUTED_VALUE"""),63.0)</f>
        <v>63</v>
      </c>
      <c r="F5489" s="19" t="str">
        <f>IFERROR(__xludf.DUMMYFUNCTION("""COMPUTED_VALUE"""),"BLUE")</f>
        <v>BLUE</v>
      </c>
      <c r="G5489" s="20" t="str">
        <f>IFERROR(__xludf.DUMMYFUNCTION("""COMPUTED_VALUE"""),"Uncle Sams Cider (11/12/2021) (Blue)")</f>
        <v>Uncle Sams Cider (11/12/2021) (Blue)</v>
      </c>
      <c r="H5489" s="19"/>
    </row>
    <row r="5490">
      <c r="A5490" s="9"/>
      <c r="B5490" s="15"/>
      <c r="C5490" s="9">
        <f>IFERROR(__xludf.DUMMYFUNCTION("""COMPUTED_VALUE"""),44547.9817474884)</f>
        <v>44547.98175</v>
      </c>
      <c r="D5490" s="15">
        <f>IFERROR(__xludf.DUMMYFUNCTION("""COMPUTED_VALUE"""),1.014)</f>
        <v>1.014</v>
      </c>
      <c r="E5490" s="16">
        <f>IFERROR(__xludf.DUMMYFUNCTION("""COMPUTED_VALUE"""),63.0)</f>
        <v>63</v>
      </c>
      <c r="F5490" s="19" t="str">
        <f>IFERROR(__xludf.DUMMYFUNCTION("""COMPUTED_VALUE"""),"BLUE")</f>
        <v>BLUE</v>
      </c>
      <c r="G5490" s="20" t="str">
        <f>IFERROR(__xludf.DUMMYFUNCTION("""COMPUTED_VALUE"""),"Uncle Sams Cider (11/12/2021) (Blue)")</f>
        <v>Uncle Sams Cider (11/12/2021) (Blue)</v>
      </c>
      <c r="H5490" s="19"/>
    </row>
    <row r="5491">
      <c r="A5491" s="9"/>
      <c r="B5491" s="15"/>
      <c r="C5491" s="9">
        <f>IFERROR(__xludf.DUMMYFUNCTION("""COMPUTED_VALUE"""),44547.9713148263)</f>
        <v>44547.97131</v>
      </c>
      <c r="D5491" s="15">
        <f>IFERROR(__xludf.DUMMYFUNCTION("""COMPUTED_VALUE"""),1.014)</f>
        <v>1.014</v>
      </c>
      <c r="E5491" s="16">
        <f>IFERROR(__xludf.DUMMYFUNCTION("""COMPUTED_VALUE"""),63.0)</f>
        <v>63</v>
      </c>
      <c r="F5491" s="19" t="str">
        <f>IFERROR(__xludf.DUMMYFUNCTION("""COMPUTED_VALUE"""),"BLUE")</f>
        <v>BLUE</v>
      </c>
      <c r="G5491" s="20" t="str">
        <f>IFERROR(__xludf.DUMMYFUNCTION("""COMPUTED_VALUE"""),"Uncle Sams Cider (11/12/2021) (Blue)")</f>
        <v>Uncle Sams Cider (11/12/2021) (Blue)</v>
      </c>
      <c r="H5491" s="19"/>
    </row>
    <row r="5492">
      <c r="A5492" s="9"/>
      <c r="B5492" s="15"/>
      <c r="C5492" s="9">
        <f>IFERROR(__xludf.DUMMYFUNCTION("""COMPUTED_VALUE"""),44547.9608834722)</f>
        <v>44547.96088</v>
      </c>
      <c r="D5492" s="15">
        <f>IFERROR(__xludf.DUMMYFUNCTION("""COMPUTED_VALUE"""),1.014)</f>
        <v>1.014</v>
      </c>
      <c r="E5492" s="16">
        <f>IFERROR(__xludf.DUMMYFUNCTION("""COMPUTED_VALUE"""),63.0)</f>
        <v>63</v>
      </c>
      <c r="F5492" s="19" t="str">
        <f>IFERROR(__xludf.DUMMYFUNCTION("""COMPUTED_VALUE"""),"BLUE")</f>
        <v>BLUE</v>
      </c>
      <c r="G5492" s="20" t="str">
        <f>IFERROR(__xludf.DUMMYFUNCTION("""COMPUTED_VALUE"""),"Uncle Sams Cider (11/12/2021) (Blue)")</f>
        <v>Uncle Sams Cider (11/12/2021) (Blue)</v>
      </c>
      <c r="H5492" s="19"/>
    </row>
    <row r="5493">
      <c r="A5493" s="9"/>
      <c r="B5493" s="15"/>
      <c r="C5493" s="9">
        <f>IFERROR(__xludf.DUMMYFUNCTION("""COMPUTED_VALUE"""),44547.950437905)</f>
        <v>44547.95044</v>
      </c>
      <c r="D5493" s="15">
        <f>IFERROR(__xludf.DUMMYFUNCTION("""COMPUTED_VALUE"""),1.014)</f>
        <v>1.014</v>
      </c>
      <c r="E5493" s="16">
        <f>IFERROR(__xludf.DUMMYFUNCTION("""COMPUTED_VALUE"""),63.0)</f>
        <v>63</v>
      </c>
      <c r="F5493" s="19" t="str">
        <f>IFERROR(__xludf.DUMMYFUNCTION("""COMPUTED_VALUE"""),"BLUE")</f>
        <v>BLUE</v>
      </c>
      <c r="G5493" s="20" t="str">
        <f>IFERROR(__xludf.DUMMYFUNCTION("""COMPUTED_VALUE"""),"Uncle Sams Cider (11/12/2021) (Blue)")</f>
        <v>Uncle Sams Cider (11/12/2021) (Blue)</v>
      </c>
      <c r="H5493" s="19"/>
    </row>
    <row r="5494">
      <c r="A5494" s="9"/>
      <c r="B5494" s="15"/>
      <c r="C5494" s="9">
        <f>IFERROR(__xludf.DUMMYFUNCTION("""COMPUTED_VALUE"""),44547.9400170023)</f>
        <v>44547.94002</v>
      </c>
      <c r="D5494" s="15">
        <f>IFERROR(__xludf.DUMMYFUNCTION("""COMPUTED_VALUE"""),1.014)</f>
        <v>1.014</v>
      </c>
      <c r="E5494" s="16">
        <f>IFERROR(__xludf.DUMMYFUNCTION("""COMPUTED_VALUE"""),63.0)</f>
        <v>63</v>
      </c>
      <c r="F5494" s="19" t="str">
        <f>IFERROR(__xludf.DUMMYFUNCTION("""COMPUTED_VALUE"""),"BLUE")</f>
        <v>BLUE</v>
      </c>
      <c r="G5494" s="20" t="str">
        <f>IFERROR(__xludf.DUMMYFUNCTION("""COMPUTED_VALUE"""),"Uncle Sams Cider (11/12/2021) (Blue)")</f>
        <v>Uncle Sams Cider (11/12/2021) (Blue)</v>
      </c>
      <c r="H5494" s="19"/>
    </row>
    <row r="5495">
      <c r="A5495" s="9"/>
      <c r="B5495" s="15"/>
      <c r="C5495" s="9">
        <f>IFERROR(__xludf.DUMMYFUNCTION("""COMPUTED_VALUE"""),44547.9295950578)</f>
        <v>44547.9296</v>
      </c>
      <c r="D5495" s="15">
        <f>IFERROR(__xludf.DUMMYFUNCTION("""COMPUTED_VALUE"""),1.014)</f>
        <v>1.014</v>
      </c>
      <c r="E5495" s="16">
        <f>IFERROR(__xludf.DUMMYFUNCTION("""COMPUTED_VALUE"""),63.0)</f>
        <v>63</v>
      </c>
      <c r="F5495" s="19" t="str">
        <f>IFERROR(__xludf.DUMMYFUNCTION("""COMPUTED_VALUE"""),"BLUE")</f>
        <v>BLUE</v>
      </c>
      <c r="G5495" s="20" t="str">
        <f>IFERROR(__xludf.DUMMYFUNCTION("""COMPUTED_VALUE"""),"Uncle Sams Cider (11/12/2021) (Blue)")</f>
        <v>Uncle Sams Cider (11/12/2021) (Blue)</v>
      </c>
      <c r="H5495" s="19"/>
    </row>
    <row r="5496">
      <c r="A5496" s="9"/>
      <c r="B5496" s="15"/>
      <c r="C5496" s="9">
        <f>IFERROR(__xludf.DUMMYFUNCTION("""COMPUTED_VALUE"""),44547.9191741435)</f>
        <v>44547.91917</v>
      </c>
      <c r="D5496" s="15">
        <f>IFERROR(__xludf.DUMMYFUNCTION("""COMPUTED_VALUE"""),1.014)</f>
        <v>1.014</v>
      </c>
      <c r="E5496" s="16">
        <f>IFERROR(__xludf.DUMMYFUNCTION("""COMPUTED_VALUE"""),63.0)</f>
        <v>63</v>
      </c>
      <c r="F5496" s="19" t="str">
        <f>IFERROR(__xludf.DUMMYFUNCTION("""COMPUTED_VALUE"""),"BLUE")</f>
        <v>BLUE</v>
      </c>
      <c r="G5496" s="20" t="str">
        <f>IFERROR(__xludf.DUMMYFUNCTION("""COMPUTED_VALUE"""),"Uncle Sams Cider (11/12/2021) (Blue)")</f>
        <v>Uncle Sams Cider (11/12/2021) (Blue)</v>
      </c>
      <c r="H5496" s="19"/>
    </row>
    <row r="5497">
      <c r="A5497" s="9"/>
      <c r="B5497" s="15"/>
      <c r="C5497" s="9">
        <f>IFERROR(__xludf.DUMMYFUNCTION("""COMPUTED_VALUE"""),44547.9087537963)</f>
        <v>44547.90875</v>
      </c>
      <c r="D5497" s="15">
        <f>IFERROR(__xludf.DUMMYFUNCTION("""COMPUTED_VALUE"""),1.014)</f>
        <v>1.014</v>
      </c>
      <c r="E5497" s="16">
        <f>IFERROR(__xludf.DUMMYFUNCTION("""COMPUTED_VALUE"""),63.0)</f>
        <v>63</v>
      </c>
      <c r="F5497" s="19" t="str">
        <f>IFERROR(__xludf.DUMMYFUNCTION("""COMPUTED_VALUE"""),"BLUE")</f>
        <v>BLUE</v>
      </c>
      <c r="G5497" s="20" t="str">
        <f>IFERROR(__xludf.DUMMYFUNCTION("""COMPUTED_VALUE"""),"Uncle Sams Cider (11/12/2021) (Blue)")</f>
        <v>Uncle Sams Cider (11/12/2021) (Blue)</v>
      </c>
      <c r="H5497" s="19"/>
    </row>
    <row r="5498">
      <c r="A5498" s="9"/>
      <c r="B5498" s="15"/>
      <c r="C5498" s="9">
        <f>IFERROR(__xludf.DUMMYFUNCTION("""COMPUTED_VALUE"""),44547.8983327777)</f>
        <v>44547.89833</v>
      </c>
      <c r="D5498" s="15">
        <f>IFERROR(__xludf.DUMMYFUNCTION("""COMPUTED_VALUE"""),1.014)</f>
        <v>1.014</v>
      </c>
      <c r="E5498" s="16">
        <f>IFERROR(__xludf.DUMMYFUNCTION("""COMPUTED_VALUE"""),63.0)</f>
        <v>63</v>
      </c>
      <c r="F5498" s="19" t="str">
        <f>IFERROR(__xludf.DUMMYFUNCTION("""COMPUTED_VALUE"""),"BLUE")</f>
        <v>BLUE</v>
      </c>
      <c r="G5498" s="20" t="str">
        <f>IFERROR(__xludf.DUMMYFUNCTION("""COMPUTED_VALUE"""),"Uncle Sams Cider (11/12/2021) (Blue)")</f>
        <v>Uncle Sams Cider (11/12/2021) (Blue)</v>
      </c>
      <c r="H5498" s="19"/>
    </row>
    <row r="5499">
      <c r="A5499" s="9"/>
      <c r="B5499" s="15"/>
      <c r="C5499" s="9">
        <f>IFERROR(__xludf.DUMMYFUNCTION("""COMPUTED_VALUE"""),44547.8879010879)</f>
        <v>44547.8879</v>
      </c>
      <c r="D5499" s="15">
        <f>IFERROR(__xludf.DUMMYFUNCTION("""COMPUTED_VALUE"""),1.014)</f>
        <v>1.014</v>
      </c>
      <c r="E5499" s="16">
        <f>IFERROR(__xludf.DUMMYFUNCTION("""COMPUTED_VALUE"""),63.0)</f>
        <v>63</v>
      </c>
      <c r="F5499" s="19" t="str">
        <f>IFERROR(__xludf.DUMMYFUNCTION("""COMPUTED_VALUE"""),"BLUE")</f>
        <v>BLUE</v>
      </c>
      <c r="G5499" s="20" t="str">
        <f>IFERROR(__xludf.DUMMYFUNCTION("""COMPUTED_VALUE"""),"Uncle Sams Cider (11/12/2021) (Blue)")</f>
        <v>Uncle Sams Cider (11/12/2021) (Blue)</v>
      </c>
      <c r="H5499" s="19"/>
    </row>
    <row r="5500">
      <c r="A5500" s="9"/>
      <c r="B5500" s="15"/>
      <c r="C5500" s="9">
        <f>IFERROR(__xludf.DUMMYFUNCTION("""COMPUTED_VALUE"""),44547.8774671643)</f>
        <v>44547.87747</v>
      </c>
      <c r="D5500" s="15">
        <f>IFERROR(__xludf.DUMMYFUNCTION("""COMPUTED_VALUE"""),1.014)</f>
        <v>1.014</v>
      </c>
      <c r="E5500" s="16">
        <f>IFERROR(__xludf.DUMMYFUNCTION("""COMPUTED_VALUE"""),62.0)</f>
        <v>62</v>
      </c>
      <c r="F5500" s="19" t="str">
        <f>IFERROR(__xludf.DUMMYFUNCTION("""COMPUTED_VALUE"""),"BLUE")</f>
        <v>BLUE</v>
      </c>
      <c r="G5500" s="20" t="str">
        <f>IFERROR(__xludf.DUMMYFUNCTION("""COMPUTED_VALUE"""),"Uncle Sams Cider (11/12/2021) (Blue)")</f>
        <v>Uncle Sams Cider (11/12/2021) (Blue)</v>
      </c>
      <c r="H5500" s="19"/>
    </row>
    <row r="5501">
      <c r="A5501" s="9"/>
      <c r="B5501" s="15"/>
      <c r="C5501" s="9">
        <f>IFERROR(__xludf.DUMMYFUNCTION("""COMPUTED_VALUE"""),44547.8670460416)</f>
        <v>44547.86705</v>
      </c>
      <c r="D5501" s="15">
        <f>IFERROR(__xludf.DUMMYFUNCTION("""COMPUTED_VALUE"""),1.014)</f>
        <v>1.014</v>
      </c>
      <c r="E5501" s="16">
        <f>IFERROR(__xludf.DUMMYFUNCTION("""COMPUTED_VALUE"""),63.0)</f>
        <v>63</v>
      </c>
      <c r="F5501" s="19" t="str">
        <f>IFERROR(__xludf.DUMMYFUNCTION("""COMPUTED_VALUE"""),"BLUE")</f>
        <v>BLUE</v>
      </c>
      <c r="G5501" s="20" t="str">
        <f>IFERROR(__xludf.DUMMYFUNCTION("""COMPUTED_VALUE"""),"Uncle Sams Cider (11/12/2021) (Blue)")</f>
        <v>Uncle Sams Cider (11/12/2021) (Blue)</v>
      </c>
      <c r="H5501" s="19"/>
    </row>
    <row r="5502">
      <c r="A5502" s="9"/>
      <c r="B5502" s="15"/>
      <c r="C5502" s="9">
        <f>IFERROR(__xludf.DUMMYFUNCTION("""COMPUTED_VALUE"""),44547.8566243518)</f>
        <v>44547.85662</v>
      </c>
      <c r="D5502" s="15">
        <f>IFERROR(__xludf.DUMMYFUNCTION("""COMPUTED_VALUE"""),1.014)</f>
        <v>1.014</v>
      </c>
      <c r="E5502" s="16">
        <f>IFERROR(__xludf.DUMMYFUNCTION("""COMPUTED_VALUE"""),63.0)</f>
        <v>63</v>
      </c>
      <c r="F5502" s="19" t="str">
        <f>IFERROR(__xludf.DUMMYFUNCTION("""COMPUTED_VALUE"""),"BLUE")</f>
        <v>BLUE</v>
      </c>
      <c r="G5502" s="20" t="str">
        <f>IFERROR(__xludf.DUMMYFUNCTION("""COMPUTED_VALUE"""),"Uncle Sams Cider (11/12/2021) (Blue)")</f>
        <v>Uncle Sams Cider (11/12/2021) (Blue)</v>
      </c>
      <c r="H5502" s="19"/>
    </row>
    <row r="5503">
      <c r="A5503" s="9"/>
      <c r="B5503" s="15"/>
      <c r="C5503" s="9">
        <f>IFERROR(__xludf.DUMMYFUNCTION("""COMPUTED_VALUE"""),44547.846205405)</f>
        <v>44547.84621</v>
      </c>
      <c r="D5503" s="15">
        <f>IFERROR(__xludf.DUMMYFUNCTION("""COMPUTED_VALUE"""),1.014)</f>
        <v>1.014</v>
      </c>
      <c r="E5503" s="16">
        <f>IFERROR(__xludf.DUMMYFUNCTION("""COMPUTED_VALUE"""),63.0)</f>
        <v>63</v>
      </c>
      <c r="F5503" s="19" t="str">
        <f>IFERROR(__xludf.DUMMYFUNCTION("""COMPUTED_VALUE"""),"BLUE")</f>
        <v>BLUE</v>
      </c>
      <c r="G5503" s="20" t="str">
        <f>IFERROR(__xludf.DUMMYFUNCTION("""COMPUTED_VALUE"""),"Uncle Sams Cider (11/12/2021) (Blue)")</f>
        <v>Uncle Sams Cider (11/12/2021) (Blue)</v>
      </c>
      <c r="H5503" s="19"/>
    </row>
    <row r="5504">
      <c r="A5504" s="9"/>
      <c r="B5504" s="15"/>
      <c r="C5504" s="9">
        <f>IFERROR(__xludf.DUMMYFUNCTION("""COMPUTED_VALUE"""),44547.8357831828)</f>
        <v>44547.83578</v>
      </c>
      <c r="D5504" s="15">
        <f>IFERROR(__xludf.DUMMYFUNCTION("""COMPUTED_VALUE"""),1.014)</f>
        <v>1.014</v>
      </c>
      <c r="E5504" s="16">
        <f>IFERROR(__xludf.DUMMYFUNCTION("""COMPUTED_VALUE"""),63.0)</f>
        <v>63</v>
      </c>
      <c r="F5504" s="19" t="str">
        <f>IFERROR(__xludf.DUMMYFUNCTION("""COMPUTED_VALUE"""),"BLUE")</f>
        <v>BLUE</v>
      </c>
      <c r="G5504" s="20" t="str">
        <f>IFERROR(__xludf.DUMMYFUNCTION("""COMPUTED_VALUE"""),"Uncle Sams Cider (11/12/2021) (Blue)")</f>
        <v>Uncle Sams Cider (11/12/2021) (Blue)</v>
      </c>
      <c r="H5504" s="19"/>
    </row>
    <row r="5505">
      <c r="A5505" s="9"/>
      <c r="B5505" s="15"/>
      <c r="C5505" s="9">
        <f>IFERROR(__xludf.DUMMYFUNCTION("""COMPUTED_VALUE"""),44547.825363206)</f>
        <v>44547.82536</v>
      </c>
      <c r="D5505" s="15">
        <f>IFERROR(__xludf.DUMMYFUNCTION("""COMPUTED_VALUE"""),1.014)</f>
        <v>1.014</v>
      </c>
      <c r="E5505" s="16">
        <f>IFERROR(__xludf.DUMMYFUNCTION("""COMPUTED_VALUE"""),63.0)</f>
        <v>63</v>
      </c>
      <c r="F5505" s="19" t="str">
        <f>IFERROR(__xludf.DUMMYFUNCTION("""COMPUTED_VALUE"""),"BLUE")</f>
        <v>BLUE</v>
      </c>
      <c r="G5505" s="20" t="str">
        <f>IFERROR(__xludf.DUMMYFUNCTION("""COMPUTED_VALUE"""),"Uncle Sams Cider (11/12/2021) (Blue)")</f>
        <v>Uncle Sams Cider (11/12/2021) (Blue)</v>
      </c>
      <c r="H5505" s="19"/>
    </row>
    <row r="5506">
      <c r="A5506" s="9"/>
      <c r="B5506" s="15"/>
      <c r="C5506" s="9">
        <f>IFERROR(__xludf.DUMMYFUNCTION("""COMPUTED_VALUE"""),44547.8149419791)</f>
        <v>44547.81494</v>
      </c>
      <c r="D5506" s="15">
        <f>IFERROR(__xludf.DUMMYFUNCTION("""COMPUTED_VALUE"""),1.014)</f>
        <v>1.014</v>
      </c>
      <c r="E5506" s="16">
        <f>IFERROR(__xludf.DUMMYFUNCTION("""COMPUTED_VALUE"""),63.0)</f>
        <v>63</v>
      </c>
      <c r="F5506" s="19" t="str">
        <f>IFERROR(__xludf.DUMMYFUNCTION("""COMPUTED_VALUE"""),"BLUE")</f>
        <v>BLUE</v>
      </c>
      <c r="G5506" s="20" t="str">
        <f>IFERROR(__xludf.DUMMYFUNCTION("""COMPUTED_VALUE"""),"Uncle Sams Cider (11/12/2021) (Blue)")</f>
        <v>Uncle Sams Cider (11/12/2021) (Blue)</v>
      </c>
      <c r="H5506" s="19"/>
    </row>
    <row r="5507">
      <c r="A5507" s="9"/>
      <c r="B5507" s="15"/>
      <c r="C5507" s="9">
        <f>IFERROR(__xludf.DUMMYFUNCTION("""COMPUTED_VALUE"""),44547.804508831)</f>
        <v>44547.80451</v>
      </c>
      <c r="D5507" s="15">
        <f>IFERROR(__xludf.DUMMYFUNCTION("""COMPUTED_VALUE"""),1.014)</f>
        <v>1.014</v>
      </c>
      <c r="E5507" s="16">
        <f>IFERROR(__xludf.DUMMYFUNCTION("""COMPUTED_VALUE"""),63.0)</f>
        <v>63</v>
      </c>
      <c r="F5507" s="19" t="str">
        <f>IFERROR(__xludf.DUMMYFUNCTION("""COMPUTED_VALUE"""),"BLUE")</f>
        <v>BLUE</v>
      </c>
      <c r="G5507" s="20" t="str">
        <f>IFERROR(__xludf.DUMMYFUNCTION("""COMPUTED_VALUE"""),"Uncle Sams Cider (11/12/2021) (Blue)")</f>
        <v>Uncle Sams Cider (11/12/2021) (Blue)</v>
      </c>
      <c r="H5507" s="19"/>
    </row>
    <row r="5508">
      <c r="A5508" s="9"/>
      <c r="B5508" s="15"/>
      <c r="C5508" s="9">
        <f>IFERROR(__xludf.DUMMYFUNCTION("""COMPUTED_VALUE"""),44547.7940882523)</f>
        <v>44547.79409</v>
      </c>
      <c r="D5508" s="15">
        <f>IFERROR(__xludf.DUMMYFUNCTION("""COMPUTED_VALUE"""),1.014)</f>
        <v>1.014</v>
      </c>
      <c r="E5508" s="16">
        <f>IFERROR(__xludf.DUMMYFUNCTION("""COMPUTED_VALUE"""),63.0)</f>
        <v>63</v>
      </c>
      <c r="F5508" s="19" t="str">
        <f>IFERROR(__xludf.DUMMYFUNCTION("""COMPUTED_VALUE"""),"BLUE")</f>
        <v>BLUE</v>
      </c>
      <c r="G5508" s="20" t="str">
        <f>IFERROR(__xludf.DUMMYFUNCTION("""COMPUTED_VALUE"""),"Uncle Sams Cider (11/12/2021) (Blue)")</f>
        <v>Uncle Sams Cider (11/12/2021) (Blue)</v>
      </c>
      <c r="H5508" s="19"/>
    </row>
    <row r="5509">
      <c r="A5509" s="9"/>
      <c r="B5509" s="15"/>
      <c r="C5509" s="9">
        <f>IFERROR(__xludf.DUMMYFUNCTION("""COMPUTED_VALUE"""),44547.7836556712)</f>
        <v>44547.78366</v>
      </c>
      <c r="D5509" s="15">
        <f>IFERROR(__xludf.DUMMYFUNCTION("""COMPUTED_VALUE"""),1.014)</f>
        <v>1.014</v>
      </c>
      <c r="E5509" s="16">
        <f>IFERROR(__xludf.DUMMYFUNCTION("""COMPUTED_VALUE"""),63.0)</f>
        <v>63</v>
      </c>
      <c r="F5509" s="19" t="str">
        <f>IFERROR(__xludf.DUMMYFUNCTION("""COMPUTED_VALUE"""),"BLUE")</f>
        <v>BLUE</v>
      </c>
      <c r="G5509" s="20" t="str">
        <f>IFERROR(__xludf.DUMMYFUNCTION("""COMPUTED_VALUE"""),"Uncle Sams Cider (11/12/2021) (Blue)")</f>
        <v>Uncle Sams Cider (11/12/2021) (Blue)</v>
      </c>
      <c r="H5509" s="19"/>
    </row>
    <row r="5510">
      <c r="A5510" s="9"/>
      <c r="B5510" s="15"/>
      <c r="C5510" s="9">
        <f>IFERROR(__xludf.DUMMYFUNCTION("""COMPUTED_VALUE"""),44547.7732360763)</f>
        <v>44547.77324</v>
      </c>
      <c r="D5510" s="15">
        <f>IFERROR(__xludf.DUMMYFUNCTION("""COMPUTED_VALUE"""),1.014)</f>
        <v>1.014</v>
      </c>
      <c r="E5510" s="16">
        <f>IFERROR(__xludf.DUMMYFUNCTION("""COMPUTED_VALUE"""),63.0)</f>
        <v>63</v>
      </c>
      <c r="F5510" s="19" t="str">
        <f>IFERROR(__xludf.DUMMYFUNCTION("""COMPUTED_VALUE"""),"BLUE")</f>
        <v>BLUE</v>
      </c>
      <c r="G5510" s="20" t="str">
        <f>IFERROR(__xludf.DUMMYFUNCTION("""COMPUTED_VALUE"""),"Uncle Sams Cider (11/12/2021) (Blue)")</f>
        <v>Uncle Sams Cider (11/12/2021) (Blue)</v>
      </c>
      <c r="H5510" s="19"/>
    </row>
    <row r="5511">
      <c r="A5511" s="9"/>
      <c r="B5511" s="15"/>
      <c r="C5511" s="9">
        <f>IFERROR(__xludf.DUMMYFUNCTION("""COMPUTED_VALUE"""),44547.7628169097)</f>
        <v>44547.76282</v>
      </c>
      <c r="D5511" s="15">
        <f>IFERROR(__xludf.DUMMYFUNCTION("""COMPUTED_VALUE"""),1.014)</f>
        <v>1.014</v>
      </c>
      <c r="E5511" s="16">
        <f>IFERROR(__xludf.DUMMYFUNCTION("""COMPUTED_VALUE"""),63.0)</f>
        <v>63</v>
      </c>
      <c r="F5511" s="19" t="str">
        <f>IFERROR(__xludf.DUMMYFUNCTION("""COMPUTED_VALUE"""),"BLUE")</f>
        <v>BLUE</v>
      </c>
      <c r="G5511" s="20" t="str">
        <f>IFERROR(__xludf.DUMMYFUNCTION("""COMPUTED_VALUE"""),"Uncle Sams Cider (11/12/2021) (Blue)")</f>
        <v>Uncle Sams Cider (11/12/2021) (Blue)</v>
      </c>
      <c r="H5511" s="19"/>
    </row>
    <row r="5512">
      <c r="A5512" s="9"/>
      <c r="B5512" s="15"/>
      <c r="C5512" s="9">
        <f>IFERROR(__xludf.DUMMYFUNCTION("""COMPUTED_VALUE"""),44547.7523842245)</f>
        <v>44547.75238</v>
      </c>
      <c r="D5512" s="15">
        <f>IFERROR(__xludf.DUMMYFUNCTION("""COMPUTED_VALUE"""),1.014)</f>
        <v>1.014</v>
      </c>
      <c r="E5512" s="16">
        <f>IFERROR(__xludf.DUMMYFUNCTION("""COMPUTED_VALUE"""),62.0)</f>
        <v>62</v>
      </c>
      <c r="F5512" s="19" t="str">
        <f>IFERROR(__xludf.DUMMYFUNCTION("""COMPUTED_VALUE"""),"BLUE")</f>
        <v>BLUE</v>
      </c>
      <c r="G5512" s="20" t="str">
        <f>IFERROR(__xludf.DUMMYFUNCTION("""COMPUTED_VALUE"""),"Uncle Sams Cider (11/12/2021) (Blue)")</f>
        <v>Uncle Sams Cider (11/12/2021) (Blue)</v>
      </c>
      <c r="H5512" s="19"/>
    </row>
    <row r="5513">
      <c r="A5513" s="9"/>
      <c r="B5513" s="15"/>
      <c r="C5513" s="9">
        <f>IFERROR(__xludf.DUMMYFUNCTION("""COMPUTED_VALUE"""),44547.7419522569)</f>
        <v>44547.74195</v>
      </c>
      <c r="D5513" s="15">
        <f>IFERROR(__xludf.DUMMYFUNCTION("""COMPUTED_VALUE"""),1.014)</f>
        <v>1.014</v>
      </c>
      <c r="E5513" s="16">
        <f>IFERROR(__xludf.DUMMYFUNCTION("""COMPUTED_VALUE"""),63.0)</f>
        <v>63</v>
      </c>
      <c r="F5513" s="19" t="str">
        <f>IFERROR(__xludf.DUMMYFUNCTION("""COMPUTED_VALUE"""),"BLUE")</f>
        <v>BLUE</v>
      </c>
      <c r="G5513" s="20" t="str">
        <f>IFERROR(__xludf.DUMMYFUNCTION("""COMPUTED_VALUE"""),"Uncle Sams Cider (11/12/2021) (Blue)")</f>
        <v>Uncle Sams Cider (11/12/2021) (Blue)</v>
      </c>
      <c r="H5513" s="19"/>
    </row>
    <row r="5514">
      <c r="A5514" s="9"/>
      <c r="B5514" s="15"/>
      <c r="C5514" s="9">
        <f>IFERROR(__xludf.DUMMYFUNCTION("""COMPUTED_VALUE"""),44547.7315316203)</f>
        <v>44547.73153</v>
      </c>
      <c r="D5514" s="15">
        <f>IFERROR(__xludf.DUMMYFUNCTION("""COMPUTED_VALUE"""),1.014)</f>
        <v>1.014</v>
      </c>
      <c r="E5514" s="16">
        <f>IFERROR(__xludf.DUMMYFUNCTION("""COMPUTED_VALUE"""),63.0)</f>
        <v>63</v>
      </c>
      <c r="F5514" s="19" t="str">
        <f>IFERROR(__xludf.DUMMYFUNCTION("""COMPUTED_VALUE"""),"BLUE")</f>
        <v>BLUE</v>
      </c>
      <c r="G5514" s="20" t="str">
        <f>IFERROR(__xludf.DUMMYFUNCTION("""COMPUTED_VALUE"""),"Uncle Sams Cider (11/12/2021) (Blue)")</f>
        <v>Uncle Sams Cider (11/12/2021) (Blue)</v>
      </c>
      <c r="H5514" s="19"/>
    </row>
    <row r="5515">
      <c r="A5515" s="9"/>
      <c r="B5515" s="15"/>
      <c r="C5515" s="9">
        <f>IFERROR(__xludf.DUMMYFUNCTION("""COMPUTED_VALUE"""),44547.7211107291)</f>
        <v>44547.72111</v>
      </c>
      <c r="D5515" s="15">
        <f>IFERROR(__xludf.DUMMYFUNCTION("""COMPUTED_VALUE"""),1.014)</f>
        <v>1.014</v>
      </c>
      <c r="E5515" s="16">
        <f>IFERROR(__xludf.DUMMYFUNCTION("""COMPUTED_VALUE"""),63.0)</f>
        <v>63</v>
      </c>
      <c r="F5515" s="19" t="str">
        <f>IFERROR(__xludf.DUMMYFUNCTION("""COMPUTED_VALUE"""),"BLUE")</f>
        <v>BLUE</v>
      </c>
      <c r="G5515" s="20" t="str">
        <f>IFERROR(__xludf.DUMMYFUNCTION("""COMPUTED_VALUE"""),"Uncle Sams Cider (11/12/2021) (Blue)")</f>
        <v>Uncle Sams Cider (11/12/2021) (Blue)</v>
      </c>
      <c r="H5515" s="19"/>
    </row>
    <row r="5516">
      <c r="A5516" s="9"/>
      <c r="B5516" s="15"/>
      <c r="C5516" s="9">
        <f>IFERROR(__xludf.DUMMYFUNCTION("""COMPUTED_VALUE"""),44547.7106901967)</f>
        <v>44547.71069</v>
      </c>
      <c r="D5516" s="15">
        <f>IFERROR(__xludf.DUMMYFUNCTION("""COMPUTED_VALUE"""),1.014)</f>
        <v>1.014</v>
      </c>
      <c r="E5516" s="16">
        <f>IFERROR(__xludf.DUMMYFUNCTION("""COMPUTED_VALUE"""),63.0)</f>
        <v>63</v>
      </c>
      <c r="F5516" s="19" t="str">
        <f>IFERROR(__xludf.DUMMYFUNCTION("""COMPUTED_VALUE"""),"BLUE")</f>
        <v>BLUE</v>
      </c>
      <c r="G5516" s="20" t="str">
        <f>IFERROR(__xludf.DUMMYFUNCTION("""COMPUTED_VALUE"""),"Uncle Sams Cider (11/12/2021) (Blue)")</f>
        <v>Uncle Sams Cider (11/12/2021) (Blue)</v>
      </c>
      <c r="H5516" s="19"/>
    </row>
    <row r="5517">
      <c r="A5517" s="9"/>
      <c r="B5517" s="15"/>
      <c r="C5517" s="9">
        <f>IFERROR(__xludf.DUMMYFUNCTION("""COMPUTED_VALUE"""),44547.7002578587)</f>
        <v>44547.70026</v>
      </c>
      <c r="D5517" s="15">
        <f>IFERROR(__xludf.DUMMYFUNCTION("""COMPUTED_VALUE"""),1.014)</f>
        <v>1.014</v>
      </c>
      <c r="E5517" s="16">
        <f>IFERROR(__xludf.DUMMYFUNCTION("""COMPUTED_VALUE"""),63.0)</f>
        <v>63</v>
      </c>
      <c r="F5517" s="19" t="str">
        <f>IFERROR(__xludf.DUMMYFUNCTION("""COMPUTED_VALUE"""),"BLUE")</f>
        <v>BLUE</v>
      </c>
      <c r="G5517" s="20" t="str">
        <f>IFERROR(__xludf.DUMMYFUNCTION("""COMPUTED_VALUE"""),"Uncle Sams Cider (11/12/2021) (Blue)")</f>
        <v>Uncle Sams Cider (11/12/2021) (Blue)</v>
      </c>
      <c r="H5517" s="19"/>
    </row>
    <row r="5518">
      <c r="A5518" s="9"/>
      <c r="B5518" s="15"/>
      <c r="C5518" s="9">
        <f>IFERROR(__xludf.DUMMYFUNCTION("""COMPUTED_VALUE"""),44547.6898362384)</f>
        <v>44547.68984</v>
      </c>
      <c r="D5518" s="15">
        <f>IFERROR(__xludf.DUMMYFUNCTION("""COMPUTED_VALUE"""),1.014)</f>
        <v>1.014</v>
      </c>
      <c r="E5518" s="16">
        <f>IFERROR(__xludf.DUMMYFUNCTION("""COMPUTED_VALUE"""),63.0)</f>
        <v>63</v>
      </c>
      <c r="F5518" s="19" t="str">
        <f>IFERROR(__xludf.DUMMYFUNCTION("""COMPUTED_VALUE"""),"BLUE")</f>
        <v>BLUE</v>
      </c>
      <c r="G5518" s="20" t="str">
        <f>IFERROR(__xludf.DUMMYFUNCTION("""COMPUTED_VALUE"""),"Uncle Sams Cider (11/12/2021) (Blue)")</f>
        <v>Uncle Sams Cider (11/12/2021) (Blue)</v>
      </c>
      <c r="H5518" s="19"/>
    </row>
    <row r="5519">
      <c r="A5519" s="9"/>
      <c r="B5519" s="15"/>
      <c r="C5519" s="9">
        <f>IFERROR(__xludf.DUMMYFUNCTION("""COMPUTED_VALUE"""),44547.6794037036)</f>
        <v>44547.6794</v>
      </c>
      <c r="D5519" s="15">
        <f>IFERROR(__xludf.DUMMYFUNCTION("""COMPUTED_VALUE"""),1.014)</f>
        <v>1.014</v>
      </c>
      <c r="E5519" s="16">
        <f>IFERROR(__xludf.DUMMYFUNCTION("""COMPUTED_VALUE"""),63.0)</f>
        <v>63</v>
      </c>
      <c r="F5519" s="19" t="str">
        <f>IFERROR(__xludf.DUMMYFUNCTION("""COMPUTED_VALUE"""),"BLUE")</f>
        <v>BLUE</v>
      </c>
      <c r="G5519" s="20" t="str">
        <f>IFERROR(__xludf.DUMMYFUNCTION("""COMPUTED_VALUE"""),"Uncle Sams Cider (11/12/2021) (Blue)")</f>
        <v>Uncle Sams Cider (11/12/2021) (Blue)</v>
      </c>
      <c r="H5519" s="19"/>
    </row>
    <row r="5520">
      <c r="A5520" s="9"/>
      <c r="B5520" s="15"/>
      <c r="C5520" s="9">
        <f>IFERROR(__xludf.DUMMYFUNCTION("""COMPUTED_VALUE"""),44547.6689834143)</f>
        <v>44547.66898</v>
      </c>
      <c r="D5520" s="15">
        <f>IFERROR(__xludf.DUMMYFUNCTION("""COMPUTED_VALUE"""),1.014)</f>
        <v>1.014</v>
      </c>
      <c r="E5520" s="16">
        <f>IFERROR(__xludf.DUMMYFUNCTION("""COMPUTED_VALUE"""),63.0)</f>
        <v>63</v>
      </c>
      <c r="F5520" s="19" t="str">
        <f>IFERROR(__xludf.DUMMYFUNCTION("""COMPUTED_VALUE"""),"BLUE")</f>
        <v>BLUE</v>
      </c>
      <c r="G5520" s="20" t="str">
        <f>IFERROR(__xludf.DUMMYFUNCTION("""COMPUTED_VALUE"""),"Uncle Sams Cider (11/12/2021) (Blue)")</f>
        <v>Uncle Sams Cider (11/12/2021) (Blue)</v>
      </c>
      <c r="H5520" s="19"/>
    </row>
    <row r="5521">
      <c r="A5521" s="9"/>
      <c r="B5521" s="15"/>
      <c r="C5521" s="9">
        <f>IFERROR(__xludf.DUMMYFUNCTION("""COMPUTED_VALUE"""),44547.658561956)</f>
        <v>44547.65856</v>
      </c>
      <c r="D5521" s="15">
        <f>IFERROR(__xludf.DUMMYFUNCTION("""COMPUTED_VALUE"""),1.014)</f>
        <v>1.014</v>
      </c>
      <c r="E5521" s="16">
        <f>IFERROR(__xludf.DUMMYFUNCTION("""COMPUTED_VALUE"""),63.0)</f>
        <v>63</v>
      </c>
      <c r="F5521" s="19" t="str">
        <f>IFERROR(__xludf.DUMMYFUNCTION("""COMPUTED_VALUE"""),"BLUE")</f>
        <v>BLUE</v>
      </c>
      <c r="G5521" s="20" t="str">
        <f>IFERROR(__xludf.DUMMYFUNCTION("""COMPUTED_VALUE"""),"Uncle Sams Cider (11/12/2021) (Blue)")</f>
        <v>Uncle Sams Cider (11/12/2021) (Blue)</v>
      </c>
      <c r="H5521" s="19"/>
    </row>
    <row r="5522">
      <c r="A5522" s="9"/>
      <c r="B5522" s="15"/>
      <c r="C5522" s="9">
        <f>IFERROR(__xludf.DUMMYFUNCTION("""COMPUTED_VALUE"""),44547.6481389351)</f>
        <v>44547.64814</v>
      </c>
      <c r="D5522" s="15">
        <f>IFERROR(__xludf.DUMMYFUNCTION("""COMPUTED_VALUE"""),1.014)</f>
        <v>1.014</v>
      </c>
      <c r="E5522" s="16">
        <f>IFERROR(__xludf.DUMMYFUNCTION("""COMPUTED_VALUE"""),63.0)</f>
        <v>63</v>
      </c>
      <c r="F5522" s="19" t="str">
        <f>IFERROR(__xludf.DUMMYFUNCTION("""COMPUTED_VALUE"""),"BLUE")</f>
        <v>BLUE</v>
      </c>
      <c r="G5522" s="20" t="str">
        <f>IFERROR(__xludf.DUMMYFUNCTION("""COMPUTED_VALUE"""),"Uncle Sams Cider (11/12/2021) (Blue)")</f>
        <v>Uncle Sams Cider (11/12/2021) (Blue)</v>
      </c>
      <c r="H5522" s="19"/>
    </row>
    <row r="5523">
      <c r="A5523" s="9"/>
      <c r="B5523" s="15"/>
      <c r="C5523" s="9">
        <f>IFERROR(__xludf.DUMMYFUNCTION("""COMPUTED_VALUE"""),44547.6377175231)</f>
        <v>44547.63772</v>
      </c>
      <c r="D5523" s="15">
        <f>IFERROR(__xludf.DUMMYFUNCTION("""COMPUTED_VALUE"""),1.014)</f>
        <v>1.014</v>
      </c>
      <c r="E5523" s="16">
        <f>IFERROR(__xludf.DUMMYFUNCTION("""COMPUTED_VALUE"""),62.0)</f>
        <v>62</v>
      </c>
      <c r="F5523" s="19" t="str">
        <f>IFERROR(__xludf.DUMMYFUNCTION("""COMPUTED_VALUE"""),"BLUE")</f>
        <v>BLUE</v>
      </c>
      <c r="G5523" s="20" t="str">
        <f>IFERROR(__xludf.DUMMYFUNCTION("""COMPUTED_VALUE"""),"Uncle Sams Cider (11/12/2021) (Blue)")</f>
        <v>Uncle Sams Cider (11/12/2021) (Blue)</v>
      </c>
      <c r="H5523" s="19"/>
    </row>
    <row r="5524">
      <c r="A5524" s="9"/>
      <c r="B5524" s="15"/>
      <c r="C5524" s="9">
        <f>IFERROR(__xludf.DUMMYFUNCTION("""COMPUTED_VALUE"""),44547.6272963657)</f>
        <v>44547.6273</v>
      </c>
      <c r="D5524" s="15">
        <f>IFERROR(__xludf.DUMMYFUNCTION("""COMPUTED_VALUE"""),1.014)</f>
        <v>1.014</v>
      </c>
      <c r="E5524" s="16">
        <f>IFERROR(__xludf.DUMMYFUNCTION("""COMPUTED_VALUE"""),63.0)</f>
        <v>63</v>
      </c>
      <c r="F5524" s="19" t="str">
        <f>IFERROR(__xludf.DUMMYFUNCTION("""COMPUTED_VALUE"""),"BLUE")</f>
        <v>BLUE</v>
      </c>
      <c r="G5524" s="20" t="str">
        <f>IFERROR(__xludf.DUMMYFUNCTION("""COMPUTED_VALUE"""),"Uncle Sams Cider (11/12/2021) (Blue)")</f>
        <v>Uncle Sams Cider (11/12/2021) (Blue)</v>
      </c>
      <c r="H5524" s="19"/>
    </row>
    <row r="5525">
      <c r="A5525" s="9"/>
      <c r="B5525" s="15"/>
      <c r="C5525" s="9">
        <f>IFERROR(__xludf.DUMMYFUNCTION("""COMPUTED_VALUE"""),44547.6168751157)</f>
        <v>44547.61688</v>
      </c>
      <c r="D5525" s="15">
        <f>IFERROR(__xludf.DUMMYFUNCTION("""COMPUTED_VALUE"""),1.014)</f>
        <v>1.014</v>
      </c>
      <c r="E5525" s="16">
        <f>IFERROR(__xludf.DUMMYFUNCTION("""COMPUTED_VALUE"""),63.0)</f>
        <v>63</v>
      </c>
      <c r="F5525" s="19" t="str">
        <f>IFERROR(__xludf.DUMMYFUNCTION("""COMPUTED_VALUE"""),"BLUE")</f>
        <v>BLUE</v>
      </c>
      <c r="G5525" s="20" t="str">
        <f>IFERROR(__xludf.DUMMYFUNCTION("""COMPUTED_VALUE"""),"Uncle Sams Cider (11/12/2021) (Blue)")</f>
        <v>Uncle Sams Cider (11/12/2021) (Blue)</v>
      </c>
      <c r="H5525" s="19"/>
    </row>
    <row r="5526">
      <c r="A5526" s="9"/>
      <c r="B5526" s="15"/>
      <c r="C5526" s="9">
        <f>IFERROR(__xludf.DUMMYFUNCTION("""COMPUTED_VALUE"""),44547.6064530555)</f>
        <v>44547.60645</v>
      </c>
      <c r="D5526" s="15">
        <f>IFERROR(__xludf.DUMMYFUNCTION("""COMPUTED_VALUE"""),1.014)</f>
        <v>1.014</v>
      </c>
      <c r="E5526" s="16">
        <f>IFERROR(__xludf.DUMMYFUNCTION("""COMPUTED_VALUE"""),62.0)</f>
        <v>62</v>
      </c>
      <c r="F5526" s="19" t="str">
        <f>IFERROR(__xludf.DUMMYFUNCTION("""COMPUTED_VALUE"""),"BLUE")</f>
        <v>BLUE</v>
      </c>
      <c r="G5526" s="20" t="str">
        <f>IFERROR(__xludf.DUMMYFUNCTION("""COMPUTED_VALUE"""),"Uncle Sams Cider (11/12/2021) (Blue)")</f>
        <v>Uncle Sams Cider (11/12/2021) (Blue)</v>
      </c>
      <c r="H5526" s="19"/>
    </row>
    <row r="5527">
      <c r="A5527" s="9"/>
      <c r="B5527" s="15"/>
      <c r="C5527" s="9">
        <f>IFERROR(__xludf.DUMMYFUNCTION("""COMPUTED_VALUE"""),44547.59603103)</f>
        <v>44547.59603</v>
      </c>
      <c r="D5527" s="15">
        <f>IFERROR(__xludf.DUMMYFUNCTION("""COMPUTED_VALUE"""),1.014)</f>
        <v>1.014</v>
      </c>
      <c r="E5527" s="16">
        <f>IFERROR(__xludf.DUMMYFUNCTION("""COMPUTED_VALUE"""),63.0)</f>
        <v>63</v>
      </c>
      <c r="F5527" s="19" t="str">
        <f>IFERROR(__xludf.DUMMYFUNCTION("""COMPUTED_VALUE"""),"BLUE")</f>
        <v>BLUE</v>
      </c>
      <c r="G5527" s="20" t="str">
        <f>IFERROR(__xludf.DUMMYFUNCTION("""COMPUTED_VALUE"""),"Uncle Sams Cider (11/12/2021) (Blue)")</f>
        <v>Uncle Sams Cider (11/12/2021) (Blue)</v>
      </c>
      <c r="H5527" s="19"/>
    </row>
    <row r="5528">
      <c r="A5528" s="9"/>
      <c r="B5528" s="15"/>
      <c r="C5528" s="9">
        <f>IFERROR(__xludf.DUMMYFUNCTION("""COMPUTED_VALUE"""),44547.5856106249)</f>
        <v>44547.58561</v>
      </c>
      <c r="D5528" s="15">
        <f>IFERROR(__xludf.DUMMYFUNCTION("""COMPUTED_VALUE"""),1.014)</f>
        <v>1.014</v>
      </c>
      <c r="E5528" s="16">
        <f>IFERROR(__xludf.DUMMYFUNCTION("""COMPUTED_VALUE"""),63.0)</f>
        <v>63</v>
      </c>
      <c r="F5528" s="19" t="str">
        <f>IFERROR(__xludf.DUMMYFUNCTION("""COMPUTED_VALUE"""),"BLUE")</f>
        <v>BLUE</v>
      </c>
      <c r="G5528" s="20" t="str">
        <f>IFERROR(__xludf.DUMMYFUNCTION("""COMPUTED_VALUE"""),"Uncle Sams Cider (11/12/2021) (Blue)")</f>
        <v>Uncle Sams Cider (11/12/2021) (Blue)</v>
      </c>
      <c r="H5528" s="19"/>
    </row>
    <row r="5529">
      <c r="A5529" s="9"/>
      <c r="B5529" s="15"/>
      <c r="C5529" s="9">
        <f>IFERROR(__xludf.DUMMYFUNCTION("""COMPUTED_VALUE"""),44547.5751776851)</f>
        <v>44547.57518</v>
      </c>
      <c r="D5529" s="15">
        <f>IFERROR(__xludf.DUMMYFUNCTION("""COMPUTED_VALUE"""),1.014)</f>
        <v>1.014</v>
      </c>
      <c r="E5529" s="16">
        <f>IFERROR(__xludf.DUMMYFUNCTION("""COMPUTED_VALUE"""),62.0)</f>
        <v>62</v>
      </c>
      <c r="F5529" s="19" t="str">
        <f>IFERROR(__xludf.DUMMYFUNCTION("""COMPUTED_VALUE"""),"BLUE")</f>
        <v>BLUE</v>
      </c>
      <c r="G5529" s="20" t="str">
        <f>IFERROR(__xludf.DUMMYFUNCTION("""COMPUTED_VALUE"""),"Uncle Sams Cider (11/12/2021) (Blue)")</f>
        <v>Uncle Sams Cider (11/12/2021) (Blue)</v>
      </c>
      <c r="H5529" s="19"/>
    </row>
    <row r="5530">
      <c r="A5530" s="9"/>
      <c r="B5530" s="15"/>
      <c r="C5530" s="9">
        <f>IFERROR(__xludf.DUMMYFUNCTION("""COMPUTED_VALUE"""),44547.5647559375)</f>
        <v>44547.56476</v>
      </c>
      <c r="D5530" s="15">
        <f>IFERROR(__xludf.DUMMYFUNCTION("""COMPUTED_VALUE"""),1.014)</f>
        <v>1.014</v>
      </c>
      <c r="E5530" s="16">
        <f>IFERROR(__xludf.DUMMYFUNCTION("""COMPUTED_VALUE"""),63.0)</f>
        <v>63</v>
      </c>
      <c r="F5530" s="19" t="str">
        <f>IFERROR(__xludf.DUMMYFUNCTION("""COMPUTED_VALUE"""),"BLUE")</f>
        <v>BLUE</v>
      </c>
      <c r="G5530" s="20" t="str">
        <f>IFERROR(__xludf.DUMMYFUNCTION("""COMPUTED_VALUE"""),"Uncle Sams Cider (11/12/2021) (Blue)")</f>
        <v>Uncle Sams Cider (11/12/2021) (Blue)</v>
      </c>
      <c r="H5530" s="19"/>
    </row>
    <row r="5531">
      <c r="A5531" s="9"/>
      <c r="B5531" s="15"/>
      <c r="C5531" s="9">
        <f>IFERROR(__xludf.DUMMYFUNCTION("""COMPUTED_VALUE"""),44547.5543357754)</f>
        <v>44547.55434</v>
      </c>
      <c r="D5531" s="15">
        <f>IFERROR(__xludf.DUMMYFUNCTION("""COMPUTED_VALUE"""),1.014)</f>
        <v>1.014</v>
      </c>
      <c r="E5531" s="16">
        <f>IFERROR(__xludf.DUMMYFUNCTION("""COMPUTED_VALUE"""),62.0)</f>
        <v>62</v>
      </c>
      <c r="F5531" s="19" t="str">
        <f>IFERROR(__xludf.DUMMYFUNCTION("""COMPUTED_VALUE"""),"BLUE")</f>
        <v>BLUE</v>
      </c>
      <c r="G5531" s="20" t="str">
        <f>IFERROR(__xludf.DUMMYFUNCTION("""COMPUTED_VALUE"""),"Uncle Sams Cider (11/12/2021) (Blue)")</f>
        <v>Uncle Sams Cider (11/12/2021) (Blue)</v>
      </c>
      <c r="H5531" s="19"/>
    </row>
    <row r="5532">
      <c r="A5532" s="9"/>
      <c r="B5532" s="15"/>
      <c r="C5532" s="9">
        <f>IFERROR(__xludf.DUMMYFUNCTION("""COMPUTED_VALUE"""),44547.5439162731)</f>
        <v>44547.54392</v>
      </c>
      <c r="D5532" s="15">
        <f>IFERROR(__xludf.DUMMYFUNCTION("""COMPUTED_VALUE"""),1.014)</f>
        <v>1.014</v>
      </c>
      <c r="E5532" s="16">
        <f>IFERROR(__xludf.DUMMYFUNCTION("""COMPUTED_VALUE"""),62.0)</f>
        <v>62</v>
      </c>
      <c r="F5532" s="19" t="str">
        <f>IFERROR(__xludf.DUMMYFUNCTION("""COMPUTED_VALUE"""),"BLUE")</f>
        <v>BLUE</v>
      </c>
      <c r="G5532" s="20" t="str">
        <f>IFERROR(__xludf.DUMMYFUNCTION("""COMPUTED_VALUE"""),"Uncle Sams Cider (11/12/2021) (Blue)")</f>
        <v>Uncle Sams Cider (11/12/2021) (Blue)</v>
      </c>
      <c r="H5532" s="19"/>
    </row>
    <row r="5533">
      <c r="A5533" s="9"/>
      <c r="B5533" s="15"/>
      <c r="C5533" s="9">
        <f>IFERROR(__xludf.DUMMYFUNCTION("""COMPUTED_VALUE"""),44547.5334955324)</f>
        <v>44547.5335</v>
      </c>
      <c r="D5533" s="15">
        <f>IFERROR(__xludf.DUMMYFUNCTION("""COMPUTED_VALUE"""),1.014)</f>
        <v>1.014</v>
      </c>
      <c r="E5533" s="16">
        <f>IFERROR(__xludf.DUMMYFUNCTION("""COMPUTED_VALUE"""),63.0)</f>
        <v>63</v>
      </c>
      <c r="F5533" s="19" t="str">
        <f>IFERROR(__xludf.DUMMYFUNCTION("""COMPUTED_VALUE"""),"BLUE")</f>
        <v>BLUE</v>
      </c>
      <c r="G5533" s="20" t="str">
        <f>IFERROR(__xludf.DUMMYFUNCTION("""COMPUTED_VALUE"""),"Uncle Sams Cider (11/12/2021) (Blue)")</f>
        <v>Uncle Sams Cider (11/12/2021) (Blue)</v>
      </c>
      <c r="H5533" s="19"/>
    </row>
    <row r="5534">
      <c r="A5534" s="9"/>
      <c r="B5534" s="15"/>
      <c r="C5534" s="9">
        <f>IFERROR(__xludf.DUMMYFUNCTION("""COMPUTED_VALUE"""),44547.5230733449)</f>
        <v>44547.52307</v>
      </c>
      <c r="D5534" s="15">
        <f>IFERROR(__xludf.DUMMYFUNCTION("""COMPUTED_VALUE"""),1.014)</f>
        <v>1.014</v>
      </c>
      <c r="E5534" s="16">
        <f>IFERROR(__xludf.DUMMYFUNCTION("""COMPUTED_VALUE"""),62.0)</f>
        <v>62</v>
      </c>
      <c r="F5534" s="19" t="str">
        <f>IFERROR(__xludf.DUMMYFUNCTION("""COMPUTED_VALUE"""),"BLUE")</f>
        <v>BLUE</v>
      </c>
      <c r="G5534" s="20" t="str">
        <f>IFERROR(__xludf.DUMMYFUNCTION("""COMPUTED_VALUE"""),"Uncle Sams Cider (11/12/2021) (Blue)")</f>
        <v>Uncle Sams Cider (11/12/2021) (Blue)</v>
      </c>
      <c r="H5534" s="19"/>
    </row>
    <row r="5535">
      <c r="A5535" s="9"/>
      <c r="B5535" s="15"/>
      <c r="C5535" s="9">
        <f>IFERROR(__xludf.DUMMYFUNCTION("""COMPUTED_VALUE"""),44547.5126527893)</f>
        <v>44547.51265</v>
      </c>
      <c r="D5535" s="15">
        <f>IFERROR(__xludf.DUMMYFUNCTION("""COMPUTED_VALUE"""),1.014)</f>
        <v>1.014</v>
      </c>
      <c r="E5535" s="16">
        <f>IFERROR(__xludf.DUMMYFUNCTION("""COMPUTED_VALUE"""),62.0)</f>
        <v>62</v>
      </c>
      <c r="F5535" s="19" t="str">
        <f>IFERROR(__xludf.DUMMYFUNCTION("""COMPUTED_VALUE"""),"BLUE")</f>
        <v>BLUE</v>
      </c>
      <c r="G5535" s="20" t="str">
        <f>IFERROR(__xludf.DUMMYFUNCTION("""COMPUTED_VALUE"""),"Uncle Sams Cider (11/12/2021) (Blue)")</f>
        <v>Uncle Sams Cider (11/12/2021) (Blue)</v>
      </c>
      <c r="H5535" s="19"/>
    </row>
    <row r="5536">
      <c r="A5536" s="9"/>
      <c r="B5536" s="15"/>
      <c r="C5536" s="9">
        <f>IFERROR(__xludf.DUMMYFUNCTION("""COMPUTED_VALUE"""),44547.5022321643)</f>
        <v>44547.50223</v>
      </c>
      <c r="D5536" s="15">
        <f>IFERROR(__xludf.DUMMYFUNCTION("""COMPUTED_VALUE"""),1.014)</f>
        <v>1.014</v>
      </c>
      <c r="E5536" s="16">
        <f>IFERROR(__xludf.DUMMYFUNCTION("""COMPUTED_VALUE"""),62.0)</f>
        <v>62</v>
      </c>
      <c r="F5536" s="19" t="str">
        <f>IFERROR(__xludf.DUMMYFUNCTION("""COMPUTED_VALUE"""),"BLUE")</f>
        <v>BLUE</v>
      </c>
      <c r="G5536" s="20" t="str">
        <f>IFERROR(__xludf.DUMMYFUNCTION("""COMPUTED_VALUE"""),"Uncle Sams Cider (11/12/2021) (Blue)")</f>
        <v>Uncle Sams Cider (11/12/2021) (Blue)</v>
      </c>
      <c r="H5536" s="19"/>
    </row>
    <row r="5537">
      <c r="A5537" s="9"/>
      <c r="B5537" s="15"/>
      <c r="C5537" s="9">
        <f>IFERROR(__xludf.DUMMYFUNCTION("""COMPUTED_VALUE"""),44547.4918113773)</f>
        <v>44547.49181</v>
      </c>
      <c r="D5537" s="15">
        <f>IFERROR(__xludf.DUMMYFUNCTION("""COMPUTED_VALUE"""),1.014)</f>
        <v>1.014</v>
      </c>
      <c r="E5537" s="16">
        <f>IFERROR(__xludf.DUMMYFUNCTION("""COMPUTED_VALUE"""),63.0)</f>
        <v>63</v>
      </c>
      <c r="F5537" s="19" t="str">
        <f>IFERROR(__xludf.DUMMYFUNCTION("""COMPUTED_VALUE"""),"BLUE")</f>
        <v>BLUE</v>
      </c>
      <c r="G5537" s="20" t="str">
        <f>IFERROR(__xludf.DUMMYFUNCTION("""COMPUTED_VALUE"""),"Uncle Sams Cider (11/12/2021) (Blue)")</f>
        <v>Uncle Sams Cider (11/12/2021) (Blue)</v>
      </c>
      <c r="H5537" s="19"/>
    </row>
    <row r="5538">
      <c r="A5538" s="9"/>
      <c r="B5538" s="15"/>
      <c r="C5538" s="9">
        <f>IFERROR(__xludf.DUMMYFUNCTION("""COMPUTED_VALUE"""),44547.4813900925)</f>
        <v>44547.48139</v>
      </c>
      <c r="D5538" s="15">
        <f>IFERROR(__xludf.DUMMYFUNCTION("""COMPUTED_VALUE"""),1.014)</f>
        <v>1.014</v>
      </c>
      <c r="E5538" s="16">
        <f>IFERROR(__xludf.DUMMYFUNCTION("""COMPUTED_VALUE"""),63.0)</f>
        <v>63</v>
      </c>
      <c r="F5538" s="19" t="str">
        <f>IFERROR(__xludf.DUMMYFUNCTION("""COMPUTED_VALUE"""),"BLUE")</f>
        <v>BLUE</v>
      </c>
      <c r="G5538" s="20" t="str">
        <f>IFERROR(__xludf.DUMMYFUNCTION("""COMPUTED_VALUE"""),"Uncle Sams Cider (11/12/2021) (Blue)")</f>
        <v>Uncle Sams Cider (11/12/2021) (Blue)</v>
      </c>
      <c r="H5538" s="19"/>
    </row>
    <row r="5539">
      <c r="A5539" s="9"/>
      <c r="B5539" s="15"/>
      <c r="C5539" s="9">
        <f>IFERROR(__xludf.DUMMYFUNCTION("""COMPUTED_VALUE"""),44547.4709707523)</f>
        <v>44547.47097</v>
      </c>
      <c r="D5539" s="15">
        <f>IFERROR(__xludf.DUMMYFUNCTION("""COMPUTED_VALUE"""),1.014)</f>
        <v>1.014</v>
      </c>
      <c r="E5539" s="16">
        <f>IFERROR(__xludf.DUMMYFUNCTION("""COMPUTED_VALUE"""),62.0)</f>
        <v>62</v>
      </c>
      <c r="F5539" s="19" t="str">
        <f>IFERROR(__xludf.DUMMYFUNCTION("""COMPUTED_VALUE"""),"BLUE")</f>
        <v>BLUE</v>
      </c>
      <c r="G5539" s="20" t="str">
        <f>IFERROR(__xludf.DUMMYFUNCTION("""COMPUTED_VALUE"""),"Uncle Sams Cider (11/12/2021) (Blue)")</f>
        <v>Uncle Sams Cider (11/12/2021) (Blue)</v>
      </c>
      <c r="H5539" s="19"/>
    </row>
    <row r="5540">
      <c r="A5540" s="9"/>
      <c r="B5540" s="15"/>
      <c r="C5540" s="9">
        <f>IFERROR(__xludf.DUMMYFUNCTION("""COMPUTED_VALUE"""),44547.4605501967)</f>
        <v>44547.46055</v>
      </c>
      <c r="D5540" s="15">
        <f>IFERROR(__xludf.DUMMYFUNCTION("""COMPUTED_VALUE"""),1.014)</f>
        <v>1.014</v>
      </c>
      <c r="E5540" s="16">
        <f>IFERROR(__xludf.DUMMYFUNCTION("""COMPUTED_VALUE"""),62.0)</f>
        <v>62</v>
      </c>
      <c r="F5540" s="19" t="str">
        <f>IFERROR(__xludf.DUMMYFUNCTION("""COMPUTED_VALUE"""),"BLUE")</f>
        <v>BLUE</v>
      </c>
      <c r="G5540" s="20" t="str">
        <f>IFERROR(__xludf.DUMMYFUNCTION("""COMPUTED_VALUE"""),"Uncle Sams Cider (11/12/2021) (Blue)")</f>
        <v>Uncle Sams Cider (11/12/2021) (Blue)</v>
      </c>
      <c r="H5540" s="19"/>
    </row>
    <row r="5541">
      <c r="A5541" s="9"/>
      <c r="B5541" s="15"/>
      <c r="C5541" s="9">
        <f>IFERROR(__xludf.DUMMYFUNCTION("""COMPUTED_VALUE"""),44547.4501284027)</f>
        <v>44547.45013</v>
      </c>
      <c r="D5541" s="15">
        <f>IFERROR(__xludf.DUMMYFUNCTION("""COMPUTED_VALUE"""),1.014)</f>
        <v>1.014</v>
      </c>
      <c r="E5541" s="16">
        <f>IFERROR(__xludf.DUMMYFUNCTION("""COMPUTED_VALUE"""),62.0)</f>
        <v>62</v>
      </c>
      <c r="F5541" s="19" t="str">
        <f>IFERROR(__xludf.DUMMYFUNCTION("""COMPUTED_VALUE"""),"BLUE")</f>
        <v>BLUE</v>
      </c>
      <c r="G5541" s="20" t="str">
        <f>IFERROR(__xludf.DUMMYFUNCTION("""COMPUTED_VALUE"""),"Uncle Sams Cider (11/12/2021) (Blue)")</f>
        <v>Uncle Sams Cider (11/12/2021) (Blue)</v>
      </c>
      <c r="H5541" s="19"/>
    </row>
    <row r="5542">
      <c r="A5542" s="9"/>
      <c r="B5542" s="15"/>
      <c r="C5542" s="9">
        <f>IFERROR(__xludf.DUMMYFUNCTION("""COMPUTED_VALUE"""),44547.4397075231)</f>
        <v>44547.43971</v>
      </c>
      <c r="D5542" s="15">
        <f>IFERROR(__xludf.DUMMYFUNCTION("""COMPUTED_VALUE"""),1.014)</f>
        <v>1.014</v>
      </c>
      <c r="E5542" s="16">
        <f>IFERROR(__xludf.DUMMYFUNCTION("""COMPUTED_VALUE"""),62.0)</f>
        <v>62</v>
      </c>
      <c r="F5542" s="19" t="str">
        <f>IFERROR(__xludf.DUMMYFUNCTION("""COMPUTED_VALUE"""),"BLUE")</f>
        <v>BLUE</v>
      </c>
      <c r="G5542" s="20" t="str">
        <f>IFERROR(__xludf.DUMMYFUNCTION("""COMPUTED_VALUE"""),"Uncle Sams Cider (11/12/2021) (Blue)")</f>
        <v>Uncle Sams Cider (11/12/2021) (Blue)</v>
      </c>
      <c r="H5542" s="19"/>
    </row>
    <row r="5543">
      <c r="A5543" s="9"/>
      <c r="B5543" s="15"/>
      <c r="C5543" s="9">
        <f>IFERROR(__xludf.DUMMYFUNCTION("""COMPUTED_VALUE"""),44547.4292748611)</f>
        <v>44547.42927</v>
      </c>
      <c r="D5543" s="15">
        <f>IFERROR(__xludf.DUMMYFUNCTION("""COMPUTED_VALUE"""),1.014)</f>
        <v>1.014</v>
      </c>
      <c r="E5543" s="16">
        <f>IFERROR(__xludf.DUMMYFUNCTION("""COMPUTED_VALUE"""),62.0)</f>
        <v>62</v>
      </c>
      <c r="F5543" s="19" t="str">
        <f>IFERROR(__xludf.DUMMYFUNCTION("""COMPUTED_VALUE"""),"BLUE")</f>
        <v>BLUE</v>
      </c>
      <c r="G5543" s="20" t="str">
        <f>IFERROR(__xludf.DUMMYFUNCTION("""COMPUTED_VALUE"""),"Uncle Sams Cider (11/12/2021) (Blue)")</f>
        <v>Uncle Sams Cider (11/12/2021) (Blue)</v>
      </c>
      <c r="H5543" s="19"/>
    </row>
    <row r="5544">
      <c r="A5544" s="9"/>
      <c r="B5544" s="15"/>
      <c r="C5544" s="9">
        <f>IFERROR(__xludf.DUMMYFUNCTION("""COMPUTED_VALUE"""),44547.4188537731)</f>
        <v>44547.41885</v>
      </c>
      <c r="D5544" s="15">
        <f>IFERROR(__xludf.DUMMYFUNCTION("""COMPUTED_VALUE"""),1.014)</f>
        <v>1.014</v>
      </c>
      <c r="E5544" s="16">
        <f>IFERROR(__xludf.DUMMYFUNCTION("""COMPUTED_VALUE"""),62.0)</f>
        <v>62</v>
      </c>
      <c r="F5544" s="19" t="str">
        <f>IFERROR(__xludf.DUMMYFUNCTION("""COMPUTED_VALUE"""),"BLUE")</f>
        <v>BLUE</v>
      </c>
      <c r="G5544" s="20" t="str">
        <f>IFERROR(__xludf.DUMMYFUNCTION("""COMPUTED_VALUE"""),"Uncle Sams Cider (11/12/2021) (Blue)")</f>
        <v>Uncle Sams Cider (11/12/2021) (Blue)</v>
      </c>
      <c r="H5544" s="19"/>
    </row>
    <row r="5545">
      <c r="A5545" s="9"/>
      <c r="B5545" s="15"/>
      <c r="C5545" s="9">
        <f>IFERROR(__xludf.DUMMYFUNCTION("""COMPUTED_VALUE"""),44547.4084339814)</f>
        <v>44547.40843</v>
      </c>
      <c r="D5545" s="15">
        <f>IFERROR(__xludf.DUMMYFUNCTION("""COMPUTED_VALUE"""),1.014)</f>
        <v>1.014</v>
      </c>
      <c r="E5545" s="16">
        <f>IFERROR(__xludf.DUMMYFUNCTION("""COMPUTED_VALUE"""),62.0)</f>
        <v>62</v>
      </c>
      <c r="F5545" s="19" t="str">
        <f>IFERROR(__xludf.DUMMYFUNCTION("""COMPUTED_VALUE"""),"BLUE")</f>
        <v>BLUE</v>
      </c>
      <c r="G5545" s="20" t="str">
        <f>IFERROR(__xludf.DUMMYFUNCTION("""COMPUTED_VALUE"""),"Uncle Sams Cider (11/12/2021) (Blue)")</f>
        <v>Uncle Sams Cider (11/12/2021) (Blue)</v>
      </c>
      <c r="H5545" s="19"/>
    </row>
    <row r="5546">
      <c r="A5546" s="9"/>
      <c r="B5546" s="15"/>
      <c r="C5546" s="9">
        <f>IFERROR(__xludf.DUMMYFUNCTION("""COMPUTED_VALUE"""),44547.3980019791)</f>
        <v>44547.398</v>
      </c>
      <c r="D5546" s="15">
        <f>IFERROR(__xludf.DUMMYFUNCTION("""COMPUTED_VALUE"""),1.014)</f>
        <v>1.014</v>
      </c>
      <c r="E5546" s="16">
        <f>IFERROR(__xludf.DUMMYFUNCTION("""COMPUTED_VALUE"""),62.0)</f>
        <v>62</v>
      </c>
      <c r="F5546" s="19" t="str">
        <f>IFERROR(__xludf.DUMMYFUNCTION("""COMPUTED_VALUE"""),"BLUE")</f>
        <v>BLUE</v>
      </c>
      <c r="G5546" s="20" t="str">
        <f>IFERROR(__xludf.DUMMYFUNCTION("""COMPUTED_VALUE"""),"Uncle Sams Cider (11/12/2021) (Blue)")</f>
        <v>Uncle Sams Cider (11/12/2021) (Blue)</v>
      </c>
      <c r="H5546" s="19"/>
    </row>
    <row r="5547">
      <c r="A5547" s="9"/>
      <c r="B5547" s="15"/>
      <c r="C5547" s="9">
        <f>IFERROR(__xludf.DUMMYFUNCTION("""COMPUTED_VALUE"""),44547.3875792824)</f>
        <v>44547.38758</v>
      </c>
      <c r="D5547" s="15">
        <f>IFERROR(__xludf.DUMMYFUNCTION("""COMPUTED_VALUE"""),1.014)</f>
        <v>1.014</v>
      </c>
      <c r="E5547" s="16">
        <f>IFERROR(__xludf.DUMMYFUNCTION("""COMPUTED_VALUE"""),62.0)</f>
        <v>62</v>
      </c>
      <c r="F5547" s="19" t="str">
        <f>IFERROR(__xludf.DUMMYFUNCTION("""COMPUTED_VALUE"""),"BLUE")</f>
        <v>BLUE</v>
      </c>
      <c r="G5547" s="20" t="str">
        <f>IFERROR(__xludf.DUMMYFUNCTION("""COMPUTED_VALUE"""),"Uncle Sams Cider (11/12/2021) (Blue)")</f>
        <v>Uncle Sams Cider (11/12/2021) (Blue)</v>
      </c>
      <c r="H5547" s="19"/>
    </row>
    <row r="5548">
      <c r="A5548" s="9"/>
      <c r="B5548" s="15"/>
      <c r="C5548" s="9">
        <f>IFERROR(__xludf.DUMMYFUNCTION("""COMPUTED_VALUE"""),44547.3771588541)</f>
        <v>44547.37716</v>
      </c>
      <c r="D5548" s="15">
        <f>IFERROR(__xludf.DUMMYFUNCTION("""COMPUTED_VALUE"""),1.014)</f>
        <v>1.014</v>
      </c>
      <c r="E5548" s="16">
        <f>IFERROR(__xludf.DUMMYFUNCTION("""COMPUTED_VALUE"""),62.0)</f>
        <v>62</v>
      </c>
      <c r="F5548" s="19" t="str">
        <f>IFERROR(__xludf.DUMMYFUNCTION("""COMPUTED_VALUE"""),"BLUE")</f>
        <v>BLUE</v>
      </c>
      <c r="G5548" s="20" t="str">
        <f>IFERROR(__xludf.DUMMYFUNCTION("""COMPUTED_VALUE"""),"Uncle Sams Cider (11/12/2021) (Blue)")</f>
        <v>Uncle Sams Cider (11/12/2021) (Blue)</v>
      </c>
      <c r="H5548" s="19"/>
    </row>
    <row r="5549">
      <c r="A5549" s="9"/>
      <c r="B5549" s="15"/>
      <c r="C5549" s="9">
        <f>IFERROR(__xludf.DUMMYFUNCTION("""COMPUTED_VALUE"""),44547.3667365162)</f>
        <v>44547.36674</v>
      </c>
      <c r="D5549" s="15">
        <f>IFERROR(__xludf.DUMMYFUNCTION("""COMPUTED_VALUE"""),1.014)</f>
        <v>1.014</v>
      </c>
      <c r="E5549" s="16">
        <f>IFERROR(__xludf.DUMMYFUNCTION("""COMPUTED_VALUE"""),62.0)</f>
        <v>62</v>
      </c>
      <c r="F5549" s="19" t="str">
        <f>IFERROR(__xludf.DUMMYFUNCTION("""COMPUTED_VALUE"""),"BLUE")</f>
        <v>BLUE</v>
      </c>
      <c r="G5549" s="20" t="str">
        <f>IFERROR(__xludf.DUMMYFUNCTION("""COMPUTED_VALUE"""),"Uncle Sams Cider (11/12/2021) (Blue)")</f>
        <v>Uncle Sams Cider (11/12/2021) (Blue)</v>
      </c>
      <c r="H5549" s="19"/>
    </row>
    <row r="5550">
      <c r="A5550" s="9"/>
      <c r="B5550" s="15"/>
      <c r="C5550" s="9">
        <f>IFERROR(__xludf.DUMMYFUNCTION("""COMPUTED_VALUE"""),44547.3563041666)</f>
        <v>44547.3563</v>
      </c>
      <c r="D5550" s="15">
        <f>IFERROR(__xludf.DUMMYFUNCTION("""COMPUTED_VALUE"""),1.014)</f>
        <v>1.014</v>
      </c>
      <c r="E5550" s="16">
        <f>IFERROR(__xludf.DUMMYFUNCTION("""COMPUTED_VALUE"""),62.0)</f>
        <v>62</v>
      </c>
      <c r="F5550" s="19" t="str">
        <f>IFERROR(__xludf.DUMMYFUNCTION("""COMPUTED_VALUE"""),"BLUE")</f>
        <v>BLUE</v>
      </c>
      <c r="G5550" s="20" t="str">
        <f>IFERROR(__xludf.DUMMYFUNCTION("""COMPUTED_VALUE"""),"Uncle Sams Cider (11/12/2021) (Blue)")</f>
        <v>Uncle Sams Cider (11/12/2021) (Blue)</v>
      </c>
      <c r="H5550" s="19"/>
    </row>
    <row r="5551">
      <c r="A5551" s="9"/>
      <c r="B5551" s="15"/>
      <c r="C5551" s="9">
        <f>IFERROR(__xludf.DUMMYFUNCTION("""COMPUTED_VALUE"""),44547.3458833217)</f>
        <v>44547.34588</v>
      </c>
      <c r="D5551" s="15">
        <f>IFERROR(__xludf.DUMMYFUNCTION("""COMPUTED_VALUE"""),1.014)</f>
        <v>1.014</v>
      </c>
      <c r="E5551" s="16">
        <f>IFERROR(__xludf.DUMMYFUNCTION("""COMPUTED_VALUE"""),62.0)</f>
        <v>62</v>
      </c>
      <c r="F5551" s="19" t="str">
        <f>IFERROR(__xludf.DUMMYFUNCTION("""COMPUTED_VALUE"""),"BLUE")</f>
        <v>BLUE</v>
      </c>
      <c r="G5551" s="20" t="str">
        <f>IFERROR(__xludf.DUMMYFUNCTION("""COMPUTED_VALUE"""),"Uncle Sams Cider (11/12/2021) (Blue)")</f>
        <v>Uncle Sams Cider (11/12/2021) (Blue)</v>
      </c>
      <c r="H5551" s="19"/>
    </row>
    <row r="5552">
      <c r="A5552" s="9"/>
      <c r="B5552" s="15"/>
      <c r="C5552" s="9">
        <f>IFERROR(__xludf.DUMMYFUNCTION("""COMPUTED_VALUE"""),44547.335450324)</f>
        <v>44547.33545</v>
      </c>
      <c r="D5552" s="15">
        <f>IFERROR(__xludf.DUMMYFUNCTION("""COMPUTED_VALUE"""),1.014)</f>
        <v>1.014</v>
      </c>
      <c r="E5552" s="16">
        <f>IFERROR(__xludf.DUMMYFUNCTION("""COMPUTED_VALUE"""),62.0)</f>
        <v>62</v>
      </c>
      <c r="F5552" s="19" t="str">
        <f>IFERROR(__xludf.DUMMYFUNCTION("""COMPUTED_VALUE"""),"BLUE")</f>
        <v>BLUE</v>
      </c>
      <c r="G5552" s="20" t="str">
        <f>IFERROR(__xludf.DUMMYFUNCTION("""COMPUTED_VALUE"""),"Uncle Sams Cider (11/12/2021) (Blue)")</f>
        <v>Uncle Sams Cider (11/12/2021) (Blue)</v>
      </c>
      <c r="H5552" s="19"/>
    </row>
    <row r="5553">
      <c r="A5553" s="9"/>
      <c r="B5553" s="15"/>
      <c r="C5553" s="9">
        <f>IFERROR(__xludf.DUMMYFUNCTION("""COMPUTED_VALUE"""),44547.3250187962)</f>
        <v>44547.32502</v>
      </c>
      <c r="D5553" s="15">
        <f>IFERROR(__xludf.DUMMYFUNCTION("""COMPUTED_VALUE"""),1.014)</f>
        <v>1.014</v>
      </c>
      <c r="E5553" s="16">
        <f>IFERROR(__xludf.DUMMYFUNCTION("""COMPUTED_VALUE"""),62.0)</f>
        <v>62</v>
      </c>
      <c r="F5553" s="19" t="str">
        <f>IFERROR(__xludf.DUMMYFUNCTION("""COMPUTED_VALUE"""),"BLUE")</f>
        <v>BLUE</v>
      </c>
      <c r="G5553" s="20" t="str">
        <f>IFERROR(__xludf.DUMMYFUNCTION("""COMPUTED_VALUE"""),"Uncle Sams Cider (11/12/2021) (Blue)")</f>
        <v>Uncle Sams Cider (11/12/2021) (Blue)</v>
      </c>
      <c r="H5553" s="19"/>
    </row>
    <row r="5554">
      <c r="A5554" s="9"/>
      <c r="B5554" s="15"/>
      <c r="C5554" s="9">
        <f>IFERROR(__xludf.DUMMYFUNCTION("""COMPUTED_VALUE"""),44547.3145970138)</f>
        <v>44547.3146</v>
      </c>
      <c r="D5554" s="15">
        <f>IFERROR(__xludf.DUMMYFUNCTION("""COMPUTED_VALUE"""),1.014)</f>
        <v>1.014</v>
      </c>
      <c r="E5554" s="16">
        <f>IFERROR(__xludf.DUMMYFUNCTION("""COMPUTED_VALUE"""),62.0)</f>
        <v>62</v>
      </c>
      <c r="F5554" s="19" t="str">
        <f>IFERROR(__xludf.DUMMYFUNCTION("""COMPUTED_VALUE"""),"BLUE")</f>
        <v>BLUE</v>
      </c>
      <c r="G5554" s="20" t="str">
        <f>IFERROR(__xludf.DUMMYFUNCTION("""COMPUTED_VALUE"""),"Uncle Sams Cider (11/12/2021) (Blue)")</f>
        <v>Uncle Sams Cider (11/12/2021) (Blue)</v>
      </c>
      <c r="H5554" s="19"/>
    </row>
    <row r="5555">
      <c r="A5555" s="9"/>
      <c r="B5555" s="15"/>
      <c r="C5555" s="9">
        <f>IFERROR(__xludf.DUMMYFUNCTION("""COMPUTED_VALUE"""),44547.3041751736)</f>
        <v>44547.30418</v>
      </c>
      <c r="D5555" s="15">
        <f>IFERROR(__xludf.DUMMYFUNCTION("""COMPUTED_VALUE"""),1.014)</f>
        <v>1.014</v>
      </c>
      <c r="E5555" s="16">
        <f>IFERROR(__xludf.DUMMYFUNCTION("""COMPUTED_VALUE"""),62.0)</f>
        <v>62</v>
      </c>
      <c r="F5555" s="19" t="str">
        <f>IFERROR(__xludf.DUMMYFUNCTION("""COMPUTED_VALUE"""),"BLUE")</f>
        <v>BLUE</v>
      </c>
      <c r="G5555" s="20" t="str">
        <f>IFERROR(__xludf.DUMMYFUNCTION("""COMPUTED_VALUE"""),"Uncle Sams Cider (11/12/2021) (Blue)")</f>
        <v>Uncle Sams Cider (11/12/2021) (Blue)</v>
      </c>
      <c r="H5555" s="19"/>
    </row>
    <row r="5556">
      <c r="A5556" s="9"/>
      <c r="B5556" s="15"/>
      <c r="C5556" s="9">
        <f>IFERROR(__xludf.DUMMYFUNCTION("""COMPUTED_VALUE"""),44547.2937537152)</f>
        <v>44547.29375</v>
      </c>
      <c r="D5556" s="15">
        <f>IFERROR(__xludf.DUMMYFUNCTION("""COMPUTED_VALUE"""),1.014)</f>
        <v>1.014</v>
      </c>
      <c r="E5556" s="16">
        <f>IFERROR(__xludf.DUMMYFUNCTION("""COMPUTED_VALUE"""),62.0)</f>
        <v>62</v>
      </c>
      <c r="F5556" s="19" t="str">
        <f>IFERROR(__xludf.DUMMYFUNCTION("""COMPUTED_VALUE"""),"BLUE")</f>
        <v>BLUE</v>
      </c>
      <c r="G5556" s="20" t="str">
        <f>IFERROR(__xludf.DUMMYFUNCTION("""COMPUTED_VALUE"""),"Uncle Sams Cider (11/12/2021) (Blue)")</f>
        <v>Uncle Sams Cider (11/12/2021) (Blue)</v>
      </c>
      <c r="H5556" s="19"/>
    </row>
    <row r="5557">
      <c r="A5557" s="9"/>
      <c r="B5557" s="15"/>
      <c r="C5557" s="9">
        <f>IFERROR(__xludf.DUMMYFUNCTION("""COMPUTED_VALUE"""),44547.2833323958)</f>
        <v>44547.28333</v>
      </c>
      <c r="D5557" s="15">
        <f>IFERROR(__xludf.DUMMYFUNCTION("""COMPUTED_VALUE"""),1.014)</f>
        <v>1.014</v>
      </c>
      <c r="E5557" s="16">
        <f>IFERROR(__xludf.DUMMYFUNCTION("""COMPUTED_VALUE"""),62.0)</f>
        <v>62</v>
      </c>
      <c r="F5557" s="19" t="str">
        <f>IFERROR(__xludf.DUMMYFUNCTION("""COMPUTED_VALUE"""),"BLUE")</f>
        <v>BLUE</v>
      </c>
      <c r="G5557" s="20" t="str">
        <f>IFERROR(__xludf.DUMMYFUNCTION("""COMPUTED_VALUE"""),"Uncle Sams Cider (11/12/2021) (Blue)")</f>
        <v>Uncle Sams Cider (11/12/2021) (Blue)</v>
      </c>
      <c r="H5557" s="19"/>
    </row>
    <row r="5558">
      <c r="A5558" s="9"/>
      <c r="B5558" s="15"/>
      <c r="C5558" s="9">
        <f>IFERROR(__xludf.DUMMYFUNCTION("""COMPUTED_VALUE"""),44547.2729139351)</f>
        <v>44547.27291</v>
      </c>
      <c r="D5558" s="15">
        <f>IFERROR(__xludf.DUMMYFUNCTION("""COMPUTED_VALUE"""),1.014)</f>
        <v>1.014</v>
      </c>
      <c r="E5558" s="16">
        <f>IFERROR(__xludf.DUMMYFUNCTION("""COMPUTED_VALUE"""),62.0)</f>
        <v>62</v>
      </c>
      <c r="F5558" s="19" t="str">
        <f>IFERROR(__xludf.DUMMYFUNCTION("""COMPUTED_VALUE"""),"BLUE")</f>
        <v>BLUE</v>
      </c>
      <c r="G5558" s="20" t="str">
        <f>IFERROR(__xludf.DUMMYFUNCTION("""COMPUTED_VALUE"""),"Uncle Sams Cider (11/12/2021) (Blue)")</f>
        <v>Uncle Sams Cider (11/12/2021) (Blue)</v>
      </c>
      <c r="H5558" s="19"/>
    </row>
    <row r="5559">
      <c r="A5559" s="9"/>
      <c r="B5559" s="15"/>
      <c r="C5559" s="9">
        <f>IFERROR(__xludf.DUMMYFUNCTION("""COMPUTED_VALUE"""),44547.2624936805)</f>
        <v>44547.26249</v>
      </c>
      <c r="D5559" s="15">
        <f>IFERROR(__xludf.DUMMYFUNCTION("""COMPUTED_VALUE"""),1.014)</f>
        <v>1.014</v>
      </c>
      <c r="E5559" s="16">
        <f>IFERROR(__xludf.DUMMYFUNCTION("""COMPUTED_VALUE"""),62.0)</f>
        <v>62</v>
      </c>
      <c r="F5559" s="19" t="str">
        <f>IFERROR(__xludf.DUMMYFUNCTION("""COMPUTED_VALUE"""),"BLUE")</f>
        <v>BLUE</v>
      </c>
      <c r="G5559" s="20" t="str">
        <f>IFERROR(__xludf.DUMMYFUNCTION("""COMPUTED_VALUE"""),"Uncle Sams Cider (11/12/2021) (Blue)")</f>
        <v>Uncle Sams Cider (11/12/2021) (Blue)</v>
      </c>
      <c r="H5559" s="19"/>
    </row>
    <row r="5560">
      <c r="A5560" s="9"/>
      <c r="B5560" s="15"/>
      <c r="C5560" s="9">
        <f>IFERROR(__xludf.DUMMYFUNCTION("""COMPUTED_VALUE"""),44547.2520722222)</f>
        <v>44547.25207</v>
      </c>
      <c r="D5560" s="15">
        <f>IFERROR(__xludf.DUMMYFUNCTION("""COMPUTED_VALUE"""),1.014)</f>
        <v>1.014</v>
      </c>
      <c r="E5560" s="16">
        <f>IFERROR(__xludf.DUMMYFUNCTION("""COMPUTED_VALUE"""),62.0)</f>
        <v>62</v>
      </c>
      <c r="F5560" s="19" t="str">
        <f>IFERROR(__xludf.DUMMYFUNCTION("""COMPUTED_VALUE"""),"BLUE")</f>
        <v>BLUE</v>
      </c>
      <c r="G5560" s="20" t="str">
        <f>IFERROR(__xludf.DUMMYFUNCTION("""COMPUTED_VALUE"""),"Uncle Sams Cider (11/12/2021) (Blue)")</f>
        <v>Uncle Sams Cider (11/12/2021) (Blue)</v>
      </c>
      <c r="H5560" s="19"/>
    </row>
    <row r="5561">
      <c r="A5561" s="9"/>
      <c r="B5561" s="15"/>
      <c r="C5561" s="9">
        <f>IFERROR(__xludf.DUMMYFUNCTION("""COMPUTED_VALUE"""),44547.2416530439)</f>
        <v>44547.24165</v>
      </c>
      <c r="D5561" s="15">
        <f>IFERROR(__xludf.DUMMYFUNCTION("""COMPUTED_VALUE"""),1.014)</f>
        <v>1.014</v>
      </c>
      <c r="E5561" s="16">
        <f>IFERROR(__xludf.DUMMYFUNCTION("""COMPUTED_VALUE"""),62.0)</f>
        <v>62</v>
      </c>
      <c r="F5561" s="19" t="str">
        <f>IFERROR(__xludf.DUMMYFUNCTION("""COMPUTED_VALUE"""),"BLUE")</f>
        <v>BLUE</v>
      </c>
      <c r="G5561" s="20" t="str">
        <f>IFERROR(__xludf.DUMMYFUNCTION("""COMPUTED_VALUE"""),"Uncle Sams Cider (11/12/2021) (Blue)")</f>
        <v>Uncle Sams Cider (11/12/2021) (Blue)</v>
      </c>
      <c r="H5561" s="19"/>
    </row>
    <row r="5562">
      <c r="A5562" s="9"/>
      <c r="B5562" s="15"/>
      <c r="C5562" s="9">
        <f>IFERROR(__xludf.DUMMYFUNCTION("""COMPUTED_VALUE"""),44547.2312196759)</f>
        <v>44547.23122</v>
      </c>
      <c r="D5562" s="15">
        <f>IFERROR(__xludf.DUMMYFUNCTION("""COMPUTED_VALUE"""),1.014)</f>
        <v>1.014</v>
      </c>
      <c r="E5562" s="16">
        <f>IFERROR(__xludf.DUMMYFUNCTION("""COMPUTED_VALUE"""),62.0)</f>
        <v>62</v>
      </c>
      <c r="F5562" s="19" t="str">
        <f>IFERROR(__xludf.DUMMYFUNCTION("""COMPUTED_VALUE"""),"BLUE")</f>
        <v>BLUE</v>
      </c>
      <c r="G5562" s="20" t="str">
        <f>IFERROR(__xludf.DUMMYFUNCTION("""COMPUTED_VALUE"""),"Uncle Sams Cider (11/12/2021) (Blue)")</f>
        <v>Uncle Sams Cider (11/12/2021) (Blue)</v>
      </c>
      <c r="H5562" s="19"/>
    </row>
    <row r="5563">
      <c r="A5563" s="9"/>
      <c r="B5563" s="15"/>
      <c r="C5563" s="9">
        <f>IFERROR(__xludf.DUMMYFUNCTION("""COMPUTED_VALUE"""),44547.220796655)</f>
        <v>44547.2208</v>
      </c>
      <c r="D5563" s="15">
        <f>IFERROR(__xludf.DUMMYFUNCTION("""COMPUTED_VALUE"""),1.015)</f>
        <v>1.015</v>
      </c>
      <c r="E5563" s="16">
        <f>IFERROR(__xludf.DUMMYFUNCTION("""COMPUTED_VALUE"""),62.0)</f>
        <v>62</v>
      </c>
      <c r="F5563" s="19" t="str">
        <f>IFERROR(__xludf.DUMMYFUNCTION("""COMPUTED_VALUE"""),"BLUE")</f>
        <v>BLUE</v>
      </c>
      <c r="G5563" s="20" t="str">
        <f>IFERROR(__xludf.DUMMYFUNCTION("""COMPUTED_VALUE"""),"Uncle Sams Cider (11/12/2021) (Blue)")</f>
        <v>Uncle Sams Cider (11/12/2021) (Blue)</v>
      </c>
      <c r="H5563" s="19"/>
    </row>
    <row r="5564">
      <c r="A5564" s="9"/>
      <c r="B5564" s="15"/>
      <c r="C5564" s="9">
        <f>IFERROR(__xludf.DUMMYFUNCTION("""COMPUTED_VALUE"""),44547.2103748263)</f>
        <v>44547.21037</v>
      </c>
      <c r="D5564" s="15">
        <f>IFERROR(__xludf.DUMMYFUNCTION("""COMPUTED_VALUE"""),1.014)</f>
        <v>1.014</v>
      </c>
      <c r="E5564" s="16">
        <f>IFERROR(__xludf.DUMMYFUNCTION("""COMPUTED_VALUE"""),62.0)</f>
        <v>62</v>
      </c>
      <c r="F5564" s="19" t="str">
        <f>IFERROR(__xludf.DUMMYFUNCTION("""COMPUTED_VALUE"""),"BLUE")</f>
        <v>BLUE</v>
      </c>
      <c r="G5564" s="20" t="str">
        <f>IFERROR(__xludf.DUMMYFUNCTION("""COMPUTED_VALUE"""),"Uncle Sams Cider (11/12/2021) (Blue)")</f>
        <v>Uncle Sams Cider (11/12/2021) (Blue)</v>
      </c>
      <c r="H5564" s="19"/>
    </row>
    <row r="5565">
      <c r="A5565" s="9"/>
      <c r="B5565" s="15"/>
      <c r="C5565" s="9">
        <f>IFERROR(__xludf.DUMMYFUNCTION("""COMPUTED_VALUE"""),44547.1999539004)</f>
        <v>44547.19995</v>
      </c>
      <c r="D5565" s="15">
        <f>IFERROR(__xludf.DUMMYFUNCTION("""COMPUTED_VALUE"""),1.014)</f>
        <v>1.014</v>
      </c>
      <c r="E5565" s="16">
        <f>IFERROR(__xludf.DUMMYFUNCTION("""COMPUTED_VALUE"""),62.0)</f>
        <v>62</v>
      </c>
      <c r="F5565" s="19" t="str">
        <f>IFERROR(__xludf.DUMMYFUNCTION("""COMPUTED_VALUE"""),"BLUE")</f>
        <v>BLUE</v>
      </c>
      <c r="G5565" s="20" t="str">
        <f>IFERROR(__xludf.DUMMYFUNCTION("""COMPUTED_VALUE"""),"Uncle Sams Cider (11/12/2021) (Blue)")</f>
        <v>Uncle Sams Cider (11/12/2021) (Blue)</v>
      </c>
      <c r="H5565" s="19"/>
    </row>
    <row r="5566">
      <c r="A5566" s="9"/>
      <c r="B5566" s="15"/>
      <c r="C5566" s="9">
        <f>IFERROR(__xludf.DUMMYFUNCTION("""COMPUTED_VALUE"""),44547.189534155)</f>
        <v>44547.18953</v>
      </c>
      <c r="D5566" s="15">
        <f>IFERROR(__xludf.DUMMYFUNCTION("""COMPUTED_VALUE"""),1.014)</f>
        <v>1.014</v>
      </c>
      <c r="E5566" s="16">
        <f>IFERROR(__xludf.DUMMYFUNCTION("""COMPUTED_VALUE"""),62.0)</f>
        <v>62</v>
      </c>
      <c r="F5566" s="19" t="str">
        <f>IFERROR(__xludf.DUMMYFUNCTION("""COMPUTED_VALUE"""),"BLUE")</f>
        <v>BLUE</v>
      </c>
      <c r="G5566" s="20" t="str">
        <f>IFERROR(__xludf.DUMMYFUNCTION("""COMPUTED_VALUE"""),"Uncle Sams Cider (11/12/2021) (Blue)")</f>
        <v>Uncle Sams Cider (11/12/2021) (Blue)</v>
      </c>
      <c r="H5566" s="19"/>
    </row>
    <row r="5567">
      <c r="A5567" s="9"/>
      <c r="B5567" s="15"/>
      <c r="C5567" s="9">
        <f>IFERROR(__xludf.DUMMYFUNCTION("""COMPUTED_VALUE"""),44547.1791123958)</f>
        <v>44547.17911</v>
      </c>
      <c r="D5567" s="15">
        <f>IFERROR(__xludf.DUMMYFUNCTION("""COMPUTED_VALUE"""),1.014)</f>
        <v>1.014</v>
      </c>
      <c r="E5567" s="16">
        <f>IFERROR(__xludf.DUMMYFUNCTION("""COMPUTED_VALUE"""),62.0)</f>
        <v>62</v>
      </c>
      <c r="F5567" s="19" t="str">
        <f>IFERROR(__xludf.DUMMYFUNCTION("""COMPUTED_VALUE"""),"BLUE")</f>
        <v>BLUE</v>
      </c>
      <c r="G5567" s="20" t="str">
        <f>IFERROR(__xludf.DUMMYFUNCTION("""COMPUTED_VALUE"""),"Uncle Sams Cider (11/12/2021) (Blue)")</f>
        <v>Uncle Sams Cider (11/12/2021) (Blue)</v>
      </c>
      <c r="H5567" s="19"/>
    </row>
    <row r="5568">
      <c r="A5568" s="9"/>
      <c r="B5568" s="15"/>
      <c r="C5568" s="9">
        <f>IFERROR(__xludf.DUMMYFUNCTION("""COMPUTED_VALUE"""),44547.1686775694)</f>
        <v>44547.16868</v>
      </c>
      <c r="D5568" s="15">
        <f>IFERROR(__xludf.DUMMYFUNCTION("""COMPUTED_VALUE"""),1.014)</f>
        <v>1.014</v>
      </c>
      <c r="E5568" s="16">
        <f>IFERROR(__xludf.DUMMYFUNCTION("""COMPUTED_VALUE"""),62.0)</f>
        <v>62</v>
      </c>
      <c r="F5568" s="19" t="str">
        <f>IFERROR(__xludf.DUMMYFUNCTION("""COMPUTED_VALUE"""),"BLUE")</f>
        <v>BLUE</v>
      </c>
      <c r="G5568" s="20" t="str">
        <f>IFERROR(__xludf.DUMMYFUNCTION("""COMPUTED_VALUE"""),"Uncle Sams Cider (11/12/2021) (Blue)")</f>
        <v>Uncle Sams Cider (11/12/2021) (Blue)</v>
      </c>
      <c r="H5568" s="19"/>
    </row>
    <row r="5569">
      <c r="A5569" s="9"/>
      <c r="B5569" s="15"/>
      <c r="C5569" s="9">
        <f>IFERROR(__xludf.DUMMYFUNCTION("""COMPUTED_VALUE"""),44547.1582329513)</f>
        <v>44547.15823</v>
      </c>
      <c r="D5569" s="15">
        <f>IFERROR(__xludf.DUMMYFUNCTION("""COMPUTED_VALUE"""),1.014)</f>
        <v>1.014</v>
      </c>
      <c r="E5569" s="16">
        <f>IFERROR(__xludf.DUMMYFUNCTION("""COMPUTED_VALUE"""),62.0)</f>
        <v>62</v>
      </c>
      <c r="F5569" s="19" t="str">
        <f>IFERROR(__xludf.DUMMYFUNCTION("""COMPUTED_VALUE"""),"BLUE")</f>
        <v>BLUE</v>
      </c>
      <c r="G5569" s="20" t="str">
        <f>IFERROR(__xludf.DUMMYFUNCTION("""COMPUTED_VALUE"""),"Uncle Sams Cider (11/12/2021) (Blue)")</f>
        <v>Uncle Sams Cider (11/12/2021) (Blue)</v>
      </c>
      <c r="H5569" s="19"/>
    </row>
    <row r="5570">
      <c r="A5570" s="9"/>
      <c r="B5570" s="15"/>
      <c r="C5570" s="9">
        <f>IFERROR(__xludf.DUMMYFUNCTION("""COMPUTED_VALUE"""),44547.1478131134)</f>
        <v>44547.14781</v>
      </c>
      <c r="D5570" s="15">
        <f>IFERROR(__xludf.DUMMYFUNCTION("""COMPUTED_VALUE"""),1.014)</f>
        <v>1.014</v>
      </c>
      <c r="E5570" s="16">
        <f>IFERROR(__xludf.DUMMYFUNCTION("""COMPUTED_VALUE"""),62.0)</f>
        <v>62</v>
      </c>
      <c r="F5570" s="19" t="str">
        <f>IFERROR(__xludf.DUMMYFUNCTION("""COMPUTED_VALUE"""),"BLUE")</f>
        <v>BLUE</v>
      </c>
      <c r="G5570" s="20" t="str">
        <f>IFERROR(__xludf.DUMMYFUNCTION("""COMPUTED_VALUE"""),"Uncle Sams Cider (11/12/2021) (Blue)")</f>
        <v>Uncle Sams Cider (11/12/2021) (Blue)</v>
      </c>
      <c r="H5570" s="19"/>
    </row>
    <row r="5571">
      <c r="A5571" s="9"/>
      <c r="B5571" s="15"/>
      <c r="C5571" s="9">
        <f>IFERROR(__xludf.DUMMYFUNCTION("""COMPUTED_VALUE"""),44547.13739125)</f>
        <v>44547.13739</v>
      </c>
      <c r="D5571" s="15">
        <f>IFERROR(__xludf.DUMMYFUNCTION("""COMPUTED_VALUE"""),1.015)</f>
        <v>1.015</v>
      </c>
      <c r="E5571" s="16">
        <f>IFERROR(__xludf.DUMMYFUNCTION("""COMPUTED_VALUE"""),62.0)</f>
        <v>62</v>
      </c>
      <c r="F5571" s="19" t="str">
        <f>IFERROR(__xludf.DUMMYFUNCTION("""COMPUTED_VALUE"""),"BLUE")</f>
        <v>BLUE</v>
      </c>
      <c r="G5571" s="20" t="str">
        <f>IFERROR(__xludf.DUMMYFUNCTION("""COMPUTED_VALUE"""),"Uncle Sams Cider (11/12/2021) (Blue)")</f>
        <v>Uncle Sams Cider (11/12/2021) (Blue)</v>
      </c>
      <c r="H5571" s="19"/>
    </row>
    <row r="5572">
      <c r="A5572" s="9"/>
      <c r="B5572" s="15"/>
      <c r="C5572" s="9">
        <f>IFERROR(__xludf.DUMMYFUNCTION("""COMPUTED_VALUE"""),44547.1269698611)</f>
        <v>44547.12697</v>
      </c>
      <c r="D5572" s="15">
        <f>IFERROR(__xludf.DUMMYFUNCTION("""COMPUTED_VALUE"""),1.015)</f>
        <v>1.015</v>
      </c>
      <c r="E5572" s="16">
        <f>IFERROR(__xludf.DUMMYFUNCTION("""COMPUTED_VALUE"""),62.0)</f>
        <v>62</v>
      </c>
      <c r="F5572" s="19" t="str">
        <f>IFERROR(__xludf.DUMMYFUNCTION("""COMPUTED_VALUE"""),"BLUE")</f>
        <v>BLUE</v>
      </c>
      <c r="G5572" s="20" t="str">
        <f>IFERROR(__xludf.DUMMYFUNCTION("""COMPUTED_VALUE"""),"Uncle Sams Cider (11/12/2021) (Blue)")</f>
        <v>Uncle Sams Cider (11/12/2021) (Blue)</v>
      </c>
      <c r="H5572" s="19"/>
    </row>
    <row r="5573">
      <c r="A5573" s="9"/>
      <c r="B5573" s="15"/>
      <c r="C5573" s="9">
        <f>IFERROR(__xludf.DUMMYFUNCTION("""COMPUTED_VALUE"""),44547.11654853)</f>
        <v>44547.11655</v>
      </c>
      <c r="D5573" s="15">
        <f>IFERROR(__xludf.DUMMYFUNCTION("""COMPUTED_VALUE"""),1.014)</f>
        <v>1.014</v>
      </c>
      <c r="E5573" s="16">
        <f>IFERROR(__xludf.DUMMYFUNCTION("""COMPUTED_VALUE"""),62.0)</f>
        <v>62</v>
      </c>
      <c r="F5573" s="19" t="str">
        <f>IFERROR(__xludf.DUMMYFUNCTION("""COMPUTED_VALUE"""),"BLUE")</f>
        <v>BLUE</v>
      </c>
      <c r="G5573" s="20" t="str">
        <f>IFERROR(__xludf.DUMMYFUNCTION("""COMPUTED_VALUE"""),"Uncle Sams Cider (11/12/2021) (Blue)")</f>
        <v>Uncle Sams Cider (11/12/2021) (Blue)</v>
      </c>
      <c r="H5573" s="19"/>
    </row>
    <row r="5574">
      <c r="A5574" s="9"/>
      <c r="B5574" s="15"/>
      <c r="C5574" s="9">
        <f>IFERROR(__xludf.DUMMYFUNCTION("""COMPUTED_VALUE"""),44547.1061276851)</f>
        <v>44547.10613</v>
      </c>
      <c r="D5574" s="15">
        <f>IFERROR(__xludf.DUMMYFUNCTION("""COMPUTED_VALUE"""),1.014)</f>
        <v>1.014</v>
      </c>
      <c r="E5574" s="16">
        <f>IFERROR(__xludf.DUMMYFUNCTION("""COMPUTED_VALUE"""),62.0)</f>
        <v>62</v>
      </c>
      <c r="F5574" s="19" t="str">
        <f>IFERROR(__xludf.DUMMYFUNCTION("""COMPUTED_VALUE"""),"BLUE")</f>
        <v>BLUE</v>
      </c>
      <c r="G5574" s="20" t="str">
        <f>IFERROR(__xludf.DUMMYFUNCTION("""COMPUTED_VALUE"""),"Uncle Sams Cider (11/12/2021) (Blue)")</f>
        <v>Uncle Sams Cider (11/12/2021) (Blue)</v>
      </c>
      <c r="H5574" s="19"/>
    </row>
    <row r="5575">
      <c r="A5575" s="9"/>
      <c r="B5575" s="15"/>
      <c r="C5575" s="9">
        <f>IFERROR(__xludf.DUMMYFUNCTION("""COMPUTED_VALUE"""),44547.0957051041)</f>
        <v>44547.09571</v>
      </c>
      <c r="D5575" s="15">
        <f>IFERROR(__xludf.DUMMYFUNCTION("""COMPUTED_VALUE"""),1.014)</f>
        <v>1.014</v>
      </c>
      <c r="E5575" s="16">
        <f>IFERROR(__xludf.DUMMYFUNCTION("""COMPUTED_VALUE"""),62.0)</f>
        <v>62</v>
      </c>
      <c r="F5575" s="19" t="str">
        <f>IFERROR(__xludf.DUMMYFUNCTION("""COMPUTED_VALUE"""),"BLUE")</f>
        <v>BLUE</v>
      </c>
      <c r="G5575" s="20" t="str">
        <f>IFERROR(__xludf.DUMMYFUNCTION("""COMPUTED_VALUE"""),"Uncle Sams Cider (11/12/2021) (Blue)")</f>
        <v>Uncle Sams Cider (11/12/2021) (Blue)</v>
      </c>
      <c r="H5575" s="19"/>
    </row>
    <row r="5576">
      <c r="A5576" s="9"/>
      <c r="B5576" s="15"/>
      <c r="C5576" s="9">
        <f>IFERROR(__xludf.DUMMYFUNCTION("""COMPUTED_VALUE"""),44547.0852834027)</f>
        <v>44547.08528</v>
      </c>
      <c r="D5576" s="15">
        <f>IFERROR(__xludf.DUMMYFUNCTION("""COMPUTED_VALUE"""),1.015)</f>
        <v>1.015</v>
      </c>
      <c r="E5576" s="16">
        <f>IFERROR(__xludf.DUMMYFUNCTION("""COMPUTED_VALUE"""),62.0)</f>
        <v>62</v>
      </c>
      <c r="F5576" s="19" t="str">
        <f>IFERROR(__xludf.DUMMYFUNCTION("""COMPUTED_VALUE"""),"BLUE")</f>
        <v>BLUE</v>
      </c>
      <c r="G5576" s="20" t="str">
        <f>IFERROR(__xludf.DUMMYFUNCTION("""COMPUTED_VALUE"""),"Uncle Sams Cider (11/12/2021) (Blue)")</f>
        <v>Uncle Sams Cider (11/12/2021) (Blue)</v>
      </c>
      <c r="H5576" s="19"/>
    </row>
    <row r="5577">
      <c r="A5577" s="9"/>
      <c r="B5577" s="15"/>
      <c r="C5577" s="9">
        <f>IFERROR(__xludf.DUMMYFUNCTION("""COMPUTED_VALUE"""),44547.0748503356)</f>
        <v>44547.07485</v>
      </c>
      <c r="D5577" s="15">
        <f>IFERROR(__xludf.DUMMYFUNCTION("""COMPUTED_VALUE"""),1.015)</f>
        <v>1.015</v>
      </c>
      <c r="E5577" s="16">
        <f>IFERROR(__xludf.DUMMYFUNCTION("""COMPUTED_VALUE"""),62.0)</f>
        <v>62</v>
      </c>
      <c r="F5577" s="19" t="str">
        <f>IFERROR(__xludf.DUMMYFUNCTION("""COMPUTED_VALUE"""),"BLUE")</f>
        <v>BLUE</v>
      </c>
      <c r="G5577" s="20" t="str">
        <f>IFERROR(__xludf.DUMMYFUNCTION("""COMPUTED_VALUE"""),"Uncle Sams Cider (11/12/2021) (Blue)")</f>
        <v>Uncle Sams Cider (11/12/2021) (Blue)</v>
      </c>
      <c r="H5577" s="19"/>
    </row>
    <row r="5578">
      <c r="A5578" s="9"/>
      <c r="B5578" s="15"/>
      <c r="C5578" s="9">
        <f>IFERROR(__xludf.DUMMYFUNCTION("""COMPUTED_VALUE"""),44547.0644285416)</f>
        <v>44547.06443</v>
      </c>
      <c r="D5578" s="15">
        <f>IFERROR(__xludf.DUMMYFUNCTION("""COMPUTED_VALUE"""),1.014)</f>
        <v>1.014</v>
      </c>
      <c r="E5578" s="16">
        <f>IFERROR(__xludf.DUMMYFUNCTION("""COMPUTED_VALUE"""),62.0)</f>
        <v>62</v>
      </c>
      <c r="F5578" s="19" t="str">
        <f>IFERROR(__xludf.DUMMYFUNCTION("""COMPUTED_VALUE"""),"BLUE")</f>
        <v>BLUE</v>
      </c>
      <c r="G5578" s="20" t="str">
        <f>IFERROR(__xludf.DUMMYFUNCTION("""COMPUTED_VALUE"""),"Uncle Sams Cider (11/12/2021) (Blue)")</f>
        <v>Uncle Sams Cider (11/12/2021) (Blue)</v>
      </c>
      <c r="H5578" s="19"/>
    </row>
    <row r="5579">
      <c r="A5579" s="9"/>
      <c r="B5579" s="15"/>
      <c r="C5579" s="9">
        <f>IFERROR(__xludf.DUMMYFUNCTION("""COMPUTED_VALUE"""),44547.0540093287)</f>
        <v>44547.05401</v>
      </c>
      <c r="D5579" s="15">
        <f>IFERROR(__xludf.DUMMYFUNCTION("""COMPUTED_VALUE"""),1.015)</f>
        <v>1.015</v>
      </c>
      <c r="E5579" s="16">
        <f>IFERROR(__xludf.DUMMYFUNCTION("""COMPUTED_VALUE"""),62.0)</f>
        <v>62</v>
      </c>
      <c r="F5579" s="19" t="str">
        <f>IFERROR(__xludf.DUMMYFUNCTION("""COMPUTED_VALUE"""),"BLUE")</f>
        <v>BLUE</v>
      </c>
      <c r="G5579" s="20" t="str">
        <f>IFERROR(__xludf.DUMMYFUNCTION("""COMPUTED_VALUE"""),"Uncle Sams Cider (11/12/2021) (Blue)")</f>
        <v>Uncle Sams Cider (11/12/2021) (Blue)</v>
      </c>
      <c r="H5579" s="19"/>
    </row>
    <row r="5580">
      <c r="A5580" s="9"/>
      <c r="B5580" s="15"/>
      <c r="C5580" s="9">
        <f>IFERROR(__xludf.DUMMYFUNCTION("""COMPUTED_VALUE"""),44547.0435878009)</f>
        <v>44547.04359</v>
      </c>
      <c r="D5580" s="15">
        <f>IFERROR(__xludf.DUMMYFUNCTION("""COMPUTED_VALUE"""),1.015)</f>
        <v>1.015</v>
      </c>
      <c r="E5580" s="16">
        <f>IFERROR(__xludf.DUMMYFUNCTION("""COMPUTED_VALUE"""),62.0)</f>
        <v>62</v>
      </c>
      <c r="F5580" s="19" t="str">
        <f>IFERROR(__xludf.DUMMYFUNCTION("""COMPUTED_VALUE"""),"BLUE")</f>
        <v>BLUE</v>
      </c>
      <c r="G5580" s="20" t="str">
        <f>IFERROR(__xludf.DUMMYFUNCTION("""COMPUTED_VALUE"""),"Uncle Sams Cider (11/12/2021) (Blue)")</f>
        <v>Uncle Sams Cider (11/12/2021) (Blue)</v>
      </c>
      <c r="H5580" s="19"/>
    </row>
    <row r="5581">
      <c r="A5581" s="9"/>
      <c r="B5581" s="15"/>
      <c r="C5581" s="9">
        <f>IFERROR(__xludf.DUMMYFUNCTION("""COMPUTED_VALUE"""),44547.0331675347)</f>
        <v>44547.03317</v>
      </c>
      <c r="D5581" s="15">
        <f>IFERROR(__xludf.DUMMYFUNCTION("""COMPUTED_VALUE"""),1.014)</f>
        <v>1.014</v>
      </c>
      <c r="E5581" s="16">
        <f>IFERROR(__xludf.DUMMYFUNCTION("""COMPUTED_VALUE"""),62.0)</f>
        <v>62</v>
      </c>
      <c r="F5581" s="19" t="str">
        <f>IFERROR(__xludf.DUMMYFUNCTION("""COMPUTED_VALUE"""),"BLUE")</f>
        <v>BLUE</v>
      </c>
      <c r="G5581" s="20" t="str">
        <f>IFERROR(__xludf.DUMMYFUNCTION("""COMPUTED_VALUE"""),"Uncle Sams Cider (11/12/2021) (Blue)")</f>
        <v>Uncle Sams Cider (11/12/2021) (Blue)</v>
      </c>
      <c r="H5581" s="19"/>
    </row>
    <row r="5582">
      <c r="A5582" s="9"/>
      <c r="B5582" s="15"/>
      <c r="C5582" s="9">
        <f>IFERROR(__xludf.DUMMYFUNCTION("""COMPUTED_VALUE"""),44547.0227467476)</f>
        <v>44547.02275</v>
      </c>
      <c r="D5582" s="15">
        <f>IFERROR(__xludf.DUMMYFUNCTION("""COMPUTED_VALUE"""),1.015)</f>
        <v>1.015</v>
      </c>
      <c r="E5582" s="16">
        <f>IFERROR(__xludf.DUMMYFUNCTION("""COMPUTED_VALUE"""),62.0)</f>
        <v>62</v>
      </c>
      <c r="F5582" s="19" t="str">
        <f>IFERROR(__xludf.DUMMYFUNCTION("""COMPUTED_VALUE"""),"BLUE")</f>
        <v>BLUE</v>
      </c>
      <c r="G5582" s="20" t="str">
        <f>IFERROR(__xludf.DUMMYFUNCTION("""COMPUTED_VALUE"""),"Uncle Sams Cider (11/12/2021) (Blue)")</f>
        <v>Uncle Sams Cider (11/12/2021) (Blue)</v>
      </c>
      <c r="H5582" s="19"/>
    </row>
    <row r="5583">
      <c r="A5583" s="9"/>
      <c r="B5583" s="15"/>
      <c r="C5583" s="9">
        <f>IFERROR(__xludf.DUMMYFUNCTION("""COMPUTED_VALUE"""),44547.0123256365)</f>
        <v>44547.01233</v>
      </c>
      <c r="D5583" s="15">
        <f>IFERROR(__xludf.DUMMYFUNCTION("""COMPUTED_VALUE"""),1.015)</f>
        <v>1.015</v>
      </c>
      <c r="E5583" s="16">
        <f>IFERROR(__xludf.DUMMYFUNCTION("""COMPUTED_VALUE"""),62.0)</f>
        <v>62</v>
      </c>
      <c r="F5583" s="19" t="str">
        <f>IFERROR(__xludf.DUMMYFUNCTION("""COMPUTED_VALUE"""),"BLUE")</f>
        <v>BLUE</v>
      </c>
      <c r="G5583" s="20" t="str">
        <f>IFERROR(__xludf.DUMMYFUNCTION("""COMPUTED_VALUE"""),"Uncle Sams Cider (11/12/2021) (Blue)")</f>
        <v>Uncle Sams Cider (11/12/2021) (Blue)</v>
      </c>
      <c r="H5583" s="19"/>
    </row>
    <row r="5584">
      <c r="A5584" s="9"/>
      <c r="B5584" s="15"/>
      <c r="C5584" s="9">
        <f>IFERROR(__xludf.DUMMYFUNCTION("""COMPUTED_VALUE"""),44547.001905)</f>
        <v>44547.00191</v>
      </c>
      <c r="D5584" s="15">
        <f>IFERROR(__xludf.DUMMYFUNCTION("""COMPUTED_VALUE"""),1.014)</f>
        <v>1.014</v>
      </c>
      <c r="E5584" s="16">
        <f>IFERROR(__xludf.DUMMYFUNCTION("""COMPUTED_VALUE"""),62.0)</f>
        <v>62</v>
      </c>
      <c r="F5584" s="19" t="str">
        <f>IFERROR(__xludf.DUMMYFUNCTION("""COMPUTED_VALUE"""),"BLUE")</f>
        <v>BLUE</v>
      </c>
      <c r="G5584" s="20" t="str">
        <f>IFERROR(__xludf.DUMMYFUNCTION("""COMPUTED_VALUE"""),"Uncle Sams Cider (11/12/2021) (Blue)")</f>
        <v>Uncle Sams Cider (11/12/2021) (Blue)</v>
      </c>
      <c r="H5584" s="19"/>
    </row>
    <row r="5585">
      <c r="A5585" s="9"/>
      <c r="B5585" s="15"/>
      <c r="C5585" s="9">
        <f>IFERROR(__xludf.DUMMYFUNCTION("""COMPUTED_VALUE"""),44546.9914852662)</f>
        <v>44546.99149</v>
      </c>
      <c r="D5585" s="15">
        <f>IFERROR(__xludf.DUMMYFUNCTION("""COMPUTED_VALUE"""),1.014)</f>
        <v>1.014</v>
      </c>
      <c r="E5585" s="16">
        <f>IFERROR(__xludf.DUMMYFUNCTION("""COMPUTED_VALUE"""),62.0)</f>
        <v>62</v>
      </c>
      <c r="F5585" s="19" t="str">
        <f>IFERROR(__xludf.DUMMYFUNCTION("""COMPUTED_VALUE"""),"BLUE")</f>
        <v>BLUE</v>
      </c>
      <c r="G5585" s="20" t="str">
        <f>IFERROR(__xludf.DUMMYFUNCTION("""COMPUTED_VALUE"""),"Uncle Sams Cider (11/12/2021) (Blue)")</f>
        <v>Uncle Sams Cider (11/12/2021) (Blue)</v>
      </c>
      <c r="H5585" s="19"/>
    </row>
    <row r="5586">
      <c r="A5586" s="9"/>
      <c r="B5586" s="15"/>
      <c r="C5586" s="9">
        <f>IFERROR(__xludf.DUMMYFUNCTION("""COMPUTED_VALUE"""),44546.9810634953)</f>
        <v>44546.98106</v>
      </c>
      <c r="D5586" s="15">
        <f>IFERROR(__xludf.DUMMYFUNCTION("""COMPUTED_VALUE"""),1.014)</f>
        <v>1.014</v>
      </c>
      <c r="E5586" s="16">
        <f>IFERROR(__xludf.DUMMYFUNCTION("""COMPUTED_VALUE"""),62.0)</f>
        <v>62</v>
      </c>
      <c r="F5586" s="19" t="str">
        <f>IFERROR(__xludf.DUMMYFUNCTION("""COMPUTED_VALUE"""),"BLUE")</f>
        <v>BLUE</v>
      </c>
      <c r="G5586" s="20" t="str">
        <f>IFERROR(__xludf.DUMMYFUNCTION("""COMPUTED_VALUE"""),"Uncle Sams Cider (11/12/2021) (Blue)")</f>
        <v>Uncle Sams Cider (11/12/2021) (Blue)</v>
      </c>
      <c r="H5586" s="19"/>
    </row>
    <row r="5587">
      <c r="A5587" s="9"/>
      <c r="B5587" s="15"/>
      <c r="C5587" s="9">
        <f>IFERROR(__xludf.DUMMYFUNCTION("""COMPUTED_VALUE"""),44546.9706436574)</f>
        <v>44546.97064</v>
      </c>
      <c r="D5587" s="15">
        <f>IFERROR(__xludf.DUMMYFUNCTION("""COMPUTED_VALUE"""),1.014)</f>
        <v>1.014</v>
      </c>
      <c r="E5587" s="16">
        <f>IFERROR(__xludf.DUMMYFUNCTION("""COMPUTED_VALUE"""),62.0)</f>
        <v>62</v>
      </c>
      <c r="F5587" s="19" t="str">
        <f>IFERROR(__xludf.DUMMYFUNCTION("""COMPUTED_VALUE"""),"BLUE")</f>
        <v>BLUE</v>
      </c>
      <c r="G5587" s="20" t="str">
        <f>IFERROR(__xludf.DUMMYFUNCTION("""COMPUTED_VALUE"""),"Uncle Sams Cider (11/12/2021) (Blue)")</f>
        <v>Uncle Sams Cider (11/12/2021) (Blue)</v>
      </c>
      <c r="H5587" s="19"/>
    </row>
    <row r="5588">
      <c r="A5588" s="9"/>
      <c r="B5588" s="15"/>
      <c r="C5588" s="9">
        <f>IFERROR(__xludf.DUMMYFUNCTION("""COMPUTED_VALUE"""),44546.9602226157)</f>
        <v>44546.96022</v>
      </c>
      <c r="D5588" s="15">
        <f>IFERROR(__xludf.DUMMYFUNCTION("""COMPUTED_VALUE"""),1.015)</f>
        <v>1.015</v>
      </c>
      <c r="E5588" s="16">
        <f>IFERROR(__xludf.DUMMYFUNCTION("""COMPUTED_VALUE"""),62.0)</f>
        <v>62</v>
      </c>
      <c r="F5588" s="19" t="str">
        <f>IFERROR(__xludf.DUMMYFUNCTION("""COMPUTED_VALUE"""),"BLUE")</f>
        <v>BLUE</v>
      </c>
      <c r="G5588" s="20" t="str">
        <f>IFERROR(__xludf.DUMMYFUNCTION("""COMPUTED_VALUE"""),"Uncle Sams Cider (11/12/2021) (Blue)")</f>
        <v>Uncle Sams Cider (11/12/2021) (Blue)</v>
      </c>
      <c r="H5588" s="19"/>
    </row>
    <row r="5589">
      <c r="A5589" s="9"/>
      <c r="B5589" s="15"/>
      <c r="C5589" s="9">
        <f>IFERROR(__xludf.DUMMYFUNCTION("""COMPUTED_VALUE"""),44546.9498004282)</f>
        <v>44546.9498</v>
      </c>
      <c r="D5589" s="15">
        <f>IFERROR(__xludf.DUMMYFUNCTION("""COMPUTED_VALUE"""),1.014)</f>
        <v>1.014</v>
      </c>
      <c r="E5589" s="16">
        <f>IFERROR(__xludf.DUMMYFUNCTION("""COMPUTED_VALUE"""),62.0)</f>
        <v>62</v>
      </c>
      <c r="F5589" s="19" t="str">
        <f>IFERROR(__xludf.DUMMYFUNCTION("""COMPUTED_VALUE"""),"BLUE")</f>
        <v>BLUE</v>
      </c>
      <c r="G5589" s="20" t="str">
        <f>IFERROR(__xludf.DUMMYFUNCTION("""COMPUTED_VALUE"""),"Uncle Sams Cider (11/12/2021) (Blue)")</f>
        <v>Uncle Sams Cider (11/12/2021) (Blue)</v>
      </c>
      <c r="H5589" s="19"/>
    </row>
    <row r="5590">
      <c r="A5590" s="9"/>
      <c r="B5590" s="15"/>
      <c r="C5590" s="9">
        <f>IFERROR(__xludf.DUMMYFUNCTION("""COMPUTED_VALUE"""),44546.9393782523)</f>
        <v>44546.93938</v>
      </c>
      <c r="D5590" s="15">
        <f>IFERROR(__xludf.DUMMYFUNCTION("""COMPUTED_VALUE"""),1.014)</f>
        <v>1.014</v>
      </c>
      <c r="E5590" s="16">
        <f>IFERROR(__xludf.DUMMYFUNCTION("""COMPUTED_VALUE"""),62.0)</f>
        <v>62</v>
      </c>
      <c r="F5590" s="19" t="str">
        <f>IFERROR(__xludf.DUMMYFUNCTION("""COMPUTED_VALUE"""),"BLUE")</f>
        <v>BLUE</v>
      </c>
      <c r="G5590" s="20" t="str">
        <f>IFERROR(__xludf.DUMMYFUNCTION("""COMPUTED_VALUE"""),"Uncle Sams Cider (11/12/2021) (Blue)")</f>
        <v>Uncle Sams Cider (11/12/2021) (Blue)</v>
      </c>
      <c r="H5590" s="19"/>
    </row>
    <row r="5591">
      <c r="A5591" s="9"/>
      <c r="B5591" s="15"/>
      <c r="C5591" s="9">
        <f>IFERROR(__xludf.DUMMYFUNCTION("""COMPUTED_VALUE"""),44546.9289571527)</f>
        <v>44546.92896</v>
      </c>
      <c r="D5591" s="15">
        <f>IFERROR(__xludf.DUMMYFUNCTION("""COMPUTED_VALUE"""),1.015)</f>
        <v>1.015</v>
      </c>
      <c r="E5591" s="16">
        <f>IFERROR(__xludf.DUMMYFUNCTION("""COMPUTED_VALUE"""),62.0)</f>
        <v>62</v>
      </c>
      <c r="F5591" s="19" t="str">
        <f>IFERROR(__xludf.DUMMYFUNCTION("""COMPUTED_VALUE"""),"BLUE")</f>
        <v>BLUE</v>
      </c>
      <c r="G5591" s="20" t="str">
        <f>IFERROR(__xludf.DUMMYFUNCTION("""COMPUTED_VALUE"""),"Uncle Sams Cider (11/12/2021) (Blue)")</f>
        <v>Uncle Sams Cider (11/12/2021) (Blue)</v>
      </c>
      <c r="H5591" s="19"/>
    </row>
    <row r="5592">
      <c r="A5592" s="9"/>
      <c r="B5592" s="15"/>
      <c r="C5592" s="9">
        <f>IFERROR(__xludf.DUMMYFUNCTION("""COMPUTED_VALUE"""),44546.9185357175)</f>
        <v>44546.91854</v>
      </c>
      <c r="D5592" s="15">
        <f>IFERROR(__xludf.DUMMYFUNCTION("""COMPUTED_VALUE"""),1.014)</f>
        <v>1.014</v>
      </c>
      <c r="E5592" s="16">
        <f>IFERROR(__xludf.DUMMYFUNCTION("""COMPUTED_VALUE"""),62.0)</f>
        <v>62</v>
      </c>
      <c r="F5592" s="19" t="str">
        <f>IFERROR(__xludf.DUMMYFUNCTION("""COMPUTED_VALUE"""),"BLUE")</f>
        <v>BLUE</v>
      </c>
      <c r="G5592" s="20" t="str">
        <f>IFERROR(__xludf.DUMMYFUNCTION("""COMPUTED_VALUE"""),"Uncle Sams Cider (11/12/2021) (Blue)")</f>
        <v>Uncle Sams Cider (11/12/2021) (Blue)</v>
      </c>
      <c r="H5592" s="19"/>
    </row>
    <row r="5593">
      <c r="A5593" s="9"/>
      <c r="B5593" s="15"/>
      <c r="C5593" s="9">
        <f>IFERROR(__xludf.DUMMYFUNCTION("""COMPUTED_VALUE"""),44546.9081158333)</f>
        <v>44546.90812</v>
      </c>
      <c r="D5593" s="15">
        <f>IFERROR(__xludf.DUMMYFUNCTION("""COMPUTED_VALUE"""),1.014)</f>
        <v>1.014</v>
      </c>
      <c r="E5593" s="16">
        <f>IFERROR(__xludf.DUMMYFUNCTION("""COMPUTED_VALUE"""),62.0)</f>
        <v>62</v>
      </c>
      <c r="F5593" s="19" t="str">
        <f>IFERROR(__xludf.DUMMYFUNCTION("""COMPUTED_VALUE"""),"BLUE")</f>
        <v>BLUE</v>
      </c>
      <c r="G5593" s="20" t="str">
        <f>IFERROR(__xludf.DUMMYFUNCTION("""COMPUTED_VALUE"""),"Uncle Sams Cider (11/12/2021) (Blue)")</f>
        <v>Uncle Sams Cider (11/12/2021) (Blue)</v>
      </c>
      <c r="H5593" s="19"/>
    </row>
    <row r="5594">
      <c r="A5594" s="9"/>
      <c r="B5594" s="15"/>
      <c r="C5594" s="9">
        <f>IFERROR(__xludf.DUMMYFUNCTION("""COMPUTED_VALUE"""),44546.897695243)</f>
        <v>44546.8977</v>
      </c>
      <c r="D5594" s="15">
        <f>IFERROR(__xludf.DUMMYFUNCTION("""COMPUTED_VALUE"""),1.015)</f>
        <v>1.015</v>
      </c>
      <c r="E5594" s="16">
        <f>IFERROR(__xludf.DUMMYFUNCTION("""COMPUTED_VALUE"""),62.0)</f>
        <v>62</v>
      </c>
      <c r="F5594" s="19" t="str">
        <f>IFERROR(__xludf.DUMMYFUNCTION("""COMPUTED_VALUE"""),"BLUE")</f>
        <v>BLUE</v>
      </c>
      <c r="G5594" s="20" t="str">
        <f>IFERROR(__xludf.DUMMYFUNCTION("""COMPUTED_VALUE"""),"Uncle Sams Cider (11/12/2021) (Blue)")</f>
        <v>Uncle Sams Cider (11/12/2021) (Blue)</v>
      </c>
      <c r="H5594" s="19"/>
    </row>
    <row r="5595">
      <c r="A5595" s="9"/>
      <c r="B5595" s="15"/>
      <c r="C5595" s="9">
        <f>IFERROR(__xludf.DUMMYFUNCTION("""COMPUTED_VALUE"""),44546.8872643402)</f>
        <v>44546.88726</v>
      </c>
      <c r="D5595" s="15">
        <f>IFERROR(__xludf.DUMMYFUNCTION("""COMPUTED_VALUE"""),1.015)</f>
        <v>1.015</v>
      </c>
      <c r="E5595" s="16">
        <f>IFERROR(__xludf.DUMMYFUNCTION("""COMPUTED_VALUE"""),62.0)</f>
        <v>62</v>
      </c>
      <c r="F5595" s="19" t="str">
        <f>IFERROR(__xludf.DUMMYFUNCTION("""COMPUTED_VALUE"""),"BLUE")</f>
        <v>BLUE</v>
      </c>
      <c r="G5595" s="20" t="str">
        <f>IFERROR(__xludf.DUMMYFUNCTION("""COMPUTED_VALUE"""),"Uncle Sams Cider (11/12/2021) (Blue)")</f>
        <v>Uncle Sams Cider (11/12/2021) (Blue)</v>
      </c>
      <c r="H5595" s="19"/>
    </row>
    <row r="5596">
      <c r="A5596" s="9"/>
      <c r="B5596" s="15"/>
      <c r="C5596" s="9">
        <f>IFERROR(__xludf.DUMMYFUNCTION("""COMPUTED_VALUE"""),44546.8768422916)</f>
        <v>44546.87684</v>
      </c>
      <c r="D5596" s="15">
        <f>IFERROR(__xludf.DUMMYFUNCTION("""COMPUTED_VALUE"""),1.015)</f>
        <v>1.015</v>
      </c>
      <c r="E5596" s="16">
        <f>IFERROR(__xludf.DUMMYFUNCTION("""COMPUTED_VALUE"""),62.0)</f>
        <v>62</v>
      </c>
      <c r="F5596" s="19" t="str">
        <f>IFERROR(__xludf.DUMMYFUNCTION("""COMPUTED_VALUE"""),"BLUE")</f>
        <v>BLUE</v>
      </c>
      <c r="G5596" s="20" t="str">
        <f>IFERROR(__xludf.DUMMYFUNCTION("""COMPUTED_VALUE"""),"Uncle Sams Cider (11/12/2021) (Blue)")</f>
        <v>Uncle Sams Cider (11/12/2021) (Blue)</v>
      </c>
      <c r="H5596" s="19"/>
    </row>
    <row r="5597">
      <c r="A5597" s="9"/>
      <c r="B5597" s="15"/>
      <c r="C5597" s="9">
        <f>IFERROR(__xludf.DUMMYFUNCTION("""COMPUTED_VALUE"""),44546.8663998611)</f>
        <v>44546.8664</v>
      </c>
      <c r="D5597" s="15">
        <f>IFERROR(__xludf.DUMMYFUNCTION("""COMPUTED_VALUE"""),1.015)</f>
        <v>1.015</v>
      </c>
      <c r="E5597" s="16">
        <f>IFERROR(__xludf.DUMMYFUNCTION("""COMPUTED_VALUE"""),62.0)</f>
        <v>62</v>
      </c>
      <c r="F5597" s="19" t="str">
        <f>IFERROR(__xludf.DUMMYFUNCTION("""COMPUTED_VALUE"""),"BLUE")</f>
        <v>BLUE</v>
      </c>
      <c r="G5597" s="20" t="str">
        <f>IFERROR(__xludf.DUMMYFUNCTION("""COMPUTED_VALUE"""),"Uncle Sams Cider (11/12/2021) (Blue)")</f>
        <v>Uncle Sams Cider (11/12/2021) (Blue)</v>
      </c>
      <c r="H5597" s="19"/>
    </row>
    <row r="5598">
      <c r="A5598" s="9"/>
      <c r="B5598" s="15"/>
      <c r="C5598" s="9">
        <f>IFERROR(__xludf.DUMMYFUNCTION("""COMPUTED_VALUE"""),44546.8559776273)</f>
        <v>44546.85598</v>
      </c>
      <c r="D5598" s="15">
        <f>IFERROR(__xludf.DUMMYFUNCTION("""COMPUTED_VALUE"""),1.015)</f>
        <v>1.015</v>
      </c>
      <c r="E5598" s="16">
        <f>IFERROR(__xludf.DUMMYFUNCTION("""COMPUTED_VALUE"""),62.0)</f>
        <v>62</v>
      </c>
      <c r="F5598" s="19" t="str">
        <f>IFERROR(__xludf.DUMMYFUNCTION("""COMPUTED_VALUE"""),"BLUE")</f>
        <v>BLUE</v>
      </c>
      <c r="G5598" s="20" t="str">
        <f>IFERROR(__xludf.DUMMYFUNCTION("""COMPUTED_VALUE"""),"Uncle Sams Cider (11/12/2021) (Blue)")</f>
        <v>Uncle Sams Cider (11/12/2021) (Blue)</v>
      </c>
      <c r="H5598" s="19"/>
    </row>
    <row r="5599">
      <c r="A5599" s="9"/>
      <c r="B5599" s="15"/>
      <c r="C5599" s="9">
        <f>IFERROR(__xludf.DUMMYFUNCTION("""COMPUTED_VALUE"""),44546.8455567245)</f>
        <v>44546.84556</v>
      </c>
      <c r="D5599" s="15">
        <f>IFERROR(__xludf.DUMMYFUNCTION("""COMPUTED_VALUE"""),1.015)</f>
        <v>1.015</v>
      </c>
      <c r="E5599" s="16">
        <f>IFERROR(__xludf.DUMMYFUNCTION("""COMPUTED_VALUE"""),62.0)</f>
        <v>62</v>
      </c>
      <c r="F5599" s="19" t="str">
        <f>IFERROR(__xludf.DUMMYFUNCTION("""COMPUTED_VALUE"""),"BLUE")</f>
        <v>BLUE</v>
      </c>
      <c r="G5599" s="20" t="str">
        <f>IFERROR(__xludf.DUMMYFUNCTION("""COMPUTED_VALUE"""),"Uncle Sams Cider (11/12/2021) (Blue)")</f>
        <v>Uncle Sams Cider (11/12/2021) (Blue)</v>
      </c>
      <c r="H5599" s="19"/>
    </row>
    <row r="5600">
      <c r="A5600" s="9"/>
      <c r="B5600" s="15"/>
      <c r="C5600" s="9">
        <f>IFERROR(__xludf.DUMMYFUNCTION("""COMPUTED_VALUE"""),44546.8351351851)</f>
        <v>44546.83514</v>
      </c>
      <c r="D5600" s="15">
        <f>IFERROR(__xludf.DUMMYFUNCTION("""COMPUTED_VALUE"""),1.015)</f>
        <v>1.015</v>
      </c>
      <c r="E5600" s="16">
        <f>IFERROR(__xludf.DUMMYFUNCTION("""COMPUTED_VALUE"""),62.0)</f>
        <v>62</v>
      </c>
      <c r="F5600" s="19" t="str">
        <f>IFERROR(__xludf.DUMMYFUNCTION("""COMPUTED_VALUE"""),"BLUE")</f>
        <v>BLUE</v>
      </c>
      <c r="G5600" s="20" t="str">
        <f>IFERROR(__xludf.DUMMYFUNCTION("""COMPUTED_VALUE"""),"Uncle Sams Cider (11/12/2021) (Blue)")</f>
        <v>Uncle Sams Cider (11/12/2021) (Blue)</v>
      </c>
      <c r="H5600" s="19"/>
    </row>
    <row r="5601">
      <c r="A5601" s="9"/>
      <c r="B5601" s="15"/>
      <c r="C5601" s="9">
        <f>IFERROR(__xludf.DUMMYFUNCTION("""COMPUTED_VALUE"""),44546.824713368)</f>
        <v>44546.82471</v>
      </c>
      <c r="D5601" s="15">
        <f>IFERROR(__xludf.DUMMYFUNCTION("""COMPUTED_VALUE"""),1.015)</f>
        <v>1.015</v>
      </c>
      <c r="E5601" s="16">
        <f>IFERROR(__xludf.DUMMYFUNCTION("""COMPUTED_VALUE"""),62.0)</f>
        <v>62</v>
      </c>
      <c r="F5601" s="19" t="str">
        <f>IFERROR(__xludf.DUMMYFUNCTION("""COMPUTED_VALUE"""),"BLUE")</f>
        <v>BLUE</v>
      </c>
      <c r="G5601" s="20" t="str">
        <f>IFERROR(__xludf.DUMMYFUNCTION("""COMPUTED_VALUE"""),"Uncle Sams Cider (11/12/2021) (Blue)")</f>
        <v>Uncle Sams Cider (11/12/2021) (Blue)</v>
      </c>
      <c r="H5601" s="19"/>
    </row>
    <row r="5602">
      <c r="A5602" s="9"/>
      <c r="B5602" s="15"/>
      <c r="C5602" s="9">
        <f>IFERROR(__xludf.DUMMYFUNCTION("""COMPUTED_VALUE"""),44546.8142926967)</f>
        <v>44546.81429</v>
      </c>
      <c r="D5602" s="15">
        <f>IFERROR(__xludf.DUMMYFUNCTION("""COMPUTED_VALUE"""),1.015)</f>
        <v>1.015</v>
      </c>
      <c r="E5602" s="16">
        <f>IFERROR(__xludf.DUMMYFUNCTION("""COMPUTED_VALUE"""),62.0)</f>
        <v>62</v>
      </c>
      <c r="F5602" s="19" t="str">
        <f>IFERROR(__xludf.DUMMYFUNCTION("""COMPUTED_VALUE"""),"BLUE")</f>
        <v>BLUE</v>
      </c>
      <c r="G5602" s="20" t="str">
        <f>IFERROR(__xludf.DUMMYFUNCTION("""COMPUTED_VALUE"""),"Uncle Sams Cider (11/12/2021) (Blue)")</f>
        <v>Uncle Sams Cider (11/12/2021) (Blue)</v>
      </c>
      <c r="H5602" s="19"/>
    </row>
    <row r="5603">
      <c r="A5603" s="9"/>
      <c r="B5603" s="15"/>
      <c r="C5603" s="9">
        <f>IFERROR(__xludf.DUMMYFUNCTION("""COMPUTED_VALUE"""),44546.8038717708)</f>
        <v>44546.80387</v>
      </c>
      <c r="D5603" s="15">
        <f>IFERROR(__xludf.DUMMYFUNCTION("""COMPUTED_VALUE"""),1.015)</f>
        <v>1.015</v>
      </c>
      <c r="E5603" s="16">
        <f>IFERROR(__xludf.DUMMYFUNCTION("""COMPUTED_VALUE"""),62.0)</f>
        <v>62</v>
      </c>
      <c r="F5603" s="19" t="str">
        <f>IFERROR(__xludf.DUMMYFUNCTION("""COMPUTED_VALUE"""),"BLUE")</f>
        <v>BLUE</v>
      </c>
      <c r="G5603" s="20" t="str">
        <f>IFERROR(__xludf.DUMMYFUNCTION("""COMPUTED_VALUE"""),"Uncle Sams Cider (11/12/2021) (Blue)")</f>
        <v>Uncle Sams Cider (11/12/2021) (Blue)</v>
      </c>
      <c r="H5603" s="19"/>
    </row>
    <row r="5604">
      <c r="A5604" s="9"/>
      <c r="B5604" s="15"/>
      <c r="C5604" s="9">
        <f>IFERROR(__xludf.DUMMYFUNCTION("""COMPUTED_VALUE"""),44546.7934384259)</f>
        <v>44546.79344</v>
      </c>
      <c r="D5604" s="15">
        <f>IFERROR(__xludf.DUMMYFUNCTION("""COMPUTED_VALUE"""),1.015)</f>
        <v>1.015</v>
      </c>
      <c r="E5604" s="16">
        <f>IFERROR(__xludf.DUMMYFUNCTION("""COMPUTED_VALUE"""),62.0)</f>
        <v>62</v>
      </c>
      <c r="F5604" s="19" t="str">
        <f>IFERROR(__xludf.DUMMYFUNCTION("""COMPUTED_VALUE"""),"BLUE")</f>
        <v>BLUE</v>
      </c>
      <c r="G5604" s="20" t="str">
        <f>IFERROR(__xludf.DUMMYFUNCTION("""COMPUTED_VALUE"""),"Uncle Sams Cider (11/12/2021) (Blue)")</f>
        <v>Uncle Sams Cider (11/12/2021) (Blue)</v>
      </c>
      <c r="H5604" s="19"/>
    </row>
    <row r="5605">
      <c r="A5605" s="9"/>
      <c r="B5605" s="15"/>
      <c r="C5605" s="9">
        <f>IFERROR(__xludf.DUMMYFUNCTION("""COMPUTED_VALUE"""),44546.7830173263)</f>
        <v>44546.78302</v>
      </c>
      <c r="D5605" s="15">
        <f>IFERROR(__xludf.DUMMYFUNCTION("""COMPUTED_VALUE"""),1.014)</f>
        <v>1.014</v>
      </c>
      <c r="E5605" s="16">
        <f>IFERROR(__xludf.DUMMYFUNCTION("""COMPUTED_VALUE"""),62.0)</f>
        <v>62</v>
      </c>
      <c r="F5605" s="19" t="str">
        <f>IFERROR(__xludf.DUMMYFUNCTION("""COMPUTED_VALUE"""),"BLUE")</f>
        <v>BLUE</v>
      </c>
      <c r="G5605" s="20" t="str">
        <f>IFERROR(__xludf.DUMMYFUNCTION("""COMPUTED_VALUE"""),"Uncle Sams Cider (11/12/2021) (Blue)")</f>
        <v>Uncle Sams Cider (11/12/2021) (Blue)</v>
      </c>
      <c r="H5605" s="19"/>
    </row>
    <row r="5606">
      <c r="A5606" s="9"/>
      <c r="B5606" s="15"/>
      <c r="C5606" s="9">
        <f>IFERROR(__xludf.DUMMYFUNCTION("""COMPUTED_VALUE"""),44546.7725856249)</f>
        <v>44546.77259</v>
      </c>
      <c r="D5606" s="15">
        <f>IFERROR(__xludf.DUMMYFUNCTION("""COMPUTED_VALUE"""),1.015)</f>
        <v>1.015</v>
      </c>
      <c r="E5606" s="16">
        <f>IFERROR(__xludf.DUMMYFUNCTION("""COMPUTED_VALUE"""),62.0)</f>
        <v>62</v>
      </c>
      <c r="F5606" s="19" t="str">
        <f>IFERROR(__xludf.DUMMYFUNCTION("""COMPUTED_VALUE"""),"BLUE")</f>
        <v>BLUE</v>
      </c>
      <c r="G5606" s="20" t="str">
        <f>IFERROR(__xludf.DUMMYFUNCTION("""COMPUTED_VALUE"""),"Uncle Sams Cider (11/12/2021) (Blue)")</f>
        <v>Uncle Sams Cider (11/12/2021) (Blue)</v>
      </c>
      <c r="H5606" s="19"/>
    </row>
    <row r="5607">
      <c r="A5607" s="9"/>
      <c r="B5607" s="15"/>
      <c r="C5607" s="9">
        <f>IFERROR(__xludf.DUMMYFUNCTION("""COMPUTED_VALUE"""),44546.7621658101)</f>
        <v>44546.76217</v>
      </c>
      <c r="D5607" s="15">
        <f>IFERROR(__xludf.DUMMYFUNCTION("""COMPUTED_VALUE"""),1.015)</f>
        <v>1.015</v>
      </c>
      <c r="E5607" s="16">
        <f>IFERROR(__xludf.DUMMYFUNCTION("""COMPUTED_VALUE"""),62.0)</f>
        <v>62</v>
      </c>
      <c r="F5607" s="19" t="str">
        <f>IFERROR(__xludf.DUMMYFUNCTION("""COMPUTED_VALUE"""),"BLUE")</f>
        <v>BLUE</v>
      </c>
      <c r="G5607" s="20" t="str">
        <f>IFERROR(__xludf.DUMMYFUNCTION("""COMPUTED_VALUE"""),"Uncle Sams Cider (11/12/2021) (Blue)")</f>
        <v>Uncle Sams Cider (11/12/2021) (Blue)</v>
      </c>
      <c r="H5607" s="19"/>
    </row>
    <row r="5608">
      <c r="A5608" s="9"/>
      <c r="B5608" s="15"/>
      <c r="C5608" s="9">
        <f>IFERROR(__xludf.DUMMYFUNCTION("""COMPUTED_VALUE"""),44546.7517449305)</f>
        <v>44546.75174</v>
      </c>
      <c r="D5608" s="15">
        <f>IFERROR(__xludf.DUMMYFUNCTION("""COMPUTED_VALUE"""),1.015)</f>
        <v>1.015</v>
      </c>
      <c r="E5608" s="16">
        <f>IFERROR(__xludf.DUMMYFUNCTION("""COMPUTED_VALUE"""),62.0)</f>
        <v>62</v>
      </c>
      <c r="F5608" s="19" t="str">
        <f>IFERROR(__xludf.DUMMYFUNCTION("""COMPUTED_VALUE"""),"BLUE")</f>
        <v>BLUE</v>
      </c>
      <c r="G5608" s="20" t="str">
        <f>IFERROR(__xludf.DUMMYFUNCTION("""COMPUTED_VALUE"""),"Uncle Sams Cider (11/12/2021) (Blue)")</f>
        <v>Uncle Sams Cider (11/12/2021) (Blue)</v>
      </c>
      <c r="H5608" s="19"/>
    </row>
    <row r="5609">
      <c r="A5609" s="9"/>
      <c r="B5609" s="15"/>
      <c r="C5609" s="9">
        <f>IFERROR(__xludf.DUMMYFUNCTION("""COMPUTED_VALUE"""),44546.7413229745)</f>
        <v>44546.74132</v>
      </c>
      <c r="D5609" s="15">
        <f>IFERROR(__xludf.DUMMYFUNCTION("""COMPUTED_VALUE"""),1.015)</f>
        <v>1.015</v>
      </c>
      <c r="E5609" s="16">
        <f>IFERROR(__xludf.DUMMYFUNCTION("""COMPUTED_VALUE"""),62.0)</f>
        <v>62</v>
      </c>
      <c r="F5609" s="19" t="str">
        <f>IFERROR(__xludf.DUMMYFUNCTION("""COMPUTED_VALUE"""),"BLUE")</f>
        <v>BLUE</v>
      </c>
      <c r="G5609" s="20" t="str">
        <f>IFERROR(__xludf.DUMMYFUNCTION("""COMPUTED_VALUE"""),"Uncle Sams Cider (11/12/2021) (Blue)")</f>
        <v>Uncle Sams Cider (11/12/2021) (Blue)</v>
      </c>
      <c r="H5609" s="19"/>
    </row>
    <row r="5610">
      <c r="A5610" s="9"/>
      <c r="B5610" s="15"/>
      <c r="C5610" s="9">
        <f>IFERROR(__xludf.DUMMYFUNCTION("""COMPUTED_VALUE"""),44546.7309030902)</f>
        <v>44546.7309</v>
      </c>
      <c r="D5610" s="15">
        <f>IFERROR(__xludf.DUMMYFUNCTION("""COMPUTED_VALUE"""),1.015)</f>
        <v>1.015</v>
      </c>
      <c r="E5610" s="16">
        <f>IFERROR(__xludf.DUMMYFUNCTION("""COMPUTED_VALUE"""),62.0)</f>
        <v>62</v>
      </c>
      <c r="F5610" s="19" t="str">
        <f>IFERROR(__xludf.DUMMYFUNCTION("""COMPUTED_VALUE"""),"BLUE")</f>
        <v>BLUE</v>
      </c>
      <c r="G5610" s="20" t="str">
        <f>IFERROR(__xludf.DUMMYFUNCTION("""COMPUTED_VALUE"""),"Uncle Sams Cider (11/12/2021) (Blue)")</f>
        <v>Uncle Sams Cider (11/12/2021) (Blue)</v>
      </c>
      <c r="H5610" s="19"/>
    </row>
    <row r="5611">
      <c r="A5611" s="9"/>
      <c r="B5611" s="15"/>
      <c r="C5611" s="9">
        <f>IFERROR(__xludf.DUMMYFUNCTION("""COMPUTED_VALUE"""),44546.7204815162)</f>
        <v>44546.72048</v>
      </c>
      <c r="D5611" s="15">
        <f>IFERROR(__xludf.DUMMYFUNCTION("""COMPUTED_VALUE"""),1.015)</f>
        <v>1.015</v>
      </c>
      <c r="E5611" s="16">
        <f>IFERROR(__xludf.DUMMYFUNCTION("""COMPUTED_VALUE"""),62.0)</f>
        <v>62</v>
      </c>
      <c r="F5611" s="19" t="str">
        <f>IFERROR(__xludf.DUMMYFUNCTION("""COMPUTED_VALUE"""),"BLUE")</f>
        <v>BLUE</v>
      </c>
      <c r="G5611" s="20" t="str">
        <f>IFERROR(__xludf.DUMMYFUNCTION("""COMPUTED_VALUE"""),"Uncle Sams Cider (11/12/2021) (Blue)")</f>
        <v>Uncle Sams Cider (11/12/2021) (Blue)</v>
      </c>
      <c r="H5611" s="19"/>
    </row>
    <row r="5612">
      <c r="A5612" s="9"/>
      <c r="B5612" s="15"/>
      <c r="C5612" s="9">
        <f>IFERROR(__xludf.DUMMYFUNCTION("""COMPUTED_VALUE"""),44546.7100585416)</f>
        <v>44546.71006</v>
      </c>
      <c r="D5612" s="15">
        <f>IFERROR(__xludf.DUMMYFUNCTION("""COMPUTED_VALUE"""),1.015)</f>
        <v>1.015</v>
      </c>
      <c r="E5612" s="16">
        <f>IFERROR(__xludf.DUMMYFUNCTION("""COMPUTED_VALUE"""),62.0)</f>
        <v>62</v>
      </c>
      <c r="F5612" s="19" t="str">
        <f>IFERROR(__xludf.DUMMYFUNCTION("""COMPUTED_VALUE"""),"BLUE")</f>
        <v>BLUE</v>
      </c>
      <c r="G5612" s="20" t="str">
        <f>IFERROR(__xludf.DUMMYFUNCTION("""COMPUTED_VALUE"""),"Uncle Sams Cider (11/12/2021) (Blue)")</f>
        <v>Uncle Sams Cider (11/12/2021) (Blue)</v>
      </c>
      <c r="H5612" s="19"/>
    </row>
    <row r="5613">
      <c r="A5613" s="9"/>
      <c r="B5613" s="15"/>
      <c r="C5613" s="9">
        <f>IFERROR(__xludf.DUMMYFUNCTION("""COMPUTED_VALUE"""),44546.6996359259)</f>
        <v>44546.69964</v>
      </c>
      <c r="D5613" s="15">
        <f>IFERROR(__xludf.DUMMYFUNCTION("""COMPUTED_VALUE"""),1.015)</f>
        <v>1.015</v>
      </c>
      <c r="E5613" s="16">
        <f>IFERROR(__xludf.DUMMYFUNCTION("""COMPUTED_VALUE"""),62.0)</f>
        <v>62</v>
      </c>
      <c r="F5613" s="19" t="str">
        <f>IFERROR(__xludf.DUMMYFUNCTION("""COMPUTED_VALUE"""),"BLUE")</f>
        <v>BLUE</v>
      </c>
      <c r="G5613" s="20" t="str">
        <f>IFERROR(__xludf.DUMMYFUNCTION("""COMPUTED_VALUE"""),"Uncle Sams Cider (11/12/2021) (Blue)")</f>
        <v>Uncle Sams Cider (11/12/2021) (Blue)</v>
      </c>
      <c r="H5613" s="19"/>
    </row>
    <row r="5614">
      <c r="A5614" s="9"/>
      <c r="B5614" s="15"/>
      <c r="C5614" s="9">
        <f>IFERROR(__xludf.DUMMYFUNCTION("""COMPUTED_VALUE"""),44546.6892138425)</f>
        <v>44546.68921</v>
      </c>
      <c r="D5614" s="15">
        <f>IFERROR(__xludf.DUMMYFUNCTION("""COMPUTED_VALUE"""),1.014)</f>
        <v>1.014</v>
      </c>
      <c r="E5614" s="16">
        <f>IFERROR(__xludf.DUMMYFUNCTION("""COMPUTED_VALUE"""),62.0)</f>
        <v>62</v>
      </c>
      <c r="F5614" s="19" t="str">
        <f>IFERROR(__xludf.DUMMYFUNCTION("""COMPUTED_VALUE"""),"BLUE")</f>
        <v>BLUE</v>
      </c>
      <c r="G5614" s="20" t="str">
        <f>IFERROR(__xludf.DUMMYFUNCTION("""COMPUTED_VALUE"""),"Uncle Sams Cider (11/12/2021) (Blue)")</f>
        <v>Uncle Sams Cider (11/12/2021) (Blue)</v>
      </c>
      <c r="H5614" s="19"/>
    </row>
    <row r="5615">
      <c r="A5615" s="9"/>
      <c r="B5615" s="15"/>
      <c r="C5615" s="9">
        <f>IFERROR(__xludf.DUMMYFUNCTION("""COMPUTED_VALUE"""),44546.6787931828)</f>
        <v>44546.67879</v>
      </c>
      <c r="D5615" s="15">
        <f>IFERROR(__xludf.DUMMYFUNCTION("""COMPUTED_VALUE"""),1.014)</f>
        <v>1.014</v>
      </c>
      <c r="E5615" s="16">
        <f>IFERROR(__xludf.DUMMYFUNCTION("""COMPUTED_VALUE"""),62.0)</f>
        <v>62</v>
      </c>
      <c r="F5615" s="19" t="str">
        <f>IFERROR(__xludf.DUMMYFUNCTION("""COMPUTED_VALUE"""),"BLUE")</f>
        <v>BLUE</v>
      </c>
      <c r="G5615" s="20" t="str">
        <f>IFERROR(__xludf.DUMMYFUNCTION("""COMPUTED_VALUE"""),"Uncle Sams Cider (11/12/2021) (Blue)")</f>
        <v>Uncle Sams Cider (11/12/2021) (Blue)</v>
      </c>
      <c r="H5615" s="19"/>
    </row>
    <row r="5616">
      <c r="A5616" s="9"/>
      <c r="B5616" s="15"/>
      <c r="C5616" s="9">
        <f>IFERROR(__xludf.DUMMYFUNCTION("""COMPUTED_VALUE"""),44546.668371493)</f>
        <v>44546.66837</v>
      </c>
      <c r="D5616" s="15">
        <f>IFERROR(__xludf.DUMMYFUNCTION("""COMPUTED_VALUE"""),1.015)</f>
        <v>1.015</v>
      </c>
      <c r="E5616" s="16">
        <f>IFERROR(__xludf.DUMMYFUNCTION("""COMPUTED_VALUE"""),62.0)</f>
        <v>62</v>
      </c>
      <c r="F5616" s="19" t="str">
        <f>IFERROR(__xludf.DUMMYFUNCTION("""COMPUTED_VALUE"""),"BLUE")</f>
        <v>BLUE</v>
      </c>
      <c r="G5616" s="20" t="str">
        <f>IFERROR(__xludf.DUMMYFUNCTION("""COMPUTED_VALUE"""),"Uncle Sams Cider (11/12/2021) (Blue)")</f>
        <v>Uncle Sams Cider (11/12/2021) (Blue)</v>
      </c>
      <c r="H5616" s="19"/>
    </row>
    <row r="5617">
      <c r="A5617" s="9"/>
      <c r="B5617" s="15"/>
      <c r="C5617" s="9">
        <f>IFERROR(__xludf.DUMMYFUNCTION("""COMPUTED_VALUE"""),44546.6579508912)</f>
        <v>44546.65795</v>
      </c>
      <c r="D5617" s="15">
        <f>IFERROR(__xludf.DUMMYFUNCTION("""COMPUTED_VALUE"""),1.015)</f>
        <v>1.015</v>
      </c>
      <c r="E5617" s="16">
        <f>IFERROR(__xludf.DUMMYFUNCTION("""COMPUTED_VALUE"""),62.0)</f>
        <v>62</v>
      </c>
      <c r="F5617" s="19" t="str">
        <f>IFERROR(__xludf.DUMMYFUNCTION("""COMPUTED_VALUE"""),"BLUE")</f>
        <v>BLUE</v>
      </c>
      <c r="G5617" s="20" t="str">
        <f>IFERROR(__xludf.DUMMYFUNCTION("""COMPUTED_VALUE"""),"Uncle Sams Cider (11/12/2021) (Blue)")</f>
        <v>Uncle Sams Cider (11/12/2021) (Blue)</v>
      </c>
      <c r="H5617" s="19"/>
    </row>
    <row r="5618">
      <c r="A5618" s="9"/>
      <c r="B5618" s="15"/>
      <c r="C5618" s="9">
        <f>IFERROR(__xludf.DUMMYFUNCTION("""COMPUTED_VALUE"""),44546.6475312615)</f>
        <v>44546.64753</v>
      </c>
      <c r="D5618" s="15">
        <f>IFERROR(__xludf.DUMMYFUNCTION("""COMPUTED_VALUE"""),1.015)</f>
        <v>1.015</v>
      </c>
      <c r="E5618" s="16">
        <f>IFERROR(__xludf.DUMMYFUNCTION("""COMPUTED_VALUE"""),62.0)</f>
        <v>62</v>
      </c>
      <c r="F5618" s="19" t="str">
        <f>IFERROR(__xludf.DUMMYFUNCTION("""COMPUTED_VALUE"""),"BLUE")</f>
        <v>BLUE</v>
      </c>
      <c r="G5618" s="20" t="str">
        <f>IFERROR(__xludf.DUMMYFUNCTION("""COMPUTED_VALUE"""),"Uncle Sams Cider (11/12/2021) (Blue)")</f>
        <v>Uncle Sams Cider (11/12/2021) (Blue)</v>
      </c>
      <c r="H5618" s="19"/>
    </row>
    <row r="5619">
      <c r="A5619" s="9"/>
      <c r="B5619" s="15"/>
      <c r="C5619" s="9">
        <f>IFERROR(__xludf.DUMMYFUNCTION("""COMPUTED_VALUE"""),44546.6371087731)</f>
        <v>44546.63711</v>
      </c>
      <c r="D5619" s="15">
        <f>IFERROR(__xludf.DUMMYFUNCTION("""COMPUTED_VALUE"""),1.015)</f>
        <v>1.015</v>
      </c>
      <c r="E5619" s="16">
        <f>IFERROR(__xludf.DUMMYFUNCTION("""COMPUTED_VALUE"""),62.0)</f>
        <v>62</v>
      </c>
      <c r="F5619" s="19" t="str">
        <f>IFERROR(__xludf.DUMMYFUNCTION("""COMPUTED_VALUE"""),"BLUE")</f>
        <v>BLUE</v>
      </c>
      <c r="G5619" s="20" t="str">
        <f>IFERROR(__xludf.DUMMYFUNCTION("""COMPUTED_VALUE"""),"Uncle Sams Cider (11/12/2021) (Blue)")</f>
        <v>Uncle Sams Cider (11/12/2021) (Blue)</v>
      </c>
      <c r="H5619" s="19"/>
    </row>
    <row r="5620">
      <c r="A5620" s="9"/>
      <c r="B5620" s="15"/>
      <c r="C5620" s="9">
        <f>IFERROR(__xludf.DUMMYFUNCTION("""COMPUTED_VALUE"""),44546.6266867245)</f>
        <v>44546.62669</v>
      </c>
      <c r="D5620" s="15">
        <f>IFERROR(__xludf.DUMMYFUNCTION("""COMPUTED_VALUE"""),1.015)</f>
        <v>1.015</v>
      </c>
      <c r="E5620" s="16">
        <f>IFERROR(__xludf.DUMMYFUNCTION("""COMPUTED_VALUE"""),62.0)</f>
        <v>62</v>
      </c>
      <c r="F5620" s="19" t="str">
        <f>IFERROR(__xludf.DUMMYFUNCTION("""COMPUTED_VALUE"""),"BLUE")</f>
        <v>BLUE</v>
      </c>
      <c r="G5620" s="20" t="str">
        <f>IFERROR(__xludf.DUMMYFUNCTION("""COMPUTED_VALUE"""),"Uncle Sams Cider (11/12/2021) (Blue)")</f>
        <v>Uncle Sams Cider (11/12/2021) (Blue)</v>
      </c>
      <c r="H5620" s="19"/>
    </row>
    <row r="5621">
      <c r="A5621" s="9"/>
      <c r="B5621" s="15"/>
      <c r="C5621" s="9">
        <f>IFERROR(__xludf.DUMMYFUNCTION("""COMPUTED_VALUE"""),44546.6162665972)</f>
        <v>44546.61627</v>
      </c>
      <c r="D5621" s="15">
        <f>IFERROR(__xludf.DUMMYFUNCTION("""COMPUTED_VALUE"""),1.015)</f>
        <v>1.015</v>
      </c>
      <c r="E5621" s="16">
        <f>IFERROR(__xludf.DUMMYFUNCTION("""COMPUTED_VALUE"""),62.0)</f>
        <v>62</v>
      </c>
      <c r="F5621" s="19" t="str">
        <f>IFERROR(__xludf.DUMMYFUNCTION("""COMPUTED_VALUE"""),"BLUE")</f>
        <v>BLUE</v>
      </c>
      <c r="G5621" s="20" t="str">
        <f>IFERROR(__xludf.DUMMYFUNCTION("""COMPUTED_VALUE"""),"Uncle Sams Cider (11/12/2021) (Blue)")</f>
        <v>Uncle Sams Cider (11/12/2021) (Blue)</v>
      </c>
      <c r="H5621" s="19"/>
    </row>
    <row r="5622">
      <c r="A5622" s="9"/>
      <c r="B5622" s="15"/>
      <c r="C5622" s="9">
        <f>IFERROR(__xludf.DUMMYFUNCTION("""COMPUTED_VALUE"""),44546.6058338657)</f>
        <v>44546.60583</v>
      </c>
      <c r="D5622" s="15">
        <f>IFERROR(__xludf.DUMMYFUNCTION("""COMPUTED_VALUE"""),1.015)</f>
        <v>1.015</v>
      </c>
      <c r="E5622" s="16">
        <f>IFERROR(__xludf.DUMMYFUNCTION("""COMPUTED_VALUE"""),62.0)</f>
        <v>62</v>
      </c>
      <c r="F5622" s="19" t="str">
        <f>IFERROR(__xludf.DUMMYFUNCTION("""COMPUTED_VALUE"""),"BLUE")</f>
        <v>BLUE</v>
      </c>
      <c r="G5622" s="20" t="str">
        <f>IFERROR(__xludf.DUMMYFUNCTION("""COMPUTED_VALUE"""),"Uncle Sams Cider (11/12/2021) (Blue)")</f>
        <v>Uncle Sams Cider (11/12/2021) (Blue)</v>
      </c>
      <c r="H5622" s="19"/>
    </row>
    <row r="5623">
      <c r="A5623" s="9"/>
      <c r="B5623" s="15"/>
      <c r="C5623" s="9">
        <f>IFERROR(__xludf.DUMMYFUNCTION("""COMPUTED_VALUE"""),44546.5954128819)</f>
        <v>44546.59541</v>
      </c>
      <c r="D5623" s="15">
        <f>IFERROR(__xludf.DUMMYFUNCTION("""COMPUTED_VALUE"""),1.015)</f>
        <v>1.015</v>
      </c>
      <c r="E5623" s="16">
        <f>IFERROR(__xludf.DUMMYFUNCTION("""COMPUTED_VALUE"""),62.0)</f>
        <v>62</v>
      </c>
      <c r="F5623" s="19" t="str">
        <f>IFERROR(__xludf.DUMMYFUNCTION("""COMPUTED_VALUE"""),"BLUE")</f>
        <v>BLUE</v>
      </c>
      <c r="G5623" s="20" t="str">
        <f>IFERROR(__xludf.DUMMYFUNCTION("""COMPUTED_VALUE"""),"Uncle Sams Cider (11/12/2021) (Blue)")</f>
        <v>Uncle Sams Cider (11/12/2021) (Blue)</v>
      </c>
      <c r="H5623" s="19"/>
    </row>
    <row r="5624">
      <c r="A5624" s="9"/>
      <c r="B5624" s="15"/>
      <c r="C5624" s="9">
        <f>IFERROR(__xludf.DUMMYFUNCTION("""COMPUTED_VALUE"""),44546.584980243)</f>
        <v>44546.58498</v>
      </c>
      <c r="D5624" s="15">
        <f>IFERROR(__xludf.DUMMYFUNCTION("""COMPUTED_VALUE"""),1.015)</f>
        <v>1.015</v>
      </c>
      <c r="E5624" s="16">
        <f>IFERROR(__xludf.DUMMYFUNCTION("""COMPUTED_VALUE"""),62.0)</f>
        <v>62</v>
      </c>
      <c r="F5624" s="19" t="str">
        <f>IFERROR(__xludf.DUMMYFUNCTION("""COMPUTED_VALUE"""),"BLUE")</f>
        <v>BLUE</v>
      </c>
      <c r="G5624" s="20" t="str">
        <f>IFERROR(__xludf.DUMMYFUNCTION("""COMPUTED_VALUE"""),"Uncle Sams Cider (11/12/2021) (Blue)")</f>
        <v>Uncle Sams Cider (11/12/2021) (Blue)</v>
      </c>
      <c r="H5624" s="19"/>
    </row>
    <row r="5625">
      <c r="A5625" s="9"/>
      <c r="B5625" s="15"/>
      <c r="C5625" s="9">
        <f>IFERROR(__xludf.DUMMYFUNCTION("""COMPUTED_VALUE"""),44546.5745595601)</f>
        <v>44546.57456</v>
      </c>
      <c r="D5625" s="15">
        <f>IFERROR(__xludf.DUMMYFUNCTION("""COMPUTED_VALUE"""),1.015)</f>
        <v>1.015</v>
      </c>
      <c r="E5625" s="16">
        <f>IFERROR(__xludf.DUMMYFUNCTION("""COMPUTED_VALUE"""),62.0)</f>
        <v>62</v>
      </c>
      <c r="F5625" s="19" t="str">
        <f>IFERROR(__xludf.DUMMYFUNCTION("""COMPUTED_VALUE"""),"BLUE")</f>
        <v>BLUE</v>
      </c>
      <c r="G5625" s="20" t="str">
        <f>IFERROR(__xludf.DUMMYFUNCTION("""COMPUTED_VALUE"""),"Uncle Sams Cider (11/12/2021) (Blue)")</f>
        <v>Uncle Sams Cider (11/12/2021) (Blue)</v>
      </c>
      <c r="H5625" s="19"/>
    </row>
    <row r="5626">
      <c r="A5626" s="9"/>
      <c r="B5626" s="15"/>
      <c r="C5626" s="9">
        <f>IFERROR(__xludf.DUMMYFUNCTION("""COMPUTED_VALUE"""),44546.5641385185)</f>
        <v>44546.56414</v>
      </c>
      <c r="D5626" s="15">
        <f>IFERROR(__xludf.DUMMYFUNCTION("""COMPUTED_VALUE"""),1.015)</f>
        <v>1.015</v>
      </c>
      <c r="E5626" s="16">
        <f>IFERROR(__xludf.DUMMYFUNCTION("""COMPUTED_VALUE"""),62.0)</f>
        <v>62</v>
      </c>
      <c r="F5626" s="19" t="str">
        <f>IFERROR(__xludf.DUMMYFUNCTION("""COMPUTED_VALUE"""),"BLUE")</f>
        <v>BLUE</v>
      </c>
      <c r="G5626" s="20" t="str">
        <f>IFERROR(__xludf.DUMMYFUNCTION("""COMPUTED_VALUE"""),"Uncle Sams Cider (11/12/2021) (Blue)")</f>
        <v>Uncle Sams Cider (11/12/2021) (Blue)</v>
      </c>
      <c r="H5626" s="19"/>
    </row>
    <row r="5627">
      <c r="A5627" s="9"/>
      <c r="B5627" s="15"/>
      <c r="C5627" s="9">
        <f>IFERROR(__xludf.DUMMYFUNCTION("""COMPUTED_VALUE"""),44546.5537171759)</f>
        <v>44546.55372</v>
      </c>
      <c r="D5627" s="15">
        <f>IFERROR(__xludf.DUMMYFUNCTION("""COMPUTED_VALUE"""),1.015)</f>
        <v>1.015</v>
      </c>
      <c r="E5627" s="16">
        <f>IFERROR(__xludf.DUMMYFUNCTION("""COMPUTED_VALUE"""),62.0)</f>
        <v>62</v>
      </c>
      <c r="F5627" s="19" t="str">
        <f>IFERROR(__xludf.DUMMYFUNCTION("""COMPUTED_VALUE"""),"BLUE")</f>
        <v>BLUE</v>
      </c>
      <c r="G5627" s="20" t="str">
        <f>IFERROR(__xludf.DUMMYFUNCTION("""COMPUTED_VALUE"""),"Uncle Sams Cider (11/12/2021) (Blue)")</f>
        <v>Uncle Sams Cider (11/12/2021) (Blue)</v>
      </c>
      <c r="H5627" s="19"/>
    </row>
    <row r="5628">
      <c r="A5628" s="9"/>
      <c r="B5628" s="15"/>
      <c r="C5628" s="9">
        <f>IFERROR(__xludf.DUMMYFUNCTION("""COMPUTED_VALUE"""),44546.5432952314)</f>
        <v>44546.5433</v>
      </c>
      <c r="D5628" s="15">
        <f>IFERROR(__xludf.DUMMYFUNCTION("""COMPUTED_VALUE"""),1.015)</f>
        <v>1.015</v>
      </c>
      <c r="E5628" s="16">
        <f>IFERROR(__xludf.DUMMYFUNCTION("""COMPUTED_VALUE"""),62.0)</f>
        <v>62</v>
      </c>
      <c r="F5628" s="19" t="str">
        <f>IFERROR(__xludf.DUMMYFUNCTION("""COMPUTED_VALUE"""),"BLUE")</f>
        <v>BLUE</v>
      </c>
      <c r="G5628" s="20" t="str">
        <f>IFERROR(__xludf.DUMMYFUNCTION("""COMPUTED_VALUE"""),"Uncle Sams Cider (11/12/2021) (Blue)")</f>
        <v>Uncle Sams Cider (11/12/2021) (Blue)</v>
      </c>
      <c r="H5628" s="19"/>
    </row>
    <row r="5629">
      <c r="A5629" s="9"/>
      <c r="B5629" s="15"/>
      <c r="C5629" s="9">
        <f>IFERROR(__xludf.DUMMYFUNCTION("""COMPUTED_VALUE"""),44546.5328736342)</f>
        <v>44546.53287</v>
      </c>
      <c r="D5629" s="15">
        <f>IFERROR(__xludf.DUMMYFUNCTION("""COMPUTED_VALUE"""),1.015)</f>
        <v>1.015</v>
      </c>
      <c r="E5629" s="16">
        <f>IFERROR(__xludf.DUMMYFUNCTION("""COMPUTED_VALUE"""),62.0)</f>
        <v>62</v>
      </c>
      <c r="F5629" s="19" t="str">
        <f>IFERROR(__xludf.DUMMYFUNCTION("""COMPUTED_VALUE"""),"BLUE")</f>
        <v>BLUE</v>
      </c>
      <c r="G5629" s="20" t="str">
        <f>IFERROR(__xludf.DUMMYFUNCTION("""COMPUTED_VALUE"""),"Uncle Sams Cider (11/12/2021) (Blue)")</f>
        <v>Uncle Sams Cider (11/12/2021) (Blue)</v>
      </c>
      <c r="H5629" s="19"/>
    </row>
    <row r="5630">
      <c r="A5630" s="9"/>
      <c r="B5630" s="15"/>
      <c r="C5630" s="9">
        <f>IFERROR(__xludf.DUMMYFUNCTION("""COMPUTED_VALUE"""),44546.5224515972)</f>
        <v>44546.52245</v>
      </c>
      <c r="D5630" s="15">
        <f>IFERROR(__xludf.DUMMYFUNCTION("""COMPUTED_VALUE"""),1.015)</f>
        <v>1.015</v>
      </c>
      <c r="E5630" s="16">
        <f>IFERROR(__xludf.DUMMYFUNCTION("""COMPUTED_VALUE"""),62.0)</f>
        <v>62</v>
      </c>
      <c r="F5630" s="19" t="str">
        <f>IFERROR(__xludf.DUMMYFUNCTION("""COMPUTED_VALUE"""),"BLUE")</f>
        <v>BLUE</v>
      </c>
      <c r="G5630" s="20" t="str">
        <f>IFERROR(__xludf.DUMMYFUNCTION("""COMPUTED_VALUE"""),"Uncle Sams Cider (11/12/2021) (Blue)")</f>
        <v>Uncle Sams Cider (11/12/2021) (Blue)</v>
      </c>
      <c r="H5630" s="19"/>
    </row>
    <row r="5631">
      <c r="A5631" s="9"/>
      <c r="B5631" s="15"/>
      <c r="C5631" s="9">
        <f>IFERROR(__xludf.DUMMYFUNCTION("""COMPUTED_VALUE"""),44546.5120325925)</f>
        <v>44546.51203</v>
      </c>
      <c r="D5631" s="15">
        <f>IFERROR(__xludf.DUMMYFUNCTION("""COMPUTED_VALUE"""),1.015)</f>
        <v>1.015</v>
      </c>
      <c r="E5631" s="16">
        <f>IFERROR(__xludf.DUMMYFUNCTION("""COMPUTED_VALUE"""),62.0)</f>
        <v>62</v>
      </c>
      <c r="F5631" s="19" t="str">
        <f>IFERROR(__xludf.DUMMYFUNCTION("""COMPUTED_VALUE"""),"BLUE")</f>
        <v>BLUE</v>
      </c>
      <c r="G5631" s="20" t="str">
        <f>IFERROR(__xludf.DUMMYFUNCTION("""COMPUTED_VALUE"""),"Uncle Sams Cider (11/12/2021) (Blue)")</f>
        <v>Uncle Sams Cider (11/12/2021) (Blue)</v>
      </c>
      <c r="H5631" s="19"/>
    </row>
    <row r="5632">
      <c r="A5632" s="9"/>
      <c r="B5632" s="15"/>
      <c r="C5632" s="9">
        <f>IFERROR(__xludf.DUMMYFUNCTION("""COMPUTED_VALUE"""),44546.5016119791)</f>
        <v>44546.50161</v>
      </c>
      <c r="D5632" s="15">
        <f>IFERROR(__xludf.DUMMYFUNCTION("""COMPUTED_VALUE"""),1.015)</f>
        <v>1.015</v>
      </c>
      <c r="E5632" s="16">
        <f>IFERROR(__xludf.DUMMYFUNCTION("""COMPUTED_VALUE"""),62.0)</f>
        <v>62</v>
      </c>
      <c r="F5632" s="19" t="str">
        <f>IFERROR(__xludf.DUMMYFUNCTION("""COMPUTED_VALUE"""),"BLUE")</f>
        <v>BLUE</v>
      </c>
      <c r="G5632" s="20" t="str">
        <f>IFERROR(__xludf.DUMMYFUNCTION("""COMPUTED_VALUE"""),"Uncle Sams Cider (11/12/2021) (Blue)")</f>
        <v>Uncle Sams Cider (11/12/2021) (Blue)</v>
      </c>
      <c r="H5632" s="19"/>
    </row>
    <row r="5633">
      <c r="A5633" s="9"/>
      <c r="B5633" s="15"/>
      <c r="C5633" s="9">
        <f>IFERROR(__xludf.DUMMYFUNCTION("""COMPUTED_VALUE"""),44546.4911911805)</f>
        <v>44546.49119</v>
      </c>
      <c r="D5633" s="15">
        <f>IFERROR(__xludf.DUMMYFUNCTION("""COMPUTED_VALUE"""),1.015)</f>
        <v>1.015</v>
      </c>
      <c r="E5633" s="16">
        <f>IFERROR(__xludf.DUMMYFUNCTION("""COMPUTED_VALUE"""),62.0)</f>
        <v>62</v>
      </c>
      <c r="F5633" s="19" t="str">
        <f>IFERROR(__xludf.DUMMYFUNCTION("""COMPUTED_VALUE"""),"BLUE")</f>
        <v>BLUE</v>
      </c>
      <c r="G5633" s="20" t="str">
        <f>IFERROR(__xludf.DUMMYFUNCTION("""COMPUTED_VALUE"""),"Uncle Sams Cider (11/12/2021) (Blue)")</f>
        <v>Uncle Sams Cider (11/12/2021) (Blue)</v>
      </c>
      <c r="H5633" s="19"/>
    </row>
    <row r="5634">
      <c r="A5634" s="9"/>
      <c r="B5634" s="15"/>
      <c r="C5634" s="9">
        <f>IFERROR(__xludf.DUMMYFUNCTION("""COMPUTED_VALUE"""),44546.4807699189)</f>
        <v>44546.48077</v>
      </c>
      <c r="D5634" s="15">
        <f>IFERROR(__xludf.DUMMYFUNCTION("""COMPUTED_VALUE"""),1.015)</f>
        <v>1.015</v>
      </c>
      <c r="E5634" s="16">
        <f>IFERROR(__xludf.DUMMYFUNCTION("""COMPUTED_VALUE"""),62.0)</f>
        <v>62</v>
      </c>
      <c r="F5634" s="19" t="str">
        <f>IFERROR(__xludf.DUMMYFUNCTION("""COMPUTED_VALUE"""),"BLUE")</f>
        <v>BLUE</v>
      </c>
      <c r="G5634" s="20" t="str">
        <f>IFERROR(__xludf.DUMMYFUNCTION("""COMPUTED_VALUE"""),"Uncle Sams Cider (11/12/2021) (Blue)")</f>
        <v>Uncle Sams Cider (11/12/2021) (Blue)</v>
      </c>
      <c r="H5634" s="19"/>
    </row>
    <row r="5635">
      <c r="A5635" s="9"/>
      <c r="B5635" s="15"/>
      <c r="C5635" s="9">
        <f>IFERROR(__xludf.DUMMYFUNCTION("""COMPUTED_VALUE"""),44546.4703370949)</f>
        <v>44546.47034</v>
      </c>
      <c r="D5635" s="15">
        <f>IFERROR(__xludf.DUMMYFUNCTION("""COMPUTED_VALUE"""),1.015)</f>
        <v>1.015</v>
      </c>
      <c r="E5635" s="16">
        <f>IFERROR(__xludf.DUMMYFUNCTION("""COMPUTED_VALUE"""),62.0)</f>
        <v>62</v>
      </c>
      <c r="F5635" s="19" t="str">
        <f>IFERROR(__xludf.DUMMYFUNCTION("""COMPUTED_VALUE"""),"BLUE")</f>
        <v>BLUE</v>
      </c>
      <c r="G5635" s="20" t="str">
        <f>IFERROR(__xludf.DUMMYFUNCTION("""COMPUTED_VALUE"""),"Uncle Sams Cider (11/12/2021) (Blue)")</f>
        <v>Uncle Sams Cider (11/12/2021) (Blue)</v>
      </c>
      <c r="H5635" s="19"/>
    </row>
    <row r="5636">
      <c r="A5636" s="9"/>
      <c r="B5636" s="15"/>
      <c r="C5636" s="9">
        <f>IFERROR(__xludf.DUMMYFUNCTION("""COMPUTED_VALUE"""),44546.4599156597)</f>
        <v>44546.45992</v>
      </c>
      <c r="D5636" s="15">
        <f>IFERROR(__xludf.DUMMYFUNCTION("""COMPUTED_VALUE"""),1.015)</f>
        <v>1.015</v>
      </c>
      <c r="E5636" s="16">
        <f>IFERROR(__xludf.DUMMYFUNCTION("""COMPUTED_VALUE"""),62.0)</f>
        <v>62</v>
      </c>
      <c r="F5636" s="19" t="str">
        <f>IFERROR(__xludf.DUMMYFUNCTION("""COMPUTED_VALUE"""),"BLUE")</f>
        <v>BLUE</v>
      </c>
      <c r="G5636" s="20" t="str">
        <f>IFERROR(__xludf.DUMMYFUNCTION("""COMPUTED_VALUE"""),"Uncle Sams Cider (11/12/2021) (Blue)")</f>
        <v>Uncle Sams Cider (11/12/2021) (Blue)</v>
      </c>
      <c r="H5636" s="19"/>
    </row>
    <row r="5637">
      <c r="A5637" s="9"/>
      <c r="B5637" s="15"/>
      <c r="C5637" s="9">
        <f>IFERROR(__xludf.DUMMYFUNCTION("""COMPUTED_VALUE"""),44546.4494944907)</f>
        <v>44546.44949</v>
      </c>
      <c r="D5637" s="15">
        <f>IFERROR(__xludf.DUMMYFUNCTION("""COMPUTED_VALUE"""),1.015)</f>
        <v>1.015</v>
      </c>
      <c r="E5637" s="16">
        <f>IFERROR(__xludf.DUMMYFUNCTION("""COMPUTED_VALUE"""),62.0)</f>
        <v>62</v>
      </c>
      <c r="F5637" s="19" t="str">
        <f>IFERROR(__xludf.DUMMYFUNCTION("""COMPUTED_VALUE"""),"BLUE")</f>
        <v>BLUE</v>
      </c>
      <c r="G5637" s="20" t="str">
        <f>IFERROR(__xludf.DUMMYFUNCTION("""COMPUTED_VALUE"""),"Uncle Sams Cider (11/12/2021) (Blue)")</f>
        <v>Uncle Sams Cider (11/12/2021) (Blue)</v>
      </c>
      <c r="H5637" s="19"/>
    </row>
    <row r="5638">
      <c r="A5638" s="9"/>
      <c r="B5638" s="15"/>
      <c r="C5638" s="9">
        <f>IFERROR(__xludf.DUMMYFUNCTION("""COMPUTED_VALUE"""),44546.4390619675)</f>
        <v>44546.43906</v>
      </c>
      <c r="D5638" s="15">
        <f>IFERROR(__xludf.DUMMYFUNCTION("""COMPUTED_VALUE"""),1.015)</f>
        <v>1.015</v>
      </c>
      <c r="E5638" s="16">
        <f>IFERROR(__xludf.DUMMYFUNCTION("""COMPUTED_VALUE"""),62.0)</f>
        <v>62</v>
      </c>
      <c r="F5638" s="19" t="str">
        <f>IFERROR(__xludf.DUMMYFUNCTION("""COMPUTED_VALUE"""),"BLUE")</f>
        <v>BLUE</v>
      </c>
      <c r="G5638" s="20" t="str">
        <f>IFERROR(__xludf.DUMMYFUNCTION("""COMPUTED_VALUE"""),"Uncle Sams Cider (11/12/2021) (Blue)")</f>
        <v>Uncle Sams Cider (11/12/2021) (Blue)</v>
      </c>
      <c r="H5638" s="19"/>
    </row>
    <row r="5639">
      <c r="A5639" s="9"/>
      <c r="B5639" s="15"/>
      <c r="C5639" s="9">
        <f>IFERROR(__xludf.DUMMYFUNCTION("""COMPUTED_VALUE"""),44546.4286427199)</f>
        <v>44546.42864</v>
      </c>
      <c r="D5639" s="15">
        <f>IFERROR(__xludf.DUMMYFUNCTION("""COMPUTED_VALUE"""),1.015)</f>
        <v>1.015</v>
      </c>
      <c r="E5639" s="16">
        <f>IFERROR(__xludf.DUMMYFUNCTION("""COMPUTED_VALUE"""),62.0)</f>
        <v>62</v>
      </c>
      <c r="F5639" s="19" t="str">
        <f>IFERROR(__xludf.DUMMYFUNCTION("""COMPUTED_VALUE"""),"BLUE")</f>
        <v>BLUE</v>
      </c>
      <c r="G5639" s="20" t="str">
        <f>IFERROR(__xludf.DUMMYFUNCTION("""COMPUTED_VALUE"""),"Uncle Sams Cider (11/12/2021) (Blue)")</f>
        <v>Uncle Sams Cider (11/12/2021) (Blue)</v>
      </c>
      <c r="H5639" s="19"/>
    </row>
    <row r="5640">
      <c r="A5640" s="9"/>
      <c r="B5640" s="15"/>
      <c r="C5640" s="9">
        <f>IFERROR(__xludf.DUMMYFUNCTION("""COMPUTED_VALUE"""),44546.4182101736)</f>
        <v>44546.41821</v>
      </c>
      <c r="D5640" s="15">
        <f>IFERROR(__xludf.DUMMYFUNCTION("""COMPUTED_VALUE"""),1.015)</f>
        <v>1.015</v>
      </c>
      <c r="E5640" s="16">
        <f>IFERROR(__xludf.DUMMYFUNCTION("""COMPUTED_VALUE"""),62.0)</f>
        <v>62</v>
      </c>
      <c r="F5640" s="19" t="str">
        <f>IFERROR(__xludf.DUMMYFUNCTION("""COMPUTED_VALUE"""),"BLUE")</f>
        <v>BLUE</v>
      </c>
      <c r="G5640" s="20" t="str">
        <f>IFERROR(__xludf.DUMMYFUNCTION("""COMPUTED_VALUE"""),"Uncle Sams Cider (11/12/2021) (Blue)")</f>
        <v>Uncle Sams Cider (11/12/2021) (Blue)</v>
      </c>
      <c r="H5640" s="19"/>
    </row>
    <row r="5641">
      <c r="A5641" s="9"/>
      <c r="B5641" s="15"/>
      <c r="C5641" s="9">
        <f>IFERROR(__xludf.DUMMYFUNCTION("""COMPUTED_VALUE"""),44546.4077892476)</f>
        <v>44546.40779</v>
      </c>
      <c r="D5641" s="15">
        <f>IFERROR(__xludf.DUMMYFUNCTION("""COMPUTED_VALUE"""),1.015)</f>
        <v>1.015</v>
      </c>
      <c r="E5641" s="16">
        <f>IFERROR(__xludf.DUMMYFUNCTION("""COMPUTED_VALUE"""),62.0)</f>
        <v>62</v>
      </c>
      <c r="F5641" s="19" t="str">
        <f>IFERROR(__xludf.DUMMYFUNCTION("""COMPUTED_VALUE"""),"BLUE")</f>
        <v>BLUE</v>
      </c>
      <c r="G5641" s="20" t="str">
        <f>IFERROR(__xludf.DUMMYFUNCTION("""COMPUTED_VALUE"""),"Uncle Sams Cider (11/12/2021) (Blue)")</f>
        <v>Uncle Sams Cider (11/12/2021) (Blue)</v>
      </c>
      <c r="H5641" s="19"/>
    </row>
    <row r="5642">
      <c r="A5642" s="9"/>
      <c r="B5642" s="15"/>
      <c r="C5642" s="9">
        <f>IFERROR(__xludf.DUMMYFUNCTION("""COMPUTED_VALUE"""),44546.3973578009)</f>
        <v>44546.39736</v>
      </c>
      <c r="D5642" s="15">
        <f>IFERROR(__xludf.DUMMYFUNCTION("""COMPUTED_VALUE"""),1.015)</f>
        <v>1.015</v>
      </c>
      <c r="E5642" s="16">
        <f>IFERROR(__xludf.DUMMYFUNCTION("""COMPUTED_VALUE"""),62.0)</f>
        <v>62</v>
      </c>
      <c r="F5642" s="19" t="str">
        <f>IFERROR(__xludf.DUMMYFUNCTION("""COMPUTED_VALUE"""),"BLUE")</f>
        <v>BLUE</v>
      </c>
      <c r="G5642" s="20" t="str">
        <f>IFERROR(__xludf.DUMMYFUNCTION("""COMPUTED_VALUE"""),"Uncle Sams Cider (11/12/2021) (Blue)")</f>
        <v>Uncle Sams Cider (11/12/2021) (Blue)</v>
      </c>
      <c r="H5642" s="19"/>
    </row>
    <row r="5643">
      <c r="A5643" s="9"/>
      <c r="B5643" s="15"/>
      <c r="C5643" s="9">
        <f>IFERROR(__xludf.DUMMYFUNCTION("""COMPUTED_VALUE"""),44546.3869365972)</f>
        <v>44546.38694</v>
      </c>
      <c r="D5643" s="15">
        <f>IFERROR(__xludf.DUMMYFUNCTION("""COMPUTED_VALUE"""),1.015)</f>
        <v>1.015</v>
      </c>
      <c r="E5643" s="16">
        <f>IFERROR(__xludf.DUMMYFUNCTION("""COMPUTED_VALUE"""),62.0)</f>
        <v>62</v>
      </c>
      <c r="F5643" s="19" t="str">
        <f>IFERROR(__xludf.DUMMYFUNCTION("""COMPUTED_VALUE"""),"BLUE")</f>
        <v>BLUE</v>
      </c>
      <c r="G5643" s="20" t="str">
        <f>IFERROR(__xludf.DUMMYFUNCTION("""COMPUTED_VALUE"""),"Uncle Sams Cider (11/12/2021) (Blue)")</f>
        <v>Uncle Sams Cider (11/12/2021) (Blue)</v>
      </c>
      <c r="H5643" s="19"/>
    </row>
    <row r="5644">
      <c r="A5644" s="9"/>
      <c r="B5644" s="15"/>
      <c r="C5644" s="9">
        <f>IFERROR(__xludf.DUMMYFUNCTION("""COMPUTED_VALUE"""),44546.3765147106)</f>
        <v>44546.37651</v>
      </c>
      <c r="D5644" s="15">
        <f>IFERROR(__xludf.DUMMYFUNCTION("""COMPUTED_VALUE"""),1.015)</f>
        <v>1.015</v>
      </c>
      <c r="E5644" s="16">
        <f>IFERROR(__xludf.DUMMYFUNCTION("""COMPUTED_VALUE"""),62.0)</f>
        <v>62</v>
      </c>
      <c r="F5644" s="19" t="str">
        <f>IFERROR(__xludf.DUMMYFUNCTION("""COMPUTED_VALUE"""),"BLUE")</f>
        <v>BLUE</v>
      </c>
      <c r="G5644" s="20" t="str">
        <f>IFERROR(__xludf.DUMMYFUNCTION("""COMPUTED_VALUE"""),"Uncle Sams Cider (11/12/2021) (Blue)")</f>
        <v>Uncle Sams Cider (11/12/2021) (Blue)</v>
      </c>
      <c r="H5644" s="19"/>
    </row>
    <row r="5645">
      <c r="A5645" s="9"/>
      <c r="B5645" s="15"/>
      <c r="C5645" s="9">
        <f>IFERROR(__xludf.DUMMYFUNCTION("""COMPUTED_VALUE"""),44546.3660939699)</f>
        <v>44546.36609</v>
      </c>
      <c r="D5645" s="15">
        <f>IFERROR(__xludf.DUMMYFUNCTION("""COMPUTED_VALUE"""),1.015)</f>
        <v>1.015</v>
      </c>
      <c r="E5645" s="16">
        <f>IFERROR(__xludf.DUMMYFUNCTION("""COMPUTED_VALUE"""),62.0)</f>
        <v>62</v>
      </c>
      <c r="F5645" s="19" t="str">
        <f>IFERROR(__xludf.DUMMYFUNCTION("""COMPUTED_VALUE"""),"BLUE")</f>
        <v>BLUE</v>
      </c>
      <c r="G5645" s="20" t="str">
        <f>IFERROR(__xludf.DUMMYFUNCTION("""COMPUTED_VALUE"""),"Uncle Sams Cider (11/12/2021) (Blue)")</f>
        <v>Uncle Sams Cider (11/12/2021) (Blue)</v>
      </c>
      <c r="H5645" s="19"/>
    </row>
    <row r="5646">
      <c r="A5646" s="9"/>
      <c r="B5646" s="15"/>
      <c r="C5646" s="9">
        <f>IFERROR(__xludf.DUMMYFUNCTION("""COMPUTED_VALUE"""),44546.3556731828)</f>
        <v>44546.35567</v>
      </c>
      <c r="D5646" s="15">
        <f>IFERROR(__xludf.DUMMYFUNCTION("""COMPUTED_VALUE"""),1.015)</f>
        <v>1.015</v>
      </c>
      <c r="E5646" s="16">
        <f>IFERROR(__xludf.DUMMYFUNCTION("""COMPUTED_VALUE"""),62.0)</f>
        <v>62</v>
      </c>
      <c r="F5646" s="19" t="str">
        <f>IFERROR(__xludf.DUMMYFUNCTION("""COMPUTED_VALUE"""),"BLUE")</f>
        <v>BLUE</v>
      </c>
      <c r="G5646" s="20" t="str">
        <f>IFERROR(__xludf.DUMMYFUNCTION("""COMPUTED_VALUE"""),"Uncle Sams Cider (11/12/2021) (Blue)")</f>
        <v>Uncle Sams Cider (11/12/2021) (Blue)</v>
      </c>
      <c r="H5646" s="19"/>
    </row>
    <row r="5647">
      <c r="A5647" s="9"/>
      <c r="B5647" s="15"/>
      <c r="C5647" s="9">
        <f>IFERROR(__xludf.DUMMYFUNCTION("""COMPUTED_VALUE"""),44546.3452384259)</f>
        <v>44546.34524</v>
      </c>
      <c r="D5647" s="15">
        <f>IFERROR(__xludf.DUMMYFUNCTION("""COMPUTED_VALUE"""),1.015)</f>
        <v>1.015</v>
      </c>
      <c r="E5647" s="16">
        <f>IFERROR(__xludf.DUMMYFUNCTION("""COMPUTED_VALUE"""),62.0)</f>
        <v>62</v>
      </c>
      <c r="F5647" s="19" t="str">
        <f>IFERROR(__xludf.DUMMYFUNCTION("""COMPUTED_VALUE"""),"BLUE")</f>
        <v>BLUE</v>
      </c>
      <c r="G5647" s="20" t="str">
        <f>IFERROR(__xludf.DUMMYFUNCTION("""COMPUTED_VALUE"""),"Uncle Sams Cider (11/12/2021) (Blue)")</f>
        <v>Uncle Sams Cider (11/12/2021) (Blue)</v>
      </c>
      <c r="H5647" s="19"/>
    </row>
    <row r="5648">
      <c r="A5648" s="9"/>
      <c r="B5648" s="15"/>
      <c r="C5648" s="9">
        <f>IFERROR(__xludf.DUMMYFUNCTION("""COMPUTED_VALUE"""),44546.3348179398)</f>
        <v>44546.33482</v>
      </c>
      <c r="D5648" s="15">
        <f>IFERROR(__xludf.DUMMYFUNCTION("""COMPUTED_VALUE"""),1.015)</f>
        <v>1.015</v>
      </c>
      <c r="E5648" s="16">
        <f>IFERROR(__xludf.DUMMYFUNCTION("""COMPUTED_VALUE"""),62.0)</f>
        <v>62</v>
      </c>
      <c r="F5648" s="19" t="str">
        <f>IFERROR(__xludf.DUMMYFUNCTION("""COMPUTED_VALUE"""),"BLUE")</f>
        <v>BLUE</v>
      </c>
      <c r="G5648" s="20" t="str">
        <f>IFERROR(__xludf.DUMMYFUNCTION("""COMPUTED_VALUE"""),"Uncle Sams Cider (11/12/2021) (Blue)")</f>
        <v>Uncle Sams Cider (11/12/2021) (Blue)</v>
      </c>
      <c r="H5648" s="19"/>
    </row>
    <row r="5649">
      <c r="A5649" s="9"/>
      <c r="B5649" s="15"/>
      <c r="C5649" s="9">
        <f>IFERROR(__xludf.DUMMYFUNCTION("""COMPUTED_VALUE"""),44546.3243975462)</f>
        <v>44546.3244</v>
      </c>
      <c r="D5649" s="15">
        <f>IFERROR(__xludf.DUMMYFUNCTION("""COMPUTED_VALUE"""),1.015)</f>
        <v>1.015</v>
      </c>
      <c r="E5649" s="16">
        <f>IFERROR(__xludf.DUMMYFUNCTION("""COMPUTED_VALUE"""),62.0)</f>
        <v>62</v>
      </c>
      <c r="F5649" s="19" t="str">
        <f>IFERROR(__xludf.DUMMYFUNCTION("""COMPUTED_VALUE"""),"BLUE")</f>
        <v>BLUE</v>
      </c>
      <c r="G5649" s="20" t="str">
        <f>IFERROR(__xludf.DUMMYFUNCTION("""COMPUTED_VALUE"""),"Uncle Sams Cider (11/12/2021) (Blue)")</f>
        <v>Uncle Sams Cider (11/12/2021) (Blue)</v>
      </c>
      <c r="H5649" s="19"/>
    </row>
    <row r="5650">
      <c r="A5650" s="9"/>
      <c r="B5650" s="15"/>
      <c r="C5650" s="9">
        <f>IFERROR(__xludf.DUMMYFUNCTION("""COMPUTED_VALUE"""),44546.3139529745)</f>
        <v>44546.31395</v>
      </c>
      <c r="D5650" s="15">
        <f>IFERROR(__xludf.DUMMYFUNCTION("""COMPUTED_VALUE"""),1.015)</f>
        <v>1.015</v>
      </c>
      <c r="E5650" s="16">
        <f>IFERROR(__xludf.DUMMYFUNCTION("""COMPUTED_VALUE"""),62.0)</f>
        <v>62</v>
      </c>
      <c r="F5650" s="19" t="str">
        <f>IFERROR(__xludf.DUMMYFUNCTION("""COMPUTED_VALUE"""),"BLUE")</f>
        <v>BLUE</v>
      </c>
      <c r="G5650" s="20" t="str">
        <f>IFERROR(__xludf.DUMMYFUNCTION("""COMPUTED_VALUE"""),"Uncle Sams Cider (11/12/2021) (Blue)")</f>
        <v>Uncle Sams Cider (11/12/2021) (Blue)</v>
      </c>
      <c r="H5650" s="19"/>
    </row>
    <row r="5651">
      <c r="A5651" s="9"/>
      <c r="B5651" s="15"/>
      <c r="C5651" s="9">
        <f>IFERROR(__xludf.DUMMYFUNCTION("""COMPUTED_VALUE"""),44546.3035321064)</f>
        <v>44546.30353</v>
      </c>
      <c r="D5651" s="15">
        <f>IFERROR(__xludf.DUMMYFUNCTION("""COMPUTED_VALUE"""),1.015)</f>
        <v>1.015</v>
      </c>
      <c r="E5651" s="16">
        <f>IFERROR(__xludf.DUMMYFUNCTION("""COMPUTED_VALUE"""),62.0)</f>
        <v>62</v>
      </c>
      <c r="F5651" s="19" t="str">
        <f>IFERROR(__xludf.DUMMYFUNCTION("""COMPUTED_VALUE"""),"BLUE")</f>
        <v>BLUE</v>
      </c>
      <c r="G5651" s="20" t="str">
        <f>IFERROR(__xludf.DUMMYFUNCTION("""COMPUTED_VALUE"""),"Uncle Sams Cider (11/12/2021) (Blue)")</f>
        <v>Uncle Sams Cider (11/12/2021) (Blue)</v>
      </c>
      <c r="H5651" s="19"/>
    </row>
    <row r="5652">
      <c r="A5652" s="9"/>
      <c r="B5652" s="15"/>
      <c r="C5652" s="9">
        <f>IFERROR(__xludf.DUMMYFUNCTION("""COMPUTED_VALUE"""),44546.2931124884)</f>
        <v>44546.29311</v>
      </c>
      <c r="D5652" s="15">
        <f>IFERROR(__xludf.DUMMYFUNCTION("""COMPUTED_VALUE"""),1.015)</f>
        <v>1.015</v>
      </c>
      <c r="E5652" s="16">
        <f>IFERROR(__xludf.DUMMYFUNCTION("""COMPUTED_VALUE"""),62.0)</f>
        <v>62</v>
      </c>
      <c r="F5652" s="19" t="str">
        <f>IFERROR(__xludf.DUMMYFUNCTION("""COMPUTED_VALUE"""),"BLUE")</f>
        <v>BLUE</v>
      </c>
      <c r="G5652" s="20" t="str">
        <f>IFERROR(__xludf.DUMMYFUNCTION("""COMPUTED_VALUE"""),"Uncle Sams Cider (11/12/2021) (Blue)")</f>
        <v>Uncle Sams Cider (11/12/2021) (Blue)</v>
      </c>
      <c r="H5652" s="19"/>
    </row>
    <row r="5653">
      <c r="A5653" s="9"/>
      <c r="B5653" s="15"/>
      <c r="C5653" s="9">
        <f>IFERROR(__xludf.DUMMYFUNCTION("""COMPUTED_VALUE"""),44546.2826930555)</f>
        <v>44546.28269</v>
      </c>
      <c r="D5653" s="15">
        <f>IFERROR(__xludf.DUMMYFUNCTION("""COMPUTED_VALUE"""),1.015)</f>
        <v>1.015</v>
      </c>
      <c r="E5653" s="16">
        <f>IFERROR(__xludf.DUMMYFUNCTION("""COMPUTED_VALUE"""),62.0)</f>
        <v>62</v>
      </c>
      <c r="F5653" s="19" t="str">
        <f>IFERROR(__xludf.DUMMYFUNCTION("""COMPUTED_VALUE"""),"BLUE")</f>
        <v>BLUE</v>
      </c>
      <c r="G5653" s="20" t="str">
        <f>IFERROR(__xludf.DUMMYFUNCTION("""COMPUTED_VALUE"""),"Uncle Sams Cider (11/12/2021) (Blue)")</f>
        <v>Uncle Sams Cider (11/12/2021) (Blue)</v>
      </c>
      <c r="H5653" s="19"/>
    </row>
    <row r="5654">
      <c r="A5654" s="9"/>
      <c r="B5654" s="15"/>
      <c r="C5654" s="9">
        <f>IFERROR(__xludf.DUMMYFUNCTION("""COMPUTED_VALUE"""),44546.2722702662)</f>
        <v>44546.27227</v>
      </c>
      <c r="D5654" s="15">
        <f>IFERROR(__xludf.DUMMYFUNCTION("""COMPUTED_VALUE"""),1.015)</f>
        <v>1.015</v>
      </c>
      <c r="E5654" s="16">
        <f>IFERROR(__xludf.DUMMYFUNCTION("""COMPUTED_VALUE"""),62.0)</f>
        <v>62</v>
      </c>
      <c r="F5654" s="19" t="str">
        <f>IFERROR(__xludf.DUMMYFUNCTION("""COMPUTED_VALUE"""),"BLUE")</f>
        <v>BLUE</v>
      </c>
      <c r="G5654" s="20" t="str">
        <f>IFERROR(__xludf.DUMMYFUNCTION("""COMPUTED_VALUE"""),"Uncle Sams Cider (11/12/2021) (Blue)")</f>
        <v>Uncle Sams Cider (11/12/2021) (Blue)</v>
      </c>
      <c r="H5654" s="19"/>
    </row>
    <row r="5655">
      <c r="A5655" s="9"/>
      <c r="B5655" s="15"/>
      <c r="C5655" s="9">
        <f>IFERROR(__xludf.DUMMYFUNCTION("""COMPUTED_VALUE"""),44546.2618478472)</f>
        <v>44546.26185</v>
      </c>
      <c r="D5655" s="15">
        <f>IFERROR(__xludf.DUMMYFUNCTION("""COMPUTED_VALUE"""),1.015)</f>
        <v>1.015</v>
      </c>
      <c r="E5655" s="16">
        <f>IFERROR(__xludf.DUMMYFUNCTION("""COMPUTED_VALUE"""),62.0)</f>
        <v>62</v>
      </c>
      <c r="F5655" s="19" t="str">
        <f>IFERROR(__xludf.DUMMYFUNCTION("""COMPUTED_VALUE"""),"BLUE")</f>
        <v>BLUE</v>
      </c>
      <c r="G5655" s="20" t="str">
        <f>IFERROR(__xludf.DUMMYFUNCTION("""COMPUTED_VALUE"""),"Uncle Sams Cider (11/12/2021) (Blue)")</f>
        <v>Uncle Sams Cider (11/12/2021) (Blue)</v>
      </c>
      <c r="H5655" s="19"/>
    </row>
    <row r="5656">
      <c r="A5656" s="9"/>
      <c r="B5656" s="15"/>
      <c r="C5656" s="9">
        <f>IFERROR(__xludf.DUMMYFUNCTION("""COMPUTED_VALUE"""),44546.2514272337)</f>
        <v>44546.25143</v>
      </c>
      <c r="D5656" s="15">
        <f>IFERROR(__xludf.DUMMYFUNCTION("""COMPUTED_VALUE"""),1.015)</f>
        <v>1.015</v>
      </c>
      <c r="E5656" s="16">
        <f>IFERROR(__xludf.DUMMYFUNCTION("""COMPUTED_VALUE"""),62.0)</f>
        <v>62</v>
      </c>
      <c r="F5656" s="19" t="str">
        <f>IFERROR(__xludf.DUMMYFUNCTION("""COMPUTED_VALUE"""),"BLUE")</f>
        <v>BLUE</v>
      </c>
      <c r="G5656" s="20" t="str">
        <f>IFERROR(__xludf.DUMMYFUNCTION("""COMPUTED_VALUE"""),"Uncle Sams Cider (11/12/2021) (Blue)")</f>
        <v>Uncle Sams Cider (11/12/2021) (Blue)</v>
      </c>
      <c r="H5656" s="19"/>
    </row>
    <row r="5657">
      <c r="A5657" s="9"/>
      <c r="B5657" s="15"/>
      <c r="C5657" s="9">
        <f>IFERROR(__xludf.DUMMYFUNCTION("""COMPUTED_VALUE"""),44546.2410067592)</f>
        <v>44546.24101</v>
      </c>
      <c r="D5657" s="15">
        <f>IFERROR(__xludf.DUMMYFUNCTION("""COMPUTED_VALUE"""),1.015)</f>
        <v>1.015</v>
      </c>
      <c r="E5657" s="16">
        <f>IFERROR(__xludf.DUMMYFUNCTION("""COMPUTED_VALUE"""),62.0)</f>
        <v>62</v>
      </c>
      <c r="F5657" s="19" t="str">
        <f>IFERROR(__xludf.DUMMYFUNCTION("""COMPUTED_VALUE"""),"BLUE")</f>
        <v>BLUE</v>
      </c>
      <c r="G5657" s="20" t="str">
        <f>IFERROR(__xludf.DUMMYFUNCTION("""COMPUTED_VALUE"""),"Uncle Sams Cider (11/12/2021) (Blue)")</f>
        <v>Uncle Sams Cider (11/12/2021) (Blue)</v>
      </c>
      <c r="H5657" s="19"/>
    </row>
    <row r="5658">
      <c r="A5658" s="9"/>
      <c r="B5658" s="15"/>
      <c r="C5658" s="9">
        <f>IFERROR(__xludf.DUMMYFUNCTION("""COMPUTED_VALUE"""),44546.2305824884)</f>
        <v>44546.23058</v>
      </c>
      <c r="D5658" s="15">
        <f>IFERROR(__xludf.DUMMYFUNCTION("""COMPUTED_VALUE"""),1.015)</f>
        <v>1.015</v>
      </c>
      <c r="E5658" s="16">
        <f>IFERROR(__xludf.DUMMYFUNCTION("""COMPUTED_VALUE"""),62.0)</f>
        <v>62</v>
      </c>
      <c r="F5658" s="19" t="str">
        <f>IFERROR(__xludf.DUMMYFUNCTION("""COMPUTED_VALUE"""),"BLUE")</f>
        <v>BLUE</v>
      </c>
      <c r="G5658" s="20" t="str">
        <f>IFERROR(__xludf.DUMMYFUNCTION("""COMPUTED_VALUE"""),"Uncle Sams Cider (11/12/2021) (Blue)")</f>
        <v>Uncle Sams Cider (11/12/2021) (Blue)</v>
      </c>
      <c r="H5658" s="19"/>
    </row>
    <row r="5659">
      <c r="A5659" s="9"/>
      <c r="B5659" s="15"/>
      <c r="C5659" s="9">
        <f>IFERROR(__xludf.DUMMYFUNCTION("""COMPUTED_VALUE"""),44546.2201607407)</f>
        <v>44546.22016</v>
      </c>
      <c r="D5659" s="15">
        <f>IFERROR(__xludf.DUMMYFUNCTION("""COMPUTED_VALUE"""),1.015)</f>
        <v>1.015</v>
      </c>
      <c r="E5659" s="16">
        <f>IFERROR(__xludf.DUMMYFUNCTION("""COMPUTED_VALUE"""),62.0)</f>
        <v>62</v>
      </c>
      <c r="F5659" s="19" t="str">
        <f>IFERROR(__xludf.DUMMYFUNCTION("""COMPUTED_VALUE"""),"BLUE")</f>
        <v>BLUE</v>
      </c>
      <c r="G5659" s="20" t="str">
        <f>IFERROR(__xludf.DUMMYFUNCTION("""COMPUTED_VALUE"""),"Uncle Sams Cider (11/12/2021) (Blue)")</f>
        <v>Uncle Sams Cider (11/12/2021) (Blue)</v>
      </c>
      <c r="H5659" s="19"/>
    </row>
    <row r="5660">
      <c r="A5660" s="9"/>
      <c r="B5660" s="15"/>
      <c r="C5660" s="9">
        <f>IFERROR(__xludf.DUMMYFUNCTION("""COMPUTED_VALUE"""),44546.2097397337)</f>
        <v>44546.20974</v>
      </c>
      <c r="D5660" s="15">
        <f>IFERROR(__xludf.DUMMYFUNCTION("""COMPUTED_VALUE"""),1.015)</f>
        <v>1.015</v>
      </c>
      <c r="E5660" s="16">
        <f>IFERROR(__xludf.DUMMYFUNCTION("""COMPUTED_VALUE"""),62.0)</f>
        <v>62</v>
      </c>
      <c r="F5660" s="19" t="str">
        <f>IFERROR(__xludf.DUMMYFUNCTION("""COMPUTED_VALUE"""),"BLUE")</f>
        <v>BLUE</v>
      </c>
      <c r="G5660" s="20" t="str">
        <f>IFERROR(__xludf.DUMMYFUNCTION("""COMPUTED_VALUE"""),"Uncle Sams Cider (11/12/2021) (Blue)")</f>
        <v>Uncle Sams Cider (11/12/2021) (Blue)</v>
      </c>
      <c r="H5660" s="19"/>
    </row>
    <row r="5661">
      <c r="A5661" s="9"/>
      <c r="B5661" s="15"/>
      <c r="C5661" s="9">
        <f>IFERROR(__xludf.DUMMYFUNCTION("""COMPUTED_VALUE"""),44546.1993174074)</f>
        <v>44546.19932</v>
      </c>
      <c r="D5661" s="15">
        <f>IFERROR(__xludf.DUMMYFUNCTION("""COMPUTED_VALUE"""),1.015)</f>
        <v>1.015</v>
      </c>
      <c r="E5661" s="16">
        <f>IFERROR(__xludf.DUMMYFUNCTION("""COMPUTED_VALUE"""),62.0)</f>
        <v>62</v>
      </c>
      <c r="F5661" s="19" t="str">
        <f>IFERROR(__xludf.DUMMYFUNCTION("""COMPUTED_VALUE"""),"BLUE")</f>
        <v>BLUE</v>
      </c>
      <c r="G5661" s="20" t="str">
        <f>IFERROR(__xludf.DUMMYFUNCTION("""COMPUTED_VALUE"""),"Uncle Sams Cider (11/12/2021) (Blue)")</f>
        <v>Uncle Sams Cider (11/12/2021) (Blue)</v>
      </c>
      <c r="H5661" s="19"/>
    </row>
    <row r="5662">
      <c r="A5662" s="9"/>
      <c r="B5662" s="15"/>
      <c r="C5662" s="9">
        <f>IFERROR(__xludf.DUMMYFUNCTION("""COMPUTED_VALUE"""),44546.1888967708)</f>
        <v>44546.1889</v>
      </c>
      <c r="D5662" s="15">
        <f>IFERROR(__xludf.DUMMYFUNCTION("""COMPUTED_VALUE"""),1.015)</f>
        <v>1.015</v>
      </c>
      <c r="E5662" s="16">
        <f>IFERROR(__xludf.DUMMYFUNCTION("""COMPUTED_VALUE"""),62.0)</f>
        <v>62</v>
      </c>
      <c r="F5662" s="19" t="str">
        <f>IFERROR(__xludf.DUMMYFUNCTION("""COMPUTED_VALUE"""),"BLUE")</f>
        <v>BLUE</v>
      </c>
      <c r="G5662" s="20" t="str">
        <f>IFERROR(__xludf.DUMMYFUNCTION("""COMPUTED_VALUE"""),"Uncle Sams Cider (11/12/2021) (Blue)")</f>
        <v>Uncle Sams Cider (11/12/2021) (Blue)</v>
      </c>
      <c r="H5662" s="19"/>
    </row>
    <row r="5663">
      <c r="A5663" s="9"/>
      <c r="B5663" s="15"/>
      <c r="C5663" s="9">
        <f>IFERROR(__xludf.DUMMYFUNCTION("""COMPUTED_VALUE"""),44546.1784741435)</f>
        <v>44546.17847</v>
      </c>
      <c r="D5663" s="15">
        <f>IFERROR(__xludf.DUMMYFUNCTION("""COMPUTED_VALUE"""),1.015)</f>
        <v>1.015</v>
      </c>
      <c r="E5663" s="16">
        <f>IFERROR(__xludf.DUMMYFUNCTION("""COMPUTED_VALUE"""),62.0)</f>
        <v>62</v>
      </c>
      <c r="F5663" s="19" t="str">
        <f>IFERROR(__xludf.DUMMYFUNCTION("""COMPUTED_VALUE"""),"BLUE")</f>
        <v>BLUE</v>
      </c>
      <c r="G5663" s="20" t="str">
        <f>IFERROR(__xludf.DUMMYFUNCTION("""COMPUTED_VALUE"""),"Uncle Sams Cider (11/12/2021) (Blue)")</f>
        <v>Uncle Sams Cider (11/12/2021) (Blue)</v>
      </c>
      <c r="H5663" s="19"/>
    </row>
    <row r="5664">
      <c r="A5664" s="9"/>
      <c r="B5664" s="15"/>
      <c r="C5664" s="9">
        <f>IFERROR(__xludf.DUMMYFUNCTION("""COMPUTED_VALUE"""),44546.168052662)</f>
        <v>44546.16805</v>
      </c>
      <c r="D5664" s="15">
        <f>IFERROR(__xludf.DUMMYFUNCTION("""COMPUTED_VALUE"""),1.015)</f>
        <v>1.015</v>
      </c>
      <c r="E5664" s="16">
        <f>IFERROR(__xludf.DUMMYFUNCTION("""COMPUTED_VALUE"""),62.0)</f>
        <v>62</v>
      </c>
      <c r="F5664" s="19" t="str">
        <f>IFERROR(__xludf.DUMMYFUNCTION("""COMPUTED_VALUE"""),"BLUE")</f>
        <v>BLUE</v>
      </c>
      <c r="G5664" s="20" t="str">
        <f>IFERROR(__xludf.DUMMYFUNCTION("""COMPUTED_VALUE"""),"Uncle Sams Cider (11/12/2021) (Blue)")</f>
        <v>Uncle Sams Cider (11/12/2021) (Blue)</v>
      </c>
      <c r="H5664" s="19"/>
    </row>
    <row r="5665">
      <c r="A5665" s="9"/>
      <c r="B5665" s="15"/>
      <c r="C5665" s="9">
        <f>IFERROR(__xludf.DUMMYFUNCTION("""COMPUTED_VALUE"""),44546.1576298958)</f>
        <v>44546.15763</v>
      </c>
      <c r="D5665" s="15">
        <f>IFERROR(__xludf.DUMMYFUNCTION("""COMPUTED_VALUE"""),1.015)</f>
        <v>1.015</v>
      </c>
      <c r="E5665" s="16">
        <f>IFERROR(__xludf.DUMMYFUNCTION("""COMPUTED_VALUE"""),62.0)</f>
        <v>62</v>
      </c>
      <c r="F5665" s="19" t="str">
        <f>IFERROR(__xludf.DUMMYFUNCTION("""COMPUTED_VALUE"""),"BLUE")</f>
        <v>BLUE</v>
      </c>
      <c r="G5665" s="20" t="str">
        <f>IFERROR(__xludf.DUMMYFUNCTION("""COMPUTED_VALUE"""),"Uncle Sams Cider (11/12/2021) (Blue)")</f>
        <v>Uncle Sams Cider (11/12/2021) (Blue)</v>
      </c>
      <c r="H5665" s="19"/>
    </row>
    <row r="5666">
      <c r="A5666" s="9"/>
      <c r="B5666" s="15"/>
      <c r="C5666" s="9">
        <f>IFERROR(__xludf.DUMMYFUNCTION("""COMPUTED_VALUE"""),44546.1472090624)</f>
        <v>44546.14721</v>
      </c>
      <c r="D5666" s="15">
        <f>IFERROR(__xludf.DUMMYFUNCTION("""COMPUTED_VALUE"""),1.015)</f>
        <v>1.015</v>
      </c>
      <c r="E5666" s="16">
        <f>IFERROR(__xludf.DUMMYFUNCTION("""COMPUTED_VALUE"""),62.0)</f>
        <v>62</v>
      </c>
      <c r="F5666" s="19" t="str">
        <f>IFERROR(__xludf.DUMMYFUNCTION("""COMPUTED_VALUE"""),"BLUE")</f>
        <v>BLUE</v>
      </c>
      <c r="G5666" s="20" t="str">
        <f>IFERROR(__xludf.DUMMYFUNCTION("""COMPUTED_VALUE"""),"Uncle Sams Cider (11/12/2021) (Blue)")</f>
        <v>Uncle Sams Cider (11/12/2021) (Blue)</v>
      </c>
      <c r="H5666" s="19"/>
    </row>
    <row r="5667">
      <c r="A5667" s="9"/>
      <c r="B5667" s="15"/>
      <c r="C5667" s="9">
        <f>IFERROR(__xludf.DUMMYFUNCTION("""COMPUTED_VALUE"""),44546.1367873263)</f>
        <v>44546.13679</v>
      </c>
      <c r="D5667" s="15">
        <f>IFERROR(__xludf.DUMMYFUNCTION("""COMPUTED_VALUE"""),1.015)</f>
        <v>1.015</v>
      </c>
      <c r="E5667" s="16">
        <f>IFERROR(__xludf.DUMMYFUNCTION("""COMPUTED_VALUE"""),62.0)</f>
        <v>62</v>
      </c>
      <c r="F5667" s="19" t="str">
        <f>IFERROR(__xludf.DUMMYFUNCTION("""COMPUTED_VALUE"""),"BLUE")</f>
        <v>BLUE</v>
      </c>
      <c r="G5667" s="20" t="str">
        <f>IFERROR(__xludf.DUMMYFUNCTION("""COMPUTED_VALUE"""),"Uncle Sams Cider (11/12/2021) (Blue)")</f>
        <v>Uncle Sams Cider (11/12/2021) (Blue)</v>
      </c>
      <c r="H5667" s="19"/>
    </row>
    <row r="5668">
      <c r="A5668" s="9"/>
      <c r="B5668" s="15"/>
      <c r="C5668" s="9">
        <f>IFERROR(__xludf.DUMMYFUNCTION("""COMPUTED_VALUE"""),44546.1263662847)</f>
        <v>44546.12637</v>
      </c>
      <c r="D5668" s="15">
        <f>IFERROR(__xludf.DUMMYFUNCTION("""COMPUTED_VALUE"""),1.015)</f>
        <v>1.015</v>
      </c>
      <c r="E5668" s="16">
        <f>IFERROR(__xludf.DUMMYFUNCTION("""COMPUTED_VALUE"""),62.0)</f>
        <v>62</v>
      </c>
      <c r="F5668" s="19" t="str">
        <f>IFERROR(__xludf.DUMMYFUNCTION("""COMPUTED_VALUE"""),"BLUE")</f>
        <v>BLUE</v>
      </c>
      <c r="G5668" s="20" t="str">
        <f>IFERROR(__xludf.DUMMYFUNCTION("""COMPUTED_VALUE"""),"Uncle Sams Cider (11/12/2021) (Blue)")</f>
        <v>Uncle Sams Cider (11/12/2021) (Blue)</v>
      </c>
      <c r="H5668" s="19"/>
    </row>
    <row r="5669">
      <c r="A5669" s="9"/>
      <c r="B5669" s="15"/>
      <c r="C5669" s="9">
        <f>IFERROR(__xludf.DUMMYFUNCTION("""COMPUTED_VALUE"""),44546.1159452199)</f>
        <v>44546.11595</v>
      </c>
      <c r="D5669" s="15">
        <f>IFERROR(__xludf.DUMMYFUNCTION("""COMPUTED_VALUE"""),1.015)</f>
        <v>1.015</v>
      </c>
      <c r="E5669" s="16">
        <f>IFERROR(__xludf.DUMMYFUNCTION("""COMPUTED_VALUE"""),62.0)</f>
        <v>62</v>
      </c>
      <c r="F5669" s="19" t="str">
        <f>IFERROR(__xludf.DUMMYFUNCTION("""COMPUTED_VALUE"""),"BLUE")</f>
        <v>BLUE</v>
      </c>
      <c r="G5669" s="20" t="str">
        <f>IFERROR(__xludf.DUMMYFUNCTION("""COMPUTED_VALUE"""),"Uncle Sams Cider (11/12/2021) (Blue)")</f>
        <v>Uncle Sams Cider (11/12/2021) (Blue)</v>
      </c>
      <c r="H5669" s="19"/>
    </row>
    <row r="5670">
      <c r="A5670" s="9"/>
      <c r="B5670" s="15"/>
      <c r="C5670" s="9">
        <f>IFERROR(__xludf.DUMMYFUNCTION("""COMPUTED_VALUE"""),44546.10552478)</f>
        <v>44546.10552</v>
      </c>
      <c r="D5670" s="15">
        <f>IFERROR(__xludf.DUMMYFUNCTION("""COMPUTED_VALUE"""),1.015)</f>
        <v>1.015</v>
      </c>
      <c r="E5670" s="16">
        <f>IFERROR(__xludf.DUMMYFUNCTION("""COMPUTED_VALUE"""),62.0)</f>
        <v>62</v>
      </c>
      <c r="F5670" s="19" t="str">
        <f>IFERROR(__xludf.DUMMYFUNCTION("""COMPUTED_VALUE"""),"BLUE")</f>
        <v>BLUE</v>
      </c>
      <c r="G5670" s="20" t="str">
        <f>IFERROR(__xludf.DUMMYFUNCTION("""COMPUTED_VALUE"""),"Uncle Sams Cider (11/12/2021) (Blue)")</f>
        <v>Uncle Sams Cider (11/12/2021) (Blue)</v>
      </c>
      <c r="H5670" s="19"/>
    </row>
    <row r="5671">
      <c r="A5671" s="9"/>
      <c r="B5671" s="15"/>
      <c r="C5671" s="9">
        <f>IFERROR(__xludf.DUMMYFUNCTION("""COMPUTED_VALUE"""),44546.0951022685)</f>
        <v>44546.0951</v>
      </c>
      <c r="D5671" s="15">
        <f>IFERROR(__xludf.DUMMYFUNCTION("""COMPUTED_VALUE"""),1.015)</f>
        <v>1.015</v>
      </c>
      <c r="E5671" s="16">
        <f>IFERROR(__xludf.DUMMYFUNCTION("""COMPUTED_VALUE"""),62.0)</f>
        <v>62</v>
      </c>
      <c r="F5671" s="19" t="str">
        <f>IFERROR(__xludf.DUMMYFUNCTION("""COMPUTED_VALUE"""),"BLUE")</f>
        <v>BLUE</v>
      </c>
      <c r="G5671" s="20" t="str">
        <f>IFERROR(__xludf.DUMMYFUNCTION("""COMPUTED_VALUE"""),"Uncle Sams Cider (11/12/2021) (Blue)")</f>
        <v>Uncle Sams Cider (11/12/2021) (Blue)</v>
      </c>
      <c r="H5671" s="19"/>
    </row>
    <row r="5672">
      <c r="A5672" s="9"/>
      <c r="B5672" s="15"/>
      <c r="C5672" s="9">
        <f>IFERROR(__xludf.DUMMYFUNCTION("""COMPUTED_VALUE"""),44546.0846686689)</f>
        <v>44546.08467</v>
      </c>
      <c r="D5672" s="15">
        <f>IFERROR(__xludf.DUMMYFUNCTION("""COMPUTED_VALUE"""),1.015)</f>
        <v>1.015</v>
      </c>
      <c r="E5672" s="16">
        <f>IFERROR(__xludf.DUMMYFUNCTION("""COMPUTED_VALUE"""),62.0)</f>
        <v>62</v>
      </c>
      <c r="F5672" s="19" t="str">
        <f>IFERROR(__xludf.DUMMYFUNCTION("""COMPUTED_VALUE"""),"BLUE")</f>
        <v>BLUE</v>
      </c>
      <c r="G5672" s="20" t="str">
        <f>IFERROR(__xludf.DUMMYFUNCTION("""COMPUTED_VALUE"""),"Uncle Sams Cider (11/12/2021) (Blue)")</f>
        <v>Uncle Sams Cider (11/12/2021) (Blue)</v>
      </c>
      <c r="H5672" s="19"/>
    </row>
    <row r="5673">
      <c r="A5673" s="9"/>
      <c r="B5673" s="15"/>
      <c r="C5673" s="9">
        <f>IFERROR(__xludf.DUMMYFUNCTION("""COMPUTED_VALUE"""),44546.0742476388)</f>
        <v>44546.07425</v>
      </c>
      <c r="D5673" s="15">
        <f>IFERROR(__xludf.DUMMYFUNCTION("""COMPUTED_VALUE"""),1.015)</f>
        <v>1.015</v>
      </c>
      <c r="E5673" s="16">
        <f>IFERROR(__xludf.DUMMYFUNCTION("""COMPUTED_VALUE"""),62.0)</f>
        <v>62</v>
      </c>
      <c r="F5673" s="19" t="str">
        <f>IFERROR(__xludf.DUMMYFUNCTION("""COMPUTED_VALUE"""),"BLUE")</f>
        <v>BLUE</v>
      </c>
      <c r="G5673" s="20" t="str">
        <f>IFERROR(__xludf.DUMMYFUNCTION("""COMPUTED_VALUE"""),"Uncle Sams Cider (11/12/2021) (Blue)")</f>
        <v>Uncle Sams Cider (11/12/2021) (Blue)</v>
      </c>
      <c r="H5673" s="19"/>
    </row>
    <row r="5674">
      <c r="A5674" s="9"/>
      <c r="B5674" s="15"/>
      <c r="C5674" s="9">
        <f>IFERROR(__xludf.DUMMYFUNCTION("""COMPUTED_VALUE"""),44546.0638259375)</f>
        <v>44546.06383</v>
      </c>
      <c r="D5674" s="15">
        <f>IFERROR(__xludf.DUMMYFUNCTION("""COMPUTED_VALUE"""),1.015)</f>
        <v>1.015</v>
      </c>
      <c r="E5674" s="16">
        <f>IFERROR(__xludf.DUMMYFUNCTION("""COMPUTED_VALUE"""),62.0)</f>
        <v>62</v>
      </c>
      <c r="F5674" s="19" t="str">
        <f>IFERROR(__xludf.DUMMYFUNCTION("""COMPUTED_VALUE"""),"BLUE")</f>
        <v>BLUE</v>
      </c>
      <c r="G5674" s="20" t="str">
        <f>IFERROR(__xludf.DUMMYFUNCTION("""COMPUTED_VALUE"""),"Uncle Sams Cider (11/12/2021) (Blue)")</f>
        <v>Uncle Sams Cider (11/12/2021) (Blue)</v>
      </c>
      <c r="H5674" s="19"/>
    </row>
    <row r="5675">
      <c r="A5675" s="9"/>
      <c r="B5675" s="15"/>
      <c r="C5675" s="9">
        <f>IFERROR(__xludf.DUMMYFUNCTION("""COMPUTED_VALUE"""),44546.0534060995)</f>
        <v>44546.05341</v>
      </c>
      <c r="D5675" s="15">
        <f>IFERROR(__xludf.DUMMYFUNCTION("""COMPUTED_VALUE"""),1.015)</f>
        <v>1.015</v>
      </c>
      <c r="E5675" s="16">
        <f>IFERROR(__xludf.DUMMYFUNCTION("""COMPUTED_VALUE"""),62.0)</f>
        <v>62</v>
      </c>
      <c r="F5675" s="19" t="str">
        <f>IFERROR(__xludf.DUMMYFUNCTION("""COMPUTED_VALUE"""),"BLUE")</f>
        <v>BLUE</v>
      </c>
      <c r="G5675" s="20" t="str">
        <f>IFERROR(__xludf.DUMMYFUNCTION("""COMPUTED_VALUE"""),"Uncle Sams Cider (11/12/2021) (Blue)")</f>
        <v>Uncle Sams Cider (11/12/2021) (Blue)</v>
      </c>
      <c r="H5675" s="19"/>
    </row>
    <row r="5676">
      <c r="A5676" s="9"/>
      <c r="B5676" s="15"/>
      <c r="C5676" s="9">
        <f>IFERROR(__xludf.DUMMYFUNCTION("""COMPUTED_VALUE"""),44546.0429745717)</f>
        <v>44546.04297</v>
      </c>
      <c r="D5676" s="15">
        <f>IFERROR(__xludf.DUMMYFUNCTION("""COMPUTED_VALUE"""),1.015)</f>
        <v>1.015</v>
      </c>
      <c r="E5676" s="16">
        <f>IFERROR(__xludf.DUMMYFUNCTION("""COMPUTED_VALUE"""),62.0)</f>
        <v>62</v>
      </c>
      <c r="F5676" s="19" t="str">
        <f>IFERROR(__xludf.DUMMYFUNCTION("""COMPUTED_VALUE"""),"BLUE")</f>
        <v>BLUE</v>
      </c>
      <c r="G5676" s="20" t="str">
        <f>IFERROR(__xludf.DUMMYFUNCTION("""COMPUTED_VALUE"""),"Uncle Sams Cider (11/12/2021) (Blue)")</f>
        <v>Uncle Sams Cider (11/12/2021) (Blue)</v>
      </c>
      <c r="H5676" s="19"/>
    </row>
    <row r="5677">
      <c r="A5677" s="9"/>
      <c r="B5677" s="15"/>
      <c r="C5677" s="9">
        <f>IFERROR(__xludf.DUMMYFUNCTION("""COMPUTED_VALUE"""),44546.0325525578)</f>
        <v>44546.03255</v>
      </c>
      <c r="D5677" s="15">
        <f>IFERROR(__xludf.DUMMYFUNCTION("""COMPUTED_VALUE"""),1.015)</f>
        <v>1.015</v>
      </c>
      <c r="E5677" s="16">
        <f>IFERROR(__xludf.DUMMYFUNCTION("""COMPUTED_VALUE"""),62.0)</f>
        <v>62</v>
      </c>
      <c r="F5677" s="19" t="str">
        <f>IFERROR(__xludf.DUMMYFUNCTION("""COMPUTED_VALUE"""),"BLUE")</f>
        <v>BLUE</v>
      </c>
      <c r="G5677" s="20" t="str">
        <f>IFERROR(__xludf.DUMMYFUNCTION("""COMPUTED_VALUE"""),"Uncle Sams Cider (11/12/2021) (Blue)")</f>
        <v>Uncle Sams Cider (11/12/2021) (Blue)</v>
      </c>
      <c r="H5677" s="19"/>
    </row>
    <row r="5678">
      <c r="A5678" s="9"/>
      <c r="B5678" s="15"/>
      <c r="C5678" s="9">
        <f>IFERROR(__xludf.DUMMYFUNCTION("""COMPUTED_VALUE"""),44546.0221185995)</f>
        <v>44546.02212</v>
      </c>
      <c r="D5678" s="15">
        <f>IFERROR(__xludf.DUMMYFUNCTION("""COMPUTED_VALUE"""),1.015)</f>
        <v>1.015</v>
      </c>
      <c r="E5678" s="16">
        <f>IFERROR(__xludf.DUMMYFUNCTION("""COMPUTED_VALUE"""),62.0)</f>
        <v>62</v>
      </c>
      <c r="F5678" s="19" t="str">
        <f>IFERROR(__xludf.DUMMYFUNCTION("""COMPUTED_VALUE"""),"BLUE")</f>
        <v>BLUE</v>
      </c>
      <c r="G5678" s="20" t="str">
        <f>IFERROR(__xludf.DUMMYFUNCTION("""COMPUTED_VALUE"""),"Uncle Sams Cider (11/12/2021) (Blue)")</f>
        <v>Uncle Sams Cider (11/12/2021) (Blue)</v>
      </c>
      <c r="H5678" s="19"/>
    </row>
    <row r="5679">
      <c r="A5679" s="9"/>
      <c r="B5679" s="15"/>
      <c r="C5679" s="9">
        <f>IFERROR(__xludf.DUMMYFUNCTION("""COMPUTED_VALUE"""),44546.0116966782)</f>
        <v>44546.0117</v>
      </c>
      <c r="D5679" s="15">
        <f>IFERROR(__xludf.DUMMYFUNCTION("""COMPUTED_VALUE"""),1.015)</f>
        <v>1.015</v>
      </c>
      <c r="E5679" s="16">
        <f>IFERROR(__xludf.DUMMYFUNCTION("""COMPUTED_VALUE"""),62.0)</f>
        <v>62</v>
      </c>
      <c r="F5679" s="19" t="str">
        <f>IFERROR(__xludf.DUMMYFUNCTION("""COMPUTED_VALUE"""),"BLUE")</f>
        <v>BLUE</v>
      </c>
      <c r="G5679" s="20" t="str">
        <f>IFERROR(__xludf.DUMMYFUNCTION("""COMPUTED_VALUE"""),"Uncle Sams Cider (11/12/2021) (Blue)")</f>
        <v>Uncle Sams Cider (11/12/2021) (Blue)</v>
      </c>
      <c r="H5679" s="19"/>
    </row>
    <row r="5680">
      <c r="A5680" s="9"/>
      <c r="B5680" s="15"/>
      <c r="C5680" s="9">
        <f>IFERROR(__xludf.DUMMYFUNCTION("""COMPUTED_VALUE"""),44546.001276412)</f>
        <v>44546.00128</v>
      </c>
      <c r="D5680" s="15">
        <f>IFERROR(__xludf.DUMMYFUNCTION("""COMPUTED_VALUE"""),1.015)</f>
        <v>1.015</v>
      </c>
      <c r="E5680" s="16">
        <f>IFERROR(__xludf.DUMMYFUNCTION("""COMPUTED_VALUE"""),62.0)</f>
        <v>62</v>
      </c>
      <c r="F5680" s="19" t="str">
        <f>IFERROR(__xludf.DUMMYFUNCTION("""COMPUTED_VALUE"""),"BLUE")</f>
        <v>BLUE</v>
      </c>
      <c r="G5680" s="20" t="str">
        <f>IFERROR(__xludf.DUMMYFUNCTION("""COMPUTED_VALUE"""),"Uncle Sams Cider (11/12/2021) (Blue)")</f>
        <v>Uncle Sams Cider (11/12/2021) (Blue)</v>
      </c>
      <c r="H5680" s="19"/>
    </row>
    <row r="5681">
      <c r="A5681" s="9"/>
      <c r="B5681" s="15"/>
      <c r="C5681" s="9">
        <f>IFERROR(__xludf.DUMMYFUNCTION("""COMPUTED_VALUE"""),44545.9908544212)</f>
        <v>44545.99085</v>
      </c>
      <c r="D5681" s="15">
        <f>IFERROR(__xludf.DUMMYFUNCTION("""COMPUTED_VALUE"""),1.015)</f>
        <v>1.015</v>
      </c>
      <c r="E5681" s="16">
        <f>IFERROR(__xludf.DUMMYFUNCTION("""COMPUTED_VALUE"""),62.0)</f>
        <v>62</v>
      </c>
      <c r="F5681" s="19" t="str">
        <f>IFERROR(__xludf.DUMMYFUNCTION("""COMPUTED_VALUE"""),"BLUE")</f>
        <v>BLUE</v>
      </c>
      <c r="G5681" s="20" t="str">
        <f>IFERROR(__xludf.DUMMYFUNCTION("""COMPUTED_VALUE"""),"Uncle Sams Cider (11/12/2021) (Blue)")</f>
        <v>Uncle Sams Cider (11/12/2021) (Blue)</v>
      </c>
      <c r="H5681" s="19"/>
    </row>
    <row r="5682">
      <c r="A5682" s="9"/>
      <c r="B5682" s="15"/>
      <c r="C5682" s="9">
        <f>IFERROR(__xludf.DUMMYFUNCTION("""COMPUTED_VALUE"""),44545.9804340972)</f>
        <v>44545.98043</v>
      </c>
      <c r="D5682" s="15">
        <f>IFERROR(__xludf.DUMMYFUNCTION("""COMPUTED_VALUE"""),1.015)</f>
        <v>1.015</v>
      </c>
      <c r="E5682" s="16">
        <f>IFERROR(__xludf.DUMMYFUNCTION("""COMPUTED_VALUE"""),62.0)</f>
        <v>62</v>
      </c>
      <c r="F5682" s="19" t="str">
        <f>IFERROR(__xludf.DUMMYFUNCTION("""COMPUTED_VALUE"""),"BLUE")</f>
        <v>BLUE</v>
      </c>
      <c r="G5682" s="20" t="str">
        <f>IFERROR(__xludf.DUMMYFUNCTION("""COMPUTED_VALUE"""),"Uncle Sams Cider (11/12/2021) (Blue)")</f>
        <v>Uncle Sams Cider (11/12/2021) (Blue)</v>
      </c>
      <c r="H5682" s="19"/>
    </row>
    <row r="5683">
      <c r="A5683" s="9"/>
      <c r="B5683" s="15"/>
      <c r="C5683" s="9">
        <f>IFERROR(__xludf.DUMMYFUNCTION("""COMPUTED_VALUE"""),44545.9700121064)</f>
        <v>44545.97001</v>
      </c>
      <c r="D5683" s="15">
        <f>IFERROR(__xludf.DUMMYFUNCTION("""COMPUTED_VALUE"""),1.015)</f>
        <v>1.015</v>
      </c>
      <c r="E5683" s="16">
        <f>IFERROR(__xludf.DUMMYFUNCTION("""COMPUTED_VALUE"""),62.0)</f>
        <v>62</v>
      </c>
      <c r="F5683" s="19" t="str">
        <f>IFERROR(__xludf.DUMMYFUNCTION("""COMPUTED_VALUE"""),"BLUE")</f>
        <v>BLUE</v>
      </c>
      <c r="G5683" s="20" t="str">
        <f>IFERROR(__xludf.DUMMYFUNCTION("""COMPUTED_VALUE"""),"Uncle Sams Cider (11/12/2021) (Blue)")</f>
        <v>Uncle Sams Cider (11/12/2021) (Blue)</v>
      </c>
      <c r="H5683" s="19"/>
    </row>
    <row r="5684">
      <c r="A5684" s="9"/>
      <c r="B5684" s="15"/>
      <c r="C5684" s="9">
        <f>IFERROR(__xludf.DUMMYFUNCTION("""COMPUTED_VALUE"""),44545.9595787152)</f>
        <v>44545.95958</v>
      </c>
      <c r="D5684" s="15">
        <f>IFERROR(__xludf.DUMMYFUNCTION("""COMPUTED_VALUE"""),1.015)</f>
        <v>1.015</v>
      </c>
      <c r="E5684" s="16">
        <f>IFERROR(__xludf.DUMMYFUNCTION("""COMPUTED_VALUE"""),62.0)</f>
        <v>62</v>
      </c>
      <c r="F5684" s="19" t="str">
        <f>IFERROR(__xludf.DUMMYFUNCTION("""COMPUTED_VALUE"""),"BLUE")</f>
        <v>BLUE</v>
      </c>
      <c r="G5684" s="20" t="str">
        <f>IFERROR(__xludf.DUMMYFUNCTION("""COMPUTED_VALUE"""),"Uncle Sams Cider (11/12/2021) (Blue)")</f>
        <v>Uncle Sams Cider (11/12/2021) (Blue)</v>
      </c>
      <c r="H5684" s="19"/>
    </row>
    <row r="5685">
      <c r="A5685" s="9"/>
      <c r="B5685" s="15"/>
      <c r="C5685" s="9">
        <f>IFERROR(__xludf.DUMMYFUNCTION("""COMPUTED_VALUE"""),44545.949158287)</f>
        <v>44545.94916</v>
      </c>
      <c r="D5685" s="15">
        <f>IFERROR(__xludf.DUMMYFUNCTION("""COMPUTED_VALUE"""),1.015)</f>
        <v>1.015</v>
      </c>
      <c r="E5685" s="16">
        <f>IFERROR(__xludf.DUMMYFUNCTION("""COMPUTED_VALUE"""),62.0)</f>
        <v>62</v>
      </c>
      <c r="F5685" s="19" t="str">
        <f>IFERROR(__xludf.DUMMYFUNCTION("""COMPUTED_VALUE"""),"BLUE")</f>
        <v>BLUE</v>
      </c>
      <c r="G5685" s="20" t="str">
        <f>IFERROR(__xludf.DUMMYFUNCTION("""COMPUTED_VALUE"""),"Uncle Sams Cider (11/12/2021) (Blue)")</f>
        <v>Uncle Sams Cider (11/12/2021) (Blue)</v>
      </c>
      <c r="H5685" s="19"/>
    </row>
    <row r="5686">
      <c r="A5686" s="9"/>
      <c r="B5686" s="15"/>
      <c r="C5686" s="9">
        <f>IFERROR(__xludf.DUMMYFUNCTION("""COMPUTED_VALUE"""),44545.9387261342)</f>
        <v>44545.93873</v>
      </c>
      <c r="D5686" s="15">
        <f>IFERROR(__xludf.DUMMYFUNCTION("""COMPUTED_VALUE"""),1.015)</f>
        <v>1.015</v>
      </c>
      <c r="E5686" s="16">
        <f>IFERROR(__xludf.DUMMYFUNCTION("""COMPUTED_VALUE"""),62.0)</f>
        <v>62</v>
      </c>
      <c r="F5686" s="19" t="str">
        <f>IFERROR(__xludf.DUMMYFUNCTION("""COMPUTED_VALUE"""),"BLUE")</f>
        <v>BLUE</v>
      </c>
      <c r="G5686" s="20" t="str">
        <f>IFERROR(__xludf.DUMMYFUNCTION("""COMPUTED_VALUE"""),"Uncle Sams Cider (11/12/2021) (Blue)")</f>
        <v>Uncle Sams Cider (11/12/2021) (Blue)</v>
      </c>
      <c r="H5686" s="19"/>
    </row>
    <row r="5687">
      <c r="A5687" s="9"/>
      <c r="B5687" s="15"/>
      <c r="C5687" s="9">
        <f>IFERROR(__xludf.DUMMYFUNCTION("""COMPUTED_VALUE"""),44545.9282934837)</f>
        <v>44545.92829</v>
      </c>
      <c r="D5687" s="15">
        <f>IFERROR(__xludf.DUMMYFUNCTION("""COMPUTED_VALUE"""),1.015)</f>
        <v>1.015</v>
      </c>
      <c r="E5687" s="16">
        <f>IFERROR(__xludf.DUMMYFUNCTION("""COMPUTED_VALUE"""),62.0)</f>
        <v>62</v>
      </c>
      <c r="F5687" s="19" t="str">
        <f>IFERROR(__xludf.DUMMYFUNCTION("""COMPUTED_VALUE"""),"BLUE")</f>
        <v>BLUE</v>
      </c>
      <c r="G5687" s="20" t="str">
        <f>IFERROR(__xludf.DUMMYFUNCTION("""COMPUTED_VALUE"""),"Uncle Sams Cider (11/12/2021) (Blue)")</f>
        <v>Uncle Sams Cider (11/12/2021) (Blue)</v>
      </c>
      <c r="H5687" s="19"/>
    </row>
    <row r="5688">
      <c r="A5688" s="9"/>
      <c r="B5688" s="15"/>
      <c r="C5688" s="9">
        <f>IFERROR(__xludf.DUMMYFUNCTION("""COMPUTED_VALUE"""),44545.9178594328)</f>
        <v>44545.91786</v>
      </c>
      <c r="D5688" s="15">
        <f>IFERROR(__xludf.DUMMYFUNCTION("""COMPUTED_VALUE"""),1.015)</f>
        <v>1.015</v>
      </c>
      <c r="E5688" s="16">
        <f>IFERROR(__xludf.DUMMYFUNCTION("""COMPUTED_VALUE"""),62.0)</f>
        <v>62</v>
      </c>
      <c r="F5688" s="19" t="str">
        <f>IFERROR(__xludf.DUMMYFUNCTION("""COMPUTED_VALUE"""),"BLUE")</f>
        <v>BLUE</v>
      </c>
      <c r="G5688" s="20" t="str">
        <f>IFERROR(__xludf.DUMMYFUNCTION("""COMPUTED_VALUE"""),"Uncle Sams Cider (11/12/2021) (Blue)")</f>
        <v>Uncle Sams Cider (11/12/2021) (Blue)</v>
      </c>
      <c r="H5688" s="19"/>
    </row>
    <row r="5689">
      <c r="A5689" s="9"/>
      <c r="B5689" s="15"/>
      <c r="C5689" s="9">
        <f>IFERROR(__xludf.DUMMYFUNCTION("""COMPUTED_VALUE"""),44545.9074267361)</f>
        <v>44545.90743</v>
      </c>
      <c r="D5689" s="15">
        <f>IFERROR(__xludf.DUMMYFUNCTION("""COMPUTED_VALUE"""),1.015)</f>
        <v>1.015</v>
      </c>
      <c r="E5689" s="16">
        <f>IFERROR(__xludf.DUMMYFUNCTION("""COMPUTED_VALUE"""),62.0)</f>
        <v>62</v>
      </c>
      <c r="F5689" s="19" t="str">
        <f>IFERROR(__xludf.DUMMYFUNCTION("""COMPUTED_VALUE"""),"BLUE")</f>
        <v>BLUE</v>
      </c>
      <c r="G5689" s="20" t="str">
        <f>IFERROR(__xludf.DUMMYFUNCTION("""COMPUTED_VALUE"""),"Uncle Sams Cider (11/12/2021) (Blue)")</f>
        <v>Uncle Sams Cider (11/12/2021) (Blue)</v>
      </c>
      <c r="H5689" s="19"/>
    </row>
    <row r="5690">
      <c r="A5690" s="9"/>
      <c r="B5690" s="15"/>
      <c r="C5690" s="9">
        <f>IFERROR(__xludf.DUMMYFUNCTION("""COMPUTED_VALUE"""),44545.8970046643)</f>
        <v>44545.897</v>
      </c>
      <c r="D5690" s="15">
        <f>IFERROR(__xludf.DUMMYFUNCTION("""COMPUTED_VALUE"""),1.015)</f>
        <v>1.015</v>
      </c>
      <c r="E5690" s="16">
        <f>IFERROR(__xludf.DUMMYFUNCTION("""COMPUTED_VALUE"""),62.0)</f>
        <v>62</v>
      </c>
      <c r="F5690" s="19" t="str">
        <f>IFERROR(__xludf.DUMMYFUNCTION("""COMPUTED_VALUE"""),"BLUE")</f>
        <v>BLUE</v>
      </c>
      <c r="G5690" s="20" t="str">
        <f>IFERROR(__xludf.DUMMYFUNCTION("""COMPUTED_VALUE"""),"Uncle Sams Cider (11/12/2021) (Blue)")</f>
        <v>Uncle Sams Cider (11/12/2021) (Blue)</v>
      </c>
      <c r="H5690" s="19"/>
    </row>
    <row r="5691">
      <c r="A5691" s="9"/>
      <c r="B5691" s="15"/>
      <c r="C5691" s="9">
        <f>IFERROR(__xludf.DUMMYFUNCTION("""COMPUTED_VALUE"""),44545.886585162)</f>
        <v>44545.88659</v>
      </c>
      <c r="D5691" s="15">
        <f>IFERROR(__xludf.DUMMYFUNCTION("""COMPUTED_VALUE"""),1.015)</f>
        <v>1.015</v>
      </c>
      <c r="E5691" s="16">
        <f>IFERROR(__xludf.DUMMYFUNCTION("""COMPUTED_VALUE"""),62.0)</f>
        <v>62</v>
      </c>
      <c r="F5691" s="19" t="str">
        <f>IFERROR(__xludf.DUMMYFUNCTION("""COMPUTED_VALUE"""),"BLUE")</f>
        <v>BLUE</v>
      </c>
      <c r="G5691" s="20" t="str">
        <f>IFERROR(__xludf.DUMMYFUNCTION("""COMPUTED_VALUE"""),"Uncle Sams Cider (11/12/2021) (Blue)")</f>
        <v>Uncle Sams Cider (11/12/2021) (Blue)</v>
      </c>
      <c r="H5691" s="19"/>
    </row>
    <row r="5692">
      <c r="A5692" s="9"/>
      <c r="B5692" s="15"/>
      <c r="C5692" s="9">
        <f>IFERROR(__xludf.DUMMYFUNCTION("""COMPUTED_VALUE"""),44545.8761644212)</f>
        <v>44545.87616</v>
      </c>
      <c r="D5692" s="15">
        <f>IFERROR(__xludf.DUMMYFUNCTION("""COMPUTED_VALUE"""),1.015)</f>
        <v>1.015</v>
      </c>
      <c r="E5692" s="16">
        <f>IFERROR(__xludf.DUMMYFUNCTION("""COMPUTED_VALUE"""),62.0)</f>
        <v>62</v>
      </c>
      <c r="F5692" s="19" t="str">
        <f>IFERROR(__xludf.DUMMYFUNCTION("""COMPUTED_VALUE"""),"BLUE")</f>
        <v>BLUE</v>
      </c>
      <c r="G5692" s="20" t="str">
        <f>IFERROR(__xludf.DUMMYFUNCTION("""COMPUTED_VALUE"""),"Uncle Sams Cider (11/12/2021) (Blue)")</f>
        <v>Uncle Sams Cider (11/12/2021) (Blue)</v>
      </c>
      <c r="H5692" s="19"/>
    </row>
    <row r="5693">
      <c r="A5693" s="9"/>
      <c r="B5693" s="15"/>
      <c r="C5693" s="9">
        <f>IFERROR(__xludf.DUMMYFUNCTION("""COMPUTED_VALUE"""),44545.8657294097)</f>
        <v>44545.86573</v>
      </c>
      <c r="D5693" s="15">
        <f>IFERROR(__xludf.DUMMYFUNCTION("""COMPUTED_VALUE"""),1.015)</f>
        <v>1.015</v>
      </c>
      <c r="E5693" s="16">
        <f>IFERROR(__xludf.DUMMYFUNCTION("""COMPUTED_VALUE"""),62.0)</f>
        <v>62</v>
      </c>
      <c r="F5693" s="19" t="str">
        <f>IFERROR(__xludf.DUMMYFUNCTION("""COMPUTED_VALUE"""),"BLUE")</f>
        <v>BLUE</v>
      </c>
      <c r="G5693" s="20" t="str">
        <f>IFERROR(__xludf.DUMMYFUNCTION("""COMPUTED_VALUE"""),"Uncle Sams Cider (11/12/2021) (Blue)")</f>
        <v>Uncle Sams Cider (11/12/2021) (Blue)</v>
      </c>
      <c r="H5693" s="19"/>
    </row>
    <row r="5694">
      <c r="A5694" s="9"/>
      <c r="B5694" s="15"/>
      <c r="C5694" s="9">
        <f>IFERROR(__xludf.DUMMYFUNCTION("""COMPUTED_VALUE"""),44545.8553074537)</f>
        <v>44545.85531</v>
      </c>
      <c r="D5694" s="15">
        <f>IFERROR(__xludf.DUMMYFUNCTION("""COMPUTED_VALUE"""),1.015)</f>
        <v>1.015</v>
      </c>
      <c r="E5694" s="16">
        <f>IFERROR(__xludf.DUMMYFUNCTION("""COMPUTED_VALUE"""),62.0)</f>
        <v>62</v>
      </c>
      <c r="F5694" s="19" t="str">
        <f>IFERROR(__xludf.DUMMYFUNCTION("""COMPUTED_VALUE"""),"BLUE")</f>
        <v>BLUE</v>
      </c>
      <c r="G5694" s="20" t="str">
        <f>IFERROR(__xludf.DUMMYFUNCTION("""COMPUTED_VALUE"""),"Uncle Sams Cider (11/12/2021) (Blue)")</f>
        <v>Uncle Sams Cider (11/12/2021) (Blue)</v>
      </c>
      <c r="H5694" s="19"/>
    </row>
    <row r="5695">
      <c r="A5695" s="9"/>
      <c r="B5695" s="15"/>
      <c r="C5695" s="9">
        <f>IFERROR(__xludf.DUMMYFUNCTION("""COMPUTED_VALUE"""),44545.8448873148)</f>
        <v>44545.84489</v>
      </c>
      <c r="D5695" s="15">
        <f>IFERROR(__xludf.DUMMYFUNCTION("""COMPUTED_VALUE"""),1.015)</f>
        <v>1.015</v>
      </c>
      <c r="E5695" s="16">
        <f>IFERROR(__xludf.DUMMYFUNCTION("""COMPUTED_VALUE"""),62.0)</f>
        <v>62</v>
      </c>
      <c r="F5695" s="19" t="str">
        <f>IFERROR(__xludf.DUMMYFUNCTION("""COMPUTED_VALUE"""),"BLUE")</f>
        <v>BLUE</v>
      </c>
      <c r="G5695" s="20" t="str">
        <f>IFERROR(__xludf.DUMMYFUNCTION("""COMPUTED_VALUE"""),"Uncle Sams Cider (11/12/2021) (Blue)")</f>
        <v>Uncle Sams Cider (11/12/2021) (Blue)</v>
      </c>
      <c r="H5695" s="19"/>
    </row>
    <row r="5696">
      <c r="A5696" s="9"/>
      <c r="B5696" s="15"/>
      <c r="C5696" s="9">
        <f>IFERROR(__xludf.DUMMYFUNCTION("""COMPUTED_VALUE"""),44545.8344650925)</f>
        <v>44545.83447</v>
      </c>
      <c r="D5696" s="15">
        <f>IFERROR(__xludf.DUMMYFUNCTION("""COMPUTED_VALUE"""),1.015)</f>
        <v>1.015</v>
      </c>
      <c r="E5696" s="16">
        <f>IFERROR(__xludf.DUMMYFUNCTION("""COMPUTED_VALUE"""),62.0)</f>
        <v>62</v>
      </c>
      <c r="F5696" s="19" t="str">
        <f>IFERROR(__xludf.DUMMYFUNCTION("""COMPUTED_VALUE"""),"BLUE")</f>
        <v>BLUE</v>
      </c>
      <c r="G5696" s="20" t="str">
        <f>IFERROR(__xludf.DUMMYFUNCTION("""COMPUTED_VALUE"""),"Uncle Sams Cider (11/12/2021) (Blue)")</f>
        <v>Uncle Sams Cider (11/12/2021) (Blue)</v>
      </c>
      <c r="H5696" s="19"/>
    </row>
    <row r="5697">
      <c r="A5697" s="9"/>
      <c r="B5697" s="15"/>
      <c r="C5697" s="9">
        <f>IFERROR(__xludf.DUMMYFUNCTION("""COMPUTED_VALUE"""),44545.8240332523)</f>
        <v>44545.82403</v>
      </c>
      <c r="D5697" s="15">
        <f>IFERROR(__xludf.DUMMYFUNCTION("""COMPUTED_VALUE"""),1.015)</f>
        <v>1.015</v>
      </c>
      <c r="E5697" s="16">
        <f>IFERROR(__xludf.DUMMYFUNCTION("""COMPUTED_VALUE"""),62.0)</f>
        <v>62</v>
      </c>
      <c r="F5697" s="19" t="str">
        <f>IFERROR(__xludf.DUMMYFUNCTION("""COMPUTED_VALUE"""),"BLUE")</f>
        <v>BLUE</v>
      </c>
      <c r="G5697" s="20" t="str">
        <f>IFERROR(__xludf.DUMMYFUNCTION("""COMPUTED_VALUE"""),"Uncle Sams Cider (11/12/2021) (Blue)")</f>
        <v>Uncle Sams Cider (11/12/2021) (Blue)</v>
      </c>
      <c r="H5697" s="19"/>
    </row>
    <row r="5698">
      <c r="A5698" s="9"/>
      <c r="B5698" s="15"/>
      <c r="C5698" s="9">
        <f>IFERROR(__xludf.DUMMYFUNCTION("""COMPUTED_VALUE"""),44545.813612118)</f>
        <v>44545.81361</v>
      </c>
      <c r="D5698" s="15">
        <f>IFERROR(__xludf.DUMMYFUNCTION("""COMPUTED_VALUE"""),1.015)</f>
        <v>1.015</v>
      </c>
      <c r="E5698" s="16">
        <f>IFERROR(__xludf.DUMMYFUNCTION("""COMPUTED_VALUE"""),62.0)</f>
        <v>62</v>
      </c>
      <c r="F5698" s="19" t="str">
        <f>IFERROR(__xludf.DUMMYFUNCTION("""COMPUTED_VALUE"""),"BLUE")</f>
        <v>BLUE</v>
      </c>
      <c r="G5698" s="20" t="str">
        <f>IFERROR(__xludf.DUMMYFUNCTION("""COMPUTED_VALUE"""),"Uncle Sams Cider (11/12/2021) (Blue)")</f>
        <v>Uncle Sams Cider (11/12/2021) (Blue)</v>
      </c>
      <c r="H5698" s="19"/>
    </row>
    <row r="5699">
      <c r="A5699" s="9"/>
      <c r="B5699" s="15"/>
      <c r="C5699" s="9">
        <f>IFERROR(__xludf.DUMMYFUNCTION("""COMPUTED_VALUE"""),44545.8031889699)</f>
        <v>44545.80319</v>
      </c>
      <c r="D5699" s="15">
        <f>IFERROR(__xludf.DUMMYFUNCTION("""COMPUTED_VALUE"""),1.015)</f>
        <v>1.015</v>
      </c>
      <c r="E5699" s="16">
        <f>IFERROR(__xludf.DUMMYFUNCTION("""COMPUTED_VALUE"""),62.0)</f>
        <v>62</v>
      </c>
      <c r="F5699" s="19" t="str">
        <f>IFERROR(__xludf.DUMMYFUNCTION("""COMPUTED_VALUE"""),"BLUE")</f>
        <v>BLUE</v>
      </c>
      <c r="G5699" s="20" t="str">
        <f>IFERROR(__xludf.DUMMYFUNCTION("""COMPUTED_VALUE"""),"Uncle Sams Cider (11/12/2021) (Blue)")</f>
        <v>Uncle Sams Cider (11/12/2021) (Blue)</v>
      </c>
      <c r="H5699" s="19"/>
    </row>
    <row r="5700">
      <c r="A5700" s="9"/>
      <c r="B5700" s="15"/>
      <c r="C5700" s="9">
        <f>IFERROR(__xludf.DUMMYFUNCTION("""COMPUTED_VALUE"""),44545.7927672106)</f>
        <v>44545.79277</v>
      </c>
      <c r="D5700" s="15">
        <f>IFERROR(__xludf.DUMMYFUNCTION("""COMPUTED_VALUE"""),1.015)</f>
        <v>1.015</v>
      </c>
      <c r="E5700" s="16">
        <f>IFERROR(__xludf.DUMMYFUNCTION("""COMPUTED_VALUE"""),62.0)</f>
        <v>62</v>
      </c>
      <c r="F5700" s="19" t="str">
        <f>IFERROR(__xludf.DUMMYFUNCTION("""COMPUTED_VALUE"""),"BLUE")</f>
        <v>BLUE</v>
      </c>
      <c r="G5700" s="20" t="str">
        <f>IFERROR(__xludf.DUMMYFUNCTION("""COMPUTED_VALUE"""),"Uncle Sams Cider (11/12/2021) (Blue)")</f>
        <v>Uncle Sams Cider (11/12/2021) (Blue)</v>
      </c>
      <c r="H5700" s="19"/>
    </row>
    <row r="5701">
      <c r="A5701" s="9"/>
      <c r="B5701" s="15"/>
      <c r="C5701" s="9">
        <f>IFERROR(__xludf.DUMMYFUNCTION("""COMPUTED_VALUE"""),44545.7823467013)</f>
        <v>44545.78235</v>
      </c>
      <c r="D5701" s="15">
        <f>IFERROR(__xludf.DUMMYFUNCTION("""COMPUTED_VALUE"""),1.015)</f>
        <v>1.015</v>
      </c>
      <c r="E5701" s="16">
        <f>IFERROR(__xludf.DUMMYFUNCTION("""COMPUTED_VALUE"""),62.0)</f>
        <v>62</v>
      </c>
      <c r="F5701" s="19" t="str">
        <f>IFERROR(__xludf.DUMMYFUNCTION("""COMPUTED_VALUE"""),"BLUE")</f>
        <v>BLUE</v>
      </c>
      <c r="G5701" s="20" t="str">
        <f>IFERROR(__xludf.DUMMYFUNCTION("""COMPUTED_VALUE"""),"Uncle Sams Cider (11/12/2021) (Blue)")</f>
        <v>Uncle Sams Cider (11/12/2021) (Blue)</v>
      </c>
      <c r="H5701" s="19"/>
    </row>
    <row r="5702">
      <c r="A5702" s="9"/>
      <c r="B5702" s="15"/>
      <c r="C5702" s="9">
        <f>IFERROR(__xludf.DUMMYFUNCTION("""COMPUTED_VALUE"""),44545.7719253819)</f>
        <v>44545.77193</v>
      </c>
      <c r="D5702" s="15">
        <f>IFERROR(__xludf.DUMMYFUNCTION("""COMPUTED_VALUE"""),1.015)</f>
        <v>1.015</v>
      </c>
      <c r="E5702" s="16">
        <f>IFERROR(__xludf.DUMMYFUNCTION("""COMPUTED_VALUE"""),62.0)</f>
        <v>62</v>
      </c>
      <c r="F5702" s="19" t="str">
        <f>IFERROR(__xludf.DUMMYFUNCTION("""COMPUTED_VALUE"""),"BLUE")</f>
        <v>BLUE</v>
      </c>
      <c r="G5702" s="20" t="str">
        <f>IFERROR(__xludf.DUMMYFUNCTION("""COMPUTED_VALUE"""),"Uncle Sams Cider (11/12/2021) (Blue)")</f>
        <v>Uncle Sams Cider (11/12/2021) (Blue)</v>
      </c>
      <c r="H5702" s="19"/>
    </row>
    <row r="5703">
      <c r="A5703" s="9"/>
      <c r="B5703" s="15"/>
      <c r="C5703" s="9">
        <f>IFERROR(__xludf.DUMMYFUNCTION("""COMPUTED_VALUE"""),44545.7615040856)</f>
        <v>44545.7615</v>
      </c>
      <c r="D5703" s="15">
        <f>IFERROR(__xludf.DUMMYFUNCTION("""COMPUTED_VALUE"""),1.015)</f>
        <v>1.015</v>
      </c>
      <c r="E5703" s="16">
        <f>IFERROR(__xludf.DUMMYFUNCTION("""COMPUTED_VALUE"""),62.0)</f>
        <v>62</v>
      </c>
      <c r="F5703" s="19" t="str">
        <f>IFERROR(__xludf.DUMMYFUNCTION("""COMPUTED_VALUE"""),"BLUE")</f>
        <v>BLUE</v>
      </c>
      <c r="G5703" s="20" t="str">
        <f>IFERROR(__xludf.DUMMYFUNCTION("""COMPUTED_VALUE"""),"Uncle Sams Cider (11/12/2021) (Blue)")</f>
        <v>Uncle Sams Cider (11/12/2021) (Blue)</v>
      </c>
      <c r="H5703" s="19"/>
    </row>
    <row r="5704">
      <c r="A5704" s="9"/>
      <c r="B5704" s="15"/>
      <c r="C5704" s="9">
        <f>IFERROR(__xludf.DUMMYFUNCTION("""COMPUTED_VALUE"""),44545.7510825694)</f>
        <v>44545.75108</v>
      </c>
      <c r="D5704" s="15">
        <f>IFERROR(__xludf.DUMMYFUNCTION("""COMPUTED_VALUE"""),1.015)</f>
        <v>1.015</v>
      </c>
      <c r="E5704" s="16">
        <f>IFERROR(__xludf.DUMMYFUNCTION("""COMPUTED_VALUE"""),62.0)</f>
        <v>62</v>
      </c>
      <c r="F5704" s="19" t="str">
        <f>IFERROR(__xludf.DUMMYFUNCTION("""COMPUTED_VALUE"""),"BLUE")</f>
        <v>BLUE</v>
      </c>
      <c r="G5704" s="20" t="str">
        <f>IFERROR(__xludf.DUMMYFUNCTION("""COMPUTED_VALUE"""),"Uncle Sams Cider (11/12/2021) (Blue)")</f>
        <v>Uncle Sams Cider (11/12/2021) (Blue)</v>
      </c>
      <c r="H5704" s="19"/>
    </row>
    <row r="5705">
      <c r="A5705" s="9"/>
      <c r="B5705" s="15"/>
      <c r="C5705" s="9">
        <f>IFERROR(__xludf.DUMMYFUNCTION("""COMPUTED_VALUE"""),44545.7406605439)</f>
        <v>44545.74066</v>
      </c>
      <c r="D5705" s="15">
        <f>IFERROR(__xludf.DUMMYFUNCTION("""COMPUTED_VALUE"""),1.015)</f>
        <v>1.015</v>
      </c>
      <c r="E5705" s="16">
        <f>IFERROR(__xludf.DUMMYFUNCTION("""COMPUTED_VALUE"""),62.0)</f>
        <v>62</v>
      </c>
      <c r="F5705" s="19" t="str">
        <f>IFERROR(__xludf.DUMMYFUNCTION("""COMPUTED_VALUE"""),"BLUE")</f>
        <v>BLUE</v>
      </c>
      <c r="G5705" s="20" t="str">
        <f>IFERROR(__xludf.DUMMYFUNCTION("""COMPUTED_VALUE"""),"Uncle Sams Cider (11/12/2021) (Blue)")</f>
        <v>Uncle Sams Cider (11/12/2021) (Blue)</v>
      </c>
      <c r="H5705" s="19"/>
    </row>
    <row r="5706">
      <c r="A5706" s="9"/>
      <c r="B5706" s="15"/>
      <c r="C5706" s="9">
        <f>IFERROR(__xludf.DUMMYFUNCTION("""COMPUTED_VALUE"""),44545.7302384259)</f>
        <v>44545.73024</v>
      </c>
      <c r="D5706" s="15">
        <f>IFERROR(__xludf.DUMMYFUNCTION("""COMPUTED_VALUE"""),1.015)</f>
        <v>1.015</v>
      </c>
      <c r="E5706" s="16">
        <f>IFERROR(__xludf.DUMMYFUNCTION("""COMPUTED_VALUE"""),62.0)</f>
        <v>62</v>
      </c>
      <c r="F5706" s="19" t="str">
        <f>IFERROR(__xludf.DUMMYFUNCTION("""COMPUTED_VALUE"""),"BLUE")</f>
        <v>BLUE</v>
      </c>
      <c r="G5706" s="20" t="str">
        <f>IFERROR(__xludf.DUMMYFUNCTION("""COMPUTED_VALUE"""),"Uncle Sams Cider (11/12/2021) (Blue)")</f>
        <v>Uncle Sams Cider (11/12/2021) (Blue)</v>
      </c>
      <c r="H5706" s="19"/>
    </row>
    <row r="5707">
      <c r="A5707" s="9"/>
      <c r="B5707" s="15"/>
      <c r="C5707" s="9">
        <f>IFERROR(__xludf.DUMMYFUNCTION("""COMPUTED_VALUE"""),44545.7198055439)</f>
        <v>44545.71981</v>
      </c>
      <c r="D5707" s="15">
        <f>IFERROR(__xludf.DUMMYFUNCTION("""COMPUTED_VALUE"""),1.015)</f>
        <v>1.015</v>
      </c>
      <c r="E5707" s="16">
        <f>IFERROR(__xludf.DUMMYFUNCTION("""COMPUTED_VALUE"""),62.0)</f>
        <v>62</v>
      </c>
      <c r="F5707" s="19" t="str">
        <f>IFERROR(__xludf.DUMMYFUNCTION("""COMPUTED_VALUE"""),"BLUE")</f>
        <v>BLUE</v>
      </c>
      <c r="G5707" s="20" t="str">
        <f>IFERROR(__xludf.DUMMYFUNCTION("""COMPUTED_VALUE"""),"Uncle Sams Cider (11/12/2021) (Blue)")</f>
        <v>Uncle Sams Cider (11/12/2021) (Blue)</v>
      </c>
      <c r="H5707" s="19"/>
    </row>
    <row r="5708">
      <c r="A5708" s="9"/>
      <c r="B5708" s="15"/>
      <c r="C5708" s="9">
        <f>IFERROR(__xludf.DUMMYFUNCTION("""COMPUTED_VALUE"""),44545.7093853356)</f>
        <v>44545.70939</v>
      </c>
      <c r="D5708" s="15">
        <f>IFERROR(__xludf.DUMMYFUNCTION("""COMPUTED_VALUE"""),1.015)</f>
        <v>1.015</v>
      </c>
      <c r="E5708" s="16">
        <f>IFERROR(__xludf.DUMMYFUNCTION("""COMPUTED_VALUE"""),62.0)</f>
        <v>62</v>
      </c>
      <c r="F5708" s="19" t="str">
        <f>IFERROR(__xludf.DUMMYFUNCTION("""COMPUTED_VALUE"""),"BLUE")</f>
        <v>BLUE</v>
      </c>
      <c r="G5708" s="20" t="str">
        <f>IFERROR(__xludf.DUMMYFUNCTION("""COMPUTED_VALUE"""),"Uncle Sams Cider (11/12/2021) (Blue)")</f>
        <v>Uncle Sams Cider (11/12/2021) (Blue)</v>
      </c>
      <c r="H5708" s="19"/>
    </row>
    <row r="5709">
      <c r="A5709" s="9"/>
      <c r="B5709" s="15"/>
      <c r="C5709" s="9">
        <f>IFERROR(__xludf.DUMMYFUNCTION("""COMPUTED_VALUE"""),44545.6989649652)</f>
        <v>44545.69896</v>
      </c>
      <c r="D5709" s="15">
        <f>IFERROR(__xludf.DUMMYFUNCTION("""COMPUTED_VALUE"""),1.015)</f>
        <v>1.015</v>
      </c>
      <c r="E5709" s="16">
        <f>IFERROR(__xludf.DUMMYFUNCTION("""COMPUTED_VALUE"""),62.0)</f>
        <v>62</v>
      </c>
      <c r="F5709" s="19" t="str">
        <f>IFERROR(__xludf.DUMMYFUNCTION("""COMPUTED_VALUE"""),"BLUE")</f>
        <v>BLUE</v>
      </c>
      <c r="G5709" s="20" t="str">
        <f>IFERROR(__xludf.DUMMYFUNCTION("""COMPUTED_VALUE"""),"Uncle Sams Cider (11/12/2021) (Blue)")</f>
        <v>Uncle Sams Cider (11/12/2021) (Blue)</v>
      </c>
      <c r="H5709" s="19"/>
    </row>
    <row r="5710">
      <c r="A5710" s="9"/>
      <c r="B5710" s="15"/>
      <c r="C5710" s="9">
        <f>IFERROR(__xludf.DUMMYFUNCTION("""COMPUTED_VALUE"""),44545.6885436111)</f>
        <v>44545.68854</v>
      </c>
      <c r="D5710" s="15">
        <f>IFERROR(__xludf.DUMMYFUNCTION("""COMPUTED_VALUE"""),1.015)</f>
        <v>1.015</v>
      </c>
      <c r="E5710" s="16">
        <f>IFERROR(__xludf.DUMMYFUNCTION("""COMPUTED_VALUE"""),62.0)</f>
        <v>62</v>
      </c>
      <c r="F5710" s="19" t="str">
        <f>IFERROR(__xludf.DUMMYFUNCTION("""COMPUTED_VALUE"""),"BLUE")</f>
        <v>BLUE</v>
      </c>
      <c r="G5710" s="20" t="str">
        <f>IFERROR(__xludf.DUMMYFUNCTION("""COMPUTED_VALUE"""),"Uncle Sams Cider (11/12/2021) (Blue)")</f>
        <v>Uncle Sams Cider (11/12/2021) (Blue)</v>
      </c>
      <c r="H5710" s="19"/>
    </row>
    <row r="5711">
      <c r="A5711" s="9"/>
      <c r="B5711" s="15"/>
      <c r="C5711" s="9">
        <f>IFERROR(__xludf.DUMMYFUNCTION("""COMPUTED_VALUE"""),44545.6781236689)</f>
        <v>44545.67812</v>
      </c>
      <c r="D5711" s="15">
        <f>IFERROR(__xludf.DUMMYFUNCTION("""COMPUTED_VALUE"""),1.015)</f>
        <v>1.015</v>
      </c>
      <c r="E5711" s="16">
        <f>IFERROR(__xludf.DUMMYFUNCTION("""COMPUTED_VALUE"""),62.0)</f>
        <v>62</v>
      </c>
      <c r="F5711" s="19" t="str">
        <f>IFERROR(__xludf.DUMMYFUNCTION("""COMPUTED_VALUE"""),"BLUE")</f>
        <v>BLUE</v>
      </c>
      <c r="G5711" s="20" t="str">
        <f>IFERROR(__xludf.DUMMYFUNCTION("""COMPUTED_VALUE"""),"Uncle Sams Cider (11/12/2021) (Blue)")</f>
        <v>Uncle Sams Cider (11/12/2021) (Blue)</v>
      </c>
      <c r="H5711" s="19"/>
    </row>
    <row r="5712">
      <c r="A5712" s="9"/>
      <c r="B5712" s="15"/>
      <c r="C5712" s="9">
        <f>IFERROR(__xludf.DUMMYFUNCTION("""COMPUTED_VALUE"""),44545.6677011226)</f>
        <v>44545.6677</v>
      </c>
      <c r="D5712" s="15">
        <f>IFERROR(__xludf.DUMMYFUNCTION("""COMPUTED_VALUE"""),1.015)</f>
        <v>1.015</v>
      </c>
      <c r="E5712" s="16">
        <f>IFERROR(__xludf.DUMMYFUNCTION("""COMPUTED_VALUE"""),62.0)</f>
        <v>62</v>
      </c>
      <c r="F5712" s="19" t="str">
        <f>IFERROR(__xludf.DUMMYFUNCTION("""COMPUTED_VALUE"""),"BLUE")</f>
        <v>BLUE</v>
      </c>
      <c r="G5712" s="20" t="str">
        <f>IFERROR(__xludf.DUMMYFUNCTION("""COMPUTED_VALUE"""),"Uncle Sams Cider (11/12/2021) (Blue)")</f>
        <v>Uncle Sams Cider (11/12/2021) (Blue)</v>
      </c>
      <c r="H5712" s="19"/>
    </row>
    <row r="5713">
      <c r="A5713" s="9"/>
      <c r="B5713" s="15"/>
      <c r="C5713" s="9">
        <f>IFERROR(__xludf.DUMMYFUNCTION("""COMPUTED_VALUE"""),44545.6572794907)</f>
        <v>44545.65728</v>
      </c>
      <c r="D5713" s="15">
        <f>IFERROR(__xludf.DUMMYFUNCTION("""COMPUTED_VALUE"""),1.015)</f>
        <v>1.015</v>
      </c>
      <c r="E5713" s="16">
        <f>IFERROR(__xludf.DUMMYFUNCTION("""COMPUTED_VALUE"""),62.0)</f>
        <v>62</v>
      </c>
      <c r="F5713" s="19" t="str">
        <f>IFERROR(__xludf.DUMMYFUNCTION("""COMPUTED_VALUE"""),"BLUE")</f>
        <v>BLUE</v>
      </c>
      <c r="G5713" s="20" t="str">
        <f>IFERROR(__xludf.DUMMYFUNCTION("""COMPUTED_VALUE"""),"Uncle Sams Cider (11/12/2021) (Blue)")</f>
        <v>Uncle Sams Cider (11/12/2021) (Blue)</v>
      </c>
      <c r="H5713" s="19"/>
    </row>
    <row r="5714">
      <c r="A5714" s="9"/>
      <c r="B5714" s="15"/>
      <c r="C5714" s="9">
        <f>IFERROR(__xludf.DUMMYFUNCTION("""COMPUTED_VALUE"""),44545.6468592361)</f>
        <v>44545.64686</v>
      </c>
      <c r="D5714" s="15">
        <f>IFERROR(__xludf.DUMMYFUNCTION("""COMPUTED_VALUE"""),1.015)</f>
        <v>1.015</v>
      </c>
      <c r="E5714" s="16">
        <f>IFERROR(__xludf.DUMMYFUNCTION("""COMPUTED_VALUE"""),62.0)</f>
        <v>62</v>
      </c>
      <c r="F5714" s="19" t="str">
        <f>IFERROR(__xludf.DUMMYFUNCTION("""COMPUTED_VALUE"""),"BLUE")</f>
        <v>BLUE</v>
      </c>
      <c r="G5714" s="20" t="str">
        <f>IFERROR(__xludf.DUMMYFUNCTION("""COMPUTED_VALUE"""),"Uncle Sams Cider (11/12/2021) (Blue)")</f>
        <v>Uncle Sams Cider (11/12/2021) (Blue)</v>
      </c>
      <c r="H5714" s="19"/>
    </row>
    <row r="5715">
      <c r="A5715" s="9"/>
      <c r="B5715" s="15"/>
      <c r="C5715" s="9">
        <f>IFERROR(__xludf.DUMMYFUNCTION("""COMPUTED_VALUE"""),44545.6364373263)</f>
        <v>44545.63644</v>
      </c>
      <c r="D5715" s="15">
        <f>IFERROR(__xludf.DUMMYFUNCTION("""COMPUTED_VALUE"""),1.015)</f>
        <v>1.015</v>
      </c>
      <c r="E5715" s="16">
        <f>IFERROR(__xludf.DUMMYFUNCTION("""COMPUTED_VALUE"""),62.0)</f>
        <v>62</v>
      </c>
      <c r="F5715" s="19" t="str">
        <f>IFERROR(__xludf.DUMMYFUNCTION("""COMPUTED_VALUE"""),"BLUE")</f>
        <v>BLUE</v>
      </c>
      <c r="G5715" s="20" t="str">
        <f>IFERROR(__xludf.DUMMYFUNCTION("""COMPUTED_VALUE"""),"Uncle Sams Cider (11/12/2021) (Blue)")</f>
        <v>Uncle Sams Cider (11/12/2021) (Blue)</v>
      </c>
      <c r="H5715" s="19"/>
    </row>
    <row r="5716">
      <c r="A5716" s="9"/>
      <c r="B5716" s="15"/>
      <c r="C5716" s="9">
        <f>IFERROR(__xludf.DUMMYFUNCTION("""COMPUTED_VALUE"""),44545.6260169097)</f>
        <v>44545.62602</v>
      </c>
      <c r="D5716" s="15">
        <f>IFERROR(__xludf.DUMMYFUNCTION("""COMPUTED_VALUE"""),1.015)</f>
        <v>1.015</v>
      </c>
      <c r="E5716" s="16">
        <f>IFERROR(__xludf.DUMMYFUNCTION("""COMPUTED_VALUE"""),62.0)</f>
        <v>62</v>
      </c>
      <c r="F5716" s="19" t="str">
        <f>IFERROR(__xludf.DUMMYFUNCTION("""COMPUTED_VALUE"""),"BLUE")</f>
        <v>BLUE</v>
      </c>
      <c r="G5716" s="20" t="str">
        <f>IFERROR(__xludf.DUMMYFUNCTION("""COMPUTED_VALUE"""),"Uncle Sams Cider (11/12/2021) (Blue)")</f>
        <v>Uncle Sams Cider (11/12/2021) (Blue)</v>
      </c>
      <c r="H5716" s="19"/>
    </row>
    <row r="5717">
      <c r="A5717" s="9"/>
      <c r="B5717" s="15"/>
      <c r="C5717" s="9">
        <f>IFERROR(__xludf.DUMMYFUNCTION("""COMPUTED_VALUE"""),44545.6051623726)</f>
        <v>44545.60516</v>
      </c>
      <c r="D5717" s="15">
        <f>IFERROR(__xludf.DUMMYFUNCTION("""COMPUTED_VALUE"""),1.015)</f>
        <v>1.015</v>
      </c>
      <c r="E5717" s="16">
        <f>IFERROR(__xludf.DUMMYFUNCTION("""COMPUTED_VALUE"""),62.0)</f>
        <v>62</v>
      </c>
      <c r="F5717" s="19" t="str">
        <f>IFERROR(__xludf.DUMMYFUNCTION("""COMPUTED_VALUE"""),"BLUE")</f>
        <v>BLUE</v>
      </c>
      <c r="G5717" s="20" t="str">
        <f>IFERROR(__xludf.DUMMYFUNCTION("""COMPUTED_VALUE"""),"Uncle Sams Cider (11/12/2021) (Blue)")</f>
        <v>Uncle Sams Cider (11/12/2021) (Blue)</v>
      </c>
      <c r="H5717" s="19"/>
    </row>
    <row r="5718">
      <c r="A5718" s="9"/>
      <c r="B5718" s="15"/>
      <c r="C5718" s="9">
        <f>IFERROR(__xludf.DUMMYFUNCTION("""COMPUTED_VALUE"""),44545.5947409027)</f>
        <v>44545.59474</v>
      </c>
      <c r="D5718" s="15">
        <f>IFERROR(__xludf.DUMMYFUNCTION("""COMPUTED_VALUE"""),1.015)</f>
        <v>1.015</v>
      </c>
      <c r="E5718" s="16">
        <f>IFERROR(__xludf.DUMMYFUNCTION("""COMPUTED_VALUE"""),62.0)</f>
        <v>62</v>
      </c>
      <c r="F5718" s="19" t="str">
        <f>IFERROR(__xludf.DUMMYFUNCTION("""COMPUTED_VALUE"""),"BLUE")</f>
        <v>BLUE</v>
      </c>
      <c r="G5718" s="20" t="str">
        <f>IFERROR(__xludf.DUMMYFUNCTION("""COMPUTED_VALUE"""),"Uncle Sams Cider (11/12/2021) (Blue)")</f>
        <v>Uncle Sams Cider (11/12/2021) (Blue)</v>
      </c>
      <c r="H5718" s="19"/>
    </row>
    <row r="5719">
      <c r="A5719" s="9"/>
      <c r="B5719" s="15"/>
      <c r="C5719" s="9">
        <f>IFERROR(__xludf.DUMMYFUNCTION("""COMPUTED_VALUE"""),44545.5843196411)</f>
        <v>44545.58432</v>
      </c>
      <c r="D5719" s="15">
        <f>IFERROR(__xludf.DUMMYFUNCTION("""COMPUTED_VALUE"""),1.015)</f>
        <v>1.015</v>
      </c>
      <c r="E5719" s="16">
        <f>IFERROR(__xludf.DUMMYFUNCTION("""COMPUTED_VALUE"""),62.0)</f>
        <v>62</v>
      </c>
      <c r="F5719" s="19" t="str">
        <f>IFERROR(__xludf.DUMMYFUNCTION("""COMPUTED_VALUE"""),"BLUE")</f>
        <v>BLUE</v>
      </c>
      <c r="G5719" s="20" t="str">
        <f>IFERROR(__xludf.DUMMYFUNCTION("""COMPUTED_VALUE"""),"Uncle Sams Cider (11/12/2021) (Blue)")</f>
        <v>Uncle Sams Cider (11/12/2021) (Blue)</v>
      </c>
      <c r="H5719" s="19"/>
    </row>
    <row r="5720">
      <c r="A5720" s="9"/>
      <c r="B5720" s="15"/>
      <c r="C5720" s="9">
        <f>IFERROR(__xludf.DUMMYFUNCTION("""COMPUTED_VALUE"""),44545.5738968287)</f>
        <v>44545.5739</v>
      </c>
      <c r="D5720" s="15">
        <f>IFERROR(__xludf.DUMMYFUNCTION("""COMPUTED_VALUE"""),1.015)</f>
        <v>1.015</v>
      </c>
      <c r="E5720" s="16">
        <f>IFERROR(__xludf.DUMMYFUNCTION("""COMPUTED_VALUE"""),62.0)</f>
        <v>62</v>
      </c>
      <c r="F5720" s="19" t="str">
        <f>IFERROR(__xludf.DUMMYFUNCTION("""COMPUTED_VALUE"""),"BLUE")</f>
        <v>BLUE</v>
      </c>
      <c r="G5720" s="20" t="str">
        <f>IFERROR(__xludf.DUMMYFUNCTION("""COMPUTED_VALUE"""),"Uncle Sams Cider (11/12/2021) (Blue)")</f>
        <v>Uncle Sams Cider (11/12/2021) (Blue)</v>
      </c>
      <c r="H5720" s="19"/>
    </row>
    <row r="5721">
      <c r="A5721" s="9"/>
      <c r="B5721" s="15"/>
      <c r="C5721" s="9">
        <f>IFERROR(__xludf.DUMMYFUNCTION("""COMPUTED_VALUE"""),44545.5634754282)</f>
        <v>44545.56348</v>
      </c>
      <c r="D5721" s="15">
        <f>IFERROR(__xludf.DUMMYFUNCTION("""COMPUTED_VALUE"""),1.015)</f>
        <v>1.015</v>
      </c>
      <c r="E5721" s="16">
        <f>IFERROR(__xludf.DUMMYFUNCTION("""COMPUTED_VALUE"""),62.0)</f>
        <v>62</v>
      </c>
      <c r="F5721" s="19" t="str">
        <f>IFERROR(__xludf.DUMMYFUNCTION("""COMPUTED_VALUE"""),"BLUE")</f>
        <v>BLUE</v>
      </c>
      <c r="G5721" s="20" t="str">
        <f>IFERROR(__xludf.DUMMYFUNCTION("""COMPUTED_VALUE"""),"Uncle Sams Cider (11/12/2021) (Blue)")</f>
        <v>Uncle Sams Cider (11/12/2021) (Blue)</v>
      </c>
      <c r="H5721" s="19"/>
    </row>
    <row r="5722">
      <c r="A5722" s="9"/>
      <c r="B5722" s="15"/>
      <c r="C5722" s="9">
        <f>IFERROR(__xludf.DUMMYFUNCTION("""COMPUTED_VALUE"""),44545.553052743)</f>
        <v>44545.55305</v>
      </c>
      <c r="D5722" s="15">
        <f>IFERROR(__xludf.DUMMYFUNCTION("""COMPUTED_VALUE"""),1.015)</f>
        <v>1.015</v>
      </c>
      <c r="E5722" s="16">
        <f>IFERROR(__xludf.DUMMYFUNCTION("""COMPUTED_VALUE"""),62.0)</f>
        <v>62</v>
      </c>
      <c r="F5722" s="19" t="str">
        <f>IFERROR(__xludf.DUMMYFUNCTION("""COMPUTED_VALUE"""),"BLUE")</f>
        <v>BLUE</v>
      </c>
      <c r="G5722" s="20" t="str">
        <f>IFERROR(__xludf.DUMMYFUNCTION("""COMPUTED_VALUE"""),"Uncle Sams Cider (11/12/2021) (Blue)")</f>
        <v>Uncle Sams Cider (11/12/2021) (Blue)</v>
      </c>
      <c r="H5722" s="19"/>
    </row>
    <row r="5723">
      <c r="A5723" s="9"/>
      <c r="B5723" s="15"/>
      <c r="C5723" s="9">
        <f>IFERROR(__xludf.DUMMYFUNCTION("""COMPUTED_VALUE"""),44545.5426321759)</f>
        <v>44545.54263</v>
      </c>
      <c r="D5723" s="15">
        <f>IFERROR(__xludf.DUMMYFUNCTION("""COMPUTED_VALUE"""),1.015)</f>
        <v>1.015</v>
      </c>
      <c r="E5723" s="16">
        <f>IFERROR(__xludf.DUMMYFUNCTION("""COMPUTED_VALUE"""),62.0)</f>
        <v>62</v>
      </c>
      <c r="F5723" s="19" t="str">
        <f>IFERROR(__xludf.DUMMYFUNCTION("""COMPUTED_VALUE"""),"BLUE")</f>
        <v>BLUE</v>
      </c>
      <c r="G5723" s="20" t="str">
        <f>IFERROR(__xludf.DUMMYFUNCTION("""COMPUTED_VALUE"""),"Uncle Sams Cider (11/12/2021) (Blue)")</f>
        <v>Uncle Sams Cider (11/12/2021) (Blue)</v>
      </c>
      <c r="H5723" s="19"/>
    </row>
    <row r="5724">
      <c r="A5724" s="9"/>
      <c r="B5724" s="15"/>
      <c r="C5724" s="9">
        <f>IFERROR(__xludf.DUMMYFUNCTION("""COMPUTED_VALUE"""),44545.5322108101)</f>
        <v>44545.53221</v>
      </c>
      <c r="D5724" s="15">
        <f>IFERROR(__xludf.DUMMYFUNCTION("""COMPUTED_VALUE"""),1.015)</f>
        <v>1.015</v>
      </c>
      <c r="E5724" s="16">
        <f>IFERROR(__xludf.DUMMYFUNCTION("""COMPUTED_VALUE"""),62.0)</f>
        <v>62</v>
      </c>
      <c r="F5724" s="19" t="str">
        <f>IFERROR(__xludf.DUMMYFUNCTION("""COMPUTED_VALUE"""),"BLUE")</f>
        <v>BLUE</v>
      </c>
      <c r="G5724" s="20" t="str">
        <f>IFERROR(__xludf.DUMMYFUNCTION("""COMPUTED_VALUE"""),"Uncle Sams Cider (11/12/2021) (Blue)")</f>
        <v>Uncle Sams Cider (11/12/2021) (Blue)</v>
      </c>
      <c r="H5724" s="19"/>
    </row>
    <row r="5725">
      <c r="A5725" s="9"/>
      <c r="B5725" s="15"/>
      <c r="C5725" s="9">
        <f>IFERROR(__xludf.DUMMYFUNCTION("""COMPUTED_VALUE"""),44545.5217896759)</f>
        <v>44545.52179</v>
      </c>
      <c r="D5725" s="15">
        <f>IFERROR(__xludf.DUMMYFUNCTION("""COMPUTED_VALUE"""),1.015)</f>
        <v>1.015</v>
      </c>
      <c r="E5725" s="16">
        <f>IFERROR(__xludf.DUMMYFUNCTION("""COMPUTED_VALUE"""),62.0)</f>
        <v>62</v>
      </c>
      <c r="F5725" s="19" t="str">
        <f>IFERROR(__xludf.DUMMYFUNCTION("""COMPUTED_VALUE"""),"BLUE")</f>
        <v>BLUE</v>
      </c>
      <c r="G5725" s="20" t="str">
        <f>IFERROR(__xludf.DUMMYFUNCTION("""COMPUTED_VALUE"""),"Uncle Sams Cider (11/12/2021) (Blue)")</f>
        <v>Uncle Sams Cider (11/12/2021) (Blue)</v>
      </c>
      <c r="H5725" s="19"/>
    </row>
    <row r="5726">
      <c r="A5726" s="9"/>
      <c r="B5726" s="15"/>
      <c r="C5726" s="9">
        <f>IFERROR(__xludf.DUMMYFUNCTION("""COMPUTED_VALUE"""),44545.511356956)</f>
        <v>44545.51136</v>
      </c>
      <c r="D5726" s="15">
        <f>IFERROR(__xludf.DUMMYFUNCTION("""COMPUTED_VALUE"""),1.015)</f>
        <v>1.015</v>
      </c>
      <c r="E5726" s="16">
        <f>IFERROR(__xludf.DUMMYFUNCTION("""COMPUTED_VALUE"""),62.0)</f>
        <v>62</v>
      </c>
      <c r="F5726" s="19" t="str">
        <f>IFERROR(__xludf.DUMMYFUNCTION("""COMPUTED_VALUE"""),"BLUE")</f>
        <v>BLUE</v>
      </c>
      <c r="G5726" s="20" t="str">
        <f>IFERROR(__xludf.DUMMYFUNCTION("""COMPUTED_VALUE"""),"Uncle Sams Cider (11/12/2021) (Blue)")</f>
        <v>Uncle Sams Cider (11/12/2021) (Blue)</v>
      </c>
      <c r="H5726" s="19"/>
    </row>
    <row r="5727">
      <c r="A5727" s="9"/>
      <c r="B5727" s="15"/>
      <c r="C5727" s="9">
        <f>IFERROR(__xludf.DUMMYFUNCTION("""COMPUTED_VALUE"""),44545.5009363888)</f>
        <v>44545.50094</v>
      </c>
      <c r="D5727" s="15">
        <f>IFERROR(__xludf.DUMMYFUNCTION("""COMPUTED_VALUE"""),1.015)</f>
        <v>1.015</v>
      </c>
      <c r="E5727" s="16">
        <f>IFERROR(__xludf.DUMMYFUNCTION("""COMPUTED_VALUE"""),62.0)</f>
        <v>62</v>
      </c>
      <c r="F5727" s="19" t="str">
        <f>IFERROR(__xludf.DUMMYFUNCTION("""COMPUTED_VALUE"""),"BLUE")</f>
        <v>BLUE</v>
      </c>
      <c r="G5727" s="20" t="str">
        <f>IFERROR(__xludf.DUMMYFUNCTION("""COMPUTED_VALUE"""),"Uncle Sams Cider (11/12/2021) (Blue)")</f>
        <v>Uncle Sams Cider (11/12/2021) (Blue)</v>
      </c>
      <c r="H5727" s="19"/>
    </row>
    <row r="5728">
      <c r="A5728" s="9"/>
      <c r="B5728" s="15"/>
      <c r="C5728" s="9">
        <f>IFERROR(__xludf.DUMMYFUNCTION("""COMPUTED_VALUE"""),44545.4905163425)</f>
        <v>44545.49052</v>
      </c>
      <c r="D5728" s="15">
        <f>IFERROR(__xludf.DUMMYFUNCTION("""COMPUTED_VALUE"""),1.015)</f>
        <v>1.015</v>
      </c>
      <c r="E5728" s="16">
        <f>IFERROR(__xludf.DUMMYFUNCTION("""COMPUTED_VALUE"""),62.0)</f>
        <v>62</v>
      </c>
      <c r="F5728" s="19" t="str">
        <f>IFERROR(__xludf.DUMMYFUNCTION("""COMPUTED_VALUE"""),"BLUE")</f>
        <v>BLUE</v>
      </c>
      <c r="G5728" s="20" t="str">
        <f>IFERROR(__xludf.DUMMYFUNCTION("""COMPUTED_VALUE"""),"Uncle Sams Cider (11/12/2021) (Blue)")</f>
        <v>Uncle Sams Cider (11/12/2021) (Blue)</v>
      </c>
      <c r="H5728" s="19"/>
    </row>
    <row r="5729">
      <c r="A5729" s="9"/>
      <c r="B5729" s="15"/>
      <c r="C5729" s="9">
        <f>IFERROR(__xludf.DUMMYFUNCTION("""COMPUTED_VALUE"""),44545.4800939814)</f>
        <v>44545.48009</v>
      </c>
      <c r="D5729" s="15">
        <f>IFERROR(__xludf.DUMMYFUNCTION("""COMPUTED_VALUE"""),1.015)</f>
        <v>1.015</v>
      </c>
      <c r="E5729" s="16">
        <f>IFERROR(__xludf.DUMMYFUNCTION("""COMPUTED_VALUE"""),62.0)</f>
        <v>62</v>
      </c>
      <c r="F5729" s="19" t="str">
        <f>IFERROR(__xludf.DUMMYFUNCTION("""COMPUTED_VALUE"""),"BLUE")</f>
        <v>BLUE</v>
      </c>
      <c r="G5729" s="20" t="str">
        <f>IFERROR(__xludf.DUMMYFUNCTION("""COMPUTED_VALUE"""),"Uncle Sams Cider (11/12/2021) (Blue)")</f>
        <v>Uncle Sams Cider (11/12/2021) (Blue)</v>
      </c>
      <c r="H5729" s="19"/>
    </row>
    <row r="5730">
      <c r="A5730" s="9"/>
      <c r="B5730" s="15"/>
      <c r="C5730" s="9">
        <f>IFERROR(__xludf.DUMMYFUNCTION("""COMPUTED_VALUE"""),44545.4696722222)</f>
        <v>44545.46967</v>
      </c>
      <c r="D5730" s="15">
        <f>IFERROR(__xludf.DUMMYFUNCTION("""COMPUTED_VALUE"""),1.015)</f>
        <v>1.015</v>
      </c>
      <c r="E5730" s="16">
        <f>IFERROR(__xludf.DUMMYFUNCTION("""COMPUTED_VALUE"""),62.0)</f>
        <v>62</v>
      </c>
      <c r="F5730" s="19" t="str">
        <f>IFERROR(__xludf.DUMMYFUNCTION("""COMPUTED_VALUE"""),"BLUE")</f>
        <v>BLUE</v>
      </c>
      <c r="G5730" s="20" t="str">
        <f>IFERROR(__xludf.DUMMYFUNCTION("""COMPUTED_VALUE"""),"Uncle Sams Cider (11/12/2021) (Blue)")</f>
        <v>Uncle Sams Cider (11/12/2021) (Blue)</v>
      </c>
      <c r="H5730" s="19"/>
    </row>
    <row r="5731">
      <c r="A5731" s="9"/>
      <c r="B5731" s="15"/>
      <c r="C5731" s="9">
        <f>IFERROR(__xludf.DUMMYFUNCTION("""COMPUTED_VALUE"""),44545.4592507523)</f>
        <v>44545.45925</v>
      </c>
      <c r="D5731" s="15">
        <f>IFERROR(__xludf.DUMMYFUNCTION("""COMPUTED_VALUE"""),1.015)</f>
        <v>1.015</v>
      </c>
      <c r="E5731" s="16">
        <f>IFERROR(__xludf.DUMMYFUNCTION("""COMPUTED_VALUE"""),62.0)</f>
        <v>62</v>
      </c>
      <c r="F5731" s="19" t="str">
        <f>IFERROR(__xludf.DUMMYFUNCTION("""COMPUTED_VALUE"""),"BLUE")</f>
        <v>BLUE</v>
      </c>
      <c r="G5731" s="20" t="str">
        <f>IFERROR(__xludf.DUMMYFUNCTION("""COMPUTED_VALUE"""),"Uncle Sams Cider (11/12/2021) (Blue)")</f>
        <v>Uncle Sams Cider (11/12/2021) (Blue)</v>
      </c>
      <c r="H5731" s="19"/>
    </row>
    <row r="5732">
      <c r="A5732" s="9"/>
      <c r="B5732" s="15"/>
      <c r="C5732" s="9">
        <f>IFERROR(__xludf.DUMMYFUNCTION("""COMPUTED_VALUE"""),44545.448830324)</f>
        <v>44545.44883</v>
      </c>
      <c r="D5732" s="15">
        <f>IFERROR(__xludf.DUMMYFUNCTION("""COMPUTED_VALUE"""),1.015)</f>
        <v>1.015</v>
      </c>
      <c r="E5732" s="16">
        <f>IFERROR(__xludf.DUMMYFUNCTION("""COMPUTED_VALUE"""),62.0)</f>
        <v>62</v>
      </c>
      <c r="F5732" s="19" t="str">
        <f>IFERROR(__xludf.DUMMYFUNCTION("""COMPUTED_VALUE"""),"BLUE")</f>
        <v>BLUE</v>
      </c>
      <c r="G5732" s="20" t="str">
        <f>IFERROR(__xludf.DUMMYFUNCTION("""COMPUTED_VALUE"""),"Uncle Sams Cider (11/12/2021) (Blue)")</f>
        <v>Uncle Sams Cider (11/12/2021) (Blue)</v>
      </c>
      <c r="H5732" s="19"/>
    </row>
    <row r="5733">
      <c r="A5733" s="9"/>
      <c r="B5733" s="15"/>
      <c r="C5733" s="9">
        <f>IFERROR(__xludf.DUMMYFUNCTION("""COMPUTED_VALUE"""),44545.4384085995)</f>
        <v>44545.43841</v>
      </c>
      <c r="D5733" s="15">
        <f>IFERROR(__xludf.DUMMYFUNCTION("""COMPUTED_VALUE"""),1.015)</f>
        <v>1.015</v>
      </c>
      <c r="E5733" s="16">
        <f>IFERROR(__xludf.DUMMYFUNCTION("""COMPUTED_VALUE"""),62.0)</f>
        <v>62</v>
      </c>
      <c r="F5733" s="19" t="str">
        <f>IFERROR(__xludf.DUMMYFUNCTION("""COMPUTED_VALUE"""),"BLUE")</f>
        <v>BLUE</v>
      </c>
      <c r="G5733" s="20" t="str">
        <f>IFERROR(__xludf.DUMMYFUNCTION("""COMPUTED_VALUE"""),"Uncle Sams Cider (11/12/2021) (Blue)")</f>
        <v>Uncle Sams Cider (11/12/2021) (Blue)</v>
      </c>
      <c r="H5733" s="19"/>
    </row>
    <row r="5734">
      <c r="A5734" s="9"/>
      <c r="B5734" s="15"/>
      <c r="C5734" s="9">
        <f>IFERROR(__xludf.DUMMYFUNCTION("""COMPUTED_VALUE"""),44545.4279878935)</f>
        <v>44545.42799</v>
      </c>
      <c r="D5734" s="15">
        <f>IFERROR(__xludf.DUMMYFUNCTION("""COMPUTED_VALUE"""),1.015)</f>
        <v>1.015</v>
      </c>
      <c r="E5734" s="16">
        <f>IFERROR(__xludf.DUMMYFUNCTION("""COMPUTED_VALUE"""),62.0)</f>
        <v>62</v>
      </c>
      <c r="F5734" s="19" t="str">
        <f>IFERROR(__xludf.DUMMYFUNCTION("""COMPUTED_VALUE"""),"BLUE")</f>
        <v>BLUE</v>
      </c>
      <c r="G5734" s="20" t="str">
        <f>IFERROR(__xludf.DUMMYFUNCTION("""COMPUTED_VALUE"""),"Uncle Sams Cider (11/12/2021) (Blue)")</f>
        <v>Uncle Sams Cider (11/12/2021) (Blue)</v>
      </c>
      <c r="H5734" s="19"/>
    </row>
    <row r="5735">
      <c r="A5735" s="9"/>
      <c r="B5735" s="15"/>
      <c r="C5735" s="9">
        <f>IFERROR(__xludf.DUMMYFUNCTION("""COMPUTED_VALUE"""),44545.4175652777)</f>
        <v>44545.41757</v>
      </c>
      <c r="D5735" s="15">
        <f>IFERROR(__xludf.DUMMYFUNCTION("""COMPUTED_VALUE"""),1.015)</f>
        <v>1.015</v>
      </c>
      <c r="E5735" s="16">
        <f>IFERROR(__xludf.DUMMYFUNCTION("""COMPUTED_VALUE"""),62.0)</f>
        <v>62</v>
      </c>
      <c r="F5735" s="19" t="str">
        <f>IFERROR(__xludf.DUMMYFUNCTION("""COMPUTED_VALUE"""),"BLUE")</f>
        <v>BLUE</v>
      </c>
      <c r="G5735" s="20" t="str">
        <f>IFERROR(__xludf.DUMMYFUNCTION("""COMPUTED_VALUE"""),"Uncle Sams Cider (11/12/2021) (Blue)")</f>
        <v>Uncle Sams Cider (11/12/2021) (Blue)</v>
      </c>
      <c r="H5735" s="19"/>
    </row>
    <row r="5736">
      <c r="A5736" s="9"/>
      <c r="B5736" s="15"/>
      <c r="C5736" s="9">
        <f>IFERROR(__xludf.DUMMYFUNCTION("""COMPUTED_VALUE"""),44545.4071442361)</f>
        <v>44545.40714</v>
      </c>
      <c r="D5736" s="15">
        <f>IFERROR(__xludf.DUMMYFUNCTION("""COMPUTED_VALUE"""),1.015)</f>
        <v>1.015</v>
      </c>
      <c r="E5736" s="16">
        <f>IFERROR(__xludf.DUMMYFUNCTION("""COMPUTED_VALUE"""),62.0)</f>
        <v>62</v>
      </c>
      <c r="F5736" s="19" t="str">
        <f>IFERROR(__xludf.DUMMYFUNCTION("""COMPUTED_VALUE"""),"BLUE")</f>
        <v>BLUE</v>
      </c>
      <c r="G5736" s="20" t="str">
        <f>IFERROR(__xludf.DUMMYFUNCTION("""COMPUTED_VALUE"""),"Uncle Sams Cider (11/12/2021) (Blue)")</f>
        <v>Uncle Sams Cider (11/12/2021) (Blue)</v>
      </c>
      <c r="H5736" s="19"/>
    </row>
    <row r="5737">
      <c r="A5737" s="9"/>
      <c r="B5737" s="15"/>
      <c r="C5737" s="9">
        <f>IFERROR(__xludf.DUMMYFUNCTION("""COMPUTED_VALUE"""),44545.396723125)</f>
        <v>44545.39672</v>
      </c>
      <c r="D5737" s="15">
        <f>IFERROR(__xludf.DUMMYFUNCTION("""COMPUTED_VALUE"""),1.015)</f>
        <v>1.015</v>
      </c>
      <c r="E5737" s="16">
        <f>IFERROR(__xludf.DUMMYFUNCTION("""COMPUTED_VALUE"""),62.0)</f>
        <v>62</v>
      </c>
      <c r="F5737" s="19" t="str">
        <f>IFERROR(__xludf.DUMMYFUNCTION("""COMPUTED_VALUE"""),"BLUE")</f>
        <v>BLUE</v>
      </c>
      <c r="G5737" s="20" t="str">
        <f>IFERROR(__xludf.DUMMYFUNCTION("""COMPUTED_VALUE"""),"Uncle Sams Cider (11/12/2021) (Blue)")</f>
        <v>Uncle Sams Cider (11/12/2021) (Blue)</v>
      </c>
      <c r="H5737" s="19"/>
    </row>
    <row r="5738">
      <c r="A5738" s="9"/>
      <c r="B5738" s="15"/>
      <c r="C5738" s="9">
        <f>IFERROR(__xludf.DUMMYFUNCTION("""COMPUTED_VALUE"""),44545.3863035185)</f>
        <v>44545.3863</v>
      </c>
      <c r="D5738" s="15">
        <f>IFERROR(__xludf.DUMMYFUNCTION("""COMPUTED_VALUE"""),1.015)</f>
        <v>1.015</v>
      </c>
      <c r="E5738" s="16">
        <f>IFERROR(__xludf.DUMMYFUNCTION("""COMPUTED_VALUE"""),62.0)</f>
        <v>62</v>
      </c>
      <c r="F5738" s="19" t="str">
        <f>IFERROR(__xludf.DUMMYFUNCTION("""COMPUTED_VALUE"""),"BLUE")</f>
        <v>BLUE</v>
      </c>
      <c r="G5738" s="20" t="str">
        <f>IFERROR(__xludf.DUMMYFUNCTION("""COMPUTED_VALUE"""),"Uncle Sams Cider (11/12/2021) (Blue)")</f>
        <v>Uncle Sams Cider (11/12/2021) (Blue)</v>
      </c>
      <c r="H5738" s="19"/>
    </row>
    <row r="5739">
      <c r="A5739" s="9"/>
      <c r="B5739" s="15"/>
      <c r="C5739" s="9">
        <f>IFERROR(__xludf.DUMMYFUNCTION("""COMPUTED_VALUE"""),44545.3758815509)</f>
        <v>44545.37588</v>
      </c>
      <c r="D5739" s="15">
        <f>IFERROR(__xludf.DUMMYFUNCTION("""COMPUTED_VALUE"""),1.015)</f>
        <v>1.015</v>
      </c>
      <c r="E5739" s="16">
        <f>IFERROR(__xludf.DUMMYFUNCTION("""COMPUTED_VALUE"""),62.0)</f>
        <v>62</v>
      </c>
      <c r="F5739" s="19" t="str">
        <f>IFERROR(__xludf.DUMMYFUNCTION("""COMPUTED_VALUE"""),"BLUE")</f>
        <v>BLUE</v>
      </c>
      <c r="G5739" s="20" t="str">
        <f>IFERROR(__xludf.DUMMYFUNCTION("""COMPUTED_VALUE"""),"Uncle Sams Cider (11/12/2021) (Blue)")</f>
        <v>Uncle Sams Cider (11/12/2021) (Blue)</v>
      </c>
      <c r="H5739" s="19"/>
    </row>
    <row r="5740">
      <c r="A5740" s="9"/>
      <c r="B5740" s="15"/>
      <c r="C5740" s="9">
        <f>IFERROR(__xludf.DUMMYFUNCTION("""COMPUTED_VALUE"""),44545.3654598495)</f>
        <v>44545.36546</v>
      </c>
      <c r="D5740" s="15">
        <f>IFERROR(__xludf.DUMMYFUNCTION("""COMPUTED_VALUE"""),1.015)</f>
        <v>1.015</v>
      </c>
      <c r="E5740" s="16">
        <f>IFERROR(__xludf.DUMMYFUNCTION("""COMPUTED_VALUE"""),62.0)</f>
        <v>62</v>
      </c>
      <c r="F5740" s="19" t="str">
        <f>IFERROR(__xludf.DUMMYFUNCTION("""COMPUTED_VALUE"""),"BLUE")</f>
        <v>BLUE</v>
      </c>
      <c r="G5740" s="20" t="str">
        <f>IFERROR(__xludf.DUMMYFUNCTION("""COMPUTED_VALUE"""),"Uncle Sams Cider (11/12/2021) (Blue)")</f>
        <v>Uncle Sams Cider (11/12/2021) (Blue)</v>
      </c>
      <c r="H5740" s="19"/>
    </row>
    <row r="5741">
      <c r="A5741" s="9"/>
      <c r="B5741" s="15"/>
      <c r="C5741" s="9">
        <f>IFERROR(__xludf.DUMMYFUNCTION("""COMPUTED_VALUE"""),44545.3550390509)</f>
        <v>44545.35504</v>
      </c>
      <c r="D5741" s="15">
        <f>IFERROR(__xludf.DUMMYFUNCTION("""COMPUTED_VALUE"""),1.015)</f>
        <v>1.015</v>
      </c>
      <c r="E5741" s="16">
        <f>IFERROR(__xludf.DUMMYFUNCTION("""COMPUTED_VALUE"""),62.0)</f>
        <v>62</v>
      </c>
      <c r="F5741" s="19" t="str">
        <f>IFERROR(__xludf.DUMMYFUNCTION("""COMPUTED_VALUE"""),"BLUE")</f>
        <v>BLUE</v>
      </c>
      <c r="G5741" s="20" t="str">
        <f>IFERROR(__xludf.DUMMYFUNCTION("""COMPUTED_VALUE"""),"Uncle Sams Cider (11/12/2021) (Blue)")</f>
        <v>Uncle Sams Cider (11/12/2021) (Blue)</v>
      </c>
      <c r="H5741" s="19"/>
    </row>
    <row r="5742">
      <c r="A5742" s="9"/>
      <c r="B5742" s="15"/>
      <c r="C5742" s="9">
        <f>IFERROR(__xludf.DUMMYFUNCTION("""COMPUTED_VALUE"""),44545.3446059375)</f>
        <v>44545.34461</v>
      </c>
      <c r="D5742" s="15">
        <f>IFERROR(__xludf.DUMMYFUNCTION("""COMPUTED_VALUE"""),1.015)</f>
        <v>1.015</v>
      </c>
      <c r="E5742" s="16">
        <f>IFERROR(__xludf.DUMMYFUNCTION("""COMPUTED_VALUE"""),62.0)</f>
        <v>62</v>
      </c>
      <c r="F5742" s="19" t="str">
        <f>IFERROR(__xludf.DUMMYFUNCTION("""COMPUTED_VALUE"""),"BLUE")</f>
        <v>BLUE</v>
      </c>
      <c r="G5742" s="20" t="str">
        <f>IFERROR(__xludf.DUMMYFUNCTION("""COMPUTED_VALUE"""),"Uncle Sams Cider (11/12/2021) (Blue)")</f>
        <v>Uncle Sams Cider (11/12/2021) (Blue)</v>
      </c>
      <c r="H5742" s="19"/>
    </row>
    <row r="5743">
      <c r="A5743" s="9"/>
      <c r="B5743" s="15"/>
      <c r="C5743" s="9">
        <f>IFERROR(__xludf.DUMMYFUNCTION("""COMPUTED_VALUE"""),44545.3341854745)</f>
        <v>44545.33419</v>
      </c>
      <c r="D5743" s="15">
        <f>IFERROR(__xludf.DUMMYFUNCTION("""COMPUTED_VALUE"""),1.015)</f>
        <v>1.015</v>
      </c>
      <c r="E5743" s="16">
        <f>IFERROR(__xludf.DUMMYFUNCTION("""COMPUTED_VALUE"""),62.0)</f>
        <v>62</v>
      </c>
      <c r="F5743" s="19" t="str">
        <f>IFERROR(__xludf.DUMMYFUNCTION("""COMPUTED_VALUE"""),"BLUE")</f>
        <v>BLUE</v>
      </c>
      <c r="G5743" s="20" t="str">
        <f>IFERROR(__xludf.DUMMYFUNCTION("""COMPUTED_VALUE"""),"Uncle Sams Cider (11/12/2021) (Blue)")</f>
        <v>Uncle Sams Cider (11/12/2021) (Blue)</v>
      </c>
      <c r="H5743" s="19"/>
    </row>
    <row r="5744">
      <c r="A5744" s="9"/>
      <c r="B5744" s="15"/>
      <c r="C5744" s="9">
        <f>IFERROR(__xludf.DUMMYFUNCTION("""COMPUTED_VALUE"""),44545.323764074)</f>
        <v>44545.32376</v>
      </c>
      <c r="D5744" s="15">
        <f>IFERROR(__xludf.DUMMYFUNCTION("""COMPUTED_VALUE"""),1.015)</f>
        <v>1.015</v>
      </c>
      <c r="E5744" s="16">
        <f>IFERROR(__xludf.DUMMYFUNCTION("""COMPUTED_VALUE"""),62.0)</f>
        <v>62</v>
      </c>
      <c r="F5744" s="19" t="str">
        <f>IFERROR(__xludf.DUMMYFUNCTION("""COMPUTED_VALUE"""),"BLUE")</f>
        <v>BLUE</v>
      </c>
      <c r="G5744" s="20" t="str">
        <f>IFERROR(__xludf.DUMMYFUNCTION("""COMPUTED_VALUE"""),"Uncle Sams Cider (11/12/2021) (Blue)")</f>
        <v>Uncle Sams Cider (11/12/2021) (Blue)</v>
      </c>
      <c r="H5744" s="19"/>
    </row>
    <row r="5745">
      <c r="A5745" s="9"/>
      <c r="B5745" s="15"/>
      <c r="C5745" s="9">
        <f>IFERROR(__xludf.DUMMYFUNCTION("""COMPUTED_VALUE"""),44545.3133418286)</f>
        <v>44545.31334</v>
      </c>
      <c r="D5745" s="15">
        <f>IFERROR(__xludf.DUMMYFUNCTION("""COMPUTED_VALUE"""),1.015)</f>
        <v>1.015</v>
      </c>
      <c r="E5745" s="16">
        <f>IFERROR(__xludf.DUMMYFUNCTION("""COMPUTED_VALUE"""),62.0)</f>
        <v>62</v>
      </c>
      <c r="F5745" s="19" t="str">
        <f>IFERROR(__xludf.DUMMYFUNCTION("""COMPUTED_VALUE"""),"BLUE")</f>
        <v>BLUE</v>
      </c>
      <c r="G5745" s="20" t="str">
        <f>IFERROR(__xludf.DUMMYFUNCTION("""COMPUTED_VALUE"""),"Uncle Sams Cider (11/12/2021) (Blue)")</f>
        <v>Uncle Sams Cider (11/12/2021) (Blue)</v>
      </c>
      <c r="H5745" s="19"/>
    </row>
    <row r="5746">
      <c r="A5746" s="9"/>
      <c r="B5746" s="15"/>
      <c r="C5746" s="9">
        <f>IFERROR(__xludf.DUMMYFUNCTION("""COMPUTED_VALUE"""),44545.3029207523)</f>
        <v>44545.30292</v>
      </c>
      <c r="D5746" s="15">
        <f>IFERROR(__xludf.DUMMYFUNCTION("""COMPUTED_VALUE"""),1.015)</f>
        <v>1.015</v>
      </c>
      <c r="E5746" s="16">
        <f>IFERROR(__xludf.DUMMYFUNCTION("""COMPUTED_VALUE"""),62.0)</f>
        <v>62</v>
      </c>
      <c r="F5746" s="19" t="str">
        <f>IFERROR(__xludf.DUMMYFUNCTION("""COMPUTED_VALUE"""),"BLUE")</f>
        <v>BLUE</v>
      </c>
      <c r="G5746" s="20" t="str">
        <f>IFERROR(__xludf.DUMMYFUNCTION("""COMPUTED_VALUE"""),"Uncle Sams Cider (11/12/2021) (Blue)")</f>
        <v>Uncle Sams Cider (11/12/2021) (Blue)</v>
      </c>
      <c r="H5746" s="19"/>
    </row>
    <row r="5747">
      <c r="A5747" s="9"/>
      <c r="B5747" s="15"/>
      <c r="C5747" s="9">
        <f>IFERROR(__xludf.DUMMYFUNCTION("""COMPUTED_VALUE"""),44545.2925008449)</f>
        <v>44545.2925</v>
      </c>
      <c r="D5747" s="15">
        <f>IFERROR(__xludf.DUMMYFUNCTION("""COMPUTED_VALUE"""),1.015)</f>
        <v>1.015</v>
      </c>
      <c r="E5747" s="16">
        <f>IFERROR(__xludf.DUMMYFUNCTION("""COMPUTED_VALUE"""),62.0)</f>
        <v>62</v>
      </c>
      <c r="F5747" s="19" t="str">
        <f>IFERROR(__xludf.DUMMYFUNCTION("""COMPUTED_VALUE"""),"BLUE")</f>
        <v>BLUE</v>
      </c>
      <c r="G5747" s="20" t="str">
        <f>IFERROR(__xludf.DUMMYFUNCTION("""COMPUTED_VALUE"""),"Uncle Sams Cider (11/12/2021) (Blue)")</f>
        <v>Uncle Sams Cider (11/12/2021) (Blue)</v>
      </c>
      <c r="H5747" s="19"/>
    </row>
    <row r="5748">
      <c r="A5748" s="9"/>
      <c r="B5748" s="15"/>
      <c r="C5748" s="9">
        <f>IFERROR(__xludf.DUMMYFUNCTION("""COMPUTED_VALUE"""),44545.2820793865)</f>
        <v>44545.28208</v>
      </c>
      <c r="D5748" s="15">
        <f>IFERROR(__xludf.DUMMYFUNCTION("""COMPUTED_VALUE"""),1.015)</f>
        <v>1.015</v>
      </c>
      <c r="E5748" s="16">
        <f>IFERROR(__xludf.DUMMYFUNCTION("""COMPUTED_VALUE"""),62.0)</f>
        <v>62</v>
      </c>
      <c r="F5748" s="19" t="str">
        <f>IFERROR(__xludf.DUMMYFUNCTION("""COMPUTED_VALUE"""),"BLUE")</f>
        <v>BLUE</v>
      </c>
      <c r="G5748" s="20" t="str">
        <f>IFERROR(__xludf.DUMMYFUNCTION("""COMPUTED_VALUE"""),"Uncle Sams Cider (11/12/2021) (Blue)")</f>
        <v>Uncle Sams Cider (11/12/2021) (Blue)</v>
      </c>
      <c r="H5748" s="19"/>
    </row>
    <row r="5749">
      <c r="A5749" s="9"/>
      <c r="B5749" s="15"/>
      <c r="C5749" s="9">
        <f>IFERROR(__xludf.DUMMYFUNCTION("""COMPUTED_VALUE"""),44545.2716568518)</f>
        <v>44545.27166</v>
      </c>
      <c r="D5749" s="15">
        <f>IFERROR(__xludf.DUMMYFUNCTION("""COMPUTED_VALUE"""),1.015)</f>
        <v>1.015</v>
      </c>
      <c r="E5749" s="16">
        <f>IFERROR(__xludf.DUMMYFUNCTION("""COMPUTED_VALUE"""),62.0)</f>
        <v>62</v>
      </c>
      <c r="F5749" s="19" t="str">
        <f>IFERROR(__xludf.DUMMYFUNCTION("""COMPUTED_VALUE"""),"BLUE")</f>
        <v>BLUE</v>
      </c>
      <c r="G5749" s="20" t="str">
        <f>IFERROR(__xludf.DUMMYFUNCTION("""COMPUTED_VALUE"""),"Uncle Sams Cider (11/12/2021) (Blue)")</f>
        <v>Uncle Sams Cider (11/12/2021) (Blue)</v>
      </c>
      <c r="H5749" s="19"/>
    </row>
    <row r="5750">
      <c r="A5750" s="9"/>
      <c r="B5750" s="15"/>
      <c r="C5750" s="9">
        <f>IFERROR(__xludf.DUMMYFUNCTION("""COMPUTED_VALUE"""),44545.2612249074)</f>
        <v>44545.26122</v>
      </c>
      <c r="D5750" s="15">
        <f>IFERROR(__xludf.DUMMYFUNCTION("""COMPUTED_VALUE"""),1.015)</f>
        <v>1.015</v>
      </c>
      <c r="E5750" s="16">
        <f>IFERROR(__xludf.DUMMYFUNCTION("""COMPUTED_VALUE"""),62.0)</f>
        <v>62</v>
      </c>
      <c r="F5750" s="19" t="str">
        <f>IFERROR(__xludf.DUMMYFUNCTION("""COMPUTED_VALUE"""),"BLUE")</f>
        <v>BLUE</v>
      </c>
      <c r="G5750" s="20" t="str">
        <f>IFERROR(__xludf.DUMMYFUNCTION("""COMPUTED_VALUE"""),"Uncle Sams Cider (11/12/2021) (Blue)")</f>
        <v>Uncle Sams Cider (11/12/2021) (Blue)</v>
      </c>
      <c r="H5750" s="19"/>
    </row>
    <row r="5751">
      <c r="A5751" s="9"/>
      <c r="B5751" s="15"/>
      <c r="C5751" s="9">
        <f>IFERROR(__xludf.DUMMYFUNCTION("""COMPUTED_VALUE"""),44545.2508037268)</f>
        <v>44545.2508</v>
      </c>
      <c r="D5751" s="15">
        <f>IFERROR(__xludf.DUMMYFUNCTION("""COMPUTED_VALUE"""),1.015)</f>
        <v>1.015</v>
      </c>
      <c r="E5751" s="16">
        <f>IFERROR(__xludf.DUMMYFUNCTION("""COMPUTED_VALUE"""),62.0)</f>
        <v>62</v>
      </c>
      <c r="F5751" s="19" t="str">
        <f>IFERROR(__xludf.DUMMYFUNCTION("""COMPUTED_VALUE"""),"BLUE")</f>
        <v>BLUE</v>
      </c>
      <c r="G5751" s="20" t="str">
        <f>IFERROR(__xludf.DUMMYFUNCTION("""COMPUTED_VALUE"""),"Uncle Sams Cider (11/12/2021) (Blue)")</f>
        <v>Uncle Sams Cider (11/12/2021) (Blue)</v>
      </c>
      <c r="H5751" s="19"/>
    </row>
    <row r="5752">
      <c r="A5752" s="9"/>
      <c r="B5752" s="15"/>
      <c r="C5752" s="9">
        <f>IFERROR(__xludf.DUMMYFUNCTION("""COMPUTED_VALUE"""),44545.2403831597)</f>
        <v>44545.24038</v>
      </c>
      <c r="D5752" s="15">
        <f>IFERROR(__xludf.DUMMYFUNCTION("""COMPUTED_VALUE"""),1.015)</f>
        <v>1.015</v>
      </c>
      <c r="E5752" s="16">
        <f>IFERROR(__xludf.DUMMYFUNCTION("""COMPUTED_VALUE"""),62.0)</f>
        <v>62</v>
      </c>
      <c r="F5752" s="19" t="str">
        <f>IFERROR(__xludf.DUMMYFUNCTION("""COMPUTED_VALUE"""),"BLUE")</f>
        <v>BLUE</v>
      </c>
      <c r="G5752" s="20" t="str">
        <f>IFERROR(__xludf.DUMMYFUNCTION("""COMPUTED_VALUE"""),"Uncle Sams Cider (11/12/2021) (Blue)")</f>
        <v>Uncle Sams Cider (11/12/2021) (Blue)</v>
      </c>
      <c r="H5752" s="19"/>
    </row>
    <row r="5753">
      <c r="A5753" s="9"/>
      <c r="B5753" s="15"/>
      <c r="C5753" s="9">
        <f>IFERROR(__xludf.DUMMYFUNCTION("""COMPUTED_VALUE"""),44545.229962824)</f>
        <v>44545.22996</v>
      </c>
      <c r="D5753" s="15">
        <f>IFERROR(__xludf.DUMMYFUNCTION("""COMPUTED_VALUE"""),1.015)</f>
        <v>1.015</v>
      </c>
      <c r="E5753" s="16">
        <f>IFERROR(__xludf.DUMMYFUNCTION("""COMPUTED_VALUE"""),62.0)</f>
        <v>62</v>
      </c>
      <c r="F5753" s="19" t="str">
        <f>IFERROR(__xludf.DUMMYFUNCTION("""COMPUTED_VALUE"""),"BLUE")</f>
        <v>BLUE</v>
      </c>
      <c r="G5753" s="20" t="str">
        <f>IFERROR(__xludf.DUMMYFUNCTION("""COMPUTED_VALUE"""),"Uncle Sams Cider (11/12/2021) (Blue)")</f>
        <v>Uncle Sams Cider (11/12/2021) (Blue)</v>
      </c>
      <c r="H5753" s="19"/>
    </row>
    <row r="5754">
      <c r="A5754" s="9"/>
      <c r="B5754" s="15"/>
      <c r="C5754" s="9">
        <f>IFERROR(__xludf.DUMMYFUNCTION("""COMPUTED_VALUE"""),44545.2195428935)</f>
        <v>44545.21954</v>
      </c>
      <c r="D5754" s="15">
        <f>IFERROR(__xludf.DUMMYFUNCTION("""COMPUTED_VALUE"""),1.015)</f>
        <v>1.015</v>
      </c>
      <c r="E5754" s="16">
        <f>IFERROR(__xludf.DUMMYFUNCTION("""COMPUTED_VALUE"""),62.0)</f>
        <v>62</v>
      </c>
      <c r="F5754" s="19" t="str">
        <f>IFERROR(__xludf.DUMMYFUNCTION("""COMPUTED_VALUE"""),"BLUE")</f>
        <v>BLUE</v>
      </c>
      <c r="G5754" s="20" t="str">
        <f>IFERROR(__xludf.DUMMYFUNCTION("""COMPUTED_VALUE"""),"Uncle Sams Cider (11/12/2021) (Blue)")</f>
        <v>Uncle Sams Cider (11/12/2021) (Blue)</v>
      </c>
      <c r="H5754" s="19"/>
    </row>
    <row r="5755">
      <c r="A5755" s="9"/>
      <c r="B5755" s="15"/>
      <c r="C5755" s="9">
        <f>IFERROR(__xludf.DUMMYFUNCTION("""COMPUTED_VALUE"""),44545.2091211689)</f>
        <v>44545.20912</v>
      </c>
      <c r="D5755" s="15">
        <f>IFERROR(__xludf.DUMMYFUNCTION("""COMPUTED_VALUE"""),1.015)</f>
        <v>1.015</v>
      </c>
      <c r="E5755" s="16">
        <f>IFERROR(__xludf.DUMMYFUNCTION("""COMPUTED_VALUE"""),62.0)</f>
        <v>62</v>
      </c>
      <c r="F5755" s="19" t="str">
        <f>IFERROR(__xludf.DUMMYFUNCTION("""COMPUTED_VALUE"""),"BLUE")</f>
        <v>BLUE</v>
      </c>
      <c r="G5755" s="20" t="str">
        <f>IFERROR(__xludf.DUMMYFUNCTION("""COMPUTED_VALUE"""),"Uncle Sams Cider (11/12/2021) (Blue)")</f>
        <v>Uncle Sams Cider (11/12/2021) (Blue)</v>
      </c>
      <c r="H5755" s="19"/>
    </row>
    <row r="5756">
      <c r="A5756" s="9"/>
      <c r="B5756" s="15"/>
      <c r="C5756" s="9">
        <f>IFERROR(__xludf.DUMMYFUNCTION("""COMPUTED_VALUE"""),44545.1987001736)</f>
        <v>44545.1987</v>
      </c>
      <c r="D5756" s="15">
        <f>IFERROR(__xludf.DUMMYFUNCTION("""COMPUTED_VALUE"""),1.015)</f>
        <v>1.015</v>
      </c>
      <c r="E5756" s="16">
        <f>IFERROR(__xludf.DUMMYFUNCTION("""COMPUTED_VALUE"""),62.0)</f>
        <v>62</v>
      </c>
      <c r="F5756" s="19" t="str">
        <f>IFERROR(__xludf.DUMMYFUNCTION("""COMPUTED_VALUE"""),"BLUE")</f>
        <v>BLUE</v>
      </c>
      <c r="G5756" s="20" t="str">
        <f>IFERROR(__xludf.DUMMYFUNCTION("""COMPUTED_VALUE"""),"Uncle Sams Cider (11/12/2021) (Blue)")</f>
        <v>Uncle Sams Cider (11/12/2021) (Blue)</v>
      </c>
      <c r="H5756" s="19"/>
    </row>
    <row r="5757">
      <c r="A5757" s="9"/>
      <c r="B5757" s="15"/>
      <c r="C5757" s="9">
        <f>IFERROR(__xludf.DUMMYFUNCTION("""COMPUTED_VALUE"""),44545.1882792013)</f>
        <v>44545.18828</v>
      </c>
      <c r="D5757" s="15">
        <f>IFERROR(__xludf.DUMMYFUNCTION("""COMPUTED_VALUE"""),1.015)</f>
        <v>1.015</v>
      </c>
      <c r="E5757" s="16">
        <f>IFERROR(__xludf.DUMMYFUNCTION("""COMPUTED_VALUE"""),62.0)</f>
        <v>62</v>
      </c>
      <c r="F5757" s="19" t="str">
        <f>IFERROR(__xludf.DUMMYFUNCTION("""COMPUTED_VALUE"""),"BLUE")</f>
        <v>BLUE</v>
      </c>
      <c r="G5757" s="20" t="str">
        <f>IFERROR(__xludf.DUMMYFUNCTION("""COMPUTED_VALUE"""),"Uncle Sams Cider (11/12/2021) (Blue)")</f>
        <v>Uncle Sams Cider (11/12/2021) (Blue)</v>
      </c>
      <c r="H5757" s="19"/>
    </row>
    <row r="5758">
      <c r="A5758" s="9"/>
      <c r="B5758" s="15"/>
      <c r="C5758" s="9">
        <f>IFERROR(__xludf.DUMMYFUNCTION("""COMPUTED_VALUE"""),44545.1778573148)</f>
        <v>44545.17786</v>
      </c>
      <c r="D5758" s="15">
        <f>IFERROR(__xludf.DUMMYFUNCTION("""COMPUTED_VALUE"""),1.015)</f>
        <v>1.015</v>
      </c>
      <c r="E5758" s="16">
        <f>IFERROR(__xludf.DUMMYFUNCTION("""COMPUTED_VALUE"""),62.0)</f>
        <v>62</v>
      </c>
      <c r="F5758" s="19" t="str">
        <f>IFERROR(__xludf.DUMMYFUNCTION("""COMPUTED_VALUE"""),"BLUE")</f>
        <v>BLUE</v>
      </c>
      <c r="G5758" s="20" t="str">
        <f>IFERROR(__xludf.DUMMYFUNCTION("""COMPUTED_VALUE"""),"Uncle Sams Cider (11/12/2021) (Blue)")</f>
        <v>Uncle Sams Cider (11/12/2021) (Blue)</v>
      </c>
      <c r="H5758" s="19"/>
    </row>
    <row r="5759">
      <c r="A5759" s="9"/>
      <c r="B5759" s="15"/>
      <c r="C5759" s="9">
        <f>IFERROR(__xludf.DUMMYFUNCTION("""COMPUTED_VALUE"""),44545.1674351157)</f>
        <v>44545.16744</v>
      </c>
      <c r="D5759" s="15">
        <f>IFERROR(__xludf.DUMMYFUNCTION("""COMPUTED_VALUE"""),1.015)</f>
        <v>1.015</v>
      </c>
      <c r="E5759" s="16">
        <f>IFERROR(__xludf.DUMMYFUNCTION("""COMPUTED_VALUE"""),62.0)</f>
        <v>62</v>
      </c>
      <c r="F5759" s="19" t="str">
        <f>IFERROR(__xludf.DUMMYFUNCTION("""COMPUTED_VALUE"""),"BLUE")</f>
        <v>BLUE</v>
      </c>
      <c r="G5759" s="20" t="str">
        <f>IFERROR(__xludf.DUMMYFUNCTION("""COMPUTED_VALUE"""),"Uncle Sams Cider (11/12/2021) (Blue)")</f>
        <v>Uncle Sams Cider (11/12/2021) (Blue)</v>
      </c>
      <c r="H5759" s="19"/>
    </row>
    <row r="5760">
      <c r="A5760" s="9"/>
      <c r="B5760" s="15"/>
      <c r="C5760" s="9">
        <f>IFERROR(__xludf.DUMMYFUNCTION("""COMPUTED_VALUE"""),44545.1570007638)</f>
        <v>44545.157</v>
      </c>
      <c r="D5760" s="15">
        <f>IFERROR(__xludf.DUMMYFUNCTION("""COMPUTED_VALUE"""),1.015)</f>
        <v>1.015</v>
      </c>
      <c r="E5760" s="16">
        <f>IFERROR(__xludf.DUMMYFUNCTION("""COMPUTED_VALUE"""),62.0)</f>
        <v>62</v>
      </c>
      <c r="F5760" s="19" t="str">
        <f>IFERROR(__xludf.DUMMYFUNCTION("""COMPUTED_VALUE"""),"BLUE")</f>
        <v>BLUE</v>
      </c>
      <c r="G5760" s="20" t="str">
        <f>IFERROR(__xludf.DUMMYFUNCTION("""COMPUTED_VALUE"""),"Uncle Sams Cider (11/12/2021) (Blue)")</f>
        <v>Uncle Sams Cider (11/12/2021) (Blue)</v>
      </c>
      <c r="H5760" s="19"/>
    </row>
    <row r="5761">
      <c r="A5761" s="9"/>
      <c r="B5761" s="15"/>
      <c r="C5761" s="9">
        <f>IFERROR(__xludf.DUMMYFUNCTION("""COMPUTED_VALUE"""),44545.1465683217)</f>
        <v>44545.14657</v>
      </c>
      <c r="D5761" s="15">
        <f>IFERROR(__xludf.DUMMYFUNCTION("""COMPUTED_VALUE"""),1.015)</f>
        <v>1.015</v>
      </c>
      <c r="E5761" s="16">
        <f>IFERROR(__xludf.DUMMYFUNCTION("""COMPUTED_VALUE"""),62.0)</f>
        <v>62</v>
      </c>
      <c r="F5761" s="19" t="str">
        <f>IFERROR(__xludf.DUMMYFUNCTION("""COMPUTED_VALUE"""),"BLUE")</f>
        <v>BLUE</v>
      </c>
      <c r="G5761" s="20" t="str">
        <f>IFERROR(__xludf.DUMMYFUNCTION("""COMPUTED_VALUE"""),"Uncle Sams Cider (11/12/2021) (Blue)")</f>
        <v>Uncle Sams Cider (11/12/2021) (Blue)</v>
      </c>
      <c r="H5761" s="19"/>
    </row>
    <row r="5762">
      <c r="A5762" s="9"/>
      <c r="B5762" s="15"/>
      <c r="C5762" s="9">
        <f>IFERROR(__xludf.DUMMYFUNCTION("""COMPUTED_VALUE"""),44545.1361472106)</f>
        <v>44545.13615</v>
      </c>
      <c r="D5762" s="15">
        <f>IFERROR(__xludf.DUMMYFUNCTION("""COMPUTED_VALUE"""),1.015)</f>
        <v>1.015</v>
      </c>
      <c r="E5762" s="16">
        <f>IFERROR(__xludf.DUMMYFUNCTION("""COMPUTED_VALUE"""),62.0)</f>
        <v>62</v>
      </c>
      <c r="F5762" s="19" t="str">
        <f>IFERROR(__xludf.DUMMYFUNCTION("""COMPUTED_VALUE"""),"BLUE")</f>
        <v>BLUE</v>
      </c>
      <c r="G5762" s="20" t="str">
        <f>IFERROR(__xludf.DUMMYFUNCTION("""COMPUTED_VALUE"""),"Uncle Sams Cider (11/12/2021) (Blue)")</f>
        <v>Uncle Sams Cider (11/12/2021) (Blue)</v>
      </c>
      <c r="H5762" s="19"/>
    </row>
    <row r="5763">
      <c r="A5763" s="9"/>
      <c r="B5763" s="15"/>
      <c r="C5763" s="9">
        <f>IFERROR(__xludf.DUMMYFUNCTION("""COMPUTED_VALUE"""),44545.1257248263)</f>
        <v>44545.12572</v>
      </c>
      <c r="D5763" s="15">
        <f>IFERROR(__xludf.DUMMYFUNCTION("""COMPUTED_VALUE"""),1.015)</f>
        <v>1.015</v>
      </c>
      <c r="E5763" s="16">
        <f>IFERROR(__xludf.DUMMYFUNCTION("""COMPUTED_VALUE"""),62.0)</f>
        <v>62</v>
      </c>
      <c r="F5763" s="19" t="str">
        <f>IFERROR(__xludf.DUMMYFUNCTION("""COMPUTED_VALUE"""),"BLUE")</f>
        <v>BLUE</v>
      </c>
      <c r="G5763" s="20" t="str">
        <f>IFERROR(__xludf.DUMMYFUNCTION("""COMPUTED_VALUE"""),"Uncle Sams Cider (11/12/2021) (Blue)")</f>
        <v>Uncle Sams Cider (11/12/2021) (Blue)</v>
      </c>
      <c r="H5763" s="19"/>
    </row>
    <row r="5764">
      <c r="A5764" s="9"/>
      <c r="B5764" s="15"/>
      <c r="C5764" s="9">
        <f>IFERROR(__xludf.DUMMYFUNCTION("""COMPUTED_VALUE"""),44545.1153029282)</f>
        <v>44545.1153</v>
      </c>
      <c r="D5764" s="15">
        <f>IFERROR(__xludf.DUMMYFUNCTION("""COMPUTED_VALUE"""),1.015)</f>
        <v>1.015</v>
      </c>
      <c r="E5764" s="16">
        <f>IFERROR(__xludf.DUMMYFUNCTION("""COMPUTED_VALUE"""),62.0)</f>
        <v>62</v>
      </c>
      <c r="F5764" s="19" t="str">
        <f>IFERROR(__xludf.DUMMYFUNCTION("""COMPUTED_VALUE"""),"BLUE")</f>
        <v>BLUE</v>
      </c>
      <c r="G5764" s="20" t="str">
        <f>IFERROR(__xludf.DUMMYFUNCTION("""COMPUTED_VALUE"""),"Uncle Sams Cider (11/12/2021) (Blue)")</f>
        <v>Uncle Sams Cider (11/12/2021) (Blue)</v>
      </c>
      <c r="H5764" s="19"/>
    </row>
    <row r="5765">
      <c r="A5765" s="9"/>
      <c r="B5765" s="15"/>
      <c r="C5765" s="9">
        <f>IFERROR(__xludf.DUMMYFUNCTION("""COMPUTED_VALUE"""),44545.1048804166)</f>
        <v>44545.10488</v>
      </c>
      <c r="D5765" s="15">
        <f>IFERROR(__xludf.DUMMYFUNCTION("""COMPUTED_VALUE"""),1.015)</f>
        <v>1.015</v>
      </c>
      <c r="E5765" s="16">
        <f>IFERROR(__xludf.DUMMYFUNCTION("""COMPUTED_VALUE"""),62.0)</f>
        <v>62</v>
      </c>
      <c r="F5765" s="19" t="str">
        <f>IFERROR(__xludf.DUMMYFUNCTION("""COMPUTED_VALUE"""),"BLUE")</f>
        <v>BLUE</v>
      </c>
      <c r="G5765" s="20" t="str">
        <f>IFERROR(__xludf.DUMMYFUNCTION("""COMPUTED_VALUE"""),"Uncle Sams Cider (11/12/2021) (Blue)")</f>
        <v>Uncle Sams Cider (11/12/2021) (Blue)</v>
      </c>
      <c r="H5765" s="19"/>
    </row>
    <row r="5766">
      <c r="A5766" s="9"/>
      <c r="B5766" s="15"/>
      <c r="C5766" s="9">
        <f>IFERROR(__xludf.DUMMYFUNCTION("""COMPUTED_VALUE"""),44545.0944460185)</f>
        <v>44545.09445</v>
      </c>
      <c r="D5766" s="15">
        <f>IFERROR(__xludf.DUMMYFUNCTION("""COMPUTED_VALUE"""),1.015)</f>
        <v>1.015</v>
      </c>
      <c r="E5766" s="16">
        <f>IFERROR(__xludf.DUMMYFUNCTION("""COMPUTED_VALUE"""),62.0)</f>
        <v>62</v>
      </c>
      <c r="F5766" s="19" t="str">
        <f>IFERROR(__xludf.DUMMYFUNCTION("""COMPUTED_VALUE"""),"BLUE")</f>
        <v>BLUE</v>
      </c>
      <c r="G5766" s="20" t="str">
        <f>IFERROR(__xludf.DUMMYFUNCTION("""COMPUTED_VALUE"""),"Uncle Sams Cider (11/12/2021) (Blue)")</f>
        <v>Uncle Sams Cider (11/12/2021) (Blue)</v>
      </c>
      <c r="H5766" s="19"/>
    </row>
    <row r="5767">
      <c r="A5767" s="9"/>
      <c r="B5767" s="15"/>
      <c r="C5767" s="9">
        <f>IFERROR(__xludf.DUMMYFUNCTION("""COMPUTED_VALUE"""),44545.0840249305)</f>
        <v>44545.08402</v>
      </c>
      <c r="D5767" s="15">
        <f>IFERROR(__xludf.DUMMYFUNCTION("""COMPUTED_VALUE"""),1.015)</f>
        <v>1.015</v>
      </c>
      <c r="E5767" s="16">
        <f>IFERROR(__xludf.DUMMYFUNCTION("""COMPUTED_VALUE"""),62.0)</f>
        <v>62</v>
      </c>
      <c r="F5767" s="19" t="str">
        <f>IFERROR(__xludf.DUMMYFUNCTION("""COMPUTED_VALUE"""),"BLUE")</f>
        <v>BLUE</v>
      </c>
      <c r="G5767" s="20" t="str">
        <f>IFERROR(__xludf.DUMMYFUNCTION("""COMPUTED_VALUE"""),"Uncle Sams Cider (11/12/2021) (Blue)")</f>
        <v>Uncle Sams Cider (11/12/2021) (Blue)</v>
      </c>
      <c r="H5767" s="19"/>
    </row>
    <row r="5768">
      <c r="A5768" s="9"/>
      <c r="B5768" s="15"/>
      <c r="C5768" s="9">
        <f>IFERROR(__xludf.DUMMYFUNCTION("""COMPUTED_VALUE"""),44545.0736045833)</f>
        <v>44545.0736</v>
      </c>
      <c r="D5768" s="15">
        <f>IFERROR(__xludf.DUMMYFUNCTION("""COMPUTED_VALUE"""),1.015)</f>
        <v>1.015</v>
      </c>
      <c r="E5768" s="16">
        <f>IFERROR(__xludf.DUMMYFUNCTION("""COMPUTED_VALUE"""),62.0)</f>
        <v>62</v>
      </c>
      <c r="F5768" s="19" t="str">
        <f>IFERROR(__xludf.DUMMYFUNCTION("""COMPUTED_VALUE"""),"BLUE")</f>
        <v>BLUE</v>
      </c>
      <c r="G5768" s="20" t="str">
        <f>IFERROR(__xludf.DUMMYFUNCTION("""COMPUTED_VALUE"""),"Uncle Sams Cider (11/12/2021) (Blue)")</f>
        <v>Uncle Sams Cider (11/12/2021) (Blue)</v>
      </c>
      <c r="H5768" s="19"/>
    </row>
    <row r="5769">
      <c r="A5769" s="9"/>
      <c r="B5769" s="15"/>
      <c r="C5769" s="9">
        <f>IFERROR(__xludf.DUMMYFUNCTION("""COMPUTED_VALUE"""),44545.0631845254)</f>
        <v>44545.06318</v>
      </c>
      <c r="D5769" s="15">
        <f>IFERROR(__xludf.DUMMYFUNCTION("""COMPUTED_VALUE"""),1.015)</f>
        <v>1.015</v>
      </c>
      <c r="E5769" s="16">
        <f>IFERROR(__xludf.DUMMYFUNCTION("""COMPUTED_VALUE"""),62.0)</f>
        <v>62</v>
      </c>
      <c r="F5769" s="19" t="str">
        <f>IFERROR(__xludf.DUMMYFUNCTION("""COMPUTED_VALUE"""),"BLUE")</f>
        <v>BLUE</v>
      </c>
      <c r="G5769" s="20" t="str">
        <f>IFERROR(__xludf.DUMMYFUNCTION("""COMPUTED_VALUE"""),"Uncle Sams Cider (11/12/2021) (Blue)")</f>
        <v>Uncle Sams Cider (11/12/2021) (Blue)</v>
      </c>
      <c r="H5769" s="19"/>
    </row>
    <row r="5770">
      <c r="A5770" s="9"/>
      <c r="B5770" s="15"/>
      <c r="C5770" s="9">
        <f>IFERROR(__xludf.DUMMYFUNCTION("""COMPUTED_VALUE"""),44545.0527634953)</f>
        <v>44545.05276</v>
      </c>
      <c r="D5770" s="15">
        <f>IFERROR(__xludf.DUMMYFUNCTION("""COMPUTED_VALUE"""),1.015)</f>
        <v>1.015</v>
      </c>
      <c r="E5770" s="16">
        <f>IFERROR(__xludf.DUMMYFUNCTION("""COMPUTED_VALUE"""),62.0)</f>
        <v>62</v>
      </c>
      <c r="F5770" s="19" t="str">
        <f>IFERROR(__xludf.DUMMYFUNCTION("""COMPUTED_VALUE"""),"BLUE")</f>
        <v>BLUE</v>
      </c>
      <c r="G5770" s="20" t="str">
        <f>IFERROR(__xludf.DUMMYFUNCTION("""COMPUTED_VALUE"""),"Uncle Sams Cider (11/12/2021) (Blue)")</f>
        <v>Uncle Sams Cider (11/12/2021) (Blue)</v>
      </c>
      <c r="H5770" s="19"/>
    </row>
    <row r="5771">
      <c r="A5771" s="9"/>
      <c r="B5771" s="15"/>
      <c r="C5771" s="9">
        <f>IFERROR(__xludf.DUMMYFUNCTION("""COMPUTED_VALUE"""),44545.0423416087)</f>
        <v>44545.04234</v>
      </c>
      <c r="D5771" s="15">
        <f>IFERROR(__xludf.DUMMYFUNCTION("""COMPUTED_VALUE"""),1.015)</f>
        <v>1.015</v>
      </c>
      <c r="E5771" s="16">
        <f>IFERROR(__xludf.DUMMYFUNCTION("""COMPUTED_VALUE"""),62.0)</f>
        <v>62</v>
      </c>
      <c r="F5771" s="19" t="str">
        <f>IFERROR(__xludf.DUMMYFUNCTION("""COMPUTED_VALUE"""),"BLUE")</f>
        <v>BLUE</v>
      </c>
      <c r="G5771" s="20" t="str">
        <f>IFERROR(__xludf.DUMMYFUNCTION("""COMPUTED_VALUE"""),"Uncle Sams Cider (11/12/2021) (Blue)")</f>
        <v>Uncle Sams Cider (11/12/2021) (Blue)</v>
      </c>
      <c r="H5771" s="19"/>
    </row>
    <row r="5772">
      <c r="A5772" s="9"/>
      <c r="B5772" s="15"/>
      <c r="C5772" s="9">
        <f>IFERROR(__xludf.DUMMYFUNCTION("""COMPUTED_VALUE"""),44545.0319204976)</f>
        <v>44545.03192</v>
      </c>
      <c r="D5772" s="15">
        <f>IFERROR(__xludf.DUMMYFUNCTION("""COMPUTED_VALUE"""),1.015)</f>
        <v>1.015</v>
      </c>
      <c r="E5772" s="16">
        <f>IFERROR(__xludf.DUMMYFUNCTION("""COMPUTED_VALUE"""),62.0)</f>
        <v>62</v>
      </c>
      <c r="F5772" s="19" t="str">
        <f>IFERROR(__xludf.DUMMYFUNCTION("""COMPUTED_VALUE"""),"BLUE")</f>
        <v>BLUE</v>
      </c>
      <c r="G5772" s="20" t="str">
        <f>IFERROR(__xludf.DUMMYFUNCTION("""COMPUTED_VALUE"""),"Uncle Sams Cider (11/12/2021) (Blue)")</f>
        <v>Uncle Sams Cider (11/12/2021) (Blue)</v>
      </c>
      <c r="H5772" s="19"/>
    </row>
    <row r="5773">
      <c r="A5773" s="9"/>
      <c r="B5773" s="15"/>
      <c r="C5773" s="9">
        <f>IFERROR(__xludf.DUMMYFUNCTION("""COMPUTED_VALUE"""),44545.0215001736)</f>
        <v>44545.0215</v>
      </c>
      <c r="D5773" s="15">
        <f>IFERROR(__xludf.DUMMYFUNCTION("""COMPUTED_VALUE"""),1.015)</f>
        <v>1.015</v>
      </c>
      <c r="E5773" s="16">
        <f>IFERROR(__xludf.DUMMYFUNCTION("""COMPUTED_VALUE"""),62.0)</f>
        <v>62</v>
      </c>
      <c r="F5773" s="19" t="str">
        <f>IFERROR(__xludf.DUMMYFUNCTION("""COMPUTED_VALUE"""),"BLUE")</f>
        <v>BLUE</v>
      </c>
      <c r="G5773" s="20" t="str">
        <f>IFERROR(__xludf.DUMMYFUNCTION("""COMPUTED_VALUE"""),"Uncle Sams Cider (11/12/2021) (Blue)")</f>
        <v>Uncle Sams Cider (11/12/2021) (Blue)</v>
      </c>
      <c r="H5773" s="19"/>
    </row>
    <row r="5774">
      <c r="A5774" s="9"/>
      <c r="B5774" s="15"/>
      <c r="C5774" s="9">
        <f>IFERROR(__xludf.DUMMYFUNCTION("""COMPUTED_VALUE"""),44545.0110809027)</f>
        <v>44545.01108</v>
      </c>
      <c r="D5774" s="15">
        <f>IFERROR(__xludf.DUMMYFUNCTION("""COMPUTED_VALUE"""),1.015)</f>
        <v>1.015</v>
      </c>
      <c r="E5774" s="16">
        <f>IFERROR(__xludf.DUMMYFUNCTION("""COMPUTED_VALUE"""),62.0)</f>
        <v>62</v>
      </c>
      <c r="F5774" s="19" t="str">
        <f>IFERROR(__xludf.DUMMYFUNCTION("""COMPUTED_VALUE"""),"BLUE")</f>
        <v>BLUE</v>
      </c>
      <c r="G5774" s="20" t="str">
        <f>IFERROR(__xludf.DUMMYFUNCTION("""COMPUTED_VALUE"""),"Uncle Sams Cider (11/12/2021) (Blue)")</f>
        <v>Uncle Sams Cider (11/12/2021) (Blue)</v>
      </c>
      <c r="H5774" s="19"/>
    </row>
    <row r="5775">
      <c r="A5775" s="9"/>
      <c r="B5775" s="15"/>
      <c r="C5775" s="9">
        <f>IFERROR(__xludf.DUMMYFUNCTION("""COMPUTED_VALUE"""),44545.0006597916)</f>
        <v>44545.00066</v>
      </c>
      <c r="D5775" s="15">
        <f>IFERROR(__xludf.DUMMYFUNCTION("""COMPUTED_VALUE"""),1.015)</f>
        <v>1.015</v>
      </c>
      <c r="E5775" s="16">
        <f>IFERROR(__xludf.DUMMYFUNCTION("""COMPUTED_VALUE"""),62.0)</f>
        <v>62</v>
      </c>
      <c r="F5775" s="19" t="str">
        <f>IFERROR(__xludf.DUMMYFUNCTION("""COMPUTED_VALUE"""),"BLUE")</f>
        <v>BLUE</v>
      </c>
      <c r="G5775" s="20" t="str">
        <f>IFERROR(__xludf.DUMMYFUNCTION("""COMPUTED_VALUE"""),"Uncle Sams Cider (11/12/2021) (Blue)")</f>
        <v>Uncle Sams Cider (11/12/2021) (Blue)</v>
      </c>
      <c r="H5775" s="19"/>
    </row>
    <row r="5776">
      <c r="A5776" s="9"/>
      <c r="B5776" s="15"/>
      <c r="C5776" s="9">
        <f>IFERROR(__xludf.DUMMYFUNCTION("""COMPUTED_VALUE"""),44544.9693965625)</f>
        <v>44544.9694</v>
      </c>
      <c r="D5776" s="15">
        <f>IFERROR(__xludf.DUMMYFUNCTION("""COMPUTED_VALUE"""),1.015)</f>
        <v>1.015</v>
      </c>
      <c r="E5776" s="16">
        <f>IFERROR(__xludf.DUMMYFUNCTION("""COMPUTED_VALUE"""),62.0)</f>
        <v>62</v>
      </c>
      <c r="F5776" s="19" t="str">
        <f>IFERROR(__xludf.DUMMYFUNCTION("""COMPUTED_VALUE"""),"BLUE")</f>
        <v>BLUE</v>
      </c>
      <c r="G5776" s="20" t="str">
        <f>IFERROR(__xludf.DUMMYFUNCTION("""COMPUTED_VALUE"""),"Uncle Sams Cider (11/12/2021) (Blue)")</f>
        <v>Uncle Sams Cider (11/12/2021) (Blue)</v>
      </c>
      <c r="H5776" s="19"/>
    </row>
    <row r="5777">
      <c r="A5777" s="9"/>
      <c r="B5777" s="15"/>
      <c r="C5777" s="9">
        <f>IFERROR(__xludf.DUMMYFUNCTION("""COMPUTED_VALUE"""),44544.9589758333)</f>
        <v>44544.95898</v>
      </c>
      <c r="D5777" s="15">
        <f>IFERROR(__xludf.DUMMYFUNCTION("""COMPUTED_VALUE"""),1.015)</f>
        <v>1.015</v>
      </c>
      <c r="E5777" s="16">
        <f>IFERROR(__xludf.DUMMYFUNCTION("""COMPUTED_VALUE"""),62.0)</f>
        <v>62</v>
      </c>
      <c r="F5777" s="19" t="str">
        <f>IFERROR(__xludf.DUMMYFUNCTION("""COMPUTED_VALUE"""),"BLUE")</f>
        <v>BLUE</v>
      </c>
      <c r="G5777" s="20" t="str">
        <f>IFERROR(__xludf.DUMMYFUNCTION("""COMPUTED_VALUE"""),"Uncle Sams Cider (11/12/2021) (Blue)")</f>
        <v>Uncle Sams Cider (11/12/2021) (Blue)</v>
      </c>
      <c r="H5777" s="19"/>
    </row>
    <row r="5778">
      <c r="A5778" s="9"/>
      <c r="B5778" s="15"/>
      <c r="C5778" s="9">
        <f>IFERROR(__xludf.DUMMYFUNCTION("""COMPUTED_VALUE"""),44544.9485421064)</f>
        <v>44544.94854</v>
      </c>
      <c r="D5778" s="15">
        <f>IFERROR(__xludf.DUMMYFUNCTION("""COMPUTED_VALUE"""),1.015)</f>
        <v>1.015</v>
      </c>
      <c r="E5778" s="16">
        <f>IFERROR(__xludf.DUMMYFUNCTION("""COMPUTED_VALUE"""),62.0)</f>
        <v>62</v>
      </c>
      <c r="F5778" s="19" t="str">
        <f>IFERROR(__xludf.DUMMYFUNCTION("""COMPUTED_VALUE"""),"BLUE")</f>
        <v>BLUE</v>
      </c>
      <c r="G5778" s="20" t="str">
        <f>IFERROR(__xludf.DUMMYFUNCTION("""COMPUTED_VALUE"""),"Uncle Sams Cider (11/12/2021) (Blue)")</f>
        <v>Uncle Sams Cider (11/12/2021) (Blue)</v>
      </c>
      <c r="H5778" s="19"/>
    </row>
    <row r="5779">
      <c r="A5779" s="9"/>
      <c r="B5779" s="15"/>
      <c r="C5779" s="9">
        <f>IFERROR(__xludf.DUMMYFUNCTION("""COMPUTED_VALUE"""),44544.9381210069)</f>
        <v>44544.93812</v>
      </c>
      <c r="D5779" s="15">
        <f>IFERROR(__xludf.DUMMYFUNCTION("""COMPUTED_VALUE"""),1.015)</f>
        <v>1.015</v>
      </c>
      <c r="E5779" s="16">
        <f>IFERROR(__xludf.DUMMYFUNCTION("""COMPUTED_VALUE"""),62.0)</f>
        <v>62</v>
      </c>
      <c r="F5779" s="19" t="str">
        <f>IFERROR(__xludf.DUMMYFUNCTION("""COMPUTED_VALUE"""),"BLUE")</f>
        <v>BLUE</v>
      </c>
      <c r="G5779" s="20" t="str">
        <f>IFERROR(__xludf.DUMMYFUNCTION("""COMPUTED_VALUE"""),"Uncle Sams Cider (11/12/2021) (Blue)")</f>
        <v>Uncle Sams Cider (11/12/2021) (Blue)</v>
      </c>
      <c r="H5779" s="19"/>
    </row>
    <row r="5780">
      <c r="A5780" s="9"/>
      <c r="B5780" s="15"/>
      <c r="C5780" s="9">
        <f>IFERROR(__xludf.DUMMYFUNCTION("""COMPUTED_VALUE"""),44544.9276873148)</f>
        <v>44544.92769</v>
      </c>
      <c r="D5780" s="15">
        <f>IFERROR(__xludf.DUMMYFUNCTION("""COMPUTED_VALUE"""),1.015)</f>
        <v>1.015</v>
      </c>
      <c r="E5780" s="16">
        <f>IFERROR(__xludf.DUMMYFUNCTION("""COMPUTED_VALUE"""),62.0)</f>
        <v>62</v>
      </c>
      <c r="F5780" s="19" t="str">
        <f>IFERROR(__xludf.DUMMYFUNCTION("""COMPUTED_VALUE"""),"BLUE")</f>
        <v>BLUE</v>
      </c>
      <c r="G5780" s="20" t="str">
        <f>IFERROR(__xludf.DUMMYFUNCTION("""COMPUTED_VALUE"""),"Uncle Sams Cider (11/12/2021) (Blue)")</f>
        <v>Uncle Sams Cider (11/12/2021) (Blue)</v>
      </c>
      <c r="H5780" s="19"/>
    </row>
    <row r="5781">
      <c r="A5781" s="9"/>
      <c r="B5781" s="15"/>
      <c r="C5781" s="9">
        <f>IFERROR(__xludf.DUMMYFUNCTION("""COMPUTED_VALUE"""),44544.9172654976)</f>
        <v>44544.91727</v>
      </c>
      <c r="D5781" s="15">
        <f>IFERROR(__xludf.DUMMYFUNCTION("""COMPUTED_VALUE"""),1.015)</f>
        <v>1.015</v>
      </c>
      <c r="E5781" s="16">
        <f>IFERROR(__xludf.DUMMYFUNCTION("""COMPUTED_VALUE"""),62.0)</f>
        <v>62</v>
      </c>
      <c r="F5781" s="19" t="str">
        <f>IFERROR(__xludf.DUMMYFUNCTION("""COMPUTED_VALUE"""),"BLUE")</f>
        <v>BLUE</v>
      </c>
      <c r="G5781" s="20" t="str">
        <f>IFERROR(__xludf.DUMMYFUNCTION("""COMPUTED_VALUE"""),"Uncle Sams Cider (11/12/2021) (Blue)")</f>
        <v>Uncle Sams Cider (11/12/2021) (Blue)</v>
      </c>
      <c r="H5781" s="19"/>
    </row>
    <row r="5782">
      <c r="A5782" s="9"/>
      <c r="B5782" s="15"/>
      <c r="C5782" s="9">
        <f>IFERROR(__xludf.DUMMYFUNCTION("""COMPUTED_VALUE"""),44544.8964231828)</f>
        <v>44544.89642</v>
      </c>
      <c r="D5782" s="15">
        <f>IFERROR(__xludf.DUMMYFUNCTION("""COMPUTED_VALUE"""),1.015)</f>
        <v>1.015</v>
      </c>
      <c r="E5782" s="16">
        <f>IFERROR(__xludf.DUMMYFUNCTION("""COMPUTED_VALUE"""),62.0)</f>
        <v>62</v>
      </c>
      <c r="F5782" s="19" t="str">
        <f>IFERROR(__xludf.DUMMYFUNCTION("""COMPUTED_VALUE"""),"BLUE")</f>
        <v>BLUE</v>
      </c>
      <c r="G5782" s="20" t="str">
        <f>IFERROR(__xludf.DUMMYFUNCTION("""COMPUTED_VALUE"""),"Uncle Sams Cider (11/12/2021) (Blue)")</f>
        <v>Uncle Sams Cider (11/12/2021) (Blue)</v>
      </c>
      <c r="H5782" s="19"/>
    </row>
    <row r="5783">
      <c r="A5783" s="9"/>
      <c r="B5783" s="15"/>
      <c r="C5783" s="9">
        <f>IFERROR(__xludf.DUMMYFUNCTION("""COMPUTED_VALUE"""),44544.8859890972)</f>
        <v>44544.88599</v>
      </c>
      <c r="D5783" s="15">
        <f>IFERROR(__xludf.DUMMYFUNCTION("""COMPUTED_VALUE"""),1.015)</f>
        <v>1.015</v>
      </c>
      <c r="E5783" s="16">
        <f>IFERROR(__xludf.DUMMYFUNCTION("""COMPUTED_VALUE"""),62.0)</f>
        <v>62</v>
      </c>
      <c r="F5783" s="19" t="str">
        <f>IFERROR(__xludf.DUMMYFUNCTION("""COMPUTED_VALUE"""),"BLUE")</f>
        <v>BLUE</v>
      </c>
      <c r="G5783" s="20" t="str">
        <f>IFERROR(__xludf.DUMMYFUNCTION("""COMPUTED_VALUE"""),"Uncle Sams Cider (11/12/2021) (Blue)")</f>
        <v>Uncle Sams Cider (11/12/2021) (Blue)</v>
      </c>
      <c r="H5783" s="19"/>
    </row>
    <row r="5784">
      <c r="A5784" s="9"/>
      <c r="B5784" s="15"/>
      <c r="C5784" s="9">
        <f>IFERROR(__xludf.DUMMYFUNCTION("""COMPUTED_VALUE"""),44544.8755690972)</f>
        <v>44544.87557</v>
      </c>
      <c r="D5784" s="15">
        <f>IFERROR(__xludf.DUMMYFUNCTION("""COMPUTED_VALUE"""),1.015)</f>
        <v>1.015</v>
      </c>
      <c r="E5784" s="16">
        <f>IFERROR(__xludf.DUMMYFUNCTION("""COMPUTED_VALUE"""),62.0)</f>
        <v>62</v>
      </c>
      <c r="F5784" s="19" t="str">
        <f>IFERROR(__xludf.DUMMYFUNCTION("""COMPUTED_VALUE"""),"BLUE")</f>
        <v>BLUE</v>
      </c>
      <c r="G5784" s="20" t="str">
        <f>IFERROR(__xludf.DUMMYFUNCTION("""COMPUTED_VALUE"""),"Uncle Sams Cider (11/12/2021) (Blue)")</f>
        <v>Uncle Sams Cider (11/12/2021) (Blue)</v>
      </c>
      <c r="H5784" s="19"/>
    </row>
    <row r="5785">
      <c r="A5785" s="9"/>
      <c r="B5785" s="15"/>
      <c r="C5785" s="9">
        <f>IFERROR(__xludf.DUMMYFUNCTION("""COMPUTED_VALUE"""),44544.8651480902)</f>
        <v>44544.86515</v>
      </c>
      <c r="D5785" s="15">
        <f>IFERROR(__xludf.DUMMYFUNCTION("""COMPUTED_VALUE"""),1.015)</f>
        <v>1.015</v>
      </c>
      <c r="E5785" s="16">
        <f>IFERROR(__xludf.DUMMYFUNCTION("""COMPUTED_VALUE"""),62.0)</f>
        <v>62</v>
      </c>
      <c r="F5785" s="19" t="str">
        <f>IFERROR(__xludf.DUMMYFUNCTION("""COMPUTED_VALUE"""),"BLUE")</f>
        <v>BLUE</v>
      </c>
      <c r="G5785" s="20" t="str">
        <f>IFERROR(__xludf.DUMMYFUNCTION("""COMPUTED_VALUE"""),"Uncle Sams Cider (11/12/2021) (Blue)")</f>
        <v>Uncle Sams Cider (11/12/2021) (Blue)</v>
      </c>
      <c r="H5785" s="19"/>
    </row>
    <row r="5786">
      <c r="A5786" s="9"/>
      <c r="B5786" s="15"/>
      <c r="C5786" s="9">
        <f>IFERROR(__xludf.DUMMYFUNCTION("""COMPUTED_VALUE"""),44544.8547258101)</f>
        <v>44544.85473</v>
      </c>
      <c r="D5786" s="15">
        <f>IFERROR(__xludf.DUMMYFUNCTION("""COMPUTED_VALUE"""),1.015)</f>
        <v>1.015</v>
      </c>
      <c r="E5786" s="16">
        <f>IFERROR(__xludf.DUMMYFUNCTION("""COMPUTED_VALUE"""),62.0)</f>
        <v>62</v>
      </c>
      <c r="F5786" s="19" t="str">
        <f>IFERROR(__xludf.DUMMYFUNCTION("""COMPUTED_VALUE"""),"BLUE")</f>
        <v>BLUE</v>
      </c>
      <c r="G5786" s="20" t="str">
        <f>IFERROR(__xludf.DUMMYFUNCTION("""COMPUTED_VALUE"""),"Uncle Sams Cider (11/12/2021) (Blue)")</f>
        <v>Uncle Sams Cider (11/12/2021) (Blue)</v>
      </c>
      <c r="H5786" s="19"/>
    </row>
    <row r="5787">
      <c r="A5787" s="9"/>
      <c r="B5787" s="15"/>
      <c r="C5787" s="9">
        <f>IFERROR(__xludf.DUMMYFUNCTION("""COMPUTED_VALUE"""),44544.8443044791)</f>
        <v>44544.8443</v>
      </c>
      <c r="D5787" s="15">
        <f>IFERROR(__xludf.DUMMYFUNCTION("""COMPUTED_VALUE"""),1.015)</f>
        <v>1.015</v>
      </c>
      <c r="E5787" s="16">
        <f>IFERROR(__xludf.DUMMYFUNCTION("""COMPUTED_VALUE"""),62.0)</f>
        <v>62</v>
      </c>
      <c r="F5787" s="19" t="str">
        <f>IFERROR(__xludf.DUMMYFUNCTION("""COMPUTED_VALUE"""),"BLUE")</f>
        <v>BLUE</v>
      </c>
      <c r="G5787" s="20" t="str">
        <f>IFERROR(__xludf.DUMMYFUNCTION("""COMPUTED_VALUE"""),"Uncle Sams Cider (11/12/2021) (Blue)")</f>
        <v>Uncle Sams Cider (11/12/2021) (Blue)</v>
      </c>
      <c r="H5787" s="19"/>
    </row>
    <row r="5788">
      <c r="A5788" s="9"/>
      <c r="B5788" s="15"/>
      <c r="C5788" s="9">
        <f>IFERROR(__xludf.DUMMYFUNCTION("""COMPUTED_VALUE"""),44544.8338831597)</f>
        <v>44544.83388</v>
      </c>
      <c r="D5788" s="15">
        <f>IFERROR(__xludf.DUMMYFUNCTION("""COMPUTED_VALUE"""),1.015)</f>
        <v>1.015</v>
      </c>
      <c r="E5788" s="16">
        <f>IFERROR(__xludf.DUMMYFUNCTION("""COMPUTED_VALUE"""),62.0)</f>
        <v>62</v>
      </c>
      <c r="F5788" s="19" t="str">
        <f>IFERROR(__xludf.DUMMYFUNCTION("""COMPUTED_VALUE"""),"BLUE")</f>
        <v>BLUE</v>
      </c>
      <c r="G5788" s="20" t="str">
        <f>IFERROR(__xludf.DUMMYFUNCTION("""COMPUTED_VALUE"""),"Uncle Sams Cider (11/12/2021) (Blue)")</f>
        <v>Uncle Sams Cider (11/12/2021) (Blue)</v>
      </c>
      <c r="H5788" s="19"/>
    </row>
    <row r="5789">
      <c r="A5789" s="9"/>
      <c r="B5789" s="15"/>
      <c r="C5789" s="9">
        <f>IFERROR(__xludf.DUMMYFUNCTION("""COMPUTED_VALUE"""),44544.8234496875)</f>
        <v>44544.82345</v>
      </c>
      <c r="D5789" s="15">
        <f>IFERROR(__xludf.DUMMYFUNCTION("""COMPUTED_VALUE"""),1.015)</f>
        <v>1.015</v>
      </c>
      <c r="E5789" s="16">
        <f>IFERROR(__xludf.DUMMYFUNCTION("""COMPUTED_VALUE"""),62.0)</f>
        <v>62</v>
      </c>
      <c r="F5789" s="19" t="str">
        <f>IFERROR(__xludf.DUMMYFUNCTION("""COMPUTED_VALUE"""),"BLUE")</f>
        <v>BLUE</v>
      </c>
      <c r="G5789" s="20" t="str">
        <f>IFERROR(__xludf.DUMMYFUNCTION("""COMPUTED_VALUE"""),"Uncle Sams Cider (11/12/2021) (Blue)")</f>
        <v>Uncle Sams Cider (11/12/2021) (Blue)</v>
      </c>
      <c r="H5789" s="19"/>
    </row>
    <row r="5790">
      <c r="A5790" s="9"/>
      <c r="B5790" s="15"/>
      <c r="C5790" s="9">
        <f>IFERROR(__xludf.DUMMYFUNCTION("""COMPUTED_VALUE"""),44544.8130275231)</f>
        <v>44544.81303</v>
      </c>
      <c r="D5790" s="15">
        <f>IFERROR(__xludf.DUMMYFUNCTION("""COMPUTED_VALUE"""),1.015)</f>
        <v>1.015</v>
      </c>
      <c r="E5790" s="16">
        <f>IFERROR(__xludf.DUMMYFUNCTION("""COMPUTED_VALUE"""),62.0)</f>
        <v>62</v>
      </c>
      <c r="F5790" s="19" t="str">
        <f>IFERROR(__xludf.DUMMYFUNCTION("""COMPUTED_VALUE"""),"BLUE")</f>
        <v>BLUE</v>
      </c>
      <c r="G5790" s="20" t="str">
        <f>IFERROR(__xludf.DUMMYFUNCTION("""COMPUTED_VALUE"""),"Uncle Sams Cider (11/12/2021) (Blue)")</f>
        <v>Uncle Sams Cider (11/12/2021) (Blue)</v>
      </c>
      <c r="H5790" s="19"/>
    </row>
    <row r="5791">
      <c r="A5791" s="9"/>
      <c r="B5791" s="15"/>
      <c r="C5791" s="9">
        <f>IFERROR(__xludf.DUMMYFUNCTION("""COMPUTED_VALUE"""),44544.8026051736)</f>
        <v>44544.80261</v>
      </c>
      <c r="D5791" s="15">
        <f>IFERROR(__xludf.DUMMYFUNCTION("""COMPUTED_VALUE"""),1.015)</f>
        <v>1.015</v>
      </c>
      <c r="E5791" s="16">
        <f>IFERROR(__xludf.DUMMYFUNCTION("""COMPUTED_VALUE"""),62.0)</f>
        <v>62</v>
      </c>
      <c r="F5791" s="19" t="str">
        <f>IFERROR(__xludf.DUMMYFUNCTION("""COMPUTED_VALUE"""),"BLUE")</f>
        <v>BLUE</v>
      </c>
      <c r="G5791" s="20" t="str">
        <f>IFERROR(__xludf.DUMMYFUNCTION("""COMPUTED_VALUE"""),"Uncle Sams Cider (11/12/2021) (Blue)")</f>
        <v>Uncle Sams Cider (11/12/2021) (Blue)</v>
      </c>
      <c r="H5791" s="19"/>
    </row>
    <row r="5792">
      <c r="A5792" s="9"/>
      <c r="B5792" s="15"/>
      <c r="C5792" s="9">
        <f>IFERROR(__xludf.DUMMYFUNCTION("""COMPUTED_VALUE"""),44544.7921843865)</f>
        <v>44544.79218</v>
      </c>
      <c r="D5792" s="15">
        <f>IFERROR(__xludf.DUMMYFUNCTION("""COMPUTED_VALUE"""),1.015)</f>
        <v>1.015</v>
      </c>
      <c r="E5792" s="16">
        <f>IFERROR(__xludf.DUMMYFUNCTION("""COMPUTED_VALUE"""),62.0)</f>
        <v>62</v>
      </c>
      <c r="F5792" s="19" t="str">
        <f>IFERROR(__xludf.DUMMYFUNCTION("""COMPUTED_VALUE"""),"BLUE")</f>
        <v>BLUE</v>
      </c>
      <c r="G5792" s="20" t="str">
        <f>IFERROR(__xludf.DUMMYFUNCTION("""COMPUTED_VALUE"""),"Uncle Sams Cider (11/12/2021) (Blue)")</f>
        <v>Uncle Sams Cider (11/12/2021) (Blue)</v>
      </c>
      <c r="H5792" s="19"/>
    </row>
    <row r="5793">
      <c r="A5793" s="9"/>
      <c r="B5793" s="15"/>
      <c r="C5793" s="9">
        <f>IFERROR(__xludf.DUMMYFUNCTION("""COMPUTED_VALUE"""),44544.7817517129)</f>
        <v>44544.78175</v>
      </c>
      <c r="D5793" s="15">
        <f>IFERROR(__xludf.DUMMYFUNCTION("""COMPUTED_VALUE"""),1.015)</f>
        <v>1.015</v>
      </c>
      <c r="E5793" s="16">
        <f>IFERROR(__xludf.DUMMYFUNCTION("""COMPUTED_VALUE"""),62.0)</f>
        <v>62</v>
      </c>
      <c r="F5793" s="19" t="str">
        <f>IFERROR(__xludf.DUMMYFUNCTION("""COMPUTED_VALUE"""),"BLUE")</f>
        <v>BLUE</v>
      </c>
      <c r="G5793" s="20" t="str">
        <f>IFERROR(__xludf.DUMMYFUNCTION("""COMPUTED_VALUE"""),"Uncle Sams Cider (11/12/2021) (Blue)")</f>
        <v>Uncle Sams Cider (11/12/2021) (Blue)</v>
      </c>
      <c r="H5793" s="19"/>
    </row>
    <row r="5794">
      <c r="A5794" s="9"/>
      <c r="B5794" s="15"/>
      <c r="C5794" s="9">
        <f>IFERROR(__xludf.DUMMYFUNCTION("""COMPUTED_VALUE"""),44544.7713309027)</f>
        <v>44544.77133</v>
      </c>
      <c r="D5794" s="15">
        <f>IFERROR(__xludf.DUMMYFUNCTION("""COMPUTED_VALUE"""),1.015)</f>
        <v>1.015</v>
      </c>
      <c r="E5794" s="16">
        <f>IFERROR(__xludf.DUMMYFUNCTION("""COMPUTED_VALUE"""),62.0)</f>
        <v>62</v>
      </c>
      <c r="F5794" s="19" t="str">
        <f>IFERROR(__xludf.DUMMYFUNCTION("""COMPUTED_VALUE"""),"BLUE")</f>
        <v>BLUE</v>
      </c>
      <c r="G5794" s="20" t="str">
        <f>IFERROR(__xludf.DUMMYFUNCTION("""COMPUTED_VALUE"""),"Uncle Sams Cider (11/12/2021) (Blue)")</f>
        <v>Uncle Sams Cider (11/12/2021) (Blue)</v>
      </c>
      <c r="H5794" s="19"/>
    </row>
    <row r="5795">
      <c r="A5795" s="9"/>
      <c r="B5795" s="15"/>
      <c r="C5795" s="9">
        <f>IFERROR(__xludf.DUMMYFUNCTION("""COMPUTED_VALUE"""),44544.7609097569)</f>
        <v>44544.76091</v>
      </c>
      <c r="D5795" s="15">
        <f>IFERROR(__xludf.DUMMYFUNCTION("""COMPUTED_VALUE"""),1.015)</f>
        <v>1.015</v>
      </c>
      <c r="E5795" s="16">
        <f>IFERROR(__xludf.DUMMYFUNCTION("""COMPUTED_VALUE"""),62.0)</f>
        <v>62</v>
      </c>
      <c r="F5795" s="19" t="str">
        <f>IFERROR(__xludf.DUMMYFUNCTION("""COMPUTED_VALUE"""),"BLUE")</f>
        <v>BLUE</v>
      </c>
      <c r="G5795" s="20" t="str">
        <f>IFERROR(__xludf.DUMMYFUNCTION("""COMPUTED_VALUE"""),"Uncle Sams Cider (11/12/2021) (Blue)")</f>
        <v>Uncle Sams Cider (11/12/2021) (Blue)</v>
      </c>
      <c r="H5795" s="19"/>
    </row>
    <row r="5796">
      <c r="A5796" s="9"/>
      <c r="B5796" s="15"/>
      <c r="C5796" s="9">
        <f>IFERROR(__xludf.DUMMYFUNCTION("""COMPUTED_VALUE"""),44544.7504893402)</f>
        <v>44544.75049</v>
      </c>
      <c r="D5796" s="15">
        <f>IFERROR(__xludf.DUMMYFUNCTION("""COMPUTED_VALUE"""),1.015)</f>
        <v>1.015</v>
      </c>
      <c r="E5796" s="16">
        <f>IFERROR(__xludf.DUMMYFUNCTION("""COMPUTED_VALUE"""),62.0)</f>
        <v>62</v>
      </c>
      <c r="F5796" s="19" t="str">
        <f>IFERROR(__xludf.DUMMYFUNCTION("""COMPUTED_VALUE"""),"BLUE")</f>
        <v>BLUE</v>
      </c>
      <c r="G5796" s="20" t="str">
        <f>IFERROR(__xludf.DUMMYFUNCTION("""COMPUTED_VALUE"""),"Uncle Sams Cider (11/12/2021) (Blue)")</f>
        <v>Uncle Sams Cider (11/12/2021) (Blue)</v>
      </c>
      <c r="H5796" s="19"/>
    </row>
    <row r="5797">
      <c r="A5797" s="9"/>
      <c r="B5797" s="15"/>
      <c r="C5797" s="9">
        <f>IFERROR(__xludf.DUMMYFUNCTION("""COMPUTED_VALUE"""),44544.7400681365)</f>
        <v>44544.74007</v>
      </c>
      <c r="D5797" s="15">
        <f>IFERROR(__xludf.DUMMYFUNCTION("""COMPUTED_VALUE"""),1.015)</f>
        <v>1.015</v>
      </c>
      <c r="E5797" s="16">
        <f>IFERROR(__xludf.DUMMYFUNCTION("""COMPUTED_VALUE"""),62.0)</f>
        <v>62</v>
      </c>
      <c r="F5797" s="19" t="str">
        <f>IFERROR(__xludf.DUMMYFUNCTION("""COMPUTED_VALUE"""),"BLUE")</f>
        <v>BLUE</v>
      </c>
      <c r="G5797" s="20" t="str">
        <f>IFERROR(__xludf.DUMMYFUNCTION("""COMPUTED_VALUE"""),"Uncle Sams Cider (11/12/2021) (Blue)")</f>
        <v>Uncle Sams Cider (11/12/2021) (Blue)</v>
      </c>
      <c r="H5797" s="19"/>
    </row>
    <row r="5798">
      <c r="A5798" s="9"/>
      <c r="B5798" s="15"/>
      <c r="C5798" s="9">
        <f>IFERROR(__xludf.DUMMYFUNCTION("""COMPUTED_VALUE"""),44544.7296478125)</f>
        <v>44544.72965</v>
      </c>
      <c r="D5798" s="15">
        <f>IFERROR(__xludf.DUMMYFUNCTION("""COMPUTED_VALUE"""),1.015)</f>
        <v>1.015</v>
      </c>
      <c r="E5798" s="16">
        <f>IFERROR(__xludf.DUMMYFUNCTION("""COMPUTED_VALUE"""),62.0)</f>
        <v>62</v>
      </c>
      <c r="F5798" s="19" t="str">
        <f>IFERROR(__xludf.DUMMYFUNCTION("""COMPUTED_VALUE"""),"BLUE")</f>
        <v>BLUE</v>
      </c>
      <c r="G5798" s="20" t="str">
        <f>IFERROR(__xludf.DUMMYFUNCTION("""COMPUTED_VALUE"""),"Uncle Sams Cider (11/12/2021) (Blue)")</f>
        <v>Uncle Sams Cider (11/12/2021) (Blue)</v>
      </c>
      <c r="H5798" s="19"/>
    </row>
    <row r="5799">
      <c r="A5799" s="9"/>
      <c r="B5799" s="15"/>
      <c r="C5799" s="9">
        <f>IFERROR(__xludf.DUMMYFUNCTION("""COMPUTED_VALUE"""),44544.7192262499)</f>
        <v>44544.71923</v>
      </c>
      <c r="D5799" s="15">
        <f>IFERROR(__xludf.DUMMYFUNCTION("""COMPUTED_VALUE"""),1.015)</f>
        <v>1.015</v>
      </c>
      <c r="E5799" s="16">
        <f>IFERROR(__xludf.DUMMYFUNCTION("""COMPUTED_VALUE"""),62.0)</f>
        <v>62</v>
      </c>
      <c r="F5799" s="19" t="str">
        <f>IFERROR(__xludf.DUMMYFUNCTION("""COMPUTED_VALUE"""),"BLUE")</f>
        <v>BLUE</v>
      </c>
      <c r="G5799" s="20" t="str">
        <f>IFERROR(__xludf.DUMMYFUNCTION("""COMPUTED_VALUE"""),"Uncle Sams Cider (11/12/2021) (Blue)")</f>
        <v>Uncle Sams Cider (11/12/2021) (Blue)</v>
      </c>
      <c r="H5799" s="19"/>
    </row>
    <row r="5800">
      <c r="A5800" s="9"/>
      <c r="B5800" s="15"/>
      <c r="C5800" s="9">
        <f>IFERROR(__xludf.DUMMYFUNCTION("""COMPUTED_VALUE"""),44544.7088034606)</f>
        <v>44544.7088</v>
      </c>
      <c r="D5800" s="15">
        <f>IFERROR(__xludf.DUMMYFUNCTION("""COMPUTED_VALUE"""),1.016)</f>
        <v>1.016</v>
      </c>
      <c r="E5800" s="16">
        <f>IFERROR(__xludf.DUMMYFUNCTION("""COMPUTED_VALUE"""),62.0)</f>
        <v>62</v>
      </c>
      <c r="F5800" s="19" t="str">
        <f>IFERROR(__xludf.DUMMYFUNCTION("""COMPUTED_VALUE"""),"BLUE")</f>
        <v>BLUE</v>
      </c>
      <c r="G5800" s="20" t="str">
        <f>IFERROR(__xludf.DUMMYFUNCTION("""COMPUTED_VALUE"""),"Uncle Sams Cider (11/12/2021) (Blue)")</f>
        <v>Uncle Sams Cider (11/12/2021) (Blue)</v>
      </c>
      <c r="H5800" s="19"/>
    </row>
    <row r="5801">
      <c r="A5801" s="9"/>
      <c r="B5801" s="15"/>
      <c r="C5801" s="9">
        <f>IFERROR(__xludf.DUMMYFUNCTION("""COMPUTED_VALUE"""),44544.6983819328)</f>
        <v>44544.69838</v>
      </c>
      <c r="D5801" s="15">
        <f>IFERROR(__xludf.DUMMYFUNCTION("""COMPUTED_VALUE"""),1.015)</f>
        <v>1.015</v>
      </c>
      <c r="E5801" s="16">
        <f>IFERROR(__xludf.DUMMYFUNCTION("""COMPUTED_VALUE"""),62.0)</f>
        <v>62</v>
      </c>
      <c r="F5801" s="19" t="str">
        <f>IFERROR(__xludf.DUMMYFUNCTION("""COMPUTED_VALUE"""),"BLUE")</f>
        <v>BLUE</v>
      </c>
      <c r="G5801" s="20" t="str">
        <f>IFERROR(__xludf.DUMMYFUNCTION("""COMPUTED_VALUE"""),"Uncle Sams Cider (11/12/2021) (Blue)")</f>
        <v>Uncle Sams Cider (11/12/2021) (Blue)</v>
      </c>
      <c r="H5801" s="19"/>
    </row>
    <row r="5802">
      <c r="A5802" s="9"/>
      <c r="B5802" s="15"/>
      <c r="C5802" s="9">
        <f>IFERROR(__xludf.DUMMYFUNCTION("""COMPUTED_VALUE"""),44544.6879613773)</f>
        <v>44544.68796</v>
      </c>
      <c r="D5802" s="15">
        <f>IFERROR(__xludf.DUMMYFUNCTION("""COMPUTED_VALUE"""),1.015)</f>
        <v>1.015</v>
      </c>
      <c r="E5802" s="16">
        <f>IFERROR(__xludf.DUMMYFUNCTION("""COMPUTED_VALUE"""),62.0)</f>
        <v>62</v>
      </c>
      <c r="F5802" s="19" t="str">
        <f>IFERROR(__xludf.DUMMYFUNCTION("""COMPUTED_VALUE"""),"BLUE")</f>
        <v>BLUE</v>
      </c>
      <c r="G5802" s="20" t="str">
        <f>IFERROR(__xludf.DUMMYFUNCTION("""COMPUTED_VALUE"""),"Uncle Sams Cider (11/12/2021) (Blue)")</f>
        <v>Uncle Sams Cider (11/12/2021) (Blue)</v>
      </c>
      <c r="H5802" s="19"/>
    </row>
    <row r="5803">
      <c r="A5803" s="9"/>
      <c r="B5803" s="15"/>
      <c r="C5803" s="9">
        <f>IFERROR(__xludf.DUMMYFUNCTION("""COMPUTED_VALUE"""),44544.6775391666)</f>
        <v>44544.67754</v>
      </c>
      <c r="D5803" s="15">
        <f>IFERROR(__xludf.DUMMYFUNCTION("""COMPUTED_VALUE"""),1.015)</f>
        <v>1.015</v>
      </c>
      <c r="E5803" s="16">
        <f>IFERROR(__xludf.DUMMYFUNCTION("""COMPUTED_VALUE"""),62.0)</f>
        <v>62</v>
      </c>
      <c r="F5803" s="19" t="str">
        <f>IFERROR(__xludf.DUMMYFUNCTION("""COMPUTED_VALUE"""),"BLUE")</f>
        <v>BLUE</v>
      </c>
      <c r="G5803" s="20" t="str">
        <f>IFERROR(__xludf.DUMMYFUNCTION("""COMPUTED_VALUE"""),"Uncle Sams Cider (11/12/2021) (Blue)")</f>
        <v>Uncle Sams Cider (11/12/2021) (Blue)</v>
      </c>
      <c r="H5803" s="19"/>
    </row>
    <row r="5804">
      <c r="A5804" s="9"/>
      <c r="B5804" s="15"/>
      <c r="C5804" s="9">
        <f>IFERROR(__xludf.DUMMYFUNCTION("""COMPUTED_VALUE"""),44544.6671190625)</f>
        <v>44544.66712</v>
      </c>
      <c r="D5804" s="15">
        <f>IFERROR(__xludf.DUMMYFUNCTION("""COMPUTED_VALUE"""),1.015)</f>
        <v>1.015</v>
      </c>
      <c r="E5804" s="16">
        <f>IFERROR(__xludf.DUMMYFUNCTION("""COMPUTED_VALUE"""),62.0)</f>
        <v>62</v>
      </c>
      <c r="F5804" s="19" t="str">
        <f>IFERROR(__xludf.DUMMYFUNCTION("""COMPUTED_VALUE"""),"BLUE")</f>
        <v>BLUE</v>
      </c>
      <c r="G5804" s="20" t="str">
        <f>IFERROR(__xludf.DUMMYFUNCTION("""COMPUTED_VALUE"""),"Uncle Sams Cider (11/12/2021) (Blue)")</f>
        <v>Uncle Sams Cider (11/12/2021) (Blue)</v>
      </c>
      <c r="H5804" s="19"/>
    </row>
    <row r="5805">
      <c r="A5805" s="9"/>
      <c r="B5805" s="15"/>
      <c r="C5805" s="9">
        <f>IFERROR(__xludf.DUMMYFUNCTION("""COMPUTED_VALUE"""),44544.6566970138)</f>
        <v>44544.6567</v>
      </c>
      <c r="D5805" s="15">
        <f>IFERROR(__xludf.DUMMYFUNCTION("""COMPUTED_VALUE"""),1.015)</f>
        <v>1.015</v>
      </c>
      <c r="E5805" s="16">
        <f>IFERROR(__xludf.DUMMYFUNCTION("""COMPUTED_VALUE"""),62.0)</f>
        <v>62</v>
      </c>
      <c r="F5805" s="19" t="str">
        <f>IFERROR(__xludf.DUMMYFUNCTION("""COMPUTED_VALUE"""),"BLUE")</f>
        <v>BLUE</v>
      </c>
      <c r="G5805" s="20" t="str">
        <f>IFERROR(__xludf.DUMMYFUNCTION("""COMPUTED_VALUE"""),"Uncle Sams Cider (11/12/2021) (Blue)")</f>
        <v>Uncle Sams Cider (11/12/2021) (Blue)</v>
      </c>
      <c r="H5805" s="19"/>
    </row>
    <row r="5806">
      <c r="A5806" s="9"/>
      <c r="B5806" s="15"/>
      <c r="C5806" s="9">
        <f>IFERROR(__xludf.DUMMYFUNCTION("""COMPUTED_VALUE"""),44544.6462738888)</f>
        <v>44544.64627</v>
      </c>
      <c r="D5806" s="15">
        <f>IFERROR(__xludf.DUMMYFUNCTION("""COMPUTED_VALUE"""),1.015)</f>
        <v>1.015</v>
      </c>
      <c r="E5806" s="16">
        <f>IFERROR(__xludf.DUMMYFUNCTION("""COMPUTED_VALUE"""),62.0)</f>
        <v>62</v>
      </c>
      <c r="F5806" s="19" t="str">
        <f>IFERROR(__xludf.DUMMYFUNCTION("""COMPUTED_VALUE"""),"BLUE")</f>
        <v>BLUE</v>
      </c>
      <c r="G5806" s="20" t="str">
        <f>IFERROR(__xludf.DUMMYFUNCTION("""COMPUTED_VALUE"""),"Uncle Sams Cider (11/12/2021) (Blue)")</f>
        <v>Uncle Sams Cider (11/12/2021) (Blue)</v>
      </c>
      <c r="H5806" s="19"/>
    </row>
    <row r="5807">
      <c r="A5807" s="9"/>
      <c r="B5807" s="15"/>
      <c r="C5807" s="9">
        <f>IFERROR(__xludf.DUMMYFUNCTION("""COMPUTED_VALUE"""),44544.6358530555)</f>
        <v>44544.63585</v>
      </c>
      <c r="D5807" s="15">
        <f>IFERROR(__xludf.DUMMYFUNCTION("""COMPUTED_VALUE"""),1.016)</f>
        <v>1.016</v>
      </c>
      <c r="E5807" s="16">
        <f>IFERROR(__xludf.DUMMYFUNCTION("""COMPUTED_VALUE"""),62.0)</f>
        <v>62</v>
      </c>
      <c r="F5807" s="19" t="str">
        <f>IFERROR(__xludf.DUMMYFUNCTION("""COMPUTED_VALUE"""),"BLUE")</f>
        <v>BLUE</v>
      </c>
      <c r="G5807" s="20" t="str">
        <f>IFERROR(__xludf.DUMMYFUNCTION("""COMPUTED_VALUE"""),"Uncle Sams Cider (11/12/2021) (Blue)")</f>
        <v>Uncle Sams Cider (11/12/2021) (Blue)</v>
      </c>
      <c r="H5807" s="19"/>
    </row>
    <row r="5808">
      <c r="A5808" s="9"/>
      <c r="B5808" s="15"/>
      <c r="C5808" s="9">
        <f>IFERROR(__xludf.DUMMYFUNCTION("""COMPUTED_VALUE"""),44544.6254320717)</f>
        <v>44544.62543</v>
      </c>
      <c r="D5808" s="15">
        <f>IFERROR(__xludf.DUMMYFUNCTION("""COMPUTED_VALUE"""),1.015)</f>
        <v>1.015</v>
      </c>
      <c r="E5808" s="16">
        <f>IFERROR(__xludf.DUMMYFUNCTION("""COMPUTED_VALUE"""),62.0)</f>
        <v>62</v>
      </c>
      <c r="F5808" s="19" t="str">
        <f>IFERROR(__xludf.DUMMYFUNCTION("""COMPUTED_VALUE"""),"BLUE")</f>
        <v>BLUE</v>
      </c>
      <c r="G5808" s="20" t="str">
        <f>IFERROR(__xludf.DUMMYFUNCTION("""COMPUTED_VALUE"""),"Uncle Sams Cider (11/12/2021) (Blue)")</f>
        <v>Uncle Sams Cider (11/12/2021) (Blue)</v>
      </c>
      <c r="H5808" s="19"/>
    </row>
    <row r="5809">
      <c r="A5809" s="9"/>
      <c r="B5809" s="15"/>
      <c r="C5809" s="9">
        <f>IFERROR(__xludf.DUMMYFUNCTION("""COMPUTED_VALUE"""),44544.6150116203)</f>
        <v>44544.61501</v>
      </c>
      <c r="D5809" s="15">
        <f>IFERROR(__xludf.DUMMYFUNCTION("""COMPUTED_VALUE"""),1.016)</f>
        <v>1.016</v>
      </c>
      <c r="E5809" s="16">
        <f>IFERROR(__xludf.DUMMYFUNCTION("""COMPUTED_VALUE"""),62.0)</f>
        <v>62</v>
      </c>
      <c r="F5809" s="19" t="str">
        <f>IFERROR(__xludf.DUMMYFUNCTION("""COMPUTED_VALUE"""),"BLUE")</f>
        <v>BLUE</v>
      </c>
      <c r="G5809" s="20" t="str">
        <f>IFERROR(__xludf.DUMMYFUNCTION("""COMPUTED_VALUE"""),"Uncle Sams Cider (11/12/2021) (Blue)")</f>
        <v>Uncle Sams Cider (11/12/2021) (Blue)</v>
      </c>
      <c r="H5809" s="19"/>
    </row>
    <row r="5810">
      <c r="A5810" s="9"/>
      <c r="B5810" s="15"/>
      <c r="C5810" s="9">
        <f>IFERROR(__xludf.DUMMYFUNCTION("""COMPUTED_VALUE"""),44544.6045789351)</f>
        <v>44544.60458</v>
      </c>
      <c r="D5810" s="15">
        <f>IFERROR(__xludf.DUMMYFUNCTION("""COMPUTED_VALUE"""),1.016)</f>
        <v>1.016</v>
      </c>
      <c r="E5810" s="16">
        <f>IFERROR(__xludf.DUMMYFUNCTION("""COMPUTED_VALUE"""),62.0)</f>
        <v>62</v>
      </c>
      <c r="F5810" s="19" t="str">
        <f>IFERROR(__xludf.DUMMYFUNCTION("""COMPUTED_VALUE"""),"BLUE")</f>
        <v>BLUE</v>
      </c>
      <c r="G5810" s="20" t="str">
        <f>IFERROR(__xludf.DUMMYFUNCTION("""COMPUTED_VALUE"""),"Uncle Sams Cider (11/12/2021) (Blue)")</f>
        <v>Uncle Sams Cider (11/12/2021) (Blue)</v>
      </c>
      <c r="H5810" s="19"/>
    </row>
    <row r="5811">
      <c r="A5811" s="9"/>
      <c r="B5811" s="15"/>
      <c r="C5811" s="9">
        <f>IFERROR(__xludf.DUMMYFUNCTION("""COMPUTED_VALUE"""),44544.5941463194)</f>
        <v>44544.59415</v>
      </c>
      <c r="D5811" s="15">
        <f>IFERROR(__xludf.DUMMYFUNCTION("""COMPUTED_VALUE"""),1.016)</f>
        <v>1.016</v>
      </c>
      <c r="E5811" s="16">
        <f>IFERROR(__xludf.DUMMYFUNCTION("""COMPUTED_VALUE"""),62.0)</f>
        <v>62</v>
      </c>
      <c r="F5811" s="19" t="str">
        <f>IFERROR(__xludf.DUMMYFUNCTION("""COMPUTED_VALUE"""),"BLUE")</f>
        <v>BLUE</v>
      </c>
      <c r="G5811" s="20" t="str">
        <f>IFERROR(__xludf.DUMMYFUNCTION("""COMPUTED_VALUE"""),"Uncle Sams Cider (11/12/2021) (Blue)")</f>
        <v>Uncle Sams Cider (11/12/2021) (Blue)</v>
      </c>
      <c r="H5811" s="19"/>
    </row>
    <row r="5812">
      <c r="A5812" s="9"/>
      <c r="B5812" s="15"/>
      <c r="C5812" s="9">
        <f>IFERROR(__xludf.DUMMYFUNCTION("""COMPUTED_VALUE"""),44544.5837234837)</f>
        <v>44544.58372</v>
      </c>
      <c r="D5812" s="15">
        <f>IFERROR(__xludf.DUMMYFUNCTION("""COMPUTED_VALUE"""),1.015)</f>
        <v>1.015</v>
      </c>
      <c r="E5812" s="16">
        <f>IFERROR(__xludf.DUMMYFUNCTION("""COMPUTED_VALUE"""),62.0)</f>
        <v>62</v>
      </c>
      <c r="F5812" s="19" t="str">
        <f>IFERROR(__xludf.DUMMYFUNCTION("""COMPUTED_VALUE"""),"BLUE")</f>
        <v>BLUE</v>
      </c>
      <c r="G5812" s="20" t="str">
        <f>IFERROR(__xludf.DUMMYFUNCTION("""COMPUTED_VALUE"""),"Uncle Sams Cider (11/12/2021) (Blue)")</f>
        <v>Uncle Sams Cider (11/12/2021) (Blue)</v>
      </c>
      <c r="H5812" s="19"/>
    </row>
    <row r="5813">
      <c r="A5813" s="9"/>
      <c r="B5813" s="15"/>
      <c r="C5813" s="9">
        <f>IFERROR(__xludf.DUMMYFUNCTION("""COMPUTED_VALUE"""),44544.573301412)</f>
        <v>44544.5733</v>
      </c>
      <c r="D5813" s="15">
        <f>IFERROR(__xludf.DUMMYFUNCTION("""COMPUTED_VALUE"""),1.015)</f>
        <v>1.015</v>
      </c>
      <c r="E5813" s="16">
        <f>IFERROR(__xludf.DUMMYFUNCTION("""COMPUTED_VALUE"""),62.0)</f>
        <v>62</v>
      </c>
      <c r="F5813" s="19" t="str">
        <f>IFERROR(__xludf.DUMMYFUNCTION("""COMPUTED_VALUE"""),"BLUE")</f>
        <v>BLUE</v>
      </c>
      <c r="G5813" s="20" t="str">
        <f>IFERROR(__xludf.DUMMYFUNCTION("""COMPUTED_VALUE"""),"Uncle Sams Cider (11/12/2021) (Blue)")</f>
        <v>Uncle Sams Cider (11/12/2021) (Blue)</v>
      </c>
      <c r="H5813" s="19"/>
    </row>
    <row r="5814">
      <c r="A5814" s="9"/>
      <c r="B5814" s="15"/>
      <c r="C5814" s="9">
        <f>IFERROR(__xludf.DUMMYFUNCTION("""COMPUTED_VALUE"""),44544.5628810532)</f>
        <v>44544.56288</v>
      </c>
      <c r="D5814" s="15">
        <f>IFERROR(__xludf.DUMMYFUNCTION("""COMPUTED_VALUE"""),1.015)</f>
        <v>1.015</v>
      </c>
      <c r="E5814" s="16">
        <f>IFERROR(__xludf.DUMMYFUNCTION("""COMPUTED_VALUE"""),62.0)</f>
        <v>62</v>
      </c>
      <c r="F5814" s="19" t="str">
        <f>IFERROR(__xludf.DUMMYFUNCTION("""COMPUTED_VALUE"""),"BLUE")</f>
        <v>BLUE</v>
      </c>
      <c r="G5814" s="20" t="str">
        <f>IFERROR(__xludf.DUMMYFUNCTION("""COMPUTED_VALUE"""),"Uncle Sams Cider (11/12/2021) (Blue)")</f>
        <v>Uncle Sams Cider (11/12/2021) (Blue)</v>
      </c>
      <c r="H5814" s="19"/>
    </row>
    <row r="5815">
      <c r="A5815" s="9"/>
      <c r="B5815" s="15"/>
      <c r="C5815" s="9">
        <f>IFERROR(__xludf.DUMMYFUNCTION("""COMPUTED_VALUE"""),44544.5524593287)</f>
        <v>44544.55246</v>
      </c>
      <c r="D5815" s="15">
        <f>IFERROR(__xludf.DUMMYFUNCTION("""COMPUTED_VALUE"""),1.016)</f>
        <v>1.016</v>
      </c>
      <c r="E5815" s="16">
        <f>IFERROR(__xludf.DUMMYFUNCTION("""COMPUTED_VALUE"""),62.0)</f>
        <v>62</v>
      </c>
      <c r="F5815" s="19" t="str">
        <f>IFERROR(__xludf.DUMMYFUNCTION("""COMPUTED_VALUE"""),"BLUE")</f>
        <v>BLUE</v>
      </c>
      <c r="G5815" s="20" t="str">
        <f>IFERROR(__xludf.DUMMYFUNCTION("""COMPUTED_VALUE"""),"Uncle Sams Cider (11/12/2021) (Blue)")</f>
        <v>Uncle Sams Cider (11/12/2021) (Blue)</v>
      </c>
      <c r="H5815" s="19"/>
    </row>
    <row r="5816">
      <c r="A5816" s="9"/>
      <c r="B5816" s="15"/>
      <c r="C5816" s="9">
        <f>IFERROR(__xludf.DUMMYFUNCTION("""COMPUTED_VALUE"""),44544.5420387962)</f>
        <v>44544.54204</v>
      </c>
      <c r="D5816" s="15">
        <f>IFERROR(__xludf.DUMMYFUNCTION("""COMPUTED_VALUE"""),1.015)</f>
        <v>1.015</v>
      </c>
      <c r="E5816" s="16">
        <f>IFERROR(__xludf.DUMMYFUNCTION("""COMPUTED_VALUE"""),62.0)</f>
        <v>62</v>
      </c>
      <c r="F5816" s="19" t="str">
        <f>IFERROR(__xludf.DUMMYFUNCTION("""COMPUTED_VALUE"""),"BLUE")</f>
        <v>BLUE</v>
      </c>
      <c r="G5816" s="20" t="str">
        <f>IFERROR(__xludf.DUMMYFUNCTION("""COMPUTED_VALUE"""),"Uncle Sams Cider (11/12/2021) (Blue)")</f>
        <v>Uncle Sams Cider (11/12/2021) (Blue)</v>
      </c>
      <c r="H5816" s="19"/>
    </row>
    <row r="5817">
      <c r="A5817" s="9"/>
      <c r="B5817" s="15"/>
      <c r="C5817" s="9">
        <f>IFERROR(__xludf.DUMMYFUNCTION("""COMPUTED_VALUE"""),44544.5316191319)</f>
        <v>44544.53162</v>
      </c>
      <c r="D5817" s="15">
        <f>IFERROR(__xludf.DUMMYFUNCTION("""COMPUTED_VALUE"""),1.015)</f>
        <v>1.015</v>
      </c>
      <c r="E5817" s="16">
        <f>IFERROR(__xludf.DUMMYFUNCTION("""COMPUTED_VALUE"""),62.0)</f>
        <v>62</v>
      </c>
      <c r="F5817" s="19" t="str">
        <f>IFERROR(__xludf.DUMMYFUNCTION("""COMPUTED_VALUE"""),"BLUE")</f>
        <v>BLUE</v>
      </c>
      <c r="G5817" s="20" t="str">
        <f>IFERROR(__xludf.DUMMYFUNCTION("""COMPUTED_VALUE"""),"Uncle Sams Cider (11/12/2021) (Blue)")</f>
        <v>Uncle Sams Cider (11/12/2021) (Blue)</v>
      </c>
      <c r="H5817" s="19"/>
    </row>
    <row r="5818">
      <c r="A5818" s="9"/>
      <c r="B5818" s="15"/>
      <c r="C5818" s="9">
        <f>IFERROR(__xludf.DUMMYFUNCTION("""COMPUTED_VALUE"""),44544.521187662)</f>
        <v>44544.52119</v>
      </c>
      <c r="D5818" s="15">
        <f>IFERROR(__xludf.DUMMYFUNCTION("""COMPUTED_VALUE"""),1.016)</f>
        <v>1.016</v>
      </c>
      <c r="E5818" s="16">
        <f>IFERROR(__xludf.DUMMYFUNCTION("""COMPUTED_VALUE"""),62.0)</f>
        <v>62</v>
      </c>
      <c r="F5818" s="19" t="str">
        <f>IFERROR(__xludf.DUMMYFUNCTION("""COMPUTED_VALUE"""),"BLUE")</f>
        <v>BLUE</v>
      </c>
      <c r="G5818" s="20" t="str">
        <f>IFERROR(__xludf.DUMMYFUNCTION("""COMPUTED_VALUE"""),"Uncle Sams Cider (11/12/2021) (Blue)")</f>
        <v>Uncle Sams Cider (11/12/2021) (Blue)</v>
      </c>
      <c r="H5818" s="19"/>
    </row>
    <row r="5819">
      <c r="A5819" s="9"/>
      <c r="B5819" s="15"/>
      <c r="C5819" s="9">
        <f>IFERROR(__xludf.DUMMYFUNCTION("""COMPUTED_VALUE"""),44544.5107664351)</f>
        <v>44544.51077</v>
      </c>
      <c r="D5819" s="15">
        <f>IFERROR(__xludf.DUMMYFUNCTION("""COMPUTED_VALUE"""),1.016)</f>
        <v>1.016</v>
      </c>
      <c r="E5819" s="16">
        <f>IFERROR(__xludf.DUMMYFUNCTION("""COMPUTED_VALUE"""),62.0)</f>
        <v>62</v>
      </c>
      <c r="F5819" s="19" t="str">
        <f>IFERROR(__xludf.DUMMYFUNCTION("""COMPUTED_VALUE"""),"BLUE")</f>
        <v>BLUE</v>
      </c>
      <c r="G5819" s="20" t="str">
        <f>IFERROR(__xludf.DUMMYFUNCTION("""COMPUTED_VALUE"""),"Uncle Sams Cider (11/12/2021) (Blue)")</f>
        <v>Uncle Sams Cider (11/12/2021) (Blue)</v>
      </c>
      <c r="H5819" s="19"/>
    </row>
    <row r="5820">
      <c r="A5820" s="9"/>
      <c r="B5820" s="15"/>
      <c r="C5820" s="9">
        <f>IFERROR(__xludf.DUMMYFUNCTION("""COMPUTED_VALUE"""),44544.500345868)</f>
        <v>44544.50035</v>
      </c>
      <c r="D5820" s="15">
        <f>IFERROR(__xludf.DUMMYFUNCTION("""COMPUTED_VALUE"""),1.016)</f>
        <v>1.016</v>
      </c>
      <c r="E5820" s="16">
        <f>IFERROR(__xludf.DUMMYFUNCTION("""COMPUTED_VALUE"""),62.0)</f>
        <v>62</v>
      </c>
      <c r="F5820" s="19" t="str">
        <f>IFERROR(__xludf.DUMMYFUNCTION("""COMPUTED_VALUE"""),"BLUE")</f>
        <v>BLUE</v>
      </c>
      <c r="G5820" s="20" t="str">
        <f>IFERROR(__xludf.DUMMYFUNCTION("""COMPUTED_VALUE"""),"Uncle Sams Cider (11/12/2021) (Blue)")</f>
        <v>Uncle Sams Cider (11/12/2021) (Blue)</v>
      </c>
      <c r="H5820" s="19"/>
    </row>
    <row r="5821">
      <c r="A5821" s="9"/>
      <c r="B5821" s="15"/>
      <c r="C5821" s="9">
        <f>IFERROR(__xludf.DUMMYFUNCTION("""COMPUTED_VALUE"""),44544.4899246643)</f>
        <v>44544.48992</v>
      </c>
      <c r="D5821" s="15">
        <f>IFERROR(__xludf.DUMMYFUNCTION("""COMPUTED_VALUE"""),1.016)</f>
        <v>1.016</v>
      </c>
      <c r="E5821" s="16">
        <f>IFERROR(__xludf.DUMMYFUNCTION("""COMPUTED_VALUE"""),62.0)</f>
        <v>62</v>
      </c>
      <c r="F5821" s="19" t="str">
        <f>IFERROR(__xludf.DUMMYFUNCTION("""COMPUTED_VALUE"""),"BLUE")</f>
        <v>BLUE</v>
      </c>
      <c r="G5821" s="20" t="str">
        <f>IFERROR(__xludf.DUMMYFUNCTION("""COMPUTED_VALUE"""),"Uncle Sams Cider (11/12/2021) (Blue)")</f>
        <v>Uncle Sams Cider (11/12/2021) (Blue)</v>
      </c>
      <c r="H5821" s="19"/>
    </row>
    <row r="5822">
      <c r="A5822" s="9"/>
      <c r="B5822" s="15"/>
      <c r="C5822" s="9">
        <f>IFERROR(__xludf.DUMMYFUNCTION("""COMPUTED_VALUE"""),44544.47950353)</f>
        <v>44544.4795</v>
      </c>
      <c r="D5822" s="15">
        <f>IFERROR(__xludf.DUMMYFUNCTION("""COMPUTED_VALUE"""),1.016)</f>
        <v>1.016</v>
      </c>
      <c r="E5822" s="16">
        <f>IFERROR(__xludf.DUMMYFUNCTION("""COMPUTED_VALUE"""),62.0)</f>
        <v>62</v>
      </c>
      <c r="F5822" s="19" t="str">
        <f>IFERROR(__xludf.DUMMYFUNCTION("""COMPUTED_VALUE"""),"BLUE")</f>
        <v>BLUE</v>
      </c>
      <c r="G5822" s="20" t="str">
        <f>IFERROR(__xludf.DUMMYFUNCTION("""COMPUTED_VALUE"""),"Uncle Sams Cider (11/12/2021) (Blue)")</f>
        <v>Uncle Sams Cider (11/12/2021) (Blue)</v>
      </c>
      <c r="H5822" s="19"/>
    </row>
    <row r="5823">
      <c r="A5823" s="9"/>
      <c r="B5823" s="15"/>
      <c r="C5823" s="9">
        <f>IFERROR(__xludf.DUMMYFUNCTION("""COMPUTED_VALUE"""),44544.4690817013)</f>
        <v>44544.46908</v>
      </c>
      <c r="D5823" s="15">
        <f>IFERROR(__xludf.DUMMYFUNCTION("""COMPUTED_VALUE"""),1.015)</f>
        <v>1.015</v>
      </c>
      <c r="E5823" s="16">
        <f>IFERROR(__xludf.DUMMYFUNCTION("""COMPUTED_VALUE"""),62.0)</f>
        <v>62</v>
      </c>
      <c r="F5823" s="19" t="str">
        <f>IFERROR(__xludf.DUMMYFUNCTION("""COMPUTED_VALUE"""),"BLUE")</f>
        <v>BLUE</v>
      </c>
      <c r="G5823" s="20" t="str">
        <f>IFERROR(__xludf.DUMMYFUNCTION("""COMPUTED_VALUE"""),"Uncle Sams Cider (11/12/2021) (Blue)")</f>
        <v>Uncle Sams Cider (11/12/2021) (Blue)</v>
      </c>
      <c r="H5823" s="19"/>
    </row>
    <row r="5824">
      <c r="A5824" s="9"/>
      <c r="B5824" s="15"/>
      <c r="C5824" s="9">
        <f>IFERROR(__xludf.DUMMYFUNCTION("""COMPUTED_VALUE"""),44544.4586579398)</f>
        <v>44544.45866</v>
      </c>
      <c r="D5824" s="15">
        <f>IFERROR(__xludf.DUMMYFUNCTION("""COMPUTED_VALUE"""),1.016)</f>
        <v>1.016</v>
      </c>
      <c r="E5824" s="16">
        <f>IFERROR(__xludf.DUMMYFUNCTION("""COMPUTED_VALUE"""),62.0)</f>
        <v>62</v>
      </c>
      <c r="F5824" s="19" t="str">
        <f>IFERROR(__xludf.DUMMYFUNCTION("""COMPUTED_VALUE"""),"BLUE")</f>
        <v>BLUE</v>
      </c>
      <c r="G5824" s="20" t="str">
        <f>IFERROR(__xludf.DUMMYFUNCTION("""COMPUTED_VALUE"""),"Uncle Sams Cider (11/12/2021) (Blue)")</f>
        <v>Uncle Sams Cider (11/12/2021) (Blue)</v>
      </c>
      <c r="H5824" s="19"/>
    </row>
    <row r="5825">
      <c r="A5825" s="9"/>
      <c r="B5825" s="15"/>
      <c r="C5825" s="9">
        <f>IFERROR(__xludf.DUMMYFUNCTION("""COMPUTED_VALUE"""),44544.4482244444)</f>
        <v>44544.44822</v>
      </c>
      <c r="D5825" s="15">
        <f>IFERROR(__xludf.DUMMYFUNCTION("""COMPUTED_VALUE"""),1.016)</f>
        <v>1.016</v>
      </c>
      <c r="E5825" s="16">
        <f>IFERROR(__xludf.DUMMYFUNCTION("""COMPUTED_VALUE"""),62.0)</f>
        <v>62</v>
      </c>
      <c r="F5825" s="19" t="str">
        <f>IFERROR(__xludf.DUMMYFUNCTION("""COMPUTED_VALUE"""),"BLUE")</f>
        <v>BLUE</v>
      </c>
      <c r="G5825" s="20" t="str">
        <f>IFERROR(__xludf.DUMMYFUNCTION("""COMPUTED_VALUE"""),"Uncle Sams Cider (11/12/2021) (Blue)")</f>
        <v>Uncle Sams Cider (11/12/2021) (Blue)</v>
      </c>
      <c r="H5825" s="19"/>
    </row>
    <row r="5826">
      <c r="A5826" s="9"/>
      <c r="B5826" s="15"/>
      <c r="C5826" s="9">
        <f>IFERROR(__xludf.DUMMYFUNCTION("""COMPUTED_VALUE"""),44544.437803287)</f>
        <v>44544.4378</v>
      </c>
      <c r="D5826" s="15">
        <f>IFERROR(__xludf.DUMMYFUNCTION("""COMPUTED_VALUE"""),1.016)</f>
        <v>1.016</v>
      </c>
      <c r="E5826" s="16">
        <f>IFERROR(__xludf.DUMMYFUNCTION("""COMPUTED_VALUE"""),62.0)</f>
        <v>62</v>
      </c>
      <c r="F5826" s="19" t="str">
        <f>IFERROR(__xludf.DUMMYFUNCTION("""COMPUTED_VALUE"""),"BLUE")</f>
        <v>BLUE</v>
      </c>
      <c r="G5826" s="20" t="str">
        <f>IFERROR(__xludf.DUMMYFUNCTION("""COMPUTED_VALUE"""),"Uncle Sams Cider (11/12/2021) (Blue)")</f>
        <v>Uncle Sams Cider (11/12/2021) (Blue)</v>
      </c>
      <c r="H5826" s="19"/>
    </row>
    <row r="5827">
      <c r="A5827" s="9"/>
      <c r="B5827" s="15"/>
      <c r="C5827" s="9">
        <f>IFERROR(__xludf.DUMMYFUNCTION("""COMPUTED_VALUE"""),44544.4273816203)</f>
        <v>44544.42738</v>
      </c>
      <c r="D5827" s="15">
        <f>IFERROR(__xludf.DUMMYFUNCTION("""COMPUTED_VALUE"""),1.016)</f>
        <v>1.016</v>
      </c>
      <c r="E5827" s="16">
        <f>IFERROR(__xludf.DUMMYFUNCTION("""COMPUTED_VALUE"""),62.0)</f>
        <v>62</v>
      </c>
      <c r="F5827" s="19" t="str">
        <f>IFERROR(__xludf.DUMMYFUNCTION("""COMPUTED_VALUE"""),"BLUE")</f>
        <v>BLUE</v>
      </c>
      <c r="G5827" s="20" t="str">
        <f>IFERROR(__xludf.DUMMYFUNCTION("""COMPUTED_VALUE"""),"Uncle Sams Cider (11/12/2021) (Blue)")</f>
        <v>Uncle Sams Cider (11/12/2021) (Blue)</v>
      </c>
      <c r="H5827" s="19"/>
    </row>
    <row r="5828">
      <c r="A5828" s="9"/>
      <c r="B5828" s="15"/>
      <c r="C5828" s="9">
        <f>IFERROR(__xludf.DUMMYFUNCTION("""COMPUTED_VALUE"""),44544.4169496875)</f>
        <v>44544.41695</v>
      </c>
      <c r="D5828" s="15">
        <f>IFERROR(__xludf.DUMMYFUNCTION("""COMPUTED_VALUE"""),1.016)</f>
        <v>1.016</v>
      </c>
      <c r="E5828" s="16">
        <f>IFERROR(__xludf.DUMMYFUNCTION("""COMPUTED_VALUE"""),62.0)</f>
        <v>62</v>
      </c>
      <c r="F5828" s="19" t="str">
        <f>IFERROR(__xludf.DUMMYFUNCTION("""COMPUTED_VALUE"""),"BLUE")</f>
        <v>BLUE</v>
      </c>
      <c r="G5828" s="20" t="str">
        <f>IFERROR(__xludf.DUMMYFUNCTION("""COMPUTED_VALUE"""),"Uncle Sams Cider (11/12/2021) (Blue)")</f>
        <v>Uncle Sams Cider (11/12/2021) (Blue)</v>
      </c>
      <c r="H5828" s="19"/>
    </row>
    <row r="5829">
      <c r="A5829" s="9"/>
      <c r="B5829" s="15"/>
      <c r="C5829" s="9">
        <f>IFERROR(__xludf.DUMMYFUNCTION("""COMPUTED_VALUE"""),44544.4065287384)</f>
        <v>44544.40653</v>
      </c>
      <c r="D5829" s="15">
        <f>IFERROR(__xludf.DUMMYFUNCTION("""COMPUTED_VALUE"""),1.016)</f>
        <v>1.016</v>
      </c>
      <c r="E5829" s="16">
        <f>IFERROR(__xludf.DUMMYFUNCTION("""COMPUTED_VALUE"""),62.0)</f>
        <v>62</v>
      </c>
      <c r="F5829" s="19" t="str">
        <f>IFERROR(__xludf.DUMMYFUNCTION("""COMPUTED_VALUE"""),"BLUE")</f>
        <v>BLUE</v>
      </c>
      <c r="G5829" s="20" t="str">
        <f>IFERROR(__xludf.DUMMYFUNCTION("""COMPUTED_VALUE"""),"Uncle Sams Cider (11/12/2021) (Blue)")</f>
        <v>Uncle Sams Cider (11/12/2021) (Blue)</v>
      </c>
      <c r="H5829" s="19"/>
    </row>
    <row r="5830">
      <c r="A5830" s="9"/>
      <c r="B5830" s="15"/>
      <c r="C5830" s="9">
        <f>IFERROR(__xludf.DUMMYFUNCTION("""COMPUTED_VALUE"""),44544.3961063541)</f>
        <v>44544.39611</v>
      </c>
      <c r="D5830" s="15">
        <f>IFERROR(__xludf.DUMMYFUNCTION("""COMPUTED_VALUE"""),1.016)</f>
        <v>1.016</v>
      </c>
      <c r="E5830" s="16">
        <f>IFERROR(__xludf.DUMMYFUNCTION("""COMPUTED_VALUE"""),62.0)</f>
        <v>62</v>
      </c>
      <c r="F5830" s="19" t="str">
        <f>IFERROR(__xludf.DUMMYFUNCTION("""COMPUTED_VALUE"""),"BLUE")</f>
        <v>BLUE</v>
      </c>
      <c r="G5830" s="20" t="str">
        <f>IFERROR(__xludf.DUMMYFUNCTION("""COMPUTED_VALUE"""),"Uncle Sams Cider (11/12/2021) (Blue)")</f>
        <v>Uncle Sams Cider (11/12/2021) (Blue)</v>
      </c>
      <c r="H5830" s="19"/>
    </row>
    <row r="5831">
      <c r="A5831" s="9"/>
      <c r="B5831" s="15"/>
      <c r="C5831" s="9">
        <f>IFERROR(__xludf.DUMMYFUNCTION("""COMPUTED_VALUE"""),44544.3856859027)</f>
        <v>44544.38569</v>
      </c>
      <c r="D5831" s="15">
        <f>IFERROR(__xludf.DUMMYFUNCTION("""COMPUTED_VALUE"""),1.016)</f>
        <v>1.016</v>
      </c>
      <c r="E5831" s="16">
        <f>IFERROR(__xludf.DUMMYFUNCTION("""COMPUTED_VALUE"""),62.0)</f>
        <v>62</v>
      </c>
      <c r="F5831" s="19" t="str">
        <f>IFERROR(__xludf.DUMMYFUNCTION("""COMPUTED_VALUE"""),"BLUE")</f>
        <v>BLUE</v>
      </c>
      <c r="G5831" s="20" t="str">
        <f>IFERROR(__xludf.DUMMYFUNCTION("""COMPUTED_VALUE"""),"Uncle Sams Cider (11/12/2021) (Blue)")</f>
        <v>Uncle Sams Cider (11/12/2021) (Blue)</v>
      </c>
      <c r="H5831" s="19"/>
    </row>
    <row r="5832">
      <c r="A5832" s="9"/>
      <c r="B5832" s="15"/>
      <c r="C5832" s="9">
        <f>IFERROR(__xludf.DUMMYFUNCTION("""COMPUTED_VALUE"""),44544.3752634143)</f>
        <v>44544.37526</v>
      </c>
      <c r="D5832" s="15">
        <f>IFERROR(__xludf.DUMMYFUNCTION("""COMPUTED_VALUE"""),1.016)</f>
        <v>1.016</v>
      </c>
      <c r="E5832" s="16">
        <f>IFERROR(__xludf.DUMMYFUNCTION("""COMPUTED_VALUE"""),62.0)</f>
        <v>62</v>
      </c>
      <c r="F5832" s="19" t="str">
        <f>IFERROR(__xludf.DUMMYFUNCTION("""COMPUTED_VALUE"""),"BLUE")</f>
        <v>BLUE</v>
      </c>
      <c r="G5832" s="20" t="str">
        <f>IFERROR(__xludf.DUMMYFUNCTION("""COMPUTED_VALUE"""),"Uncle Sams Cider (11/12/2021) (Blue)")</f>
        <v>Uncle Sams Cider (11/12/2021) (Blue)</v>
      </c>
      <c r="H5832" s="19"/>
    </row>
    <row r="5833">
      <c r="A5833" s="9"/>
      <c r="B5833" s="15"/>
      <c r="C5833" s="9">
        <f>IFERROR(__xludf.DUMMYFUNCTION("""COMPUTED_VALUE"""),44544.3648441319)</f>
        <v>44544.36484</v>
      </c>
      <c r="D5833" s="15">
        <f>IFERROR(__xludf.DUMMYFUNCTION("""COMPUTED_VALUE"""),1.016)</f>
        <v>1.016</v>
      </c>
      <c r="E5833" s="16">
        <f>IFERROR(__xludf.DUMMYFUNCTION("""COMPUTED_VALUE"""),62.0)</f>
        <v>62</v>
      </c>
      <c r="F5833" s="19" t="str">
        <f>IFERROR(__xludf.DUMMYFUNCTION("""COMPUTED_VALUE"""),"BLUE")</f>
        <v>BLUE</v>
      </c>
      <c r="G5833" s="20" t="str">
        <f>IFERROR(__xludf.DUMMYFUNCTION("""COMPUTED_VALUE"""),"Uncle Sams Cider (11/12/2021) (Blue)")</f>
        <v>Uncle Sams Cider (11/12/2021) (Blue)</v>
      </c>
      <c r="H5833" s="19"/>
    </row>
    <row r="5834">
      <c r="A5834" s="9"/>
      <c r="B5834" s="15"/>
      <c r="C5834" s="9">
        <f>IFERROR(__xludf.DUMMYFUNCTION("""COMPUTED_VALUE"""),44544.3544228125)</f>
        <v>44544.35442</v>
      </c>
      <c r="D5834" s="15">
        <f>IFERROR(__xludf.DUMMYFUNCTION("""COMPUTED_VALUE"""),1.016)</f>
        <v>1.016</v>
      </c>
      <c r="E5834" s="16">
        <f>IFERROR(__xludf.DUMMYFUNCTION("""COMPUTED_VALUE"""),62.0)</f>
        <v>62</v>
      </c>
      <c r="F5834" s="19" t="str">
        <f>IFERROR(__xludf.DUMMYFUNCTION("""COMPUTED_VALUE"""),"BLUE")</f>
        <v>BLUE</v>
      </c>
      <c r="G5834" s="20" t="str">
        <f>IFERROR(__xludf.DUMMYFUNCTION("""COMPUTED_VALUE"""),"Uncle Sams Cider (11/12/2021) (Blue)")</f>
        <v>Uncle Sams Cider (11/12/2021) (Blue)</v>
      </c>
      <c r="H5834" s="19"/>
    </row>
    <row r="5835">
      <c r="A5835" s="9"/>
      <c r="B5835" s="15"/>
      <c r="C5835" s="9">
        <f>IFERROR(__xludf.DUMMYFUNCTION("""COMPUTED_VALUE"""),44544.343989537)</f>
        <v>44544.34399</v>
      </c>
      <c r="D5835" s="15">
        <f>IFERROR(__xludf.DUMMYFUNCTION("""COMPUTED_VALUE"""),1.016)</f>
        <v>1.016</v>
      </c>
      <c r="E5835" s="16">
        <f>IFERROR(__xludf.DUMMYFUNCTION("""COMPUTED_VALUE"""),62.0)</f>
        <v>62</v>
      </c>
      <c r="F5835" s="19" t="str">
        <f>IFERROR(__xludf.DUMMYFUNCTION("""COMPUTED_VALUE"""),"BLUE")</f>
        <v>BLUE</v>
      </c>
      <c r="G5835" s="20" t="str">
        <f>IFERROR(__xludf.DUMMYFUNCTION("""COMPUTED_VALUE"""),"Uncle Sams Cider (11/12/2021) (Blue)")</f>
        <v>Uncle Sams Cider (11/12/2021) (Blue)</v>
      </c>
      <c r="H5835" s="19"/>
    </row>
    <row r="5836">
      <c r="A5836" s="9"/>
      <c r="B5836" s="15"/>
      <c r="C5836" s="9">
        <f>IFERROR(__xludf.DUMMYFUNCTION("""COMPUTED_VALUE"""),44544.3335664583)</f>
        <v>44544.33357</v>
      </c>
      <c r="D5836" s="15">
        <f>IFERROR(__xludf.DUMMYFUNCTION("""COMPUTED_VALUE"""),1.016)</f>
        <v>1.016</v>
      </c>
      <c r="E5836" s="16">
        <f>IFERROR(__xludf.DUMMYFUNCTION("""COMPUTED_VALUE"""),62.0)</f>
        <v>62</v>
      </c>
      <c r="F5836" s="19" t="str">
        <f>IFERROR(__xludf.DUMMYFUNCTION("""COMPUTED_VALUE"""),"BLUE")</f>
        <v>BLUE</v>
      </c>
      <c r="G5836" s="20" t="str">
        <f>IFERROR(__xludf.DUMMYFUNCTION("""COMPUTED_VALUE"""),"Uncle Sams Cider (11/12/2021) (Blue)")</f>
        <v>Uncle Sams Cider (11/12/2021) (Blue)</v>
      </c>
      <c r="H5836" s="19"/>
    </row>
    <row r="5837">
      <c r="A5837" s="9"/>
      <c r="B5837" s="15"/>
      <c r="C5837" s="9">
        <f>IFERROR(__xludf.DUMMYFUNCTION("""COMPUTED_VALUE"""),44544.3231454513)</f>
        <v>44544.32315</v>
      </c>
      <c r="D5837" s="15">
        <f>IFERROR(__xludf.DUMMYFUNCTION("""COMPUTED_VALUE"""),1.016)</f>
        <v>1.016</v>
      </c>
      <c r="E5837" s="16">
        <f>IFERROR(__xludf.DUMMYFUNCTION("""COMPUTED_VALUE"""),62.0)</f>
        <v>62</v>
      </c>
      <c r="F5837" s="19" t="str">
        <f>IFERROR(__xludf.DUMMYFUNCTION("""COMPUTED_VALUE"""),"BLUE")</f>
        <v>BLUE</v>
      </c>
      <c r="G5837" s="20" t="str">
        <f>IFERROR(__xludf.DUMMYFUNCTION("""COMPUTED_VALUE"""),"Uncle Sams Cider (11/12/2021) (Blue)")</f>
        <v>Uncle Sams Cider (11/12/2021) (Blue)</v>
      </c>
      <c r="H5837" s="19"/>
    </row>
    <row r="5838">
      <c r="A5838" s="9"/>
      <c r="B5838" s="15"/>
      <c r="C5838" s="9">
        <f>IFERROR(__xludf.DUMMYFUNCTION("""COMPUTED_VALUE"""),44544.3127254282)</f>
        <v>44544.31273</v>
      </c>
      <c r="D5838" s="15">
        <f>IFERROR(__xludf.DUMMYFUNCTION("""COMPUTED_VALUE"""),1.016)</f>
        <v>1.016</v>
      </c>
      <c r="E5838" s="16">
        <f>IFERROR(__xludf.DUMMYFUNCTION("""COMPUTED_VALUE"""),62.0)</f>
        <v>62</v>
      </c>
      <c r="F5838" s="19" t="str">
        <f>IFERROR(__xludf.DUMMYFUNCTION("""COMPUTED_VALUE"""),"BLUE")</f>
        <v>BLUE</v>
      </c>
      <c r="G5838" s="20" t="str">
        <f>IFERROR(__xludf.DUMMYFUNCTION("""COMPUTED_VALUE"""),"Uncle Sams Cider (11/12/2021) (Blue)")</f>
        <v>Uncle Sams Cider (11/12/2021) (Blue)</v>
      </c>
      <c r="H5838" s="19"/>
    </row>
    <row r="5839">
      <c r="A5839" s="9"/>
      <c r="B5839" s="15"/>
      <c r="C5839" s="9">
        <f>IFERROR(__xludf.DUMMYFUNCTION("""COMPUTED_VALUE"""),44544.3022819444)</f>
        <v>44544.30228</v>
      </c>
      <c r="D5839" s="15">
        <f>IFERROR(__xludf.DUMMYFUNCTION("""COMPUTED_VALUE"""),1.016)</f>
        <v>1.016</v>
      </c>
      <c r="E5839" s="16">
        <f>IFERROR(__xludf.DUMMYFUNCTION("""COMPUTED_VALUE"""),62.0)</f>
        <v>62</v>
      </c>
      <c r="F5839" s="19" t="str">
        <f>IFERROR(__xludf.DUMMYFUNCTION("""COMPUTED_VALUE"""),"BLUE")</f>
        <v>BLUE</v>
      </c>
      <c r="G5839" s="20" t="str">
        <f>IFERROR(__xludf.DUMMYFUNCTION("""COMPUTED_VALUE"""),"Uncle Sams Cider (11/12/2021) (Blue)")</f>
        <v>Uncle Sams Cider (11/12/2021) (Blue)</v>
      </c>
      <c r="H5839" s="19"/>
    </row>
    <row r="5840">
      <c r="A5840" s="9"/>
      <c r="B5840" s="15"/>
      <c r="C5840" s="9">
        <f>IFERROR(__xludf.DUMMYFUNCTION("""COMPUTED_VALUE"""),44544.2918389004)</f>
        <v>44544.29184</v>
      </c>
      <c r="D5840" s="15">
        <f>IFERROR(__xludf.DUMMYFUNCTION("""COMPUTED_VALUE"""),1.016)</f>
        <v>1.016</v>
      </c>
      <c r="E5840" s="16">
        <f>IFERROR(__xludf.DUMMYFUNCTION("""COMPUTED_VALUE"""),62.0)</f>
        <v>62</v>
      </c>
      <c r="F5840" s="19" t="str">
        <f>IFERROR(__xludf.DUMMYFUNCTION("""COMPUTED_VALUE"""),"BLUE")</f>
        <v>BLUE</v>
      </c>
      <c r="G5840" s="20" t="str">
        <f>IFERROR(__xludf.DUMMYFUNCTION("""COMPUTED_VALUE"""),"Uncle Sams Cider (11/12/2021) (Blue)")</f>
        <v>Uncle Sams Cider (11/12/2021) (Blue)</v>
      </c>
      <c r="H5840" s="19"/>
    </row>
    <row r="5841">
      <c r="A5841" s="9"/>
      <c r="B5841" s="15"/>
      <c r="C5841" s="9">
        <f>IFERROR(__xludf.DUMMYFUNCTION("""COMPUTED_VALUE"""),44544.2814175347)</f>
        <v>44544.28142</v>
      </c>
      <c r="D5841" s="15">
        <f>IFERROR(__xludf.DUMMYFUNCTION("""COMPUTED_VALUE"""),1.016)</f>
        <v>1.016</v>
      </c>
      <c r="E5841" s="16">
        <f>IFERROR(__xludf.DUMMYFUNCTION("""COMPUTED_VALUE"""),62.0)</f>
        <v>62</v>
      </c>
      <c r="F5841" s="19" t="str">
        <f>IFERROR(__xludf.DUMMYFUNCTION("""COMPUTED_VALUE"""),"BLUE")</f>
        <v>BLUE</v>
      </c>
      <c r="G5841" s="20" t="str">
        <f>IFERROR(__xludf.DUMMYFUNCTION("""COMPUTED_VALUE"""),"Uncle Sams Cider (11/12/2021) (Blue)")</f>
        <v>Uncle Sams Cider (11/12/2021) (Blue)</v>
      </c>
      <c r="H5841" s="19"/>
    </row>
    <row r="5842">
      <c r="A5842" s="9"/>
      <c r="B5842" s="15"/>
      <c r="C5842" s="9">
        <f>IFERROR(__xludf.DUMMYFUNCTION("""COMPUTED_VALUE"""),44544.2709958796)</f>
        <v>44544.271</v>
      </c>
      <c r="D5842" s="15">
        <f>IFERROR(__xludf.DUMMYFUNCTION("""COMPUTED_VALUE"""),1.016)</f>
        <v>1.016</v>
      </c>
      <c r="E5842" s="16">
        <f>IFERROR(__xludf.DUMMYFUNCTION("""COMPUTED_VALUE"""),62.0)</f>
        <v>62</v>
      </c>
      <c r="F5842" s="19" t="str">
        <f>IFERROR(__xludf.DUMMYFUNCTION("""COMPUTED_VALUE"""),"BLUE")</f>
        <v>BLUE</v>
      </c>
      <c r="G5842" s="20" t="str">
        <f>IFERROR(__xludf.DUMMYFUNCTION("""COMPUTED_VALUE"""),"Uncle Sams Cider (11/12/2021) (Blue)")</f>
        <v>Uncle Sams Cider (11/12/2021) (Blue)</v>
      </c>
      <c r="H5842" s="19"/>
    </row>
    <row r="5843">
      <c r="A5843" s="9"/>
      <c r="B5843" s="15"/>
      <c r="C5843" s="9">
        <f>IFERROR(__xludf.DUMMYFUNCTION("""COMPUTED_VALUE"""),44544.2605759606)</f>
        <v>44544.26058</v>
      </c>
      <c r="D5843" s="15">
        <f>IFERROR(__xludf.DUMMYFUNCTION("""COMPUTED_VALUE"""),1.016)</f>
        <v>1.016</v>
      </c>
      <c r="E5843" s="16">
        <f>IFERROR(__xludf.DUMMYFUNCTION("""COMPUTED_VALUE"""),62.0)</f>
        <v>62</v>
      </c>
      <c r="F5843" s="19" t="str">
        <f>IFERROR(__xludf.DUMMYFUNCTION("""COMPUTED_VALUE"""),"BLUE")</f>
        <v>BLUE</v>
      </c>
      <c r="G5843" s="20" t="str">
        <f>IFERROR(__xludf.DUMMYFUNCTION("""COMPUTED_VALUE"""),"Uncle Sams Cider (11/12/2021) (Blue)")</f>
        <v>Uncle Sams Cider (11/12/2021) (Blue)</v>
      </c>
      <c r="H5843" s="19"/>
    </row>
    <row r="5844">
      <c r="A5844" s="9"/>
      <c r="B5844" s="15"/>
      <c r="C5844" s="9">
        <f>IFERROR(__xludf.DUMMYFUNCTION("""COMPUTED_VALUE"""),44544.250156412)</f>
        <v>44544.25016</v>
      </c>
      <c r="D5844" s="15">
        <f>IFERROR(__xludf.DUMMYFUNCTION("""COMPUTED_VALUE"""),1.016)</f>
        <v>1.016</v>
      </c>
      <c r="E5844" s="16">
        <f>IFERROR(__xludf.DUMMYFUNCTION("""COMPUTED_VALUE"""),62.0)</f>
        <v>62</v>
      </c>
      <c r="F5844" s="19" t="str">
        <f>IFERROR(__xludf.DUMMYFUNCTION("""COMPUTED_VALUE"""),"BLUE")</f>
        <v>BLUE</v>
      </c>
      <c r="G5844" s="20" t="str">
        <f>IFERROR(__xludf.DUMMYFUNCTION("""COMPUTED_VALUE"""),"Uncle Sams Cider (11/12/2021) (Blue)")</f>
        <v>Uncle Sams Cider (11/12/2021) (Blue)</v>
      </c>
      <c r="H5844" s="19"/>
    </row>
    <row r="5845">
      <c r="A5845" s="9"/>
      <c r="B5845" s="15"/>
      <c r="C5845" s="9">
        <f>IFERROR(__xludf.DUMMYFUNCTION("""COMPUTED_VALUE"""),44544.2397113425)</f>
        <v>44544.23971</v>
      </c>
      <c r="D5845" s="15">
        <f>IFERROR(__xludf.DUMMYFUNCTION("""COMPUTED_VALUE"""),1.016)</f>
        <v>1.016</v>
      </c>
      <c r="E5845" s="16">
        <f>IFERROR(__xludf.DUMMYFUNCTION("""COMPUTED_VALUE"""),62.0)</f>
        <v>62</v>
      </c>
      <c r="F5845" s="19" t="str">
        <f>IFERROR(__xludf.DUMMYFUNCTION("""COMPUTED_VALUE"""),"BLUE")</f>
        <v>BLUE</v>
      </c>
      <c r="G5845" s="20" t="str">
        <f>IFERROR(__xludf.DUMMYFUNCTION("""COMPUTED_VALUE"""),"Uncle Sams Cider (11/12/2021) (Blue)")</f>
        <v>Uncle Sams Cider (11/12/2021) (Blue)</v>
      </c>
      <c r="H5845" s="19"/>
    </row>
    <row r="5846">
      <c r="A5846" s="9"/>
      <c r="B5846" s="15"/>
      <c r="C5846" s="9">
        <f>IFERROR(__xludf.DUMMYFUNCTION("""COMPUTED_VALUE"""),44544.2292909259)</f>
        <v>44544.22929</v>
      </c>
      <c r="D5846" s="15">
        <f>IFERROR(__xludf.DUMMYFUNCTION("""COMPUTED_VALUE"""),1.016)</f>
        <v>1.016</v>
      </c>
      <c r="E5846" s="16">
        <f>IFERROR(__xludf.DUMMYFUNCTION("""COMPUTED_VALUE"""),62.0)</f>
        <v>62</v>
      </c>
      <c r="F5846" s="19" t="str">
        <f>IFERROR(__xludf.DUMMYFUNCTION("""COMPUTED_VALUE"""),"BLUE")</f>
        <v>BLUE</v>
      </c>
      <c r="G5846" s="20" t="str">
        <f>IFERROR(__xludf.DUMMYFUNCTION("""COMPUTED_VALUE"""),"Uncle Sams Cider (11/12/2021) (Blue)")</f>
        <v>Uncle Sams Cider (11/12/2021) (Blue)</v>
      </c>
      <c r="H5846" s="19"/>
    </row>
    <row r="5847">
      <c r="A5847" s="9"/>
      <c r="B5847" s="15"/>
      <c r="C5847" s="9">
        <f>IFERROR(__xludf.DUMMYFUNCTION("""COMPUTED_VALUE"""),44544.2188578819)</f>
        <v>44544.21886</v>
      </c>
      <c r="D5847" s="15">
        <f>IFERROR(__xludf.DUMMYFUNCTION("""COMPUTED_VALUE"""),1.016)</f>
        <v>1.016</v>
      </c>
      <c r="E5847" s="16">
        <f>IFERROR(__xludf.DUMMYFUNCTION("""COMPUTED_VALUE"""),62.0)</f>
        <v>62</v>
      </c>
      <c r="F5847" s="19" t="str">
        <f>IFERROR(__xludf.DUMMYFUNCTION("""COMPUTED_VALUE"""),"BLUE")</f>
        <v>BLUE</v>
      </c>
      <c r="G5847" s="20" t="str">
        <f>IFERROR(__xludf.DUMMYFUNCTION("""COMPUTED_VALUE"""),"Uncle Sams Cider (11/12/2021) (Blue)")</f>
        <v>Uncle Sams Cider (11/12/2021) (Blue)</v>
      </c>
      <c r="H5847" s="19"/>
    </row>
    <row r="5848">
      <c r="A5848" s="9"/>
      <c r="B5848" s="15"/>
      <c r="C5848" s="9">
        <f>IFERROR(__xludf.DUMMYFUNCTION("""COMPUTED_VALUE"""),44544.2084243518)</f>
        <v>44544.20842</v>
      </c>
      <c r="D5848" s="15">
        <f>IFERROR(__xludf.DUMMYFUNCTION("""COMPUTED_VALUE"""),1.016)</f>
        <v>1.016</v>
      </c>
      <c r="E5848" s="16">
        <f>IFERROR(__xludf.DUMMYFUNCTION("""COMPUTED_VALUE"""),62.0)</f>
        <v>62</v>
      </c>
      <c r="F5848" s="19" t="str">
        <f>IFERROR(__xludf.DUMMYFUNCTION("""COMPUTED_VALUE"""),"BLUE")</f>
        <v>BLUE</v>
      </c>
      <c r="G5848" s="20" t="str">
        <f>IFERROR(__xludf.DUMMYFUNCTION("""COMPUTED_VALUE"""),"Uncle Sams Cider (11/12/2021) (Blue)")</f>
        <v>Uncle Sams Cider (11/12/2021) (Blue)</v>
      </c>
      <c r="H5848" s="19"/>
    </row>
    <row r="5849">
      <c r="A5849" s="9"/>
      <c r="B5849" s="15"/>
      <c r="C5849" s="9">
        <f>IFERROR(__xludf.DUMMYFUNCTION("""COMPUTED_VALUE"""),44544.1980037847)</f>
        <v>44544.198</v>
      </c>
      <c r="D5849" s="15">
        <f>IFERROR(__xludf.DUMMYFUNCTION("""COMPUTED_VALUE"""),1.016)</f>
        <v>1.016</v>
      </c>
      <c r="E5849" s="16">
        <f>IFERROR(__xludf.DUMMYFUNCTION("""COMPUTED_VALUE"""),62.0)</f>
        <v>62</v>
      </c>
      <c r="F5849" s="19" t="str">
        <f>IFERROR(__xludf.DUMMYFUNCTION("""COMPUTED_VALUE"""),"BLUE")</f>
        <v>BLUE</v>
      </c>
      <c r="G5849" s="20" t="str">
        <f>IFERROR(__xludf.DUMMYFUNCTION("""COMPUTED_VALUE"""),"Uncle Sams Cider (11/12/2021) (Blue)")</f>
        <v>Uncle Sams Cider (11/12/2021) (Blue)</v>
      </c>
      <c r="H5849" s="19"/>
    </row>
    <row r="5850">
      <c r="A5850" s="9"/>
      <c r="B5850" s="15"/>
      <c r="C5850" s="9">
        <f>IFERROR(__xludf.DUMMYFUNCTION("""COMPUTED_VALUE"""),44544.1875825115)</f>
        <v>44544.18758</v>
      </c>
      <c r="D5850" s="15">
        <f>IFERROR(__xludf.DUMMYFUNCTION("""COMPUTED_VALUE"""),1.016)</f>
        <v>1.016</v>
      </c>
      <c r="E5850" s="16">
        <f>IFERROR(__xludf.DUMMYFUNCTION("""COMPUTED_VALUE"""),62.0)</f>
        <v>62</v>
      </c>
      <c r="F5850" s="19" t="str">
        <f>IFERROR(__xludf.DUMMYFUNCTION("""COMPUTED_VALUE"""),"BLUE")</f>
        <v>BLUE</v>
      </c>
      <c r="G5850" s="20" t="str">
        <f>IFERROR(__xludf.DUMMYFUNCTION("""COMPUTED_VALUE"""),"Uncle Sams Cider (11/12/2021) (Blue)")</f>
        <v>Uncle Sams Cider (11/12/2021) (Blue)</v>
      </c>
      <c r="H5850" s="19"/>
    </row>
    <row r="5851">
      <c r="A5851" s="9"/>
      <c r="B5851" s="15"/>
      <c r="C5851" s="9">
        <f>IFERROR(__xludf.DUMMYFUNCTION("""COMPUTED_VALUE"""),44544.1771603587)</f>
        <v>44544.17716</v>
      </c>
      <c r="D5851" s="15">
        <f>IFERROR(__xludf.DUMMYFUNCTION("""COMPUTED_VALUE"""),1.016)</f>
        <v>1.016</v>
      </c>
      <c r="E5851" s="16">
        <f>IFERROR(__xludf.DUMMYFUNCTION("""COMPUTED_VALUE"""),62.0)</f>
        <v>62</v>
      </c>
      <c r="F5851" s="19" t="str">
        <f>IFERROR(__xludf.DUMMYFUNCTION("""COMPUTED_VALUE"""),"BLUE")</f>
        <v>BLUE</v>
      </c>
      <c r="G5851" s="20" t="str">
        <f>IFERROR(__xludf.DUMMYFUNCTION("""COMPUTED_VALUE"""),"Uncle Sams Cider (11/12/2021) (Blue)")</f>
        <v>Uncle Sams Cider (11/12/2021) (Blue)</v>
      </c>
      <c r="H5851" s="19"/>
    </row>
    <row r="5852">
      <c r="A5852" s="9"/>
      <c r="B5852" s="15"/>
      <c r="C5852" s="9">
        <f>IFERROR(__xludf.DUMMYFUNCTION("""COMPUTED_VALUE"""),44544.1667381944)</f>
        <v>44544.16674</v>
      </c>
      <c r="D5852" s="15">
        <f>IFERROR(__xludf.DUMMYFUNCTION("""COMPUTED_VALUE"""),1.016)</f>
        <v>1.016</v>
      </c>
      <c r="E5852" s="16">
        <f>IFERROR(__xludf.DUMMYFUNCTION("""COMPUTED_VALUE"""),62.0)</f>
        <v>62</v>
      </c>
      <c r="F5852" s="19" t="str">
        <f>IFERROR(__xludf.DUMMYFUNCTION("""COMPUTED_VALUE"""),"BLUE")</f>
        <v>BLUE</v>
      </c>
      <c r="G5852" s="20" t="str">
        <f>IFERROR(__xludf.DUMMYFUNCTION("""COMPUTED_VALUE"""),"Uncle Sams Cider (11/12/2021) (Blue)")</f>
        <v>Uncle Sams Cider (11/12/2021) (Blue)</v>
      </c>
      <c r="H5852" s="19"/>
    </row>
    <row r="5853">
      <c r="A5853" s="9"/>
      <c r="B5853" s="15"/>
      <c r="C5853" s="9">
        <f>IFERROR(__xludf.DUMMYFUNCTION("""COMPUTED_VALUE"""),44544.1563180439)</f>
        <v>44544.15632</v>
      </c>
      <c r="D5853" s="15">
        <f>IFERROR(__xludf.DUMMYFUNCTION("""COMPUTED_VALUE"""),1.016)</f>
        <v>1.016</v>
      </c>
      <c r="E5853" s="16">
        <f>IFERROR(__xludf.DUMMYFUNCTION("""COMPUTED_VALUE"""),62.0)</f>
        <v>62</v>
      </c>
      <c r="F5853" s="19" t="str">
        <f>IFERROR(__xludf.DUMMYFUNCTION("""COMPUTED_VALUE"""),"BLUE")</f>
        <v>BLUE</v>
      </c>
      <c r="G5853" s="20" t="str">
        <f>IFERROR(__xludf.DUMMYFUNCTION("""COMPUTED_VALUE"""),"Uncle Sams Cider (11/12/2021) (Blue)")</f>
        <v>Uncle Sams Cider (11/12/2021) (Blue)</v>
      </c>
      <c r="H5853" s="19"/>
    </row>
    <row r="5854">
      <c r="A5854" s="9"/>
      <c r="B5854" s="15"/>
      <c r="C5854" s="9">
        <f>IFERROR(__xludf.DUMMYFUNCTION("""COMPUTED_VALUE"""),44544.1458966203)</f>
        <v>44544.1459</v>
      </c>
      <c r="D5854" s="15">
        <f>IFERROR(__xludf.DUMMYFUNCTION("""COMPUTED_VALUE"""),1.016)</f>
        <v>1.016</v>
      </c>
      <c r="E5854" s="16">
        <f>IFERROR(__xludf.DUMMYFUNCTION("""COMPUTED_VALUE"""),62.0)</f>
        <v>62</v>
      </c>
      <c r="F5854" s="19" t="str">
        <f>IFERROR(__xludf.DUMMYFUNCTION("""COMPUTED_VALUE"""),"BLUE")</f>
        <v>BLUE</v>
      </c>
      <c r="G5854" s="20" t="str">
        <f>IFERROR(__xludf.DUMMYFUNCTION("""COMPUTED_VALUE"""),"Uncle Sams Cider (11/12/2021) (Blue)")</f>
        <v>Uncle Sams Cider (11/12/2021) (Blue)</v>
      </c>
      <c r="H5854" s="19"/>
    </row>
    <row r="5855">
      <c r="A5855" s="9"/>
      <c r="B5855" s="15"/>
      <c r="C5855" s="9">
        <f>IFERROR(__xludf.DUMMYFUNCTION("""COMPUTED_VALUE"""),44544.1354750694)</f>
        <v>44544.13548</v>
      </c>
      <c r="D5855" s="15">
        <f>IFERROR(__xludf.DUMMYFUNCTION("""COMPUTED_VALUE"""),1.016)</f>
        <v>1.016</v>
      </c>
      <c r="E5855" s="16">
        <f>IFERROR(__xludf.DUMMYFUNCTION("""COMPUTED_VALUE"""),62.0)</f>
        <v>62</v>
      </c>
      <c r="F5855" s="19" t="str">
        <f>IFERROR(__xludf.DUMMYFUNCTION("""COMPUTED_VALUE"""),"BLUE")</f>
        <v>BLUE</v>
      </c>
      <c r="G5855" s="20" t="str">
        <f>IFERROR(__xludf.DUMMYFUNCTION("""COMPUTED_VALUE"""),"Uncle Sams Cider (11/12/2021) (Blue)")</f>
        <v>Uncle Sams Cider (11/12/2021) (Blue)</v>
      </c>
      <c r="H5855" s="19"/>
    </row>
    <row r="5856">
      <c r="A5856" s="9"/>
      <c r="B5856" s="15"/>
      <c r="C5856" s="9">
        <f>IFERROR(__xludf.DUMMYFUNCTION("""COMPUTED_VALUE"""),44544.1250530439)</f>
        <v>44544.12505</v>
      </c>
      <c r="D5856" s="15">
        <f>IFERROR(__xludf.DUMMYFUNCTION("""COMPUTED_VALUE"""),1.016)</f>
        <v>1.016</v>
      </c>
      <c r="E5856" s="16">
        <f>IFERROR(__xludf.DUMMYFUNCTION("""COMPUTED_VALUE"""),62.0)</f>
        <v>62</v>
      </c>
      <c r="F5856" s="19" t="str">
        <f>IFERROR(__xludf.DUMMYFUNCTION("""COMPUTED_VALUE"""),"BLUE")</f>
        <v>BLUE</v>
      </c>
      <c r="G5856" s="20" t="str">
        <f>IFERROR(__xludf.DUMMYFUNCTION("""COMPUTED_VALUE"""),"Uncle Sams Cider (11/12/2021) (Blue)")</f>
        <v>Uncle Sams Cider (11/12/2021) (Blue)</v>
      </c>
      <c r="H5856" s="19"/>
    </row>
    <row r="5857">
      <c r="A5857" s="9"/>
      <c r="B5857" s="15"/>
      <c r="C5857" s="9">
        <f>IFERROR(__xludf.DUMMYFUNCTION("""COMPUTED_VALUE"""),44544.1146312384)</f>
        <v>44544.11463</v>
      </c>
      <c r="D5857" s="15">
        <f>IFERROR(__xludf.DUMMYFUNCTION("""COMPUTED_VALUE"""),1.016)</f>
        <v>1.016</v>
      </c>
      <c r="E5857" s="16">
        <f>IFERROR(__xludf.DUMMYFUNCTION("""COMPUTED_VALUE"""),62.0)</f>
        <v>62</v>
      </c>
      <c r="F5857" s="19" t="str">
        <f>IFERROR(__xludf.DUMMYFUNCTION("""COMPUTED_VALUE"""),"BLUE")</f>
        <v>BLUE</v>
      </c>
      <c r="G5857" s="20" t="str">
        <f>IFERROR(__xludf.DUMMYFUNCTION("""COMPUTED_VALUE"""),"Uncle Sams Cider (11/12/2021) (Blue)")</f>
        <v>Uncle Sams Cider (11/12/2021) (Blue)</v>
      </c>
      <c r="H5857" s="19"/>
    </row>
    <row r="5858">
      <c r="A5858" s="9"/>
      <c r="B5858" s="15"/>
      <c r="C5858" s="9">
        <f>IFERROR(__xludf.DUMMYFUNCTION("""COMPUTED_VALUE"""),44544.1042115046)</f>
        <v>44544.10421</v>
      </c>
      <c r="D5858" s="15">
        <f>IFERROR(__xludf.DUMMYFUNCTION("""COMPUTED_VALUE"""),1.016)</f>
        <v>1.016</v>
      </c>
      <c r="E5858" s="16">
        <f>IFERROR(__xludf.DUMMYFUNCTION("""COMPUTED_VALUE"""),62.0)</f>
        <v>62</v>
      </c>
      <c r="F5858" s="19" t="str">
        <f>IFERROR(__xludf.DUMMYFUNCTION("""COMPUTED_VALUE"""),"BLUE")</f>
        <v>BLUE</v>
      </c>
      <c r="G5858" s="20" t="str">
        <f>IFERROR(__xludf.DUMMYFUNCTION("""COMPUTED_VALUE"""),"Uncle Sams Cider (11/12/2021) (Blue)")</f>
        <v>Uncle Sams Cider (11/12/2021) (Blue)</v>
      </c>
      <c r="H5858" s="19"/>
    </row>
    <row r="5859">
      <c r="A5859" s="9"/>
      <c r="B5859" s="15"/>
      <c r="C5859" s="9">
        <f>IFERROR(__xludf.DUMMYFUNCTION("""COMPUTED_VALUE"""),44544.0937918865)</f>
        <v>44544.09379</v>
      </c>
      <c r="D5859" s="15">
        <f>IFERROR(__xludf.DUMMYFUNCTION("""COMPUTED_VALUE"""),1.016)</f>
        <v>1.016</v>
      </c>
      <c r="E5859" s="16">
        <f>IFERROR(__xludf.DUMMYFUNCTION("""COMPUTED_VALUE"""),62.0)</f>
        <v>62</v>
      </c>
      <c r="F5859" s="19" t="str">
        <f>IFERROR(__xludf.DUMMYFUNCTION("""COMPUTED_VALUE"""),"BLUE")</f>
        <v>BLUE</v>
      </c>
      <c r="G5859" s="20" t="str">
        <f>IFERROR(__xludf.DUMMYFUNCTION("""COMPUTED_VALUE"""),"Uncle Sams Cider (11/12/2021) (Blue)")</f>
        <v>Uncle Sams Cider (11/12/2021) (Blue)</v>
      </c>
      <c r="H5859" s="19"/>
    </row>
    <row r="5860">
      <c r="A5860" s="9"/>
      <c r="B5860" s="15"/>
      <c r="C5860" s="9">
        <f>IFERROR(__xludf.DUMMYFUNCTION("""COMPUTED_VALUE"""),44544.0833590509)</f>
        <v>44544.08336</v>
      </c>
      <c r="D5860" s="15">
        <f>IFERROR(__xludf.DUMMYFUNCTION("""COMPUTED_VALUE"""),1.016)</f>
        <v>1.016</v>
      </c>
      <c r="E5860" s="16">
        <f>IFERROR(__xludf.DUMMYFUNCTION("""COMPUTED_VALUE"""),62.0)</f>
        <v>62</v>
      </c>
      <c r="F5860" s="19" t="str">
        <f>IFERROR(__xludf.DUMMYFUNCTION("""COMPUTED_VALUE"""),"BLUE")</f>
        <v>BLUE</v>
      </c>
      <c r="G5860" s="20" t="str">
        <f>IFERROR(__xludf.DUMMYFUNCTION("""COMPUTED_VALUE"""),"Uncle Sams Cider (11/12/2021) (Blue)")</f>
        <v>Uncle Sams Cider (11/12/2021) (Blue)</v>
      </c>
      <c r="H5860" s="19"/>
    </row>
    <row r="5861">
      <c r="A5861" s="9"/>
      <c r="B5861" s="15"/>
      <c r="C5861" s="9">
        <f>IFERROR(__xludf.DUMMYFUNCTION("""COMPUTED_VALUE"""),44544.0729366782)</f>
        <v>44544.07294</v>
      </c>
      <c r="D5861" s="15">
        <f>IFERROR(__xludf.DUMMYFUNCTION("""COMPUTED_VALUE"""),1.016)</f>
        <v>1.016</v>
      </c>
      <c r="E5861" s="16">
        <f>IFERROR(__xludf.DUMMYFUNCTION("""COMPUTED_VALUE"""),62.0)</f>
        <v>62</v>
      </c>
      <c r="F5861" s="19" t="str">
        <f>IFERROR(__xludf.DUMMYFUNCTION("""COMPUTED_VALUE"""),"BLUE")</f>
        <v>BLUE</v>
      </c>
      <c r="G5861" s="20" t="str">
        <f>IFERROR(__xludf.DUMMYFUNCTION("""COMPUTED_VALUE"""),"Uncle Sams Cider (11/12/2021) (Blue)")</f>
        <v>Uncle Sams Cider (11/12/2021) (Blue)</v>
      </c>
      <c r="H5861" s="19"/>
    </row>
    <row r="5862">
      <c r="A5862" s="9"/>
      <c r="B5862" s="15"/>
      <c r="C5862" s="9">
        <f>IFERROR(__xludf.DUMMYFUNCTION("""COMPUTED_VALUE"""),44544.0625158796)</f>
        <v>44544.06252</v>
      </c>
      <c r="D5862" s="15">
        <f>IFERROR(__xludf.DUMMYFUNCTION("""COMPUTED_VALUE"""),1.016)</f>
        <v>1.016</v>
      </c>
      <c r="E5862" s="16">
        <f>IFERROR(__xludf.DUMMYFUNCTION("""COMPUTED_VALUE"""),62.0)</f>
        <v>62</v>
      </c>
      <c r="F5862" s="19" t="str">
        <f>IFERROR(__xludf.DUMMYFUNCTION("""COMPUTED_VALUE"""),"BLUE")</f>
        <v>BLUE</v>
      </c>
      <c r="G5862" s="20" t="str">
        <f>IFERROR(__xludf.DUMMYFUNCTION("""COMPUTED_VALUE"""),"Uncle Sams Cider (11/12/2021) (Blue)")</f>
        <v>Uncle Sams Cider (11/12/2021) (Blue)</v>
      </c>
      <c r="H5862" s="19"/>
    </row>
    <row r="5863">
      <c r="A5863" s="9"/>
      <c r="B5863" s="15"/>
      <c r="C5863" s="9">
        <f>IFERROR(__xludf.DUMMYFUNCTION("""COMPUTED_VALUE"""),44544.0520944328)</f>
        <v>44544.05209</v>
      </c>
      <c r="D5863" s="15">
        <f>IFERROR(__xludf.DUMMYFUNCTION("""COMPUTED_VALUE"""),1.016)</f>
        <v>1.016</v>
      </c>
      <c r="E5863" s="16">
        <f>IFERROR(__xludf.DUMMYFUNCTION("""COMPUTED_VALUE"""),62.0)</f>
        <v>62</v>
      </c>
      <c r="F5863" s="19" t="str">
        <f>IFERROR(__xludf.DUMMYFUNCTION("""COMPUTED_VALUE"""),"BLUE")</f>
        <v>BLUE</v>
      </c>
      <c r="G5863" s="20" t="str">
        <f>IFERROR(__xludf.DUMMYFUNCTION("""COMPUTED_VALUE"""),"Uncle Sams Cider (11/12/2021) (Blue)")</f>
        <v>Uncle Sams Cider (11/12/2021) (Blue)</v>
      </c>
      <c r="H5863" s="19"/>
    </row>
    <row r="5864">
      <c r="A5864" s="9"/>
      <c r="B5864" s="15"/>
      <c r="C5864" s="9">
        <f>IFERROR(__xludf.DUMMYFUNCTION("""COMPUTED_VALUE"""),44544.0416733912)</f>
        <v>44544.04167</v>
      </c>
      <c r="D5864" s="15">
        <f>IFERROR(__xludf.DUMMYFUNCTION("""COMPUTED_VALUE"""),1.016)</f>
        <v>1.016</v>
      </c>
      <c r="E5864" s="16">
        <f>IFERROR(__xludf.DUMMYFUNCTION("""COMPUTED_VALUE"""),62.0)</f>
        <v>62</v>
      </c>
      <c r="F5864" s="19" t="str">
        <f>IFERROR(__xludf.DUMMYFUNCTION("""COMPUTED_VALUE"""),"BLUE")</f>
        <v>BLUE</v>
      </c>
      <c r="G5864" s="20" t="str">
        <f>IFERROR(__xludf.DUMMYFUNCTION("""COMPUTED_VALUE"""),"Uncle Sams Cider (11/12/2021) (Blue)")</f>
        <v>Uncle Sams Cider (11/12/2021) (Blue)</v>
      </c>
      <c r="H5864" s="19"/>
    </row>
    <row r="5865">
      <c r="A5865" s="9"/>
      <c r="B5865" s="15"/>
      <c r="C5865" s="9">
        <f>IFERROR(__xludf.DUMMYFUNCTION("""COMPUTED_VALUE"""),44544.0312519907)</f>
        <v>44544.03125</v>
      </c>
      <c r="D5865" s="15">
        <f>IFERROR(__xludf.DUMMYFUNCTION("""COMPUTED_VALUE"""),1.016)</f>
        <v>1.016</v>
      </c>
      <c r="E5865" s="16">
        <f>IFERROR(__xludf.DUMMYFUNCTION("""COMPUTED_VALUE"""),62.0)</f>
        <v>62</v>
      </c>
      <c r="F5865" s="19" t="str">
        <f>IFERROR(__xludf.DUMMYFUNCTION("""COMPUTED_VALUE"""),"BLUE")</f>
        <v>BLUE</v>
      </c>
      <c r="G5865" s="20" t="str">
        <f>IFERROR(__xludf.DUMMYFUNCTION("""COMPUTED_VALUE"""),"Uncle Sams Cider (11/12/2021) (Blue)")</f>
        <v>Uncle Sams Cider (11/12/2021) (Blue)</v>
      </c>
      <c r="H5865" s="19"/>
    </row>
    <row r="5866">
      <c r="A5866" s="9"/>
      <c r="B5866" s="15"/>
      <c r="C5866" s="9">
        <f>IFERROR(__xludf.DUMMYFUNCTION("""COMPUTED_VALUE"""),44544.0208303125)</f>
        <v>44544.02083</v>
      </c>
      <c r="D5866" s="15">
        <f>IFERROR(__xludf.DUMMYFUNCTION("""COMPUTED_VALUE"""),1.016)</f>
        <v>1.016</v>
      </c>
      <c r="E5866" s="16">
        <f>IFERROR(__xludf.DUMMYFUNCTION("""COMPUTED_VALUE"""),62.0)</f>
        <v>62</v>
      </c>
      <c r="F5866" s="19" t="str">
        <f>IFERROR(__xludf.DUMMYFUNCTION("""COMPUTED_VALUE"""),"BLUE")</f>
        <v>BLUE</v>
      </c>
      <c r="G5866" s="20" t="str">
        <f>IFERROR(__xludf.DUMMYFUNCTION("""COMPUTED_VALUE"""),"Uncle Sams Cider (11/12/2021) (Blue)")</f>
        <v>Uncle Sams Cider (11/12/2021) (Blue)</v>
      </c>
      <c r="H5866" s="19"/>
    </row>
    <row r="5867">
      <c r="A5867" s="9"/>
      <c r="B5867" s="15"/>
      <c r="C5867" s="9">
        <f>IFERROR(__xludf.DUMMYFUNCTION("""COMPUTED_VALUE"""),44544.0103863426)</f>
        <v>44544.01039</v>
      </c>
      <c r="D5867" s="15">
        <f>IFERROR(__xludf.DUMMYFUNCTION("""COMPUTED_VALUE"""),1.016)</f>
        <v>1.016</v>
      </c>
      <c r="E5867" s="16">
        <f>IFERROR(__xludf.DUMMYFUNCTION("""COMPUTED_VALUE"""),62.0)</f>
        <v>62</v>
      </c>
      <c r="F5867" s="19" t="str">
        <f>IFERROR(__xludf.DUMMYFUNCTION("""COMPUTED_VALUE"""),"BLUE")</f>
        <v>BLUE</v>
      </c>
      <c r="G5867" s="20" t="str">
        <f>IFERROR(__xludf.DUMMYFUNCTION("""COMPUTED_VALUE"""),"Uncle Sams Cider (11/12/2021) (Blue)")</f>
        <v>Uncle Sams Cider (11/12/2021) (Blue)</v>
      </c>
      <c r="H5867" s="19"/>
    </row>
    <row r="5868">
      <c r="A5868" s="9"/>
      <c r="B5868" s="15"/>
      <c r="C5868" s="9">
        <f>IFERROR(__xludf.DUMMYFUNCTION("""COMPUTED_VALUE"""),44543.9999655324)</f>
        <v>44543.99997</v>
      </c>
      <c r="D5868" s="15">
        <f>IFERROR(__xludf.DUMMYFUNCTION("""COMPUTED_VALUE"""),1.016)</f>
        <v>1.016</v>
      </c>
      <c r="E5868" s="16">
        <f>IFERROR(__xludf.DUMMYFUNCTION("""COMPUTED_VALUE"""),62.0)</f>
        <v>62</v>
      </c>
      <c r="F5868" s="19" t="str">
        <f>IFERROR(__xludf.DUMMYFUNCTION("""COMPUTED_VALUE"""),"BLUE")</f>
        <v>BLUE</v>
      </c>
      <c r="G5868" s="20" t="str">
        <f>IFERROR(__xludf.DUMMYFUNCTION("""COMPUTED_VALUE"""),"Uncle Sams Cider (11/12/2021) (Blue)")</f>
        <v>Uncle Sams Cider (11/12/2021) (Blue)</v>
      </c>
      <c r="H5868" s="19"/>
    </row>
    <row r="5869">
      <c r="A5869" s="9"/>
      <c r="B5869" s="15"/>
      <c r="C5869" s="9">
        <f>IFERROR(__xludf.DUMMYFUNCTION("""COMPUTED_VALUE"""),44543.9895470717)</f>
        <v>44543.98955</v>
      </c>
      <c r="D5869" s="15">
        <f>IFERROR(__xludf.DUMMYFUNCTION("""COMPUTED_VALUE"""),1.016)</f>
        <v>1.016</v>
      </c>
      <c r="E5869" s="16">
        <f>IFERROR(__xludf.DUMMYFUNCTION("""COMPUTED_VALUE"""),62.0)</f>
        <v>62</v>
      </c>
      <c r="F5869" s="19" t="str">
        <f>IFERROR(__xludf.DUMMYFUNCTION("""COMPUTED_VALUE"""),"BLUE")</f>
        <v>BLUE</v>
      </c>
      <c r="G5869" s="20" t="str">
        <f>IFERROR(__xludf.DUMMYFUNCTION("""COMPUTED_VALUE"""),"Uncle Sams Cider (11/12/2021) (Blue)")</f>
        <v>Uncle Sams Cider (11/12/2021) (Blue)</v>
      </c>
      <c r="H5869" s="19"/>
    </row>
    <row r="5870">
      <c r="A5870" s="9"/>
      <c r="B5870" s="15"/>
      <c r="C5870" s="9">
        <f>IFERROR(__xludf.DUMMYFUNCTION("""COMPUTED_VALUE"""),44543.9791254398)</f>
        <v>44543.97913</v>
      </c>
      <c r="D5870" s="15">
        <f>IFERROR(__xludf.DUMMYFUNCTION("""COMPUTED_VALUE"""),1.016)</f>
        <v>1.016</v>
      </c>
      <c r="E5870" s="16">
        <f>IFERROR(__xludf.DUMMYFUNCTION("""COMPUTED_VALUE"""),62.0)</f>
        <v>62</v>
      </c>
      <c r="F5870" s="19" t="str">
        <f>IFERROR(__xludf.DUMMYFUNCTION("""COMPUTED_VALUE"""),"BLUE")</f>
        <v>BLUE</v>
      </c>
      <c r="G5870" s="20" t="str">
        <f>IFERROR(__xludf.DUMMYFUNCTION("""COMPUTED_VALUE"""),"Uncle Sams Cider (11/12/2021) (Blue)")</f>
        <v>Uncle Sams Cider (11/12/2021) (Blue)</v>
      </c>
      <c r="H5870" s="19"/>
    </row>
    <row r="5871">
      <c r="A5871" s="9"/>
      <c r="B5871" s="15"/>
      <c r="C5871" s="9">
        <f>IFERROR(__xludf.DUMMYFUNCTION("""COMPUTED_VALUE"""),44543.9687037731)</f>
        <v>44543.9687</v>
      </c>
      <c r="D5871" s="15">
        <f>IFERROR(__xludf.DUMMYFUNCTION("""COMPUTED_VALUE"""),1.016)</f>
        <v>1.016</v>
      </c>
      <c r="E5871" s="16">
        <f>IFERROR(__xludf.DUMMYFUNCTION("""COMPUTED_VALUE"""),62.0)</f>
        <v>62</v>
      </c>
      <c r="F5871" s="19" t="str">
        <f>IFERROR(__xludf.DUMMYFUNCTION("""COMPUTED_VALUE"""),"BLUE")</f>
        <v>BLUE</v>
      </c>
      <c r="G5871" s="20" t="str">
        <f>IFERROR(__xludf.DUMMYFUNCTION("""COMPUTED_VALUE"""),"Uncle Sams Cider (11/12/2021) (Blue)")</f>
        <v>Uncle Sams Cider (11/12/2021) (Blue)</v>
      </c>
      <c r="H5871" s="19"/>
    </row>
    <row r="5872">
      <c r="A5872" s="9"/>
      <c r="B5872" s="15"/>
      <c r="C5872" s="9">
        <f>IFERROR(__xludf.DUMMYFUNCTION("""COMPUTED_VALUE"""),44543.9582733912)</f>
        <v>44543.95827</v>
      </c>
      <c r="D5872" s="15">
        <f>IFERROR(__xludf.DUMMYFUNCTION("""COMPUTED_VALUE"""),1.016)</f>
        <v>1.016</v>
      </c>
      <c r="E5872" s="16">
        <f>IFERROR(__xludf.DUMMYFUNCTION("""COMPUTED_VALUE"""),62.0)</f>
        <v>62</v>
      </c>
      <c r="F5872" s="19" t="str">
        <f>IFERROR(__xludf.DUMMYFUNCTION("""COMPUTED_VALUE"""),"BLUE")</f>
        <v>BLUE</v>
      </c>
      <c r="G5872" s="20" t="str">
        <f>IFERROR(__xludf.DUMMYFUNCTION("""COMPUTED_VALUE"""),"Uncle Sams Cider (11/12/2021) (Blue)")</f>
        <v>Uncle Sams Cider (11/12/2021) (Blue)</v>
      </c>
      <c r="H5872" s="19"/>
    </row>
    <row r="5873">
      <c r="A5873" s="9"/>
      <c r="B5873" s="15"/>
      <c r="C5873" s="9">
        <f>IFERROR(__xludf.DUMMYFUNCTION("""COMPUTED_VALUE"""),44543.9478536458)</f>
        <v>44543.94785</v>
      </c>
      <c r="D5873" s="15">
        <f>IFERROR(__xludf.DUMMYFUNCTION("""COMPUTED_VALUE"""),1.016)</f>
        <v>1.016</v>
      </c>
      <c r="E5873" s="16">
        <f>IFERROR(__xludf.DUMMYFUNCTION("""COMPUTED_VALUE"""),62.0)</f>
        <v>62</v>
      </c>
      <c r="F5873" s="19" t="str">
        <f>IFERROR(__xludf.DUMMYFUNCTION("""COMPUTED_VALUE"""),"BLUE")</f>
        <v>BLUE</v>
      </c>
      <c r="G5873" s="20" t="str">
        <f>IFERROR(__xludf.DUMMYFUNCTION("""COMPUTED_VALUE"""),"Uncle Sams Cider (11/12/2021) (Blue)")</f>
        <v>Uncle Sams Cider (11/12/2021) (Blue)</v>
      </c>
      <c r="H5873" s="19"/>
    </row>
    <row r="5874">
      <c r="A5874" s="9"/>
      <c r="B5874" s="15"/>
      <c r="C5874" s="9">
        <f>IFERROR(__xludf.DUMMYFUNCTION("""COMPUTED_VALUE"""),44543.9374345023)</f>
        <v>44543.93743</v>
      </c>
      <c r="D5874" s="15">
        <f>IFERROR(__xludf.DUMMYFUNCTION("""COMPUTED_VALUE"""),1.016)</f>
        <v>1.016</v>
      </c>
      <c r="E5874" s="16">
        <f>IFERROR(__xludf.DUMMYFUNCTION("""COMPUTED_VALUE"""),62.0)</f>
        <v>62</v>
      </c>
      <c r="F5874" s="19" t="str">
        <f>IFERROR(__xludf.DUMMYFUNCTION("""COMPUTED_VALUE"""),"BLUE")</f>
        <v>BLUE</v>
      </c>
      <c r="G5874" s="20" t="str">
        <f>IFERROR(__xludf.DUMMYFUNCTION("""COMPUTED_VALUE"""),"Uncle Sams Cider (11/12/2021) (Blue)")</f>
        <v>Uncle Sams Cider (11/12/2021) (Blue)</v>
      </c>
      <c r="H5874" s="19"/>
    </row>
    <row r="5875">
      <c r="A5875" s="9"/>
      <c r="B5875" s="15"/>
      <c r="C5875" s="9">
        <f>IFERROR(__xludf.DUMMYFUNCTION("""COMPUTED_VALUE"""),44543.9269801388)</f>
        <v>44543.92698</v>
      </c>
      <c r="D5875" s="15">
        <f>IFERROR(__xludf.DUMMYFUNCTION("""COMPUTED_VALUE"""),1.016)</f>
        <v>1.016</v>
      </c>
      <c r="E5875" s="16">
        <f>IFERROR(__xludf.DUMMYFUNCTION("""COMPUTED_VALUE"""),62.0)</f>
        <v>62</v>
      </c>
      <c r="F5875" s="19" t="str">
        <f>IFERROR(__xludf.DUMMYFUNCTION("""COMPUTED_VALUE"""),"BLUE")</f>
        <v>BLUE</v>
      </c>
      <c r="G5875" s="20" t="str">
        <f>IFERROR(__xludf.DUMMYFUNCTION("""COMPUTED_VALUE"""),"Uncle Sams Cider (11/12/2021) (Blue)")</f>
        <v>Uncle Sams Cider (11/12/2021) (Blue)</v>
      </c>
      <c r="H5875" s="19"/>
    </row>
    <row r="5876">
      <c r="A5876" s="9"/>
      <c r="B5876" s="15"/>
      <c r="C5876" s="9">
        <f>IFERROR(__xludf.DUMMYFUNCTION("""COMPUTED_VALUE"""),44543.9165586111)</f>
        <v>44543.91656</v>
      </c>
      <c r="D5876" s="15">
        <f>IFERROR(__xludf.DUMMYFUNCTION("""COMPUTED_VALUE"""),1.016)</f>
        <v>1.016</v>
      </c>
      <c r="E5876" s="16">
        <f>IFERROR(__xludf.DUMMYFUNCTION("""COMPUTED_VALUE"""),62.0)</f>
        <v>62</v>
      </c>
      <c r="F5876" s="19" t="str">
        <f>IFERROR(__xludf.DUMMYFUNCTION("""COMPUTED_VALUE"""),"BLUE")</f>
        <v>BLUE</v>
      </c>
      <c r="G5876" s="20" t="str">
        <f>IFERROR(__xludf.DUMMYFUNCTION("""COMPUTED_VALUE"""),"Uncle Sams Cider (11/12/2021) (Blue)")</f>
        <v>Uncle Sams Cider (11/12/2021) (Blue)</v>
      </c>
      <c r="H5876" s="19"/>
    </row>
    <row r="5877">
      <c r="A5877" s="9"/>
      <c r="B5877" s="15"/>
      <c r="C5877" s="9">
        <f>IFERROR(__xludf.DUMMYFUNCTION("""COMPUTED_VALUE"""),44543.9061379745)</f>
        <v>44543.90614</v>
      </c>
      <c r="D5877" s="15">
        <f>IFERROR(__xludf.DUMMYFUNCTION("""COMPUTED_VALUE"""),1.016)</f>
        <v>1.016</v>
      </c>
      <c r="E5877" s="16">
        <f>IFERROR(__xludf.DUMMYFUNCTION("""COMPUTED_VALUE"""),62.0)</f>
        <v>62</v>
      </c>
      <c r="F5877" s="19" t="str">
        <f>IFERROR(__xludf.DUMMYFUNCTION("""COMPUTED_VALUE"""),"BLUE")</f>
        <v>BLUE</v>
      </c>
      <c r="G5877" s="20" t="str">
        <f>IFERROR(__xludf.DUMMYFUNCTION("""COMPUTED_VALUE"""),"Uncle Sams Cider (11/12/2021) (Blue)")</f>
        <v>Uncle Sams Cider (11/12/2021) (Blue)</v>
      </c>
      <c r="H5877" s="19"/>
    </row>
    <row r="5878">
      <c r="A5878" s="9"/>
      <c r="B5878" s="15"/>
      <c r="C5878" s="9">
        <f>IFERROR(__xludf.DUMMYFUNCTION("""COMPUTED_VALUE"""),44543.8957169907)</f>
        <v>44543.89572</v>
      </c>
      <c r="D5878" s="15">
        <f>IFERROR(__xludf.DUMMYFUNCTION("""COMPUTED_VALUE"""),1.016)</f>
        <v>1.016</v>
      </c>
      <c r="E5878" s="16">
        <f>IFERROR(__xludf.DUMMYFUNCTION("""COMPUTED_VALUE"""),62.0)</f>
        <v>62</v>
      </c>
      <c r="F5878" s="19" t="str">
        <f>IFERROR(__xludf.DUMMYFUNCTION("""COMPUTED_VALUE"""),"BLUE")</f>
        <v>BLUE</v>
      </c>
      <c r="G5878" s="20" t="str">
        <f>IFERROR(__xludf.DUMMYFUNCTION("""COMPUTED_VALUE"""),"Uncle Sams Cider (11/12/2021) (Blue)")</f>
        <v>Uncle Sams Cider (11/12/2021) (Blue)</v>
      </c>
      <c r="H5878" s="19"/>
    </row>
    <row r="5879">
      <c r="A5879" s="9"/>
      <c r="B5879" s="15"/>
      <c r="C5879" s="9">
        <f>IFERROR(__xludf.DUMMYFUNCTION("""COMPUTED_VALUE"""),44543.8852953703)</f>
        <v>44543.8853</v>
      </c>
      <c r="D5879" s="15">
        <f>IFERROR(__xludf.DUMMYFUNCTION("""COMPUTED_VALUE"""),1.016)</f>
        <v>1.016</v>
      </c>
      <c r="E5879" s="16">
        <f>IFERROR(__xludf.DUMMYFUNCTION("""COMPUTED_VALUE"""),62.0)</f>
        <v>62</v>
      </c>
      <c r="F5879" s="19" t="str">
        <f>IFERROR(__xludf.DUMMYFUNCTION("""COMPUTED_VALUE"""),"BLUE")</f>
        <v>BLUE</v>
      </c>
      <c r="G5879" s="20" t="str">
        <f>IFERROR(__xludf.DUMMYFUNCTION("""COMPUTED_VALUE"""),"Uncle Sams Cider (11/12/2021) (Blue)")</f>
        <v>Uncle Sams Cider (11/12/2021) (Blue)</v>
      </c>
      <c r="H5879" s="19"/>
    </row>
    <row r="5880">
      <c r="A5880" s="9"/>
      <c r="B5880" s="15"/>
      <c r="C5880" s="9">
        <f>IFERROR(__xludf.DUMMYFUNCTION("""COMPUTED_VALUE"""),44543.8748749305)</f>
        <v>44543.87487</v>
      </c>
      <c r="D5880" s="15">
        <f>IFERROR(__xludf.DUMMYFUNCTION("""COMPUTED_VALUE"""),1.016)</f>
        <v>1.016</v>
      </c>
      <c r="E5880" s="16">
        <f>IFERROR(__xludf.DUMMYFUNCTION("""COMPUTED_VALUE"""),62.0)</f>
        <v>62</v>
      </c>
      <c r="F5880" s="19" t="str">
        <f>IFERROR(__xludf.DUMMYFUNCTION("""COMPUTED_VALUE"""),"BLUE")</f>
        <v>BLUE</v>
      </c>
      <c r="G5880" s="20" t="str">
        <f>IFERROR(__xludf.DUMMYFUNCTION("""COMPUTED_VALUE"""),"Uncle Sams Cider (11/12/2021) (Blue)")</f>
        <v>Uncle Sams Cider (11/12/2021) (Blue)</v>
      </c>
      <c r="H5880" s="19"/>
    </row>
    <row r="5881">
      <c r="A5881" s="9"/>
      <c r="B5881" s="15"/>
      <c r="C5881" s="9">
        <f>IFERROR(__xludf.DUMMYFUNCTION("""COMPUTED_VALUE"""),44543.8644525347)</f>
        <v>44543.86445</v>
      </c>
      <c r="D5881" s="15">
        <f>IFERROR(__xludf.DUMMYFUNCTION("""COMPUTED_VALUE"""),1.016)</f>
        <v>1.016</v>
      </c>
      <c r="E5881" s="16">
        <f>IFERROR(__xludf.DUMMYFUNCTION("""COMPUTED_VALUE"""),62.0)</f>
        <v>62</v>
      </c>
      <c r="F5881" s="19" t="str">
        <f>IFERROR(__xludf.DUMMYFUNCTION("""COMPUTED_VALUE"""),"BLUE")</f>
        <v>BLUE</v>
      </c>
      <c r="G5881" s="20" t="str">
        <f>IFERROR(__xludf.DUMMYFUNCTION("""COMPUTED_VALUE"""),"Uncle Sams Cider (11/12/2021) (Blue)")</f>
        <v>Uncle Sams Cider (11/12/2021) (Blue)</v>
      </c>
      <c r="H5881" s="19"/>
    </row>
    <row r="5882">
      <c r="A5882" s="9"/>
      <c r="B5882" s="15"/>
      <c r="C5882" s="9">
        <f>IFERROR(__xludf.DUMMYFUNCTION("""COMPUTED_VALUE"""),44543.8540321875)</f>
        <v>44543.85403</v>
      </c>
      <c r="D5882" s="15">
        <f>IFERROR(__xludf.DUMMYFUNCTION("""COMPUTED_VALUE"""),1.016)</f>
        <v>1.016</v>
      </c>
      <c r="E5882" s="16">
        <f>IFERROR(__xludf.DUMMYFUNCTION("""COMPUTED_VALUE"""),62.0)</f>
        <v>62</v>
      </c>
      <c r="F5882" s="19" t="str">
        <f>IFERROR(__xludf.DUMMYFUNCTION("""COMPUTED_VALUE"""),"BLUE")</f>
        <v>BLUE</v>
      </c>
      <c r="G5882" s="20" t="str">
        <f>IFERROR(__xludf.DUMMYFUNCTION("""COMPUTED_VALUE"""),"Uncle Sams Cider (11/12/2021) (Blue)")</f>
        <v>Uncle Sams Cider (11/12/2021) (Blue)</v>
      </c>
      <c r="H5882" s="19"/>
    </row>
    <row r="5883">
      <c r="A5883" s="9"/>
      <c r="B5883" s="15"/>
      <c r="C5883" s="9">
        <f>IFERROR(__xludf.DUMMYFUNCTION("""COMPUTED_VALUE"""),44543.8435996296)</f>
        <v>44543.8436</v>
      </c>
      <c r="D5883" s="15">
        <f>IFERROR(__xludf.DUMMYFUNCTION("""COMPUTED_VALUE"""),1.016)</f>
        <v>1.016</v>
      </c>
      <c r="E5883" s="16">
        <f>IFERROR(__xludf.DUMMYFUNCTION("""COMPUTED_VALUE"""),62.0)</f>
        <v>62</v>
      </c>
      <c r="F5883" s="19" t="str">
        <f>IFERROR(__xludf.DUMMYFUNCTION("""COMPUTED_VALUE"""),"BLUE")</f>
        <v>BLUE</v>
      </c>
      <c r="G5883" s="20" t="str">
        <f>IFERROR(__xludf.DUMMYFUNCTION("""COMPUTED_VALUE"""),"Uncle Sams Cider (11/12/2021) (Blue)")</f>
        <v>Uncle Sams Cider (11/12/2021) (Blue)</v>
      </c>
      <c r="H5883" s="19"/>
    </row>
    <row r="5884">
      <c r="A5884" s="9"/>
      <c r="B5884" s="15"/>
      <c r="C5884" s="9">
        <f>IFERROR(__xludf.DUMMYFUNCTION("""COMPUTED_VALUE"""),44543.8331779398)</f>
        <v>44543.83318</v>
      </c>
      <c r="D5884" s="15">
        <f>IFERROR(__xludf.DUMMYFUNCTION("""COMPUTED_VALUE"""),1.016)</f>
        <v>1.016</v>
      </c>
      <c r="E5884" s="16">
        <f>IFERROR(__xludf.DUMMYFUNCTION("""COMPUTED_VALUE"""),62.0)</f>
        <v>62</v>
      </c>
      <c r="F5884" s="19" t="str">
        <f>IFERROR(__xludf.DUMMYFUNCTION("""COMPUTED_VALUE"""),"BLUE")</f>
        <v>BLUE</v>
      </c>
      <c r="G5884" s="20" t="str">
        <f>IFERROR(__xludf.DUMMYFUNCTION("""COMPUTED_VALUE"""),"Uncle Sams Cider (11/12/2021) (Blue)")</f>
        <v>Uncle Sams Cider (11/12/2021) (Blue)</v>
      </c>
      <c r="H5884" s="19"/>
    </row>
    <row r="5885">
      <c r="A5885" s="9"/>
      <c r="B5885" s="15"/>
      <c r="C5885" s="9">
        <f>IFERROR(__xludf.DUMMYFUNCTION("""COMPUTED_VALUE"""),44543.8227567013)</f>
        <v>44543.82276</v>
      </c>
      <c r="D5885" s="15">
        <f>IFERROR(__xludf.DUMMYFUNCTION("""COMPUTED_VALUE"""),1.016)</f>
        <v>1.016</v>
      </c>
      <c r="E5885" s="16">
        <f>IFERROR(__xludf.DUMMYFUNCTION("""COMPUTED_VALUE"""),62.0)</f>
        <v>62</v>
      </c>
      <c r="F5885" s="19" t="str">
        <f>IFERROR(__xludf.DUMMYFUNCTION("""COMPUTED_VALUE"""),"BLUE")</f>
        <v>BLUE</v>
      </c>
      <c r="G5885" s="20" t="str">
        <f>IFERROR(__xludf.DUMMYFUNCTION("""COMPUTED_VALUE"""),"Uncle Sams Cider (11/12/2021) (Blue)")</f>
        <v>Uncle Sams Cider (11/12/2021) (Blue)</v>
      </c>
      <c r="H5885" s="19"/>
    </row>
    <row r="5886">
      <c r="A5886" s="9"/>
      <c r="B5886" s="15"/>
      <c r="C5886" s="9">
        <f>IFERROR(__xludf.DUMMYFUNCTION("""COMPUTED_VALUE"""),44543.8123367592)</f>
        <v>44543.81234</v>
      </c>
      <c r="D5886" s="15">
        <f>IFERROR(__xludf.DUMMYFUNCTION("""COMPUTED_VALUE"""),1.016)</f>
        <v>1.016</v>
      </c>
      <c r="E5886" s="16">
        <f>IFERROR(__xludf.DUMMYFUNCTION("""COMPUTED_VALUE"""),62.0)</f>
        <v>62</v>
      </c>
      <c r="F5886" s="19" t="str">
        <f>IFERROR(__xludf.DUMMYFUNCTION("""COMPUTED_VALUE"""),"BLUE")</f>
        <v>BLUE</v>
      </c>
      <c r="G5886" s="20" t="str">
        <f>IFERROR(__xludf.DUMMYFUNCTION("""COMPUTED_VALUE"""),"Uncle Sams Cider (11/12/2021) (Blue)")</f>
        <v>Uncle Sams Cider (11/12/2021) (Blue)</v>
      </c>
      <c r="H5886" s="19"/>
    </row>
    <row r="5887">
      <c r="A5887" s="9"/>
      <c r="B5887" s="15"/>
      <c r="C5887" s="9">
        <f>IFERROR(__xludf.DUMMYFUNCTION("""COMPUTED_VALUE"""),44543.8019029745)</f>
        <v>44543.8019</v>
      </c>
      <c r="D5887" s="15">
        <f>IFERROR(__xludf.DUMMYFUNCTION("""COMPUTED_VALUE"""),1.016)</f>
        <v>1.016</v>
      </c>
      <c r="E5887" s="16">
        <f>IFERROR(__xludf.DUMMYFUNCTION("""COMPUTED_VALUE"""),62.0)</f>
        <v>62</v>
      </c>
      <c r="F5887" s="19" t="str">
        <f>IFERROR(__xludf.DUMMYFUNCTION("""COMPUTED_VALUE"""),"BLUE")</f>
        <v>BLUE</v>
      </c>
      <c r="G5887" s="20" t="str">
        <f>IFERROR(__xludf.DUMMYFUNCTION("""COMPUTED_VALUE"""),"Uncle Sams Cider (11/12/2021) (Blue)")</f>
        <v>Uncle Sams Cider (11/12/2021) (Blue)</v>
      </c>
      <c r="H5887" s="19"/>
    </row>
    <row r="5888">
      <c r="A5888" s="9"/>
      <c r="B5888" s="15"/>
      <c r="C5888" s="9">
        <f>IFERROR(__xludf.DUMMYFUNCTION("""COMPUTED_VALUE"""),44543.7914817708)</f>
        <v>44543.79148</v>
      </c>
      <c r="D5888" s="15">
        <f>IFERROR(__xludf.DUMMYFUNCTION("""COMPUTED_VALUE"""),1.016)</f>
        <v>1.016</v>
      </c>
      <c r="E5888" s="16">
        <f>IFERROR(__xludf.DUMMYFUNCTION("""COMPUTED_VALUE"""),62.0)</f>
        <v>62</v>
      </c>
      <c r="F5888" s="19" t="str">
        <f>IFERROR(__xludf.DUMMYFUNCTION("""COMPUTED_VALUE"""),"BLUE")</f>
        <v>BLUE</v>
      </c>
      <c r="G5888" s="20" t="str">
        <f>IFERROR(__xludf.DUMMYFUNCTION("""COMPUTED_VALUE"""),"Uncle Sams Cider (11/12/2021) (Blue)")</f>
        <v>Uncle Sams Cider (11/12/2021) (Blue)</v>
      </c>
      <c r="H5888" s="19"/>
    </row>
    <row r="5889">
      <c r="A5889" s="9"/>
      <c r="B5889" s="15"/>
      <c r="C5889" s="9">
        <f>IFERROR(__xludf.DUMMYFUNCTION("""COMPUTED_VALUE"""),44543.7810485995)</f>
        <v>44543.78105</v>
      </c>
      <c r="D5889" s="15">
        <f>IFERROR(__xludf.DUMMYFUNCTION("""COMPUTED_VALUE"""),1.016)</f>
        <v>1.016</v>
      </c>
      <c r="E5889" s="16">
        <f>IFERROR(__xludf.DUMMYFUNCTION("""COMPUTED_VALUE"""),62.0)</f>
        <v>62</v>
      </c>
      <c r="F5889" s="19" t="str">
        <f>IFERROR(__xludf.DUMMYFUNCTION("""COMPUTED_VALUE"""),"BLUE")</f>
        <v>BLUE</v>
      </c>
      <c r="G5889" s="20" t="str">
        <f>IFERROR(__xludf.DUMMYFUNCTION("""COMPUTED_VALUE"""),"Uncle Sams Cider (11/12/2021) (Blue)")</f>
        <v>Uncle Sams Cider (11/12/2021) (Blue)</v>
      </c>
      <c r="H5889" s="19"/>
    </row>
    <row r="5890">
      <c r="A5890" s="9"/>
      <c r="B5890" s="15"/>
      <c r="C5890" s="9">
        <f>IFERROR(__xludf.DUMMYFUNCTION("""COMPUTED_VALUE"""),44543.7706294791)</f>
        <v>44543.77063</v>
      </c>
      <c r="D5890" s="15">
        <f>IFERROR(__xludf.DUMMYFUNCTION("""COMPUTED_VALUE"""),1.016)</f>
        <v>1.016</v>
      </c>
      <c r="E5890" s="16">
        <f>IFERROR(__xludf.DUMMYFUNCTION("""COMPUTED_VALUE"""),62.0)</f>
        <v>62</v>
      </c>
      <c r="F5890" s="19" t="str">
        <f>IFERROR(__xludf.DUMMYFUNCTION("""COMPUTED_VALUE"""),"BLUE")</f>
        <v>BLUE</v>
      </c>
      <c r="G5890" s="20" t="str">
        <f>IFERROR(__xludf.DUMMYFUNCTION("""COMPUTED_VALUE"""),"Uncle Sams Cider (11/12/2021) (Blue)")</f>
        <v>Uncle Sams Cider (11/12/2021) (Blue)</v>
      </c>
      <c r="H5890" s="19"/>
    </row>
    <row r="5891">
      <c r="A5891" s="9"/>
      <c r="B5891" s="15"/>
      <c r="C5891" s="9">
        <f>IFERROR(__xludf.DUMMYFUNCTION("""COMPUTED_VALUE"""),44543.7602098379)</f>
        <v>44543.76021</v>
      </c>
      <c r="D5891" s="15">
        <f>IFERROR(__xludf.DUMMYFUNCTION("""COMPUTED_VALUE"""),1.016)</f>
        <v>1.016</v>
      </c>
      <c r="E5891" s="16">
        <f>IFERROR(__xludf.DUMMYFUNCTION("""COMPUTED_VALUE"""),62.0)</f>
        <v>62</v>
      </c>
      <c r="F5891" s="19" t="str">
        <f>IFERROR(__xludf.DUMMYFUNCTION("""COMPUTED_VALUE"""),"BLUE")</f>
        <v>BLUE</v>
      </c>
      <c r="G5891" s="20" t="str">
        <f>IFERROR(__xludf.DUMMYFUNCTION("""COMPUTED_VALUE"""),"Uncle Sams Cider (11/12/2021) (Blue)")</f>
        <v>Uncle Sams Cider (11/12/2021) (Blue)</v>
      </c>
      <c r="H5891" s="19"/>
    </row>
    <row r="5892">
      <c r="A5892" s="9"/>
      <c r="B5892" s="15"/>
      <c r="C5892" s="9">
        <f>IFERROR(__xludf.DUMMYFUNCTION("""COMPUTED_VALUE"""),44543.7497890046)</f>
        <v>44543.74979</v>
      </c>
      <c r="D5892" s="15">
        <f>IFERROR(__xludf.DUMMYFUNCTION("""COMPUTED_VALUE"""),1.016)</f>
        <v>1.016</v>
      </c>
      <c r="E5892" s="16">
        <f>IFERROR(__xludf.DUMMYFUNCTION("""COMPUTED_VALUE"""),62.0)</f>
        <v>62</v>
      </c>
      <c r="F5892" s="19" t="str">
        <f>IFERROR(__xludf.DUMMYFUNCTION("""COMPUTED_VALUE"""),"BLUE")</f>
        <v>BLUE</v>
      </c>
      <c r="G5892" s="20" t="str">
        <f>IFERROR(__xludf.DUMMYFUNCTION("""COMPUTED_VALUE"""),"Uncle Sams Cider (11/12/2021) (Blue)")</f>
        <v>Uncle Sams Cider (11/12/2021) (Blue)</v>
      </c>
      <c r="H5892" s="19"/>
    </row>
    <row r="5893">
      <c r="A5893" s="9"/>
      <c r="B5893" s="15"/>
      <c r="C5893" s="9">
        <f>IFERROR(__xludf.DUMMYFUNCTION("""COMPUTED_VALUE"""),44543.7393685069)</f>
        <v>44543.73937</v>
      </c>
      <c r="D5893" s="15">
        <f>IFERROR(__xludf.DUMMYFUNCTION("""COMPUTED_VALUE"""),1.016)</f>
        <v>1.016</v>
      </c>
      <c r="E5893" s="16">
        <f>IFERROR(__xludf.DUMMYFUNCTION("""COMPUTED_VALUE"""),62.0)</f>
        <v>62</v>
      </c>
      <c r="F5893" s="19" t="str">
        <f>IFERROR(__xludf.DUMMYFUNCTION("""COMPUTED_VALUE"""),"BLUE")</f>
        <v>BLUE</v>
      </c>
      <c r="G5893" s="20" t="str">
        <f>IFERROR(__xludf.DUMMYFUNCTION("""COMPUTED_VALUE"""),"Uncle Sams Cider (11/12/2021) (Blue)")</f>
        <v>Uncle Sams Cider (11/12/2021) (Blue)</v>
      </c>
      <c r="H5893" s="19"/>
    </row>
    <row r="5894">
      <c r="A5894" s="9"/>
      <c r="B5894" s="15"/>
      <c r="C5894" s="9">
        <f>IFERROR(__xludf.DUMMYFUNCTION("""COMPUTED_VALUE"""),44543.7289477546)</f>
        <v>44543.72895</v>
      </c>
      <c r="D5894" s="15">
        <f>IFERROR(__xludf.DUMMYFUNCTION("""COMPUTED_VALUE"""),1.016)</f>
        <v>1.016</v>
      </c>
      <c r="E5894" s="16">
        <f>IFERROR(__xludf.DUMMYFUNCTION("""COMPUTED_VALUE"""),62.0)</f>
        <v>62</v>
      </c>
      <c r="F5894" s="19" t="str">
        <f>IFERROR(__xludf.DUMMYFUNCTION("""COMPUTED_VALUE"""),"BLUE")</f>
        <v>BLUE</v>
      </c>
      <c r="G5894" s="20" t="str">
        <f>IFERROR(__xludf.DUMMYFUNCTION("""COMPUTED_VALUE"""),"Uncle Sams Cider (11/12/2021) (Blue)")</f>
        <v>Uncle Sams Cider (11/12/2021) (Blue)</v>
      </c>
      <c r="H5894" s="19"/>
    </row>
    <row r="5895">
      <c r="A5895" s="9"/>
      <c r="B5895" s="15"/>
      <c r="C5895" s="9">
        <f>IFERROR(__xludf.DUMMYFUNCTION("""COMPUTED_VALUE"""),44543.718525081)</f>
        <v>44543.71853</v>
      </c>
      <c r="D5895" s="15">
        <f>IFERROR(__xludf.DUMMYFUNCTION("""COMPUTED_VALUE"""),1.016)</f>
        <v>1.016</v>
      </c>
      <c r="E5895" s="16">
        <f>IFERROR(__xludf.DUMMYFUNCTION("""COMPUTED_VALUE"""),62.0)</f>
        <v>62</v>
      </c>
      <c r="F5895" s="19" t="str">
        <f>IFERROR(__xludf.DUMMYFUNCTION("""COMPUTED_VALUE"""),"BLUE")</f>
        <v>BLUE</v>
      </c>
      <c r="G5895" s="20" t="str">
        <f>IFERROR(__xludf.DUMMYFUNCTION("""COMPUTED_VALUE"""),"Uncle Sams Cider (11/12/2021) (Blue)")</f>
        <v>Uncle Sams Cider (11/12/2021) (Blue)</v>
      </c>
      <c r="H5895" s="19"/>
    </row>
    <row r="5896">
      <c r="A5896" s="9"/>
      <c r="B5896" s="15"/>
      <c r="C5896" s="9">
        <f>IFERROR(__xludf.DUMMYFUNCTION("""COMPUTED_VALUE"""),44543.7081023032)</f>
        <v>44543.7081</v>
      </c>
      <c r="D5896" s="15">
        <f>IFERROR(__xludf.DUMMYFUNCTION("""COMPUTED_VALUE"""),1.016)</f>
        <v>1.016</v>
      </c>
      <c r="E5896" s="16">
        <f>IFERROR(__xludf.DUMMYFUNCTION("""COMPUTED_VALUE"""),62.0)</f>
        <v>62</v>
      </c>
      <c r="F5896" s="19" t="str">
        <f>IFERROR(__xludf.DUMMYFUNCTION("""COMPUTED_VALUE"""),"BLUE")</f>
        <v>BLUE</v>
      </c>
      <c r="G5896" s="20" t="str">
        <f>IFERROR(__xludf.DUMMYFUNCTION("""COMPUTED_VALUE"""),"Uncle Sams Cider (11/12/2021) (Blue)")</f>
        <v>Uncle Sams Cider (11/12/2021) (Blue)</v>
      </c>
      <c r="H5896" s="19"/>
    </row>
    <row r="5897">
      <c r="A5897" s="9"/>
      <c r="B5897" s="15"/>
      <c r="C5897" s="9">
        <f>IFERROR(__xludf.DUMMYFUNCTION("""COMPUTED_VALUE"""),44543.6976810995)</f>
        <v>44543.69768</v>
      </c>
      <c r="D5897" s="15">
        <f>IFERROR(__xludf.DUMMYFUNCTION("""COMPUTED_VALUE"""),1.016)</f>
        <v>1.016</v>
      </c>
      <c r="E5897" s="16">
        <f>IFERROR(__xludf.DUMMYFUNCTION("""COMPUTED_VALUE"""),62.0)</f>
        <v>62</v>
      </c>
      <c r="F5897" s="19" t="str">
        <f>IFERROR(__xludf.DUMMYFUNCTION("""COMPUTED_VALUE"""),"BLUE")</f>
        <v>BLUE</v>
      </c>
      <c r="G5897" s="20" t="str">
        <f>IFERROR(__xludf.DUMMYFUNCTION("""COMPUTED_VALUE"""),"Uncle Sams Cider (11/12/2021) (Blue)")</f>
        <v>Uncle Sams Cider (11/12/2021) (Blue)</v>
      </c>
      <c r="H5897" s="19"/>
    </row>
    <row r="5898">
      <c r="A5898" s="9"/>
      <c r="B5898" s="15"/>
      <c r="C5898" s="9">
        <f>IFERROR(__xludf.DUMMYFUNCTION("""COMPUTED_VALUE"""),44543.6872602546)</f>
        <v>44543.68726</v>
      </c>
      <c r="D5898" s="15">
        <f>IFERROR(__xludf.DUMMYFUNCTION("""COMPUTED_VALUE"""),1.016)</f>
        <v>1.016</v>
      </c>
      <c r="E5898" s="16">
        <f>IFERROR(__xludf.DUMMYFUNCTION("""COMPUTED_VALUE"""),63.0)</f>
        <v>63</v>
      </c>
      <c r="F5898" s="19" t="str">
        <f>IFERROR(__xludf.DUMMYFUNCTION("""COMPUTED_VALUE"""),"BLUE")</f>
        <v>BLUE</v>
      </c>
      <c r="G5898" s="20" t="str">
        <f>IFERROR(__xludf.DUMMYFUNCTION("""COMPUTED_VALUE"""),"Uncle Sams Cider (11/12/2021) (Blue)")</f>
        <v>Uncle Sams Cider (11/12/2021) (Blue)</v>
      </c>
      <c r="H5898" s="19"/>
    </row>
    <row r="5899">
      <c r="A5899" s="9"/>
      <c r="B5899" s="15"/>
      <c r="C5899" s="9">
        <f>IFERROR(__xludf.DUMMYFUNCTION("""COMPUTED_VALUE"""),44543.6664186805)</f>
        <v>44543.66642</v>
      </c>
      <c r="D5899" s="15">
        <f>IFERROR(__xludf.DUMMYFUNCTION("""COMPUTED_VALUE"""),1.016)</f>
        <v>1.016</v>
      </c>
      <c r="E5899" s="16">
        <f>IFERROR(__xludf.DUMMYFUNCTION("""COMPUTED_VALUE"""),62.0)</f>
        <v>62</v>
      </c>
      <c r="F5899" s="19" t="str">
        <f>IFERROR(__xludf.DUMMYFUNCTION("""COMPUTED_VALUE"""),"BLUE")</f>
        <v>BLUE</v>
      </c>
      <c r="G5899" s="20" t="str">
        <f>IFERROR(__xludf.DUMMYFUNCTION("""COMPUTED_VALUE"""),"Uncle Sams Cider (11/12/2021) (Blue)")</f>
        <v>Uncle Sams Cider (11/12/2021) (Blue)</v>
      </c>
      <c r="H5899" s="19"/>
    </row>
    <row r="5900">
      <c r="A5900" s="9"/>
      <c r="B5900" s="15"/>
      <c r="C5900" s="9">
        <f>IFERROR(__xludf.DUMMYFUNCTION("""COMPUTED_VALUE"""),44543.6559849884)</f>
        <v>44543.65598</v>
      </c>
      <c r="D5900" s="15">
        <f>IFERROR(__xludf.DUMMYFUNCTION("""COMPUTED_VALUE"""),1.016)</f>
        <v>1.016</v>
      </c>
      <c r="E5900" s="16">
        <f>IFERROR(__xludf.DUMMYFUNCTION("""COMPUTED_VALUE"""),62.0)</f>
        <v>62</v>
      </c>
      <c r="F5900" s="19" t="str">
        <f>IFERROR(__xludf.DUMMYFUNCTION("""COMPUTED_VALUE"""),"BLUE")</f>
        <v>BLUE</v>
      </c>
      <c r="G5900" s="20" t="str">
        <f>IFERROR(__xludf.DUMMYFUNCTION("""COMPUTED_VALUE"""),"Uncle Sams Cider (11/12/2021) (Blue)")</f>
        <v>Uncle Sams Cider (11/12/2021) (Blue)</v>
      </c>
      <c r="H5900" s="19"/>
    </row>
    <row r="5901">
      <c r="A5901" s="9"/>
      <c r="B5901" s="15"/>
      <c r="C5901" s="9">
        <f>IFERROR(__xludf.DUMMYFUNCTION("""COMPUTED_VALUE"""),44543.645564537)</f>
        <v>44543.64556</v>
      </c>
      <c r="D5901" s="15">
        <f>IFERROR(__xludf.DUMMYFUNCTION("""COMPUTED_VALUE"""),1.016)</f>
        <v>1.016</v>
      </c>
      <c r="E5901" s="16">
        <f>IFERROR(__xludf.DUMMYFUNCTION("""COMPUTED_VALUE"""),62.0)</f>
        <v>62</v>
      </c>
      <c r="F5901" s="19" t="str">
        <f>IFERROR(__xludf.DUMMYFUNCTION("""COMPUTED_VALUE"""),"BLUE")</f>
        <v>BLUE</v>
      </c>
      <c r="G5901" s="20" t="str">
        <f>IFERROR(__xludf.DUMMYFUNCTION("""COMPUTED_VALUE"""),"Uncle Sams Cider (11/12/2021) (Blue)")</f>
        <v>Uncle Sams Cider (11/12/2021) (Blue)</v>
      </c>
      <c r="H5901" s="19"/>
    </row>
    <row r="5902">
      <c r="A5902" s="9"/>
      <c r="B5902" s="15"/>
      <c r="C5902" s="9">
        <f>IFERROR(__xludf.DUMMYFUNCTION("""COMPUTED_VALUE"""),44543.6351454513)</f>
        <v>44543.63515</v>
      </c>
      <c r="D5902" s="15">
        <f>IFERROR(__xludf.DUMMYFUNCTION("""COMPUTED_VALUE"""),1.016)</f>
        <v>1.016</v>
      </c>
      <c r="E5902" s="16">
        <f>IFERROR(__xludf.DUMMYFUNCTION("""COMPUTED_VALUE"""),62.0)</f>
        <v>62</v>
      </c>
      <c r="F5902" s="19" t="str">
        <f>IFERROR(__xludf.DUMMYFUNCTION("""COMPUTED_VALUE"""),"BLUE")</f>
        <v>BLUE</v>
      </c>
      <c r="G5902" s="20" t="str">
        <f>IFERROR(__xludf.DUMMYFUNCTION("""COMPUTED_VALUE"""),"Uncle Sams Cider (11/12/2021) (Blue)")</f>
        <v>Uncle Sams Cider (11/12/2021) (Blue)</v>
      </c>
      <c r="H5902" s="19"/>
    </row>
    <row r="5903">
      <c r="A5903" s="9"/>
      <c r="B5903" s="15"/>
      <c r="C5903" s="9">
        <f>IFERROR(__xludf.DUMMYFUNCTION("""COMPUTED_VALUE"""),44543.6247232291)</f>
        <v>44543.62472</v>
      </c>
      <c r="D5903" s="15">
        <f>IFERROR(__xludf.DUMMYFUNCTION("""COMPUTED_VALUE"""),1.016)</f>
        <v>1.016</v>
      </c>
      <c r="E5903" s="16">
        <f>IFERROR(__xludf.DUMMYFUNCTION("""COMPUTED_VALUE"""),63.0)</f>
        <v>63</v>
      </c>
      <c r="F5903" s="19" t="str">
        <f>IFERROR(__xludf.DUMMYFUNCTION("""COMPUTED_VALUE"""),"BLUE")</f>
        <v>BLUE</v>
      </c>
      <c r="G5903" s="20" t="str">
        <f>IFERROR(__xludf.DUMMYFUNCTION("""COMPUTED_VALUE"""),"Uncle Sams Cider (11/12/2021) (Blue)")</f>
        <v>Uncle Sams Cider (11/12/2021) (Blue)</v>
      </c>
      <c r="H5903" s="19"/>
    </row>
    <row r="5904">
      <c r="A5904" s="9"/>
      <c r="B5904" s="15"/>
      <c r="C5904" s="9">
        <f>IFERROR(__xludf.DUMMYFUNCTION("""COMPUTED_VALUE"""),44543.6143017013)</f>
        <v>44543.6143</v>
      </c>
      <c r="D5904" s="15">
        <f>IFERROR(__xludf.DUMMYFUNCTION("""COMPUTED_VALUE"""),1.016)</f>
        <v>1.016</v>
      </c>
      <c r="E5904" s="16">
        <f>IFERROR(__xludf.DUMMYFUNCTION("""COMPUTED_VALUE"""),62.0)</f>
        <v>62</v>
      </c>
      <c r="F5904" s="19" t="str">
        <f>IFERROR(__xludf.DUMMYFUNCTION("""COMPUTED_VALUE"""),"BLUE")</f>
        <v>BLUE</v>
      </c>
      <c r="G5904" s="20" t="str">
        <f>IFERROR(__xludf.DUMMYFUNCTION("""COMPUTED_VALUE"""),"Uncle Sams Cider (11/12/2021) (Blue)")</f>
        <v>Uncle Sams Cider (11/12/2021) (Blue)</v>
      </c>
      <c r="H5904" s="19"/>
    </row>
    <row r="5905">
      <c r="A5905" s="9"/>
      <c r="B5905" s="15"/>
      <c r="C5905" s="9">
        <f>IFERROR(__xludf.DUMMYFUNCTION("""COMPUTED_VALUE"""),44543.6038816666)</f>
        <v>44543.60388</v>
      </c>
      <c r="D5905" s="15">
        <f>IFERROR(__xludf.DUMMYFUNCTION("""COMPUTED_VALUE"""),1.016)</f>
        <v>1.016</v>
      </c>
      <c r="E5905" s="16">
        <f>IFERROR(__xludf.DUMMYFUNCTION("""COMPUTED_VALUE"""),62.0)</f>
        <v>62</v>
      </c>
      <c r="F5905" s="19" t="str">
        <f>IFERROR(__xludf.DUMMYFUNCTION("""COMPUTED_VALUE"""),"BLUE")</f>
        <v>BLUE</v>
      </c>
      <c r="G5905" s="20" t="str">
        <f>IFERROR(__xludf.DUMMYFUNCTION("""COMPUTED_VALUE"""),"Uncle Sams Cider (11/12/2021) (Blue)")</f>
        <v>Uncle Sams Cider (11/12/2021) (Blue)</v>
      </c>
      <c r="H5905" s="19"/>
    </row>
    <row r="5906">
      <c r="A5906" s="9"/>
      <c r="B5906" s="15"/>
      <c r="C5906" s="9">
        <f>IFERROR(__xludf.DUMMYFUNCTION("""COMPUTED_VALUE"""),44543.593462199)</f>
        <v>44543.59346</v>
      </c>
      <c r="D5906" s="15">
        <f>IFERROR(__xludf.DUMMYFUNCTION("""COMPUTED_VALUE"""),1.016)</f>
        <v>1.016</v>
      </c>
      <c r="E5906" s="16">
        <f>IFERROR(__xludf.DUMMYFUNCTION("""COMPUTED_VALUE"""),62.0)</f>
        <v>62</v>
      </c>
      <c r="F5906" s="19" t="str">
        <f>IFERROR(__xludf.DUMMYFUNCTION("""COMPUTED_VALUE"""),"BLUE")</f>
        <v>BLUE</v>
      </c>
      <c r="G5906" s="20" t="str">
        <f>IFERROR(__xludf.DUMMYFUNCTION("""COMPUTED_VALUE"""),"Uncle Sams Cider (11/12/2021) (Blue)")</f>
        <v>Uncle Sams Cider (11/12/2021) (Blue)</v>
      </c>
      <c r="H5906" s="19"/>
    </row>
    <row r="5907">
      <c r="A5907" s="9"/>
      <c r="B5907" s="15"/>
      <c r="C5907" s="9">
        <f>IFERROR(__xludf.DUMMYFUNCTION("""COMPUTED_VALUE"""),44543.5830404976)</f>
        <v>44543.58304</v>
      </c>
      <c r="D5907" s="15">
        <f>IFERROR(__xludf.DUMMYFUNCTION("""COMPUTED_VALUE"""),1.016)</f>
        <v>1.016</v>
      </c>
      <c r="E5907" s="16">
        <f>IFERROR(__xludf.DUMMYFUNCTION("""COMPUTED_VALUE"""),62.0)</f>
        <v>62</v>
      </c>
      <c r="F5907" s="19" t="str">
        <f>IFERROR(__xludf.DUMMYFUNCTION("""COMPUTED_VALUE"""),"BLUE")</f>
        <v>BLUE</v>
      </c>
      <c r="G5907" s="20" t="str">
        <f>IFERROR(__xludf.DUMMYFUNCTION("""COMPUTED_VALUE"""),"Uncle Sams Cider (11/12/2021) (Blue)")</f>
        <v>Uncle Sams Cider (11/12/2021) (Blue)</v>
      </c>
      <c r="H5907" s="19"/>
    </row>
    <row r="5908">
      <c r="A5908" s="9"/>
      <c r="B5908" s="15"/>
      <c r="C5908" s="9">
        <f>IFERROR(__xludf.DUMMYFUNCTION("""COMPUTED_VALUE"""),44543.5726205787)</f>
        <v>44543.57262</v>
      </c>
      <c r="D5908" s="15">
        <f>IFERROR(__xludf.DUMMYFUNCTION("""COMPUTED_VALUE"""),1.016)</f>
        <v>1.016</v>
      </c>
      <c r="E5908" s="16">
        <f>IFERROR(__xludf.DUMMYFUNCTION("""COMPUTED_VALUE"""),62.0)</f>
        <v>62</v>
      </c>
      <c r="F5908" s="19" t="str">
        <f>IFERROR(__xludf.DUMMYFUNCTION("""COMPUTED_VALUE"""),"BLUE")</f>
        <v>BLUE</v>
      </c>
      <c r="G5908" s="20" t="str">
        <f>IFERROR(__xludf.DUMMYFUNCTION("""COMPUTED_VALUE"""),"Uncle Sams Cider (11/12/2021) (Blue)")</f>
        <v>Uncle Sams Cider (11/12/2021) (Blue)</v>
      </c>
      <c r="H5908" s="19"/>
    </row>
    <row r="5909">
      <c r="A5909" s="9"/>
      <c r="B5909" s="15"/>
      <c r="C5909" s="9">
        <f>IFERROR(__xludf.DUMMYFUNCTION("""COMPUTED_VALUE"""),44543.562199375)</f>
        <v>44543.5622</v>
      </c>
      <c r="D5909" s="15">
        <f>IFERROR(__xludf.DUMMYFUNCTION("""COMPUTED_VALUE"""),1.016)</f>
        <v>1.016</v>
      </c>
      <c r="E5909" s="16">
        <f>IFERROR(__xludf.DUMMYFUNCTION("""COMPUTED_VALUE"""),62.0)</f>
        <v>62</v>
      </c>
      <c r="F5909" s="19" t="str">
        <f>IFERROR(__xludf.DUMMYFUNCTION("""COMPUTED_VALUE"""),"BLUE")</f>
        <v>BLUE</v>
      </c>
      <c r="G5909" s="20" t="str">
        <f>IFERROR(__xludf.DUMMYFUNCTION("""COMPUTED_VALUE"""),"Uncle Sams Cider (11/12/2021) (Blue)")</f>
        <v>Uncle Sams Cider (11/12/2021) (Blue)</v>
      </c>
      <c r="H5909" s="19"/>
    </row>
    <row r="5910">
      <c r="A5910" s="9"/>
      <c r="B5910" s="15"/>
      <c r="C5910" s="9">
        <f>IFERROR(__xludf.DUMMYFUNCTION("""COMPUTED_VALUE"""),44543.551778287)</f>
        <v>44543.55178</v>
      </c>
      <c r="D5910" s="15">
        <f>IFERROR(__xludf.DUMMYFUNCTION("""COMPUTED_VALUE"""),1.016)</f>
        <v>1.016</v>
      </c>
      <c r="E5910" s="16">
        <f>IFERROR(__xludf.DUMMYFUNCTION("""COMPUTED_VALUE"""),62.0)</f>
        <v>62</v>
      </c>
      <c r="F5910" s="19" t="str">
        <f>IFERROR(__xludf.DUMMYFUNCTION("""COMPUTED_VALUE"""),"BLUE")</f>
        <v>BLUE</v>
      </c>
      <c r="G5910" s="20" t="str">
        <f>IFERROR(__xludf.DUMMYFUNCTION("""COMPUTED_VALUE"""),"Uncle Sams Cider (11/12/2021) (Blue)")</f>
        <v>Uncle Sams Cider (11/12/2021) (Blue)</v>
      </c>
      <c r="H5910" s="19"/>
    </row>
    <row r="5911">
      <c r="A5911" s="9"/>
      <c r="B5911" s="15"/>
      <c r="C5911" s="9">
        <f>IFERROR(__xludf.DUMMYFUNCTION("""COMPUTED_VALUE"""),44543.5413572685)</f>
        <v>44543.54136</v>
      </c>
      <c r="D5911" s="15">
        <f>IFERROR(__xludf.DUMMYFUNCTION("""COMPUTED_VALUE"""),1.016)</f>
        <v>1.016</v>
      </c>
      <c r="E5911" s="16">
        <f>IFERROR(__xludf.DUMMYFUNCTION("""COMPUTED_VALUE"""),62.0)</f>
        <v>62</v>
      </c>
      <c r="F5911" s="19" t="str">
        <f>IFERROR(__xludf.DUMMYFUNCTION("""COMPUTED_VALUE"""),"BLUE")</f>
        <v>BLUE</v>
      </c>
      <c r="G5911" s="20" t="str">
        <f>IFERROR(__xludf.DUMMYFUNCTION("""COMPUTED_VALUE"""),"Uncle Sams Cider (11/12/2021) (Blue)")</f>
        <v>Uncle Sams Cider (11/12/2021) (Blue)</v>
      </c>
      <c r="H5911" s="19"/>
    </row>
    <row r="5912">
      <c r="A5912" s="9"/>
      <c r="B5912" s="15"/>
      <c r="C5912" s="9">
        <f>IFERROR(__xludf.DUMMYFUNCTION("""COMPUTED_VALUE"""),44543.5309367708)</f>
        <v>44543.53094</v>
      </c>
      <c r="D5912" s="15">
        <f>IFERROR(__xludf.DUMMYFUNCTION("""COMPUTED_VALUE"""),1.016)</f>
        <v>1.016</v>
      </c>
      <c r="E5912" s="16">
        <f>IFERROR(__xludf.DUMMYFUNCTION("""COMPUTED_VALUE"""),62.0)</f>
        <v>62</v>
      </c>
      <c r="F5912" s="19" t="str">
        <f>IFERROR(__xludf.DUMMYFUNCTION("""COMPUTED_VALUE"""),"BLUE")</f>
        <v>BLUE</v>
      </c>
      <c r="G5912" s="20" t="str">
        <f>IFERROR(__xludf.DUMMYFUNCTION("""COMPUTED_VALUE"""),"Uncle Sams Cider (11/12/2021) (Blue)")</f>
        <v>Uncle Sams Cider (11/12/2021) (Blue)</v>
      </c>
      <c r="H5912" s="19"/>
    </row>
    <row r="5913">
      <c r="A5913" s="9"/>
      <c r="B5913" s="15"/>
      <c r="C5913" s="9">
        <f>IFERROR(__xludf.DUMMYFUNCTION("""COMPUTED_VALUE"""),44543.5205150347)</f>
        <v>44543.52052</v>
      </c>
      <c r="D5913" s="15">
        <f>IFERROR(__xludf.DUMMYFUNCTION("""COMPUTED_VALUE"""),1.016)</f>
        <v>1.016</v>
      </c>
      <c r="E5913" s="16">
        <f>IFERROR(__xludf.DUMMYFUNCTION("""COMPUTED_VALUE"""),62.0)</f>
        <v>62</v>
      </c>
      <c r="F5913" s="19" t="str">
        <f>IFERROR(__xludf.DUMMYFUNCTION("""COMPUTED_VALUE"""),"BLUE")</f>
        <v>BLUE</v>
      </c>
      <c r="G5913" s="20" t="str">
        <f>IFERROR(__xludf.DUMMYFUNCTION("""COMPUTED_VALUE"""),"Uncle Sams Cider (11/12/2021) (Blue)")</f>
        <v>Uncle Sams Cider (11/12/2021) (Blue)</v>
      </c>
      <c r="H5913" s="19"/>
    </row>
    <row r="5914">
      <c r="A5914" s="9"/>
      <c r="B5914" s="15"/>
      <c r="C5914" s="9">
        <f>IFERROR(__xludf.DUMMYFUNCTION("""COMPUTED_VALUE"""),44543.5100927083)</f>
        <v>44543.51009</v>
      </c>
      <c r="D5914" s="15">
        <f>IFERROR(__xludf.DUMMYFUNCTION("""COMPUTED_VALUE"""),1.016)</f>
        <v>1.016</v>
      </c>
      <c r="E5914" s="16">
        <f>IFERROR(__xludf.DUMMYFUNCTION("""COMPUTED_VALUE"""),62.0)</f>
        <v>62</v>
      </c>
      <c r="F5914" s="19" t="str">
        <f>IFERROR(__xludf.DUMMYFUNCTION("""COMPUTED_VALUE"""),"BLUE")</f>
        <v>BLUE</v>
      </c>
      <c r="G5914" s="20" t="str">
        <f>IFERROR(__xludf.DUMMYFUNCTION("""COMPUTED_VALUE"""),"Uncle Sams Cider (11/12/2021) (Blue)")</f>
        <v>Uncle Sams Cider (11/12/2021) (Blue)</v>
      </c>
      <c r="H5914" s="19"/>
    </row>
    <row r="5915">
      <c r="A5915" s="9"/>
      <c r="B5915" s="15"/>
      <c r="C5915" s="9">
        <f>IFERROR(__xludf.DUMMYFUNCTION("""COMPUTED_VALUE"""),44543.4996725115)</f>
        <v>44543.49967</v>
      </c>
      <c r="D5915" s="15">
        <f>IFERROR(__xludf.DUMMYFUNCTION("""COMPUTED_VALUE"""),1.016)</f>
        <v>1.016</v>
      </c>
      <c r="E5915" s="16">
        <f>IFERROR(__xludf.DUMMYFUNCTION("""COMPUTED_VALUE"""),62.0)</f>
        <v>62</v>
      </c>
      <c r="F5915" s="19" t="str">
        <f>IFERROR(__xludf.DUMMYFUNCTION("""COMPUTED_VALUE"""),"BLUE")</f>
        <v>BLUE</v>
      </c>
      <c r="G5915" s="20" t="str">
        <f>IFERROR(__xludf.DUMMYFUNCTION("""COMPUTED_VALUE"""),"Uncle Sams Cider (11/12/2021) (Blue)")</f>
        <v>Uncle Sams Cider (11/12/2021) (Blue)</v>
      </c>
      <c r="H5915" s="19"/>
    </row>
    <row r="5916">
      <c r="A5916" s="9"/>
      <c r="B5916" s="15"/>
      <c r="C5916" s="9">
        <f>IFERROR(__xludf.DUMMYFUNCTION("""COMPUTED_VALUE"""),44543.4892498263)</f>
        <v>44543.48925</v>
      </c>
      <c r="D5916" s="15">
        <f>IFERROR(__xludf.DUMMYFUNCTION("""COMPUTED_VALUE"""),1.016)</f>
        <v>1.016</v>
      </c>
      <c r="E5916" s="16">
        <f>IFERROR(__xludf.DUMMYFUNCTION("""COMPUTED_VALUE"""),62.0)</f>
        <v>62</v>
      </c>
      <c r="F5916" s="19" t="str">
        <f>IFERROR(__xludf.DUMMYFUNCTION("""COMPUTED_VALUE"""),"BLUE")</f>
        <v>BLUE</v>
      </c>
      <c r="G5916" s="20" t="str">
        <f>IFERROR(__xludf.DUMMYFUNCTION("""COMPUTED_VALUE"""),"Uncle Sams Cider (11/12/2021) (Blue)")</f>
        <v>Uncle Sams Cider (11/12/2021) (Blue)</v>
      </c>
      <c r="H5916" s="19"/>
    </row>
    <row r="5917">
      <c r="A5917" s="9"/>
      <c r="B5917" s="15"/>
      <c r="C5917" s="9">
        <f>IFERROR(__xludf.DUMMYFUNCTION("""COMPUTED_VALUE"""),44543.4788285879)</f>
        <v>44543.47883</v>
      </c>
      <c r="D5917" s="15">
        <f>IFERROR(__xludf.DUMMYFUNCTION("""COMPUTED_VALUE"""),1.016)</f>
        <v>1.016</v>
      </c>
      <c r="E5917" s="16">
        <f>IFERROR(__xludf.DUMMYFUNCTION("""COMPUTED_VALUE"""),62.0)</f>
        <v>62</v>
      </c>
      <c r="F5917" s="19" t="str">
        <f>IFERROR(__xludf.DUMMYFUNCTION("""COMPUTED_VALUE"""),"BLUE")</f>
        <v>BLUE</v>
      </c>
      <c r="G5917" s="20" t="str">
        <f>IFERROR(__xludf.DUMMYFUNCTION("""COMPUTED_VALUE"""),"Uncle Sams Cider (11/12/2021) (Blue)")</f>
        <v>Uncle Sams Cider (11/12/2021) (Blue)</v>
      </c>
      <c r="H5917" s="19"/>
    </row>
    <row r="5918">
      <c r="A5918" s="9"/>
      <c r="B5918" s="15"/>
      <c r="C5918" s="9">
        <f>IFERROR(__xludf.DUMMYFUNCTION("""COMPUTED_VALUE"""),44543.4684068055)</f>
        <v>44543.46841</v>
      </c>
      <c r="D5918" s="15">
        <f>IFERROR(__xludf.DUMMYFUNCTION("""COMPUTED_VALUE"""),1.016)</f>
        <v>1.016</v>
      </c>
      <c r="E5918" s="16">
        <f>IFERROR(__xludf.DUMMYFUNCTION("""COMPUTED_VALUE"""),62.0)</f>
        <v>62</v>
      </c>
      <c r="F5918" s="19" t="str">
        <f>IFERROR(__xludf.DUMMYFUNCTION("""COMPUTED_VALUE"""),"BLUE")</f>
        <v>BLUE</v>
      </c>
      <c r="G5918" s="20" t="str">
        <f>IFERROR(__xludf.DUMMYFUNCTION("""COMPUTED_VALUE"""),"Uncle Sams Cider (11/12/2021) (Blue)")</f>
        <v>Uncle Sams Cider (11/12/2021) (Blue)</v>
      </c>
      <c r="H5918" s="19"/>
    </row>
    <row r="5919">
      <c r="A5919" s="9"/>
      <c r="B5919" s="15"/>
      <c r="C5919" s="9">
        <f>IFERROR(__xludf.DUMMYFUNCTION("""COMPUTED_VALUE"""),44543.4579867245)</f>
        <v>44543.45799</v>
      </c>
      <c r="D5919" s="15">
        <f>IFERROR(__xludf.DUMMYFUNCTION("""COMPUTED_VALUE"""),1.016)</f>
        <v>1.016</v>
      </c>
      <c r="E5919" s="16">
        <f>IFERROR(__xludf.DUMMYFUNCTION("""COMPUTED_VALUE"""),62.0)</f>
        <v>62</v>
      </c>
      <c r="F5919" s="19" t="str">
        <f>IFERROR(__xludf.DUMMYFUNCTION("""COMPUTED_VALUE"""),"BLUE")</f>
        <v>BLUE</v>
      </c>
      <c r="G5919" s="20" t="str">
        <f>IFERROR(__xludf.DUMMYFUNCTION("""COMPUTED_VALUE"""),"Uncle Sams Cider (11/12/2021) (Blue)")</f>
        <v>Uncle Sams Cider (11/12/2021) (Blue)</v>
      </c>
      <c r="H5919" s="19"/>
    </row>
    <row r="5920">
      <c r="A5920" s="9"/>
      <c r="B5920" s="15"/>
      <c r="C5920" s="9">
        <f>IFERROR(__xludf.DUMMYFUNCTION("""COMPUTED_VALUE"""),44543.4475657523)</f>
        <v>44543.44757</v>
      </c>
      <c r="D5920" s="15">
        <f>IFERROR(__xludf.DUMMYFUNCTION("""COMPUTED_VALUE"""),1.016)</f>
        <v>1.016</v>
      </c>
      <c r="E5920" s="16">
        <f>IFERROR(__xludf.DUMMYFUNCTION("""COMPUTED_VALUE"""),62.0)</f>
        <v>62</v>
      </c>
      <c r="F5920" s="19" t="str">
        <f>IFERROR(__xludf.DUMMYFUNCTION("""COMPUTED_VALUE"""),"BLUE")</f>
        <v>BLUE</v>
      </c>
      <c r="G5920" s="20" t="str">
        <f>IFERROR(__xludf.DUMMYFUNCTION("""COMPUTED_VALUE"""),"Uncle Sams Cider (11/12/2021) (Blue)")</f>
        <v>Uncle Sams Cider (11/12/2021) (Blue)</v>
      </c>
      <c r="H5920" s="19"/>
    </row>
    <row r="5921">
      <c r="A5921" s="9"/>
      <c r="B5921" s="15"/>
      <c r="C5921" s="9">
        <f>IFERROR(__xludf.DUMMYFUNCTION("""COMPUTED_VALUE"""),44543.4371441203)</f>
        <v>44543.43714</v>
      </c>
      <c r="D5921" s="15">
        <f>IFERROR(__xludf.DUMMYFUNCTION("""COMPUTED_VALUE"""),1.016)</f>
        <v>1.016</v>
      </c>
      <c r="E5921" s="16">
        <f>IFERROR(__xludf.DUMMYFUNCTION("""COMPUTED_VALUE"""),62.0)</f>
        <v>62</v>
      </c>
      <c r="F5921" s="19" t="str">
        <f>IFERROR(__xludf.DUMMYFUNCTION("""COMPUTED_VALUE"""),"BLUE")</f>
        <v>BLUE</v>
      </c>
      <c r="G5921" s="20" t="str">
        <f>IFERROR(__xludf.DUMMYFUNCTION("""COMPUTED_VALUE"""),"Uncle Sams Cider (11/12/2021) (Blue)")</f>
        <v>Uncle Sams Cider (11/12/2021) (Blue)</v>
      </c>
      <c r="H5921" s="19"/>
    </row>
    <row r="5922">
      <c r="A5922" s="9"/>
      <c r="B5922" s="15"/>
      <c r="C5922" s="9">
        <f>IFERROR(__xludf.DUMMYFUNCTION("""COMPUTED_VALUE"""),44543.4267220138)</f>
        <v>44543.42672</v>
      </c>
      <c r="D5922" s="15">
        <f>IFERROR(__xludf.DUMMYFUNCTION("""COMPUTED_VALUE"""),1.016)</f>
        <v>1.016</v>
      </c>
      <c r="E5922" s="16">
        <f>IFERROR(__xludf.DUMMYFUNCTION("""COMPUTED_VALUE"""),62.0)</f>
        <v>62</v>
      </c>
      <c r="F5922" s="19" t="str">
        <f>IFERROR(__xludf.DUMMYFUNCTION("""COMPUTED_VALUE"""),"BLUE")</f>
        <v>BLUE</v>
      </c>
      <c r="G5922" s="20" t="str">
        <f>IFERROR(__xludf.DUMMYFUNCTION("""COMPUTED_VALUE"""),"Uncle Sams Cider (11/12/2021) (Blue)")</f>
        <v>Uncle Sams Cider (11/12/2021) (Blue)</v>
      </c>
      <c r="H5922" s="19"/>
    </row>
    <row r="5923">
      <c r="A5923" s="9"/>
      <c r="B5923" s="15"/>
      <c r="C5923" s="9">
        <f>IFERROR(__xludf.DUMMYFUNCTION("""COMPUTED_VALUE"""),44543.416299456)</f>
        <v>44543.4163</v>
      </c>
      <c r="D5923" s="15">
        <f>IFERROR(__xludf.DUMMYFUNCTION("""COMPUTED_VALUE"""),1.016)</f>
        <v>1.016</v>
      </c>
      <c r="E5923" s="16">
        <f>IFERROR(__xludf.DUMMYFUNCTION("""COMPUTED_VALUE"""),62.0)</f>
        <v>62</v>
      </c>
      <c r="F5923" s="19" t="str">
        <f>IFERROR(__xludf.DUMMYFUNCTION("""COMPUTED_VALUE"""),"BLUE")</f>
        <v>BLUE</v>
      </c>
      <c r="G5923" s="20" t="str">
        <f>IFERROR(__xludf.DUMMYFUNCTION("""COMPUTED_VALUE"""),"Uncle Sams Cider (11/12/2021) (Blue)")</f>
        <v>Uncle Sams Cider (11/12/2021) (Blue)</v>
      </c>
      <c r="H5923" s="19"/>
    </row>
    <row r="5924">
      <c r="A5924" s="9"/>
      <c r="B5924" s="15"/>
      <c r="C5924" s="9">
        <f>IFERROR(__xludf.DUMMYFUNCTION("""COMPUTED_VALUE"""),44543.4058783449)</f>
        <v>44543.40588</v>
      </c>
      <c r="D5924" s="15">
        <f>IFERROR(__xludf.DUMMYFUNCTION("""COMPUTED_VALUE"""),1.016)</f>
        <v>1.016</v>
      </c>
      <c r="E5924" s="16">
        <f>IFERROR(__xludf.DUMMYFUNCTION("""COMPUTED_VALUE"""),62.0)</f>
        <v>62</v>
      </c>
      <c r="F5924" s="19" t="str">
        <f>IFERROR(__xludf.DUMMYFUNCTION("""COMPUTED_VALUE"""),"BLUE")</f>
        <v>BLUE</v>
      </c>
      <c r="G5924" s="20" t="str">
        <f>IFERROR(__xludf.DUMMYFUNCTION("""COMPUTED_VALUE"""),"Uncle Sams Cider (11/12/2021) (Blue)")</f>
        <v>Uncle Sams Cider (11/12/2021) (Blue)</v>
      </c>
      <c r="H5924" s="19"/>
    </row>
    <row r="5925">
      <c r="A5925" s="9"/>
      <c r="B5925" s="15"/>
      <c r="C5925" s="9">
        <f>IFERROR(__xludf.DUMMYFUNCTION("""COMPUTED_VALUE"""),44543.3954578819)</f>
        <v>44543.39546</v>
      </c>
      <c r="D5925" s="15">
        <f>IFERROR(__xludf.DUMMYFUNCTION("""COMPUTED_VALUE"""),1.016)</f>
        <v>1.016</v>
      </c>
      <c r="E5925" s="16">
        <f>IFERROR(__xludf.DUMMYFUNCTION("""COMPUTED_VALUE"""),62.0)</f>
        <v>62</v>
      </c>
      <c r="F5925" s="19" t="str">
        <f>IFERROR(__xludf.DUMMYFUNCTION("""COMPUTED_VALUE"""),"BLUE")</f>
        <v>BLUE</v>
      </c>
      <c r="G5925" s="20" t="str">
        <f>IFERROR(__xludf.DUMMYFUNCTION("""COMPUTED_VALUE"""),"Uncle Sams Cider (11/12/2021) (Blue)")</f>
        <v>Uncle Sams Cider (11/12/2021) (Blue)</v>
      </c>
      <c r="H5925" s="19"/>
    </row>
    <row r="5926">
      <c r="A5926" s="9"/>
      <c r="B5926" s="15"/>
      <c r="C5926" s="9">
        <f>IFERROR(__xludf.DUMMYFUNCTION("""COMPUTED_VALUE"""),44543.3850374305)</f>
        <v>44543.38504</v>
      </c>
      <c r="D5926" s="15">
        <f>IFERROR(__xludf.DUMMYFUNCTION("""COMPUTED_VALUE"""),1.016)</f>
        <v>1.016</v>
      </c>
      <c r="E5926" s="16">
        <f>IFERROR(__xludf.DUMMYFUNCTION("""COMPUTED_VALUE"""),62.0)</f>
        <v>62</v>
      </c>
      <c r="F5926" s="19" t="str">
        <f>IFERROR(__xludf.DUMMYFUNCTION("""COMPUTED_VALUE"""),"BLUE")</f>
        <v>BLUE</v>
      </c>
      <c r="G5926" s="20" t="str">
        <f>IFERROR(__xludf.DUMMYFUNCTION("""COMPUTED_VALUE"""),"Uncle Sams Cider (11/12/2021) (Blue)")</f>
        <v>Uncle Sams Cider (11/12/2021) (Blue)</v>
      </c>
      <c r="H5926" s="19"/>
    </row>
    <row r="5927">
      <c r="A5927" s="9"/>
      <c r="B5927" s="15"/>
      <c r="C5927" s="9">
        <f>IFERROR(__xludf.DUMMYFUNCTION("""COMPUTED_VALUE"""),44543.3746037268)</f>
        <v>44543.3746</v>
      </c>
      <c r="D5927" s="15">
        <f>IFERROR(__xludf.DUMMYFUNCTION("""COMPUTED_VALUE"""),1.016)</f>
        <v>1.016</v>
      </c>
      <c r="E5927" s="16">
        <f>IFERROR(__xludf.DUMMYFUNCTION("""COMPUTED_VALUE"""),62.0)</f>
        <v>62</v>
      </c>
      <c r="F5927" s="19" t="str">
        <f>IFERROR(__xludf.DUMMYFUNCTION("""COMPUTED_VALUE"""),"BLUE")</f>
        <v>BLUE</v>
      </c>
      <c r="G5927" s="20" t="str">
        <f>IFERROR(__xludf.DUMMYFUNCTION("""COMPUTED_VALUE"""),"Uncle Sams Cider (11/12/2021) (Blue)")</f>
        <v>Uncle Sams Cider (11/12/2021) (Blue)</v>
      </c>
      <c r="H5927" s="19"/>
    </row>
    <row r="5928">
      <c r="A5928" s="9"/>
      <c r="B5928" s="15"/>
      <c r="C5928" s="9">
        <f>IFERROR(__xludf.DUMMYFUNCTION("""COMPUTED_VALUE"""),44543.3641814814)</f>
        <v>44543.36418</v>
      </c>
      <c r="D5928" s="15">
        <f>IFERROR(__xludf.DUMMYFUNCTION("""COMPUTED_VALUE"""),1.016)</f>
        <v>1.016</v>
      </c>
      <c r="E5928" s="16">
        <f>IFERROR(__xludf.DUMMYFUNCTION("""COMPUTED_VALUE"""),62.0)</f>
        <v>62</v>
      </c>
      <c r="F5928" s="19" t="str">
        <f>IFERROR(__xludf.DUMMYFUNCTION("""COMPUTED_VALUE"""),"BLUE")</f>
        <v>BLUE</v>
      </c>
      <c r="G5928" s="20" t="str">
        <f>IFERROR(__xludf.DUMMYFUNCTION("""COMPUTED_VALUE"""),"Uncle Sams Cider (11/12/2021) (Blue)")</f>
        <v>Uncle Sams Cider (11/12/2021) (Blue)</v>
      </c>
      <c r="H5928" s="19"/>
    </row>
    <row r="5929">
      <c r="A5929" s="9"/>
      <c r="B5929" s="15"/>
      <c r="C5929" s="9">
        <f>IFERROR(__xludf.DUMMYFUNCTION("""COMPUTED_VALUE"""),44543.3537594907)</f>
        <v>44543.35376</v>
      </c>
      <c r="D5929" s="15">
        <f>IFERROR(__xludf.DUMMYFUNCTION("""COMPUTED_VALUE"""),1.016)</f>
        <v>1.016</v>
      </c>
      <c r="E5929" s="16">
        <f>IFERROR(__xludf.DUMMYFUNCTION("""COMPUTED_VALUE"""),62.0)</f>
        <v>62</v>
      </c>
      <c r="F5929" s="19" t="str">
        <f>IFERROR(__xludf.DUMMYFUNCTION("""COMPUTED_VALUE"""),"BLUE")</f>
        <v>BLUE</v>
      </c>
      <c r="G5929" s="20" t="str">
        <f>IFERROR(__xludf.DUMMYFUNCTION("""COMPUTED_VALUE"""),"Uncle Sams Cider (11/12/2021) (Blue)")</f>
        <v>Uncle Sams Cider (11/12/2021) (Blue)</v>
      </c>
      <c r="H5929" s="19"/>
    </row>
    <row r="5930">
      <c r="A5930" s="9"/>
      <c r="B5930" s="15"/>
      <c r="C5930" s="9">
        <f>IFERROR(__xludf.DUMMYFUNCTION("""COMPUTED_VALUE"""),44543.3433390277)</f>
        <v>44543.34334</v>
      </c>
      <c r="D5930" s="15">
        <f>IFERROR(__xludf.DUMMYFUNCTION("""COMPUTED_VALUE"""),1.016)</f>
        <v>1.016</v>
      </c>
      <c r="E5930" s="16">
        <f>IFERROR(__xludf.DUMMYFUNCTION("""COMPUTED_VALUE"""),62.0)</f>
        <v>62</v>
      </c>
      <c r="F5930" s="19" t="str">
        <f>IFERROR(__xludf.DUMMYFUNCTION("""COMPUTED_VALUE"""),"BLUE")</f>
        <v>BLUE</v>
      </c>
      <c r="G5930" s="20" t="str">
        <f>IFERROR(__xludf.DUMMYFUNCTION("""COMPUTED_VALUE"""),"Uncle Sams Cider (11/12/2021) (Blue)")</f>
        <v>Uncle Sams Cider (11/12/2021) (Blue)</v>
      </c>
      <c r="H5930" s="19"/>
    </row>
    <row r="5931">
      <c r="A5931" s="9"/>
      <c r="B5931" s="15"/>
      <c r="C5931" s="9">
        <f>IFERROR(__xludf.DUMMYFUNCTION("""COMPUTED_VALUE"""),44543.3329085069)</f>
        <v>44543.33291</v>
      </c>
      <c r="D5931" s="15">
        <f>IFERROR(__xludf.DUMMYFUNCTION("""COMPUTED_VALUE"""),1.016)</f>
        <v>1.016</v>
      </c>
      <c r="E5931" s="16">
        <f>IFERROR(__xludf.DUMMYFUNCTION("""COMPUTED_VALUE"""),62.0)</f>
        <v>62</v>
      </c>
      <c r="F5931" s="19" t="str">
        <f>IFERROR(__xludf.DUMMYFUNCTION("""COMPUTED_VALUE"""),"BLUE")</f>
        <v>BLUE</v>
      </c>
      <c r="G5931" s="20" t="str">
        <f>IFERROR(__xludf.DUMMYFUNCTION("""COMPUTED_VALUE"""),"Uncle Sams Cider (11/12/2021) (Blue)")</f>
        <v>Uncle Sams Cider (11/12/2021) (Blue)</v>
      </c>
      <c r="H5931" s="19"/>
    </row>
    <row r="5932">
      <c r="A5932" s="9"/>
      <c r="B5932" s="15"/>
      <c r="C5932" s="9">
        <f>IFERROR(__xludf.DUMMYFUNCTION("""COMPUTED_VALUE"""),44543.32248875)</f>
        <v>44543.32249</v>
      </c>
      <c r="D5932" s="15">
        <f>IFERROR(__xludf.DUMMYFUNCTION("""COMPUTED_VALUE"""),1.016)</f>
        <v>1.016</v>
      </c>
      <c r="E5932" s="16">
        <f>IFERROR(__xludf.DUMMYFUNCTION("""COMPUTED_VALUE"""),62.0)</f>
        <v>62</v>
      </c>
      <c r="F5932" s="19" t="str">
        <f>IFERROR(__xludf.DUMMYFUNCTION("""COMPUTED_VALUE"""),"BLUE")</f>
        <v>BLUE</v>
      </c>
      <c r="G5932" s="20" t="str">
        <f>IFERROR(__xludf.DUMMYFUNCTION("""COMPUTED_VALUE"""),"Uncle Sams Cider (11/12/2021) (Blue)")</f>
        <v>Uncle Sams Cider (11/12/2021) (Blue)</v>
      </c>
      <c r="H5932" s="19"/>
    </row>
    <row r="5933">
      <c r="A5933" s="9"/>
      <c r="B5933" s="15"/>
      <c r="C5933" s="9">
        <f>IFERROR(__xludf.DUMMYFUNCTION("""COMPUTED_VALUE"""),44543.3120548958)</f>
        <v>44543.31205</v>
      </c>
      <c r="D5933" s="15">
        <f>IFERROR(__xludf.DUMMYFUNCTION("""COMPUTED_VALUE"""),1.016)</f>
        <v>1.016</v>
      </c>
      <c r="E5933" s="16">
        <f>IFERROR(__xludf.DUMMYFUNCTION("""COMPUTED_VALUE"""),62.0)</f>
        <v>62</v>
      </c>
      <c r="F5933" s="19" t="str">
        <f>IFERROR(__xludf.DUMMYFUNCTION("""COMPUTED_VALUE"""),"BLUE")</f>
        <v>BLUE</v>
      </c>
      <c r="G5933" s="20" t="str">
        <f>IFERROR(__xludf.DUMMYFUNCTION("""COMPUTED_VALUE"""),"Uncle Sams Cider (11/12/2021) (Blue)")</f>
        <v>Uncle Sams Cider (11/12/2021) (Blue)</v>
      </c>
      <c r="H5933" s="19"/>
    </row>
    <row r="5934">
      <c r="A5934" s="9"/>
      <c r="B5934" s="15"/>
      <c r="C5934" s="9">
        <f>IFERROR(__xludf.DUMMYFUNCTION("""COMPUTED_VALUE"""),44543.3016219328)</f>
        <v>44543.30162</v>
      </c>
      <c r="D5934" s="15">
        <f>IFERROR(__xludf.DUMMYFUNCTION("""COMPUTED_VALUE"""),1.016)</f>
        <v>1.016</v>
      </c>
      <c r="E5934" s="16">
        <f>IFERROR(__xludf.DUMMYFUNCTION("""COMPUTED_VALUE"""),62.0)</f>
        <v>62</v>
      </c>
      <c r="F5934" s="19" t="str">
        <f>IFERROR(__xludf.DUMMYFUNCTION("""COMPUTED_VALUE"""),"BLUE")</f>
        <v>BLUE</v>
      </c>
      <c r="G5934" s="20" t="str">
        <f>IFERROR(__xludf.DUMMYFUNCTION("""COMPUTED_VALUE"""),"Uncle Sams Cider (11/12/2021) (Blue)")</f>
        <v>Uncle Sams Cider (11/12/2021) (Blue)</v>
      </c>
      <c r="H5934" s="19"/>
    </row>
    <row r="5935">
      <c r="A5935" s="9"/>
      <c r="B5935" s="15"/>
      <c r="C5935" s="9">
        <f>IFERROR(__xludf.DUMMYFUNCTION("""COMPUTED_VALUE"""),44543.2911893402)</f>
        <v>44543.29119</v>
      </c>
      <c r="D5935" s="15">
        <f>IFERROR(__xludf.DUMMYFUNCTION("""COMPUTED_VALUE"""),1.016)</f>
        <v>1.016</v>
      </c>
      <c r="E5935" s="16">
        <f>IFERROR(__xludf.DUMMYFUNCTION("""COMPUTED_VALUE"""),63.0)</f>
        <v>63</v>
      </c>
      <c r="F5935" s="19" t="str">
        <f>IFERROR(__xludf.DUMMYFUNCTION("""COMPUTED_VALUE"""),"BLUE")</f>
        <v>BLUE</v>
      </c>
      <c r="G5935" s="20" t="str">
        <f>IFERROR(__xludf.DUMMYFUNCTION("""COMPUTED_VALUE"""),"Uncle Sams Cider (11/12/2021) (Blue)")</f>
        <v>Uncle Sams Cider (11/12/2021) (Blue)</v>
      </c>
      <c r="H5935" s="19"/>
    </row>
    <row r="5936">
      <c r="A5936" s="9"/>
      <c r="B5936" s="15"/>
      <c r="C5936" s="9">
        <f>IFERROR(__xludf.DUMMYFUNCTION("""COMPUTED_VALUE"""),44543.2807428356)</f>
        <v>44543.28074</v>
      </c>
      <c r="D5936" s="15">
        <f>IFERROR(__xludf.DUMMYFUNCTION("""COMPUTED_VALUE"""),1.016)</f>
        <v>1.016</v>
      </c>
      <c r="E5936" s="16">
        <f>IFERROR(__xludf.DUMMYFUNCTION("""COMPUTED_VALUE"""),62.0)</f>
        <v>62</v>
      </c>
      <c r="F5936" s="19" t="str">
        <f>IFERROR(__xludf.DUMMYFUNCTION("""COMPUTED_VALUE"""),"BLUE")</f>
        <v>BLUE</v>
      </c>
      <c r="G5936" s="20" t="str">
        <f>IFERROR(__xludf.DUMMYFUNCTION("""COMPUTED_VALUE"""),"Uncle Sams Cider (11/12/2021) (Blue)")</f>
        <v>Uncle Sams Cider (11/12/2021) (Blue)</v>
      </c>
      <c r="H5936" s="19"/>
    </row>
    <row r="5937">
      <c r="A5937" s="9"/>
      <c r="B5937" s="15"/>
      <c r="C5937" s="9">
        <f>IFERROR(__xludf.DUMMYFUNCTION("""COMPUTED_VALUE"""),44543.2703217824)</f>
        <v>44543.27032</v>
      </c>
      <c r="D5937" s="15">
        <f>IFERROR(__xludf.DUMMYFUNCTION("""COMPUTED_VALUE"""),1.016)</f>
        <v>1.016</v>
      </c>
      <c r="E5937" s="16">
        <f>IFERROR(__xludf.DUMMYFUNCTION("""COMPUTED_VALUE"""),62.0)</f>
        <v>62</v>
      </c>
      <c r="F5937" s="19" t="str">
        <f>IFERROR(__xludf.DUMMYFUNCTION("""COMPUTED_VALUE"""),"BLUE")</f>
        <v>BLUE</v>
      </c>
      <c r="G5937" s="20" t="str">
        <f>IFERROR(__xludf.DUMMYFUNCTION("""COMPUTED_VALUE"""),"Uncle Sams Cider (11/12/2021) (Blue)")</f>
        <v>Uncle Sams Cider (11/12/2021) (Blue)</v>
      </c>
      <c r="H5937" s="19"/>
    </row>
    <row r="5938">
      <c r="A5938" s="9"/>
      <c r="B5938" s="15"/>
      <c r="C5938" s="9">
        <f>IFERROR(__xludf.DUMMYFUNCTION("""COMPUTED_VALUE"""),44543.2599006018)</f>
        <v>44543.2599</v>
      </c>
      <c r="D5938" s="15">
        <f>IFERROR(__xludf.DUMMYFUNCTION("""COMPUTED_VALUE"""),1.016)</f>
        <v>1.016</v>
      </c>
      <c r="E5938" s="16">
        <f>IFERROR(__xludf.DUMMYFUNCTION("""COMPUTED_VALUE"""),62.0)</f>
        <v>62</v>
      </c>
      <c r="F5938" s="19" t="str">
        <f>IFERROR(__xludf.DUMMYFUNCTION("""COMPUTED_VALUE"""),"BLUE")</f>
        <v>BLUE</v>
      </c>
      <c r="G5938" s="20" t="str">
        <f>IFERROR(__xludf.DUMMYFUNCTION("""COMPUTED_VALUE"""),"Uncle Sams Cider (11/12/2021) (Blue)")</f>
        <v>Uncle Sams Cider (11/12/2021) (Blue)</v>
      </c>
      <c r="H5938" s="19"/>
    </row>
    <row r="5939">
      <c r="A5939" s="9"/>
      <c r="B5939" s="15"/>
      <c r="C5939" s="9">
        <f>IFERROR(__xludf.DUMMYFUNCTION("""COMPUTED_VALUE"""),44543.249480405)</f>
        <v>44543.24948</v>
      </c>
      <c r="D5939" s="15">
        <f>IFERROR(__xludf.DUMMYFUNCTION("""COMPUTED_VALUE"""),1.016)</f>
        <v>1.016</v>
      </c>
      <c r="E5939" s="16">
        <f>IFERROR(__xludf.DUMMYFUNCTION("""COMPUTED_VALUE"""),62.0)</f>
        <v>62</v>
      </c>
      <c r="F5939" s="19" t="str">
        <f>IFERROR(__xludf.DUMMYFUNCTION("""COMPUTED_VALUE"""),"BLUE")</f>
        <v>BLUE</v>
      </c>
      <c r="G5939" s="20" t="str">
        <f>IFERROR(__xludf.DUMMYFUNCTION("""COMPUTED_VALUE"""),"Uncle Sams Cider (11/12/2021) (Blue)")</f>
        <v>Uncle Sams Cider (11/12/2021) (Blue)</v>
      </c>
      <c r="H5939" s="19"/>
    </row>
    <row r="5940">
      <c r="A5940" s="9"/>
      <c r="B5940" s="15"/>
      <c r="C5940" s="9">
        <f>IFERROR(__xludf.DUMMYFUNCTION("""COMPUTED_VALUE"""),44543.2390474768)</f>
        <v>44543.23905</v>
      </c>
      <c r="D5940" s="15">
        <f>IFERROR(__xludf.DUMMYFUNCTION("""COMPUTED_VALUE"""),1.016)</f>
        <v>1.016</v>
      </c>
      <c r="E5940" s="16">
        <f>IFERROR(__xludf.DUMMYFUNCTION("""COMPUTED_VALUE"""),62.0)</f>
        <v>62</v>
      </c>
      <c r="F5940" s="19" t="str">
        <f>IFERROR(__xludf.DUMMYFUNCTION("""COMPUTED_VALUE"""),"BLUE")</f>
        <v>BLUE</v>
      </c>
      <c r="G5940" s="20" t="str">
        <f>IFERROR(__xludf.DUMMYFUNCTION("""COMPUTED_VALUE"""),"Uncle Sams Cider (11/12/2021) (Blue)")</f>
        <v>Uncle Sams Cider (11/12/2021) (Blue)</v>
      </c>
      <c r="H5940" s="19"/>
    </row>
    <row r="5941">
      <c r="A5941" s="9"/>
      <c r="B5941" s="15"/>
      <c r="C5941" s="9">
        <f>IFERROR(__xludf.DUMMYFUNCTION("""COMPUTED_VALUE"""),44543.2286252199)</f>
        <v>44543.22863</v>
      </c>
      <c r="D5941" s="15">
        <f>IFERROR(__xludf.DUMMYFUNCTION("""COMPUTED_VALUE"""),1.016)</f>
        <v>1.016</v>
      </c>
      <c r="E5941" s="16">
        <f>IFERROR(__xludf.DUMMYFUNCTION("""COMPUTED_VALUE"""),62.0)</f>
        <v>62</v>
      </c>
      <c r="F5941" s="19" t="str">
        <f>IFERROR(__xludf.DUMMYFUNCTION("""COMPUTED_VALUE"""),"BLUE")</f>
        <v>BLUE</v>
      </c>
      <c r="G5941" s="20" t="str">
        <f>IFERROR(__xludf.DUMMYFUNCTION("""COMPUTED_VALUE"""),"Uncle Sams Cider (11/12/2021) (Blue)")</f>
        <v>Uncle Sams Cider (11/12/2021) (Blue)</v>
      </c>
      <c r="H5941" s="19"/>
    </row>
    <row r="5942">
      <c r="A5942" s="9"/>
      <c r="B5942" s="15"/>
      <c r="C5942" s="9">
        <f>IFERROR(__xludf.DUMMYFUNCTION("""COMPUTED_VALUE"""),44543.218192037)</f>
        <v>44543.21819</v>
      </c>
      <c r="D5942" s="15">
        <f>IFERROR(__xludf.DUMMYFUNCTION("""COMPUTED_VALUE"""),1.016)</f>
        <v>1.016</v>
      </c>
      <c r="E5942" s="16">
        <f>IFERROR(__xludf.DUMMYFUNCTION("""COMPUTED_VALUE"""),62.0)</f>
        <v>62</v>
      </c>
      <c r="F5942" s="19" t="str">
        <f>IFERROR(__xludf.DUMMYFUNCTION("""COMPUTED_VALUE"""),"BLUE")</f>
        <v>BLUE</v>
      </c>
      <c r="G5942" s="20" t="str">
        <f>IFERROR(__xludf.DUMMYFUNCTION("""COMPUTED_VALUE"""),"Uncle Sams Cider (11/12/2021) (Blue)")</f>
        <v>Uncle Sams Cider (11/12/2021) (Blue)</v>
      </c>
      <c r="H5942" s="19"/>
    </row>
    <row r="5943">
      <c r="A5943" s="9"/>
      <c r="B5943" s="15"/>
      <c r="C5943" s="9">
        <f>IFERROR(__xludf.DUMMYFUNCTION("""COMPUTED_VALUE"""),44543.2077718402)</f>
        <v>44543.20777</v>
      </c>
      <c r="D5943" s="15">
        <f>IFERROR(__xludf.DUMMYFUNCTION("""COMPUTED_VALUE"""),1.016)</f>
        <v>1.016</v>
      </c>
      <c r="E5943" s="16">
        <f>IFERROR(__xludf.DUMMYFUNCTION("""COMPUTED_VALUE"""),63.0)</f>
        <v>63</v>
      </c>
      <c r="F5943" s="19" t="str">
        <f>IFERROR(__xludf.DUMMYFUNCTION("""COMPUTED_VALUE"""),"BLUE")</f>
        <v>BLUE</v>
      </c>
      <c r="G5943" s="20" t="str">
        <f>IFERROR(__xludf.DUMMYFUNCTION("""COMPUTED_VALUE"""),"Uncle Sams Cider (11/12/2021) (Blue)")</f>
        <v>Uncle Sams Cider (11/12/2021) (Blue)</v>
      </c>
      <c r="H5943" s="19"/>
    </row>
    <row r="5944">
      <c r="A5944" s="9"/>
      <c r="B5944" s="15"/>
      <c r="C5944" s="9">
        <f>IFERROR(__xludf.DUMMYFUNCTION("""COMPUTED_VALUE"""),44543.1973510532)</f>
        <v>44543.19735</v>
      </c>
      <c r="D5944" s="15">
        <f>IFERROR(__xludf.DUMMYFUNCTION("""COMPUTED_VALUE"""),1.016)</f>
        <v>1.016</v>
      </c>
      <c r="E5944" s="16">
        <f>IFERROR(__xludf.DUMMYFUNCTION("""COMPUTED_VALUE"""),62.0)</f>
        <v>62</v>
      </c>
      <c r="F5944" s="19" t="str">
        <f>IFERROR(__xludf.DUMMYFUNCTION("""COMPUTED_VALUE"""),"BLUE")</f>
        <v>BLUE</v>
      </c>
      <c r="G5944" s="20" t="str">
        <f>IFERROR(__xludf.DUMMYFUNCTION("""COMPUTED_VALUE"""),"Uncle Sams Cider (11/12/2021) (Blue)")</f>
        <v>Uncle Sams Cider (11/12/2021) (Blue)</v>
      </c>
      <c r="H5944" s="19"/>
    </row>
    <row r="5945">
      <c r="A5945" s="9"/>
      <c r="B5945" s="15"/>
      <c r="C5945" s="9">
        <f>IFERROR(__xludf.DUMMYFUNCTION("""COMPUTED_VALUE"""),44543.1869315162)</f>
        <v>44543.18693</v>
      </c>
      <c r="D5945" s="15">
        <f>IFERROR(__xludf.DUMMYFUNCTION("""COMPUTED_VALUE"""),1.016)</f>
        <v>1.016</v>
      </c>
      <c r="E5945" s="16">
        <f>IFERROR(__xludf.DUMMYFUNCTION("""COMPUTED_VALUE"""),62.0)</f>
        <v>62</v>
      </c>
      <c r="F5945" s="19" t="str">
        <f>IFERROR(__xludf.DUMMYFUNCTION("""COMPUTED_VALUE"""),"BLUE")</f>
        <v>BLUE</v>
      </c>
      <c r="G5945" s="20" t="str">
        <f>IFERROR(__xludf.DUMMYFUNCTION("""COMPUTED_VALUE"""),"Uncle Sams Cider (11/12/2021) (Blue)")</f>
        <v>Uncle Sams Cider (11/12/2021) (Blue)</v>
      </c>
      <c r="H5945" s="19"/>
    </row>
    <row r="5946">
      <c r="A5946" s="9"/>
      <c r="B5946" s="15"/>
      <c r="C5946" s="9">
        <f>IFERROR(__xludf.DUMMYFUNCTION("""COMPUTED_VALUE"""),44543.1765090393)</f>
        <v>44543.17651</v>
      </c>
      <c r="D5946" s="15">
        <f>IFERROR(__xludf.DUMMYFUNCTION("""COMPUTED_VALUE"""),1.016)</f>
        <v>1.016</v>
      </c>
      <c r="E5946" s="16">
        <f>IFERROR(__xludf.DUMMYFUNCTION("""COMPUTED_VALUE"""),62.0)</f>
        <v>62</v>
      </c>
      <c r="F5946" s="19" t="str">
        <f>IFERROR(__xludf.DUMMYFUNCTION("""COMPUTED_VALUE"""),"BLUE")</f>
        <v>BLUE</v>
      </c>
      <c r="G5946" s="20" t="str">
        <f>IFERROR(__xludf.DUMMYFUNCTION("""COMPUTED_VALUE"""),"Uncle Sams Cider (11/12/2021) (Blue)")</f>
        <v>Uncle Sams Cider (11/12/2021) (Blue)</v>
      </c>
      <c r="H5946" s="19"/>
    </row>
    <row r="5947">
      <c r="A5947" s="9"/>
      <c r="B5947" s="15"/>
      <c r="C5947" s="9">
        <f>IFERROR(__xludf.DUMMYFUNCTION("""COMPUTED_VALUE"""),44543.1660752893)</f>
        <v>44543.16608</v>
      </c>
      <c r="D5947" s="15">
        <f>IFERROR(__xludf.DUMMYFUNCTION("""COMPUTED_VALUE"""),1.016)</f>
        <v>1.016</v>
      </c>
      <c r="E5947" s="16">
        <f>IFERROR(__xludf.DUMMYFUNCTION("""COMPUTED_VALUE"""),63.0)</f>
        <v>63</v>
      </c>
      <c r="F5947" s="19" t="str">
        <f>IFERROR(__xludf.DUMMYFUNCTION("""COMPUTED_VALUE"""),"BLUE")</f>
        <v>BLUE</v>
      </c>
      <c r="G5947" s="20" t="str">
        <f>IFERROR(__xludf.DUMMYFUNCTION("""COMPUTED_VALUE"""),"Uncle Sams Cider (11/12/2021) (Blue)")</f>
        <v>Uncle Sams Cider (11/12/2021) (Blue)</v>
      </c>
      <c r="H5947" s="19"/>
    </row>
    <row r="5948">
      <c r="A5948" s="9"/>
      <c r="B5948" s="15"/>
      <c r="C5948" s="9">
        <f>IFERROR(__xludf.DUMMYFUNCTION("""COMPUTED_VALUE"""),44543.1556553935)</f>
        <v>44543.15566</v>
      </c>
      <c r="D5948" s="15">
        <f>IFERROR(__xludf.DUMMYFUNCTION("""COMPUTED_VALUE"""),1.016)</f>
        <v>1.016</v>
      </c>
      <c r="E5948" s="16">
        <f>IFERROR(__xludf.DUMMYFUNCTION("""COMPUTED_VALUE"""),63.0)</f>
        <v>63</v>
      </c>
      <c r="F5948" s="19" t="str">
        <f>IFERROR(__xludf.DUMMYFUNCTION("""COMPUTED_VALUE"""),"BLUE")</f>
        <v>BLUE</v>
      </c>
      <c r="G5948" s="20" t="str">
        <f>IFERROR(__xludf.DUMMYFUNCTION("""COMPUTED_VALUE"""),"Uncle Sams Cider (11/12/2021) (Blue)")</f>
        <v>Uncle Sams Cider (11/12/2021) (Blue)</v>
      </c>
      <c r="H5948" s="19"/>
    </row>
    <row r="5949">
      <c r="A5949" s="9"/>
      <c r="B5949" s="15"/>
      <c r="C5949" s="9">
        <f>IFERROR(__xludf.DUMMYFUNCTION("""COMPUTED_VALUE"""),44543.1452350347)</f>
        <v>44543.14524</v>
      </c>
      <c r="D5949" s="15">
        <f>IFERROR(__xludf.DUMMYFUNCTION("""COMPUTED_VALUE"""),1.016)</f>
        <v>1.016</v>
      </c>
      <c r="E5949" s="16">
        <f>IFERROR(__xludf.DUMMYFUNCTION("""COMPUTED_VALUE"""),62.0)</f>
        <v>62</v>
      </c>
      <c r="F5949" s="19" t="str">
        <f>IFERROR(__xludf.DUMMYFUNCTION("""COMPUTED_VALUE"""),"BLUE")</f>
        <v>BLUE</v>
      </c>
      <c r="G5949" s="20" t="str">
        <f>IFERROR(__xludf.DUMMYFUNCTION("""COMPUTED_VALUE"""),"Uncle Sams Cider (11/12/2021) (Blue)")</f>
        <v>Uncle Sams Cider (11/12/2021) (Blue)</v>
      </c>
      <c r="H5949" s="19"/>
    </row>
    <row r="5950">
      <c r="A5950" s="9"/>
      <c r="B5950" s="15"/>
      <c r="C5950" s="9">
        <f>IFERROR(__xludf.DUMMYFUNCTION("""COMPUTED_VALUE"""),44543.134813125)</f>
        <v>44543.13481</v>
      </c>
      <c r="D5950" s="15">
        <f>IFERROR(__xludf.DUMMYFUNCTION("""COMPUTED_VALUE"""),1.016)</f>
        <v>1.016</v>
      </c>
      <c r="E5950" s="16">
        <f>IFERROR(__xludf.DUMMYFUNCTION("""COMPUTED_VALUE"""),63.0)</f>
        <v>63</v>
      </c>
      <c r="F5950" s="19" t="str">
        <f>IFERROR(__xludf.DUMMYFUNCTION("""COMPUTED_VALUE"""),"BLUE")</f>
        <v>BLUE</v>
      </c>
      <c r="G5950" s="20" t="str">
        <f>IFERROR(__xludf.DUMMYFUNCTION("""COMPUTED_VALUE"""),"Uncle Sams Cider (11/12/2021) (Blue)")</f>
        <v>Uncle Sams Cider (11/12/2021) (Blue)</v>
      </c>
      <c r="H5950" s="19"/>
    </row>
    <row r="5951">
      <c r="A5951" s="9"/>
      <c r="B5951" s="15"/>
      <c r="C5951" s="9">
        <f>IFERROR(__xludf.DUMMYFUNCTION("""COMPUTED_VALUE"""),44543.124392662)</f>
        <v>44543.12439</v>
      </c>
      <c r="D5951" s="15">
        <f>IFERROR(__xludf.DUMMYFUNCTION("""COMPUTED_VALUE"""),1.016)</f>
        <v>1.016</v>
      </c>
      <c r="E5951" s="16">
        <f>IFERROR(__xludf.DUMMYFUNCTION("""COMPUTED_VALUE"""),62.0)</f>
        <v>62</v>
      </c>
      <c r="F5951" s="19" t="str">
        <f>IFERROR(__xludf.DUMMYFUNCTION("""COMPUTED_VALUE"""),"BLUE")</f>
        <v>BLUE</v>
      </c>
      <c r="G5951" s="20" t="str">
        <f>IFERROR(__xludf.DUMMYFUNCTION("""COMPUTED_VALUE"""),"Uncle Sams Cider (11/12/2021) (Blue)")</f>
        <v>Uncle Sams Cider (11/12/2021) (Blue)</v>
      </c>
      <c r="H5951" s="19"/>
    </row>
    <row r="5952">
      <c r="A5952" s="9"/>
      <c r="B5952" s="15"/>
      <c r="C5952" s="9">
        <f>IFERROR(__xludf.DUMMYFUNCTION("""COMPUTED_VALUE"""),44543.113970706)</f>
        <v>44543.11397</v>
      </c>
      <c r="D5952" s="15">
        <f>IFERROR(__xludf.DUMMYFUNCTION("""COMPUTED_VALUE"""),1.016)</f>
        <v>1.016</v>
      </c>
      <c r="E5952" s="16">
        <f>IFERROR(__xludf.DUMMYFUNCTION("""COMPUTED_VALUE"""),63.0)</f>
        <v>63</v>
      </c>
      <c r="F5952" s="19" t="str">
        <f>IFERROR(__xludf.DUMMYFUNCTION("""COMPUTED_VALUE"""),"BLUE")</f>
        <v>BLUE</v>
      </c>
      <c r="G5952" s="20" t="str">
        <f>IFERROR(__xludf.DUMMYFUNCTION("""COMPUTED_VALUE"""),"Uncle Sams Cider (11/12/2021) (Blue)")</f>
        <v>Uncle Sams Cider (11/12/2021) (Blue)</v>
      </c>
      <c r="H5952" s="19"/>
    </row>
    <row r="5953">
      <c r="A5953" s="9"/>
      <c r="B5953" s="15"/>
      <c r="C5953" s="9">
        <f>IFERROR(__xludf.DUMMYFUNCTION("""COMPUTED_VALUE"""),44543.1035498842)</f>
        <v>44543.10355</v>
      </c>
      <c r="D5953" s="15">
        <f>IFERROR(__xludf.DUMMYFUNCTION("""COMPUTED_VALUE"""),1.016)</f>
        <v>1.016</v>
      </c>
      <c r="E5953" s="16">
        <f>IFERROR(__xludf.DUMMYFUNCTION("""COMPUTED_VALUE"""),62.0)</f>
        <v>62</v>
      </c>
      <c r="F5953" s="19" t="str">
        <f>IFERROR(__xludf.DUMMYFUNCTION("""COMPUTED_VALUE"""),"BLUE")</f>
        <v>BLUE</v>
      </c>
      <c r="G5953" s="20" t="str">
        <f>IFERROR(__xludf.DUMMYFUNCTION("""COMPUTED_VALUE"""),"Uncle Sams Cider (11/12/2021) (Blue)")</f>
        <v>Uncle Sams Cider (11/12/2021) (Blue)</v>
      </c>
      <c r="H5953" s="19"/>
    </row>
    <row r="5954">
      <c r="A5954" s="9"/>
      <c r="B5954" s="15"/>
      <c r="C5954" s="9">
        <f>IFERROR(__xludf.DUMMYFUNCTION("""COMPUTED_VALUE"""),44543.0931276041)</f>
        <v>44543.09313</v>
      </c>
      <c r="D5954" s="15">
        <f>IFERROR(__xludf.DUMMYFUNCTION("""COMPUTED_VALUE"""),1.016)</f>
        <v>1.016</v>
      </c>
      <c r="E5954" s="16">
        <f>IFERROR(__xludf.DUMMYFUNCTION("""COMPUTED_VALUE"""),63.0)</f>
        <v>63</v>
      </c>
      <c r="F5954" s="19" t="str">
        <f>IFERROR(__xludf.DUMMYFUNCTION("""COMPUTED_VALUE"""),"BLUE")</f>
        <v>BLUE</v>
      </c>
      <c r="G5954" s="20" t="str">
        <f>IFERROR(__xludf.DUMMYFUNCTION("""COMPUTED_VALUE"""),"Uncle Sams Cider (11/12/2021) (Blue)")</f>
        <v>Uncle Sams Cider (11/12/2021) (Blue)</v>
      </c>
      <c r="H5954" s="19"/>
    </row>
    <row r="5955">
      <c r="A5955" s="9"/>
      <c r="B5955" s="15"/>
      <c r="C5955" s="9">
        <f>IFERROR(__xludf.DUMMYFUNCTION("""COMPUTED_VALUE"""),44543.082706574)</f>
        <v>44543.08271</v>
      </c>
      <c r="D5955" s="15">
        <f>IFERROR(__xludf.DUMMYFUNCTION("""COMPUTED_VALUE"""),1.016)</f>
        <v>1.016</v>
      </c>
      <c r="E5955" s="16">
        <f>IFERROR(__xludf.DUMMYFUNCTION("""COMPUTED_VALUE"""),63.0)</f>
        <v>63</v>
      </c>
      <c r="F5955" s="19" t="str">
        <f>IFERROR(__xludf.DUMMYFUNCTION("""COMPUTED_VALUE"""),"BLUE")</f>
        <v>BLUE</v>
      </c>
      <c r="G5955" s="20" t="str">
        <f>IFERROR(__xludf.DUMMYFUNCTION("""COMPUTED_VALUE"""),"Uncle Sams Cider (11/12/2021) (Blue)")</f>
        <v>Uncle Sams Cider (11/12/2021) (Blue)</v>
      </c>
      <c r="H5955" s="19"/>
    </row>
    <row r="5956">
      <c r="A5956" s="9"/>
      <c r="B5956" s="15"/>
      <c r="C5956" s="9">
        <f>IFERROR(__xludf.DUMMYFUNCTION("""COMPUTED_VALUE"""),44543.0722838888)</f>
        <v>44543.07228</v>
      </c>
      <c r="D5956" s="15">
        <f>IFERROR(__xludf.DUMMYFUNCTION("""COMPUTED_VALUE"""),1.016)</f>
        <v>1.016</v>
      </c>
      <c r="E5956" s="16">
        <f>IFERROR(__xludf.DUMMYFUNCTION("""COMPUTED_VALUE"""),63.0)</f>
        <v>63</v>
      </c>
      <c r="F5956" s="19" t="str">
        <f>IFERROR(__xludf.DUMMYFUNCTION("""COMPUTED_VALUE"""),"BLUE")</f>
        <v>BLUE</v>
      </c>
      <c r="G5956" s="20" t="str">
        <f>IFERROR(__xludf.DUMMYFUNCTION("""COMPUTED_VALUE"""),"Uncle Sams Cider (11/12/2021) (Blue)")</f>
        <v>Uncle Sams Cider (11/12/2021) (Blue)</v>
      </c>
      <c r="H5956" s="19"/>
    </row>
    <row r="5957">
      <c r="A5957" s="9"/>
      <c r="B5957" s="15"/>
      <c r="C5957" s="9">
        <f>IFERROR(__xludf.DUMMYFUNCTION("""COMPUTED_VALUE"""),44543.0618603587)</f>
        <v>44543.06186</v>
      </c>
      <c r="D5957" s="15">
        <f>IFERROR(__xludf.DUMMYFUNCTION("""COMPUTED_VALUE"""),1.016)</f>
        <v>1.016</v>
      </c>
      <c r="E5957" s="16">
        <f>IFERROR(__xludf.DUMMYFUNCTION("""COMPUTED_VALUE"""),63.0)</f>
        <v>63</v>
      </c>
      <c r="F5957" s="19" t="str">
        <f>IFERROR(__xludf.DUMMYFUNCTION("""COMPUTED_VALUE"""),"BLUE")</f>
        <v>BLUE</v>
      </c>
      <c r="G5957" s="20" t="str">
        <f>IFERROR(__xludf.DUMMYFUNCTION("""COMPUTED_VALUE"""),"Uncle Sams Cider (11/12/2021) (Blue)")</f>
        <v>Uncle Sams Cider (11/12/2021) (Blue)</v>
      </c>
      <c r="H5957" s="19"/>
    </row>
    <row r="5958">
      <c r="A5958" s="9"/>
      <c r="B5958" s="15"/>
      <c r="C5958" s="9">
        <f>IFERROR(__xludf.DUMMYFUNCTION("""COMPUTED_VALUE"""),44543.0514389236)</f>
        <v>44543.05144</v>
      </c>
      <c r="D5958" s="15">
        <f>IFERROR(__xludf.DUMMYFUNCTION("""COMPUTED_VALUE"""),1.016)</f>
        <v>1.016</v>
      </c>
      <c r="E5958" s="16">
        <f>IFERROR(__xludf.DUMMYFUNCTION("""COMPUTED_VALUE"""),63.0)</f>
        <v>63</v>
      </c>
      <c r="F5958" s="19" t="str">
        <f>IFERROR(__xludf.DUMMYFUNCTION("""COMPUTED_VALUE"""),"BLUE")</f>
        <v>BLUE</v>
      </c>
      <c r="G5958" s="20" t="str">
        <f>IFERROR(__xludf.DUMMYFUNCTION("""COMPUTED_VALUE"""),"Uncle Sams Cider (11/12/2021) (Blue)")</f>
        <v>Uncle Sams Cider (11/12/2021) (Blue)</v>
      </c>
      <c r="H5958" s="19"/>
    </row>
    <row r="5959">
      <c r="A5959" s="9"/>
      <c r="B5959" s="15"/>
      <c r="C5959" s="9">
        <f>IFERROR(__xludf.DUMMYFUNCTION("""COMPUTED_VALUE"""),44543.0410079166)</f>
        <v>44543.04101</v>
      </c>
      <c r="D5959" s="15">
        <f>IFERROR(__xludf.DUMMYFUNCTION("""COMPUTED_VALUE"""),1.016)</f>
        <v>1.016</v>
      </c>
      <c r="E5959" s="16">
        <f>IFERROR(__xludf.DUMMYFUNCTION("""COMPUTED_VALUE"""),63.0)</f>
        <v>63</v>
      </c>
      <c r="F5959" s="19" t="str">
        <f>IFERROR(__xludf.DUMMYFUNCTION("""COMPUTED_VALUE"""),"BLUE")</f>
        <v>BLUE</v>
      </c>
      <c r="G5959" s="20" t="str">
        <f>IFERROR(__xludf.DUMMYFUNCTION("""COMPUTED_VALUE"""),"Uncle Sams Cider (11/12/2021) (Blue)")</f>
        <v>Uncle Sams Cider (11/12/2021) (Blue)</v>
      </c>
      <c r="H5959" s="19"/>
    </row>
    <row r="5960">
      <c r="A5960" s="9"/>
      <c r="B5960" s="15"/>
      <c r="C5960" s="9">
        <f>IFERROR(__xludf.DUMMYFUNCTION("""COMPUTED_VALUE"""),44543.0305855555)</f>
        <v>44543.03059</v>
      </c>
      <c r="D5960" s="15">
        <f>IFERROR(__xludf.DUMMYFUNCTION("""COMPUTED_VALUE"""),1.016)</f>
        <v>1.016</v>
      </c>
      <c r="E5960" s="16">
        <f>IFERROR(__xludf.DUMMYFUNCTION("""COMPUTED_VALUE"""),63.0)</f>
        <v>63</v>
      </c>
      <c r="F5960" s="19" t="str">
        <f>IFERROR(__xludf.DUMMYFUNCTION("""COMPUTED_VALUE"""),"BLUE")</f>
        <v>BLUE</v>
      </c>
      <c r="G5960" s="20" t="str">
        <f>IFERROR(__xludf.DUMMYFUNCTION("""COMPUTED_VALUE"""),"Uncle Sams Cider (11/12/2021) (Blue)")</f>
        <v>Uncle Sams Cider (11/12/2021) (Blue)</v>
      </c>
      <c r="H5960" s="19"/>
    </row>
    <row r="5961">
      <c r="A5961" s="9"/>
      <c r="B5961" s="15"/>
      <c r="C5961" s="9">
        <f>IFERROR(__xludf.DUMMYFUNCTION("""COMPUTED_VALUE"""),44543.020163368)</f>
        <v>44543.02016</v>
      </c>
      <c r="D5961" s="15">
        <f>IFERROR(__xludf.DUMMYFUNCTION("""COMPUTED_VALUE"""),1.016)</f>
        <v>1.016</v>
      </c>
      <c r="E5961" s="16">
        <f>IFERROR(__xludf.DUMMYFUNCTION("""COMPUTED_VALUE"""),63.0)</f>
        <v>63</v>
      </c>
      <c r="F5961" s="19" t="str">
        <f>IFERROR(__xludf.DUMMYFUNCTION("""COMPUTED_VALUE"""),"BLUE")</f>
        <v>BLUE</v>
      </c>
      <c r="G5961" s="20" t="str">
        <f>IFERROR(__xludf.DUMMYFUNCTION("""COMPUTED_VALUE"""),"Uncle Sams Cider (11/12/2021) (Blue)")</f>
        <v>Uncle Sams Cider (11/12/2021) (Blue)</v>
      </c>
      <c r="H5961" s="19"/>
    </row>
    <row r="5962">
      <c r="A5962" s="9"/>
      <c r="B5962" s="15"/>
      <c r="C5962" s="9">
        <f>IFERROR(__xludf.DUMMYFUNCTION("""COMPUTED_VALUE"""),44543.0097082986)</f>
        <v>44543.00971</v>
      </c>
      <c r="D5962" s="15">
        <f>IFERROR(__xludf.DUMMYFUNCTION("""COMPUTED_VALUE"""),1.016)</f>
        <v>1.016</v>
      </c>
      <c r="E5962" s="16">
        <f>IFERROR(__xludf.DUMMYFUNCTION("""COMPUTED_VALUE"""),63.0)</f>
        <v>63</v>
      </c>
      <c r="F5962" s="19" t="str">
        <f>IFERROR(__xludf.DUMMYFUNCTION("""COMPUTED_VALUE"""),"BLUE")</f>
        <v>BLUE</v>
      </c>
      <c r="G5962" s="20" t="str">
        <f>IFERROR(__xludf.DUMMYFUNCTION("""COMPUTED_VALUE"""),"Uncle Sams Cider (11/12/2021) (Blue)")</f>
        <v>Uncle Sams Cider (11/12/2021) (Blue)</v>
      </c>
      <c r="H5962" s="19"/>
    </row>
    <row r="5963">
      <c r="A5963" s="9"/>
      <c r="B5963" s="15"/>
      <c r="C5963" s="9">
        <f>IFERROR(__xludf.DUMMYFUNCTION("""COMPUTED_VALUE"""),44542.9992870486)</f>
        <v>44542.99929</v>
      </c>
      <c r="D5963" s="15">
        <f>IFERROR(__xludf.DUMMYFUNCTION("""COMPUTED_VALUE"""),1.016)</f>
        <v>1.016</v>
      </c>
      <c r="E5963" s="16">
        <f>IFERROR(__xludf.DUMMYFUNCTION("""COMPUTED_VALUE"""),63.0)</f>
        <v>63</v>
      </c>
      <c r="F5963" s="19" t="str">
        <f>IFERROR(__xludf.DUMMYFUNCTION("""COMPUTED_VALUE"""),"BLUE")</f>
        <v>BLUE</v>
      </c>
      <c r="G5963" s="20" t="str">
        <f>IFERROR(__xludf.DUMMYFUNCTION("""COMPUTED_VALUE"""),"Uncle Sams Cider (11/12/2021) (Blue)")</f>
        <v>Uncle Sams Cider (11/12/2021) (Blue)</v>
      </c>
      <c r="H5963" s="19"/>
    </row>
    <row r="5964">
      <c r="A5964" s="9"/>
      <c r="B5964" s="15"/>
      <c r="C5964" s="9">
        <f>IFERROR(__xludf.DUMMYFUNCTION("""COMPUTED_VALUE"""),44542.9888651736)</f>
        <v>44542.98887</v>
      </c>
      <c r="D5964" s="15">
        <f>IFERROR(__xludf.DUMMYFUNCTION("""COMPUTED_VALUE"""),1.016)</f>
        <v>1.016</v>
      </c>
      <c r="E5964" s="16">
        <f>IFERROR(__xludf.DUMMYFUNCTION("""COMPUTED_VALUE"""),63.0)</f>
        <v>63</v>
      </c>
      <c r="F5964" s="19" t="str">
        <f>IFERROR(__xludf.DUMMYFUNCTION("""COMPUTED_VALUE"""),"BLUE")</f>
        <v>BLUE</v>
      </c>
      <c r="G5964" s="20" t="str">
        <f>IFERROR(__xludf.DUMMYFUNCTION("""COMPUTED_VALUE"""),"Uncle Sams Cider (11/12/2021) (Blue)")</f>
        <v>Uncle Sams Cider (11/12/2021) (Blue)</v>
      </c>
      <c r="H5964" s="19"/>
    </row>
    <row r="5965">
      <c r="A5965" s="9"/>
      <c r="B5965" s="15"/>
      <c r="C5965" s="9">
        <f>IFERROR(__xludf.DUMMYFUNCTION("""COMPUTED_VALUE"""),44542.9784339004)</f>
        <v>44542.97843</v>
      </c>
      <c r="D5965" s="15">
        <f>IFERROR(__xludf.DUMMYFUNCTION("""COMPUTED_VALUE"""),1.016)</f>
        <v>1.016</v>
      </c>
      <c r="E5965" s="16">
        <f>IFERROR(__xludf.DUMMYFUNCTION("""COMPUTED_VALUE"""),63.0)</f>
        <v>63</v>
      </c>
      <c r="F5965" s="19" t="str">
        <f>IFERROR(__xludf.DUMMYFUNCTION("""COMPUTED_VALUE"""),"BLUE")</f>
        <v>BLUE</v>
      </c>
      <c r="G5965" s="20" t="str">
        <f>IFERROR(__xludf.DUMMYFUNCTION("""COMPUTED_VALUE"""),"Uncle Sams Cider (11/12/2021) (Blue)")</f>
        <v>Uncle Sams Cider (11/12/2021) (Blue)</v>
      </c>
      <c r="H5965" s="19"/>
    </row>
    <row r="5966">
      <c r="A5966" s="9"/>
      <c r="B5966" s="15"/>
      <c r="C5966" s="9">
        <f>IFERROR(__xludf.DUMMYFUNCTION("""COMPUTED_VALUE"""),44542.9680118865)</f>
        <v>44542.96801</v>
      </c>
      <c r="D5966" s="15">
        <f>IFERROR(__xludf.DUMMYFUNCTION("""COMPUTED_VALUE"""),1.016)</f>
        <v>1.016</v>
      </c>
      <c r="E5966" s="16">
        <f>IFERROR(__xludf.DUMMYFUNCTION("""COMPUTED_VALUE"""),63.0)</f>
        <v>63</v>
      </c>
      <c r="F5966" s="19" t="str">
        <f>IFERROR(__xludf.DUMMYFUNCTION("""COMPUTED_VALUE"""),"BLUE")</f>
        <v>BLUE</v>
      </c>
      <c r="G5966" s="20" t="str">
        <f>IFERROR(__xludf.DUMMYFUNCTION("""COMPUTED_VALUE"""),"Uncle Sams Cider (11/12/2021) (Blue)")</f>
        <v>Uncle Sams Cider (11/12/2021) (Blue)</v>
      </c>
      <c r="H5966" s="19"/>
    </row>
    <row r="5967">
      <c r="A5967" s="9"/>
      <c r="B5967" s="15"/>
      <c r="C5967" s="9">
        <f>IFERROR(__xludf.DUMMYFUNCTION("""COMPUTED_VALUE"""),44542.9575906018)</f>
        <v>44542.95759</v>
      </c>
      <c r="D5967" s="15">
        <f>IFERROR(__xludf.DUMMYFUNCTION("""COMPUTED_VALUE"""),1.016)</f>
        <v>1.016</v>
      </c>
      <c r="E5967" s="16">
        <f>IFERROR(__xludf.DUMMYFUNCTION("""COMPUTED_VALUE"""),63.0)</f>
        <v>63</v>
      </c>
      <c r="F5967" s="19" t="str">
        <f>IFERROR(__xludf.DUMMYFUNCTION("""COMPUTED_VALUE"""),"BLUE")</f>
        <v>BLUE</v>
      </c>
      <c r="G5967" s="20" t="str">
        <f>IFERROR(__xludf.DUMMYFUNCTION("""COMPUTED_VALUE"""),"Uncle Sams Cider (11/12/2021) (Blue)")</f>
        <v>Uncle Sams Cider (11/12/2021) (Blue)</v>
      </c>
      <c r="H5967" s="19"/>
    </row>
    <row r="5968">
      <c r="A5968" s="9"/>
      <c r="B5968" s="15"/>
      <c r="C5968" s="9">
        <f>IFERROR(__xludf.DUMMYFUNCTION("""COMPUTED_VALUE"""),44542.9471695138)</f>
        <v>44542.94717</v>
      </c>
      <c r="D5968" s="15">
        <f>IFERROR(__xludf.DUMMYFUNCTION("""COMPUTED_VALUE"""),1.016)</f>
        <v>1.016</v>
      </c>
      <c r="E5968" s="16">
        <f>IFERROR(__xludf.DUMMYFUNCTION("""COMPUTED_VALUE"""),63.0)</f>
        <v>63</v>
      </c>
      <c r="F5968" s="19" t="str">
        <f>IFERROR(__xludf.DUMMYFUNCTION("""COMPUTED_VALUE"""),"BLUE")</f>
        <v>BLUE</v>
      </c>
      <c r="G5968" s="20" t="str">
        <f>IFERROR(__xludf.DUMMYFUNCTION("""COMPUTED_VALUE"""),"Uncle Sams Cider (11/12/2021) (Blue)")</f>
        <v>Uncle Sams Cider (11/12/2021) (Blue)</v>
      </c>
      <c r="H5968" s="19"/>
    </row>
    <row r="5969">
      <c r="A5969" s="9"/>
      <c r="B5969" s="15"/>
      <c r="C5969" s="9">
        <f>IFERROR(__xludf.DUMMYFUNCTION("""COMPUTED_VALUE"""),44542.9367253356)</f>
        <v>44542.93673</v>
      </c>
      <c r="D5969" s="15">
        <f>IFERROR(__xludf.DUMMYFUNCTION("""COMPUTED_VALUE"""),1.016)</f>
        <v>1.016</v>
      </c>
      <c r="E5969" s="16">
        <f>IFERROR(__xludf.DUMMYFUNCTION("""COMPUTED_VALUE"""),63.0)</f>
        <v>63</v>
      </c>
      <c r="F5969" s="19" t="str">
        <f>IFERROR(__xludf.DUMMYFUNCTION("""COMPUTED_VALUE"""),"BLUE")</f>
        <v>BLUE</v>
      </c>
      <c r="G5969" s="20" t="str">
        <f>IFERROR(__xludf.DUMMYFUNCTION("""COMPUTED_VALUE"""),"Uncle Sams Cider (11/12/2021) (Blue)")</f>
        <v>Uncle Sams Cider (11/12/2021) (Blue)</v>
      </c>
      <c r="H5969" s="19"/>
    </row>
    <row r="5970">
      <c r="A5970" s="9"/>
      <c r="B5970" s="15"/>
      <c r="C5970" s="9">
        <f>IFERROR(__xludf.DUMMYFUNCTION("""COMPUTED_VALUE"""),44542.9262807291)</f>
        <v>44542.92628</v>
      </c>
      <c r="D5970" s="15">
        <f>IFERROR(__xludf.DUMMYFUNCTION("""COMPUTED_VALUE"""),1.016)</f>
        <v>1.016</v>
      </c>
      <c r="E5970" s="16">
        <f>IFERROR(__xludf.DUMMYFUNCTION("""COMPUTED_VALUE"""),63.0)</f>
        <v>63</v>
      </c>
      <c r="F5970" s="19" t="str">
        <f>IFERROR(__xludf.DUMMYFUNCTION("""COMPUTED_VALUE"""),"BLUE")</f>
        <v>BLUE</v>
      </c>
      <c r="G5970" s="20" t="str">
        <f>IFERROR(__xludf.DUMMYFUNCTION("""COMPUTED_VALUE"""),"Uncle Sams Cider (11/12/2021) (Blue)")</f>
        <v>Uncle Sams Cider (11/12/2021) (Blue)</v>
      </c>
      <c r="H5970" s="19"/>
    </row>
    <row r="5971">
      <c r="A5971" s="9"/>
      <c r="B5971" s="15"/>
      <c r="C5971" s="9">
        <f>IFERROR(__xludf.DUMMYFUNCTION("""COMPUTED_VALUE"""),44542.9158495833)</f>
        <v>44542.91585</v>
      </c>
      <c r="D5971" s="15">
        <f>IFERROR(__xludf.DUMMYFUNCTION("""COMPUTED_VALUE"""),1.016)</f>
        <v>1.016</v>
      </c>
      <c r="E5971" s="16">
        <f>IFERROR(__xludf.DUMMYFUNCTION("""COMPUTED_VALUE"""),63.0)</f>
        <v>63</v>
      </c>
      <c r="F5971" s="19" t="str">
        <f>IFERROR(__xludf.DUMMYFUNCTION("""COMPUTED_VALUE"""),"BLUE")</f>
        <v>BLUE</v>
      </c>
      <c r="G5971" s="20" t="str">
        <f>IFERROR(__xludf.DUMMYFUNCTION("""COMPUTED_VALUE"""),"Uncle Sams Cider (11/12/2021) (Blue)")</f>
        <v>Uncle Sams Cider (11/12/2021) (Blue)</v>
      </c>
      <c r="H5971" s="19"/>
    </row>
    <row r="5972">
      <c r="A5972" s="9"/>
      <c r="B5972" s="15"/>
      <c r="C5972" s="9">
        <f>IFERROR(__xludf.DUMMYFUNCTION("""COMPUTED_VALUE"""),44542.9054273379)</f>
        <v>44542.90543</v>
      </c>
      <c r="D5972" s="15">
        <f>IFERROR(__xludf.DUMMYFUNCTION("""COMPUTED_VALUE"""),1.017)</f>
        <v>1.017</v>
      </c>
      <c r="E5972" s="16">
        <f>IFERROR(__xludf.DUMMYFUNCTION("""COMPUTED_VALUE"""),63.0)</f>
        <v>63</v>
      </c>
      <c r="F5972" s="19" t="str">
        <f>IFERROR(__xludf.DUMMYFUNCTION("""COMPUTED_VALUE"""),"BLUE")</f>
        <v>BLUE</v>
      </c>
      <c r="G5972" s="20" t="str">
        <f>IFERROR(__xludf.DUMMYFUNCTION("""COMPUTED_VALUE"""),"Uncle Sams Cider (11/12/2021) (Blue)")</f>
        <v>Uncle Sams Cider (11/12/2021) (Blue)</v>
      </c>
      <c r="H5972" s="19"/>
    </row>
    <row r="5973">
      <c r="A5973" s="9"/>
      <c r="B5973" s="15"/>
      <c r="C5973" s="9">
        <f>IFERROR(__xludf.DUMMYFUNCTION("""COMPUTED_VALUE"""),44542.8950059722)</f>
        <v>44542.89501</v>
      </c>
      <c r="D5973" s="15">
        <f>IFERROR(__xludf.DUMMYFUNCTION("""COMPUTED_VALUE"""),1.016)</f>
        <v>1.016</v>
      </c>
      <c r="E5973" s="16">
        <f>IFERROR(__xludf.DUMMYFUNCTION("""COMPUTED_VALUE"""),63.0)</f>
        <v>63</v>
      </c>
      <c r="F5973" s="19" t="str">
        <f>IFERROR(__xludf.DUMMYFUNCTION("""COMPUTED_VALUE"""),"BLUE")</f>
        <v>BLUE</v>
      </c>
      <c r="G5973" s="20" t="str">
        <f>IFERROR(__xludf.DUMMYFUNCTION("""COMPUTED_VALUE"""),"Uncle Sams Cider (11/12/2021) (Blue)")</f>
        <v>Uncle Sams Cider (11/12/2021) (Blue)</v>
      </c>
      <c r="H5973" s="19"/>
    </row>
    <row r="5974">
      <c r="A5974" s="9"/>
      <c r="B5974" s="15"/>
      <c r="C5974" s="9">
        <f>IFERROR(__xludf.DUMMYFUNCTION("""COMPUTED_VALUE"""),44542.8845846643)</f>
        <v>44542.88458</v>
      </c>
      <c r="D5974" s="15">
        <f>IFERROR(__xludf.DUMMYFUNCTION("""COMPUTED_VALUE"""),1.016)</f>
        <v>1.016</v>
      </c>
      <c r="E5974" s="16">
        <f>IFERROR(__xludf.DUMMYFUNCTION("""COMPUTED_VALUE"""),63.0)</f>
        <v>63</v>
      </c>
      <c r="F5974" s="19" t="str">
        <f>IFERROR(__xludf.DUMMYFUNCTION("""COMPUTED_VALUE"""),"BLUE")</f>
        <v>BLUE</v>
      </c>
      <c r="G5974" s="20" t="str">
        <f>IFERROR(__xludf.DUMMYFUNCTION("""COMPUTED_VALUE"""),"Uncle Sams Cider (11/12/2021) (Blue)")</f>
        <v>Uncle Sams Cider (11/12/2021) (Blue)</v>
      </c>
      <c r="H5974" s="19"/>
    </row>
    <row r="5975">
      <c r="A5975" s="9"/>
      <c r="B5975" s="15"/>
      <c r="C5975" s="9">
        <f>IFERROR(__xludf.DUMMYFUNCTION("""COMPUTED_VALUE"""),44542.8741501736)</f>
        <v>44542.87415</v>
      </c>
      <c r="D5975" s="15">
        <f>IFERROR(__xludf.DUMMYFUNCTION("""COMPUTED_VALUE"""),1.016)</f>
        <v>1.016</v>
      </c>
      <c r="E5975" s="16">
        <f>IFERROR(__xludf.DUMMYFUNCTION("""COMPUTED_VALUE"""),63.0)</f>
        <v>63</v>
      </c>
      <c r="F5975" s="19" t="str">
        <f>IFERROR(__xludf.DUMMYFUNCTION("""COMPUTED_VALUE"""),"BLUE")</f>
        <v>BLUE</v>
      </c>
      <c r="G5975" s="20" t="str">
        <f>IFERROR(__xludf.DUMMYFUNCTION("""COMPUTED_VALUE"""),"Uncle Sams Cider (11/12/2021) (Blue)")</f>
        <v>Uncle Sams Cider (11/12/2021) (Blue)</v>
      </c>
      <c r="H5975" s="19"/>
    </row>
    <row r="5976">
      <c r="A5976" s="9"/>
      <c r="B5976" s="15"/>
      <c r="C5976" s="9">
        <f>IFERROR(__xludf.DUMMYFUNCTION("""COMPUTED_VALUE"""),44542.8637302662)</f>
        <v>44542.86373</v>
      </c>
      <c r="D5976" s="15">
        <f>IFERROR(__xludf.DUMMYFUNCTION("""COMPUTED_VALUE"""),1.016)</f>
        <v>1.016</v>
      </c>
      <c r="E5976" s="16">
        <f>IFERROR(__xludf.DUMMYFUNCTION("""COMPUTED_VALUE"""),63.0)</f>
        <v>63</v>
      </c>
      <c r="F5976" s="19" t="str">
        <f>IFERROR(__xludf.DUMMYFUNCTION("""COMPUTED_VALUE"""),"BLUE")</f>
        <v>BLUE</v>
      </c>
      <c r="G5976" s="20" t="str">
        <f>IFERROR(__xludf.DUMMYFUNCTION("""COMPUTED_VALUE"""),"Uncle Sams Cider (11/12/2021) (Blue)")</f>
        <v>Uncle Sams Cider (11/12/2021) (Blue)</v>
      </c>
      <c r="H5976" s="19"/>
    </row>
    <row r="5977">
      <c r="A5977" s="9"/>
      <c r="B5977" s="15"/>
      <c r="C5977" s="9">
        <f>IFERROR(__xludf.DUMMYFUNCTION("""COMPUTED_VALUE"""),44542.8533085532)</f>
        <v>44542.85331</v>
      </c>
      <c r="D5977" s="15">
        <f>IFERROR(__xludf.DUMMYFUNCTION("""COMPUTED_VALUE"""),1.016)</f>
        <v>1.016</v>
      </c>
      <c r="E5977" s="16">
        <f>IFERROR(__xludf.DUMMYFUNCTION("""COMPUTED_VALUE"""),63.0)</f>
        <v>63</v>
      </c>
      <c r="F5977" s="19" t="str">
        <f>IFERROR(__xludf.DUMMYFUNCTION("""COMPUTED_VALUE"""),"BLUE")</f>
        <v>BLUE</v>
      </c>
      <c r="G5977" s="20" t="str">
        <f>IFERROR(__xludf.DUMMYFUNCTION("""COMPUTED_VALUE"""),"Uncle Sams Cider (11/12/2021) (Blue)")</f>
        <v>Uncle Sams Cider (11/12/2021) (Blue)</v>
      </c>
      <c r="H5977" s="19"/>
    </row>
    <row r="5978">
      <c r="A5978" s="9"/>
      <c r="B5978" s="15"/>
      <c r="C5978" s="9">
        <f>IFERROR(__xludf.DUMMYFUNCTION("""COMPUTED_VALUE"""),44542.8428886111)</f>
        <v>44542.84289</v>
      </c>
      <c r="D5978" s="15">
        <f>IFERROR(__xludf.DUMMYFUNCTION("""COMPUTED_VALUE"""),1.016)</f>
        <v>1.016</v>
      </c>
      <c r="E5978" s="16">
        <f>IFERROR(__xludf.DUMMYFUNCTION("""COMPUTED_VALUE"""),63.0)</f>
        <v>63</v>
      </c>
      <c r="F5978" s="19" t="str">
        <f>IFERROR(__xludf.DUMMYFUNCTION("""COMPUTED_VALUE"""),"BLUE")</f>
        <v>BLUE</v>
      </c>
      <c r="G5978" s="20" t="str">
        <f>IFERROR(__xludf.DUMMYFUNCTION("""COMPUTED_VALUE"""),"Uncle Sams Cider (11/12/2021) (Blue)")</f>
        <v>Uncle Sams Cider (11/12/2021) (Blue)</v>
      </c>
      <c r="H5978" s="19"/>
    </row>
    <row r="5979">
      <c r="A5979" s="9"/>
      <c r="B5979" s="15"/>
      <c r="C5979" s="9">
        <f>IFERROR(__xludf.DUMMYFUNCTION("""COMPUTED_VALUE"""),44542.8324695023)</f>
        <v>44542.83247</v>
      </c>
      <c r="D5979" s="15">
        <f>IFERROR(__xludf.DUMMYFUNCTION("""COMPUTED_VALUE"""),1.016)</f>
        <v>1.016</v>
      </c>
      <c r="E5979" s="16">
        <f>IFERROR(__xludf.DUMMYFUNCTION("""COMPUTED_VALUE"""),63.0)</f>
        <v>63</v>
      </c>
      <c r="F5979" s="19" t="str">
        <f>IFERROR(__xludf.DUMMYFUNCTION("""COMPUTED_VALUE"""),"BLUE")</f>
        <v>BLUE</v>
      </c>
      <c r="G5979" s="20" t="str">
        <f>IFERROR(__xludf.DUMMYFUNCTION("""COMPUTED_VALUE"""),"Uncle Sams Cider (11/12/2021) (Blue)")</f>
        <v>Uncle Sams Cider (11/12/2021) (Blue)</v>
      </c>
      <c r="H5979" s="19"/>
    </row>
    <row r="5980">
      <c r="A5980" s="9"/>
      <c r="B5980" s="15"/>
      <c r="C5980" s="9">
        <f>IFERROR(__xludf.DUMMYFUNCTION("""COMPUTED_VALUE"""),44542.8220484953)</f>
        <v>44542.82205</v>
      </c>
      <c r="D5980" s="15">
        <f>IFERROR(__xludf.DUMMYFUNCTION("""COMPUTED_VALUE"""),1.016)</f>
        <v>1.016</v>
      </c>
      <c r="E5980" s="16">
        <f>IFERROR(__xludf.DUMMYFUNCTION("""COMPUTED_VALUE"""),63.0)</f>
        <v>63</v>
      </c>
      <c r="F5980" s="19" t="str">
        <f>IFERROR(__xludf.DUMMYFUNCTION("""COMPUTED_VALUE"""),"BLUE")</f>
        <v>BLUE</v>
      </c>
      <c r="G5980" s="20" t="str">
        <f>IFERROR(__xludf.DUMMYFUNCTION("""COMPUTED_VALUE"""),"Uncle Sams Cider (11/12/2021) (Blue)")</f>
        <v>Uncle Sams Cider (11/12/2021) (Blue)</v>
      </c>
      <c r="H5980" s="19"/>
    </row>
    <row r="5981">
      <c r="A5981" s="9"/>
      <c r="B5981" s="15"/>
      <c r="C5981" s="9">
        <f>IFERROR(__xludf.DUMMYFUNCTION("""COMPUTED_VALUE"""),44542.8116263078)</f>
        <v>44542.81163</v>
      </c>
      <c r="D5981" s="15">
        <f>IFERROR(__xludf.DUMMYFUNCTION("""COMPUTED_VALUE"""),1.016)</f>
        <v>1.016</v>
      </c>
      <c r="E5981" s="16">
        <f>IFERROR(__xludf.DUMMYFUNCTION("""COMPUTED_VALUE"""),63.0)</f>
        <v>63</v>
      </c>
      <c r="F5981" s="19" t="str">
        <f>IFERROR(__xludf.DUMMYFUNCTION("""COMPUTED_VALUE"""),"BLUE")</f>
        <v>BLUE</v>
      </c>
      <c r="G5981" s="20" t="str">
        <f>IFERROR(__xludf.DUMMYFUNCTION("""COMPUTED_VALUE"""),"Uncle Sams Cider (11/12/2021) (Blue)")</f>
        <v>Uncle Sams Cider (11/12/2021) (Blue)</v>
      </c>
      <c r="H5981" s="19"/>
    </row>
    <row r="5982">
      <c r="A5982" s="9"/>
      <c r="B5982" s="15"/>
      <c r="C5982" s="9">
        <f>IFERROR(__xludf.DUMMYFUNCTION("""COMPUTED_VALUE"""),44542.8012059606)</f>
        <v>44542.80121</v>
      </c>
      <c r="D5982" s="15">
        <f>IFERROR(__xludf.DUMMYFUNCTION("""COMPUTED_VALUE"""),1.017)</f>
        <v>1.017</v>
      </c>
      <c r="E5982" s="16">
        <f>IFERROR(__xludf.DUMMYFUNCTION("""COMPUTED_VALUE"""),63.0)</f>
        <v>63</v>
      </c>
      <c r="F5982" s="19" t="str">
        <f>IFERROR(__xludf.DUMMYFUNCTION("""COMPUTED_VALUE"""),"BLUE")</f>
        <v>BLUE</v>
      </c>
      <c r="G5982" s="20" t="str">
        <f>IFERROR(__xludf.DUMMYFUNCTION("""COMPUTED_VALUE"""),"Uncle Sams Cider (11/12/2021) (Blue)")</f>
        <v>Uncle Sams Cider (11/12/2021) (Blue)</v>
      </c>
      <c r="H5982" s="19"/>
    </row>
    <row r="5983">
      <c r="A5983" s="9"/>
      <c r="B5983" s="15"/>
      <c r="C5983" s="9">
        <f>IFERROR(__xludf.DUMMYFUNCTION("""COMPUTED_VALUE"""),44542.7907852314)</f>
        <v>44542.79079</v>
      </c>
      <c r="D5983" s="15">
        <f>IFERROR(__xludf.DUMMYFUNCTION("""COMPUTED_VALUE"""),1.016)</f>
        <v>1.016</v>
      </c>
      <c r="E5983" s="16">
        <f>IFERROR(__xludf.DUMMYFUNCTION("""COMPUTED_VALUE"""),63.0)</f>
        <v>63</v>
      </c>
      <c r="F5983" s="19" t="str">
        <f>IFERROR(__xludf.DUMMYFUNCTION("""COMPUTED_VALUE"""),"BLUE")</f>
        <v>BLUE</v>
      </c>
      <c r="G5983" s="20" t="str">
        <f>IFERROR(__xludf.DUMMYFUNCTION("""COMPUTED_VALUE"""),"Uncle Sams Cider (11/12/2021) (Blue)")</f>
        <v>Uncle Sams Cider (11/12/2021) (Blue)</v>
      </c>
      <c r="H5983" s="19"/>
    </row>
    <row r="5984">
      <c r="A5984" s="9"/>
      <c r="B5984" s="15"/>
      <c r="C5984" s="9">
        <f>IFERROR(__xludf.DUMMYFUNCTION("""COMPUTED_VALUE"""),44542.780363912)</f>
        <v>44542.78036</v>
      </c>
      <c r="D5984" s="15">
        <f>IFERROR(__xludf.DUMMYFUNCTION("""COMPUTED_VALUE"""),1.016)</f>
        <v>1.016</v>
      </c>
      <c r="E5984" s="16">
        <f>IFERROR(__xludf.DUMMYFUNCTION("""COMPUTED_VALUE"""),63.0)</f>
        <v>63</v>
      </c>
      <c r="F5984" s="19" t="str">
        <f>IFERROR(__xludf.DUMMYFUNCTION("""COMPUTED_VALUE"""),"BLUE")</f>
        <v>BLUE</v>
      </c>
      <c r="G5984" s="20" t="str">
        <f>IFERROR(__xludf.DUMMYFUNCTION("""COMPUTED_VALUE"""),"Uncle Sams Cider (11/12/2021) (Blue)")</f>
        <v>Uncle Sams Cider (11/12/2021) (Blue)</v>
      </c>
      <c r="H5984" s="19"/>
    </row>
    <row r="5985">
      <c r="A5985" s="9"/>
      <c r="B5985" s="15"/>
      <c r="C5985" s="9">
        <f>IFERROR(__xludf.DUMMYFUNCTION("""COMPUTED_VALUE"""),44542.769933125)</f>
        <v>44542.76993</v>
      </c>
      <c r="D5985" s="15">
        <f>IFERROR(__xludf.DUMMYFUNCTION("""COMPUTED_VALUE"""),1.016)</f>
        <v>1.016</v>
      </c>
      <c r="E5985" s="16">
        <f>IFERROR(__xludf.DUMMYFUNCTION("""COMPUTED_VALUE"""),63.0)</f>
        <v>63</v>
      </c>
      <c r="F5985" s="19" t="str">
        <f>IFERROR(__xludf.DUMMYFUNCTION("""COMPUTED_VALUE"""),"BLUE")</f>
        <v>BLUE</v>
      </c>
      <c r="G5985" s="20" t="str">
        <f>IFERROR(__xludf.DUMMYFUNCTION("""COMPUTED_VALUE"""),"Uncle Sams Cider (11/12/2021) (Blue)")</f>
        <v>Uncle Sams Cider (11/12/2021) (Blue)</v>
      </c>
      <c r="H5985" s="19"/>
    </row>
    <row r="5986">
      <c r="A5986" s="9"/>
      <c r="B5986" s="15"/>
      <c r="C5986" s="9">
        <f>IFERROR(__xludf.DUMMYFUNCTION("""COMPUTED_VALUE"""),44542.7595112615)</f>
        <v>44542.75951</v>
      </c>
      <c r="D5986" s="15">
        <f>IFERROR(__xludf.DUMMYFUNCTION("""COMPUTED_VALUE"""),1.016)</f>
        <v>1.016</v>
      </c>
      <c r="E5986" s="16">
        <f>IFERROR(__xludf.DUMMYFUNCTION("""COMPUTED_VALUE"""),63.0)</f>
        <v>63</v>
      </c>
      <c r="F5986" s="19" t="str">
        <f>IFERROR(__xludf.DUMMYFUNCTION("""COMPUTED_VALUE"""),"BLUE")</f>
        <v>BLUE</v>
      </c>
      <c r="G5986" s="20" t="str">
        <f>IFERROR(__xludf.DUMMYFUNCTION("""COMPUTED_VALUE"""),"Uncle Sams Cider (11/12/2021) (Blue)")</f>
        <v>Uncle Sams Cider (11/12/2021) (Blue)</v>
      </c>
      <c r="H5986" s="19"/>
    </row>
    <row r="5987">
      <c r="A5987" s="9"/>
      <c r="B5987" s="15"/>
      <c r="C5987" s="9">
        <f>IFERROR(__xludf.DUMMYFUNCTION("""COMPUTED_VALUE"""),44542.749090868)</f>
        <v>44542.74909</v>
      </c>
      <c r="D5987" s="15">
        <f>IFERROR(__xludf.DUMMYFUNCTION("""COMPUTED_VALUE"""),1.016)</f>
        <v>1.016</v>
      </c>
      <c r="E5987" s="16">
        <f>IFERROR(__xludf.DUMMYFUNCTION("""COMPUTED_VALUE"""),63.0)</f>
        <v>63</v>
      </c>
      <c r="F5987" s="19" t="str">
        <f>IFERROR(__xludf.DUMMYFUNCTION("""COMPUTED_VALUE"""),"BLUE")</f>
        <v>BLUE</v>
      </c>
      <c r="G5987" s="20" t="str">
        <f>IFERROR(__xludf.DUMMYFUNCTION("""COMPUTED_VALUE"""),"Uncle Sams Cider (11/12/2021) (Blue)")</f>
        <v>Uncle Sams Cider (11/12/2021) (Blue)</v>
      </c>
      <c r="H5987" s="19"/>
    </row>
    <row r="5988">
      <c r="A5988" s="9"/>
      <c r="B5988" s="15"/>
      <c r="C5988" s="9">
        <f>IFERROR(__xludf.DUMMYFUNCTION("""COMPUTED_VALUE"""),44542.7386570949)</f>
        <v>44542.73866</v>
      </c>
      <c r="D5988" s="15">
        <f>IFERROR(__xludf.DUMMYFUNCTION("""COMPUTED_VALUE"""),1.016)</f>
        <v>1.016</v>
      </c>
      <c r="E5988" s="16">
        <f>IFERROR(__xludf.DUMMYFUNCTION("""COMPUTED_VALUE"""),63.0)</f>
        <v>63</v>
      </c>
      <c r="F5988" s="19" t="str">
        <f>IFERROR(__xludf.DUMMYFUNCTION("""COMPUTED_VALUE"""),"BLUE")</f>
        <v>BLUE</v>
      </c>
      <c r="G5988" s="20" t="str">
        <f>IFERROR(__xludf.DUMMYFUNCTION("""COMPUTED_VALUE"""),"Uncle Sams Cider (11/12/2021) (Blue)")</f>
        <v>Uncle Sams Cider (11/12/2021) (Blue)</v>
      </c>
      <c r="H5988" s="19"/>
    </row>
    <row r="5989">
      <c r="A5989" s="9"/>
      <c r="B5989" s="15"/>
      <c r="C5989" s="9">
        <f>IFERROR(__xludf.DUMMYFUNCTION("""COMPUTED_VALUE"""),44542.7282115856)</f>
        <v>44542.72821</v>
      </c>
      <c r="D5989" s="15">
        <f>IFERROR(__xludf.DUMMYFUNCTION("""COMPUTED_VALUE"""),1.016)</f>
        <v>1.016</v>
      </c>
      <c r="E5989" s="16">
        <f>IFERROR(__xludf.DUMMYFUNCTION("""COMPUTED_VALUE"""),63.0)</f>
        <v>63</v>
      </c>
      <c r="F5989" s="19" t="str">
        <f>IFERROR(__xludf.DUMMYFUNCTION("""COMPUTED_VALUE"""),"BLUE")</f>
        <v>BLUE</v>
      </c>
      <c r="G5989" s="20" t="str">
        <f>IFERROR(__xludf.DUMMYFUNCTION("""COMPUTED_VALUE"""),"Uncle Sams Cider (11/12/2021) (Blue)")</f>
        <v>Uncle Sams Cider (11/12/2021) (Blue)</v>
      </c>
      <c r="H5989" s="19"/>
    </row>
    <row r="5990">
      <c r="A5990" s="9"/>
      <c r="B5990" s="15"/>
      <c r="C5990" s="9">
        <f>IFERROR(__xludf.DUMMYFUNCTION("""COMPUTED_VALUE"""),44542.7177899884)</f>
        <v>44542.71779</v>
      </c>
      <c r="D5990" s="15">
        <f>IFERROR(__xludf.DUMMYFUNCTION("""COMPUTED_VALUE"""),1.016)</f>
        <v>1.016</v>
      </c>
      <c r="E5990" s="16">
        <f>IFERROR(__xludf.DUMMYFUNCTION("""COMPUTED_VALUE"""),63.0)</f>
        <v>63</v>
      </c>
      <c r="F5990" s="19" t="str">
        <f>IFERROR(__xludf.DUMMYFUNCTION("""COMPUTED_VALUE"""),"BLUE")</f>
        <v>BLUE</v>
      </c>
      <c r="G5990" s="20" t="str">
        <f>IFERROR(__xludf.DUMMYFUNCTION("""COMPUTED_VALUE"""),"Uncle Sams Cider (11/12/2021) (Blue)")</f>
        <v>Uncle Sams Cider (11/12/2021) (Blue)</v>
      </c>
      <c r="H5990" s="19"/>
    </row>
    <row r="5991">
      <c r="A5991" s="9"/>
      <c r="B5991" s="15"/>
      <c r="C5991" s="9">
        <f>IFERROR(__xludf.DUMMYFUNCTION("""COMPUTED_VALUE"""),44542.7073591782)</f>
        <v>44542.70736</v>
      </c>
      <c r="D5991" s="15">
        <f>IFERROR(__xludf.DUMMYFUNCTION("""COMPUTED_VALUE"""),1.016)</f>
        <v>1.016</v>
      </c>
      <c r="E5991" s="16">
        <f>IFERROR(__xludf.DUMMYFUNCTION("""COMPUTED_VALUE"""),63.0)</f>
        <v>63</v>
      </c>
      <c r="F5991" s="19" t="str">
        <f>IFERROR(__xludf.DUMMYFUNCTION("""COMPUTED_VALUE"""),"BLUE")</f>
        <v>BLUE</v>
      </c>
      <c r="G5991" s="20" t="str">
        <f>IFERROR(__xludf.DUMMYFUNCTION("""COMPUTED_VALUE"""),"Uncle Sams Cider (11/12/2021) (Blue)")</f>
        <v>Uncle Sams Cider (11/12/2021) (Blue)</v>
      </c>
      <c r="H5991" s="19"/>
    </row>
    <row r="5992">
      <c r="A5992" s="9"/>
      <c r="B5992" s="15"/>
      <c r="C5992" s="9">
        <f>IFERROR(__xludf.DUMMYFUNCTION("""COMPUTED_VALUE"""),44542.6969270138)</f>
        <v>44542.69693</v>
      </c>
      <c r="D5992" s="15">
        <f>IFERROR(__xludf.DUMMYFUNCTION("""COMPUTED_VALUE"""),1.016)</f>
        <v>1.016</v>
      </c>
      <c r="E5992" s="16">
        <f>IFERROR(__xludf.DUMMYFUNCTION("""COMPUTED_VALUE"""),63.0)</f>
        <v>63</v>
      </c>
      <c r="F5992" s="19" t="str">
        <f>IFERROR(__xludf.DUMMYFUNCTION("""COMPUTED_VALUE"""),"BLUE")</f>
        <v>BLUE</v>
      </c>
      <c r="G5992" s="20" t="str">
        <f>IFERROR(__xludf.DUMMYFUNCTION("""COMPUTED_VALUE"""),"Uncle Sams Cider (11/12/2021) (Blue)")</f>
        <v>Uncle Sams Cider (11/12/2021) (Blue)</v>
      </c>
      <c r="H5992" s="19"/>
    </row>
    <row r="5993">
      <c r="A5993" s="9"/>
      <c r="B5993" s="15"/>
      <c r="C5993" s="9">
        <f>IFERROR(__xludf.DUMMYFUNCTION("""COMPUTED_VALUE"""),44542.6865058101)</f>
        <v>44542.68651</v>
      </c>
      <c r="D5993" s="15">
        <f>IFERROR(__xludf.DUMMYFUNCTION("""COMPUTED_VALUE"""),1.017)</f>
        <v>1.017</v>
      </c>
      <c r="E5993" s="16">
        <f>IFERROR(__xludf.DUMMYFUNCTION("""COMPUTED_VALUE"""),63.0)</f>
        <v>63</v>
      </c>
      <c r="F5993" s="19" t="str">
        <f>IFERROR(__xludf.DUMMYFUNCTION("""COMPUTED_VALUE"""),"BLUE")</f>
        <v>BLUE</v>
      </c>
      <c r="G5993" s="20" t="str">
        <f>IFERROR(__xludf.DUMMYFUNCTION("""COMPUTED_VALUE"""),"Uncle Sams Cider (11/12/2021) (Blue)")</f>
        <v>Uncle Sams Cider (11/12/2021) (Blue)</v>
      </c>
      <c r="H5993" s="19"/>
    </row>
    <row r="5994">
      <c r="A5994" s="9"/>
      <c r="B5994" s="15"/>
      <c r="C5994" s="9">
        <f>IFERROR(__xludf.DUMMYFUNCTION("""COMPUTED_VALUE"""),44542.6760849768)</f>
        <v>44542.67608</v>
      </c>
      <c r="D5994" s="15">
        <f>IFERROR(__xludf.DUMMYFUNCTION("""COMPUTED_VALUE"""),1.017)</f>
        <v>1.017</v>
      </c>
      <c r="E5994" s="16">
        <f>IFERROR(__xludf.DUMMYFUNCTION("""COMPUTED_VALUE"""),63.0)</f>
        <v>63</v>
      </c>
      <c r="F5994" s="19" t="str">
        <f>IFERROR(__xludf.DUMMYFUNCTION("""COMPUTED_VALUE"""),"BLUE")</f>
        <v>BLUE</v>
      </c>
      <c r="G5994" s="20" t="str">
        <f>IFERROR(__xludf.DUMMYFUNCTION("""COMPUTED_VALUE"""),"Uncle Sams Cider (11/12/2021) (Blue)")</f>
        <v>Uncle Sams Cider (11/12/2021) (Blue)</v>
      </c>
      <c r="H5994" s="19"/>
    </row>
    <row r="5995">
      <c r="A5995" s="9"/>
      <c r="B5995" s="15"/>
      <c r="C5995" s="9">
        <f>IFERROR(__xludf.DUMMYFUNCTION("""COMPUTED_VALUE"""),44542.6656507523)</f>
        <v>44542.66565</v>
      </c>
      <c r="D5995" s="15">
        <f>IFERROR(__xludf.DUMMYFUNCTION("""COMPUTED_VALUE"""),1.016)</f>
        <v>1.016</v>
      </c>
      <c r="E5995" s="16">
        <f>IFERROR(__xludf.DUMMYFUNCTION("""COMPUTED_VALUE"""),63.0)</f>
        <v>63</v>
      </c>
      <c r="F5995" s="19" t="str">
        <f>IFERROR(__xludf.DUMMYFUNCTION("""COMPUTED_VALUE"""),"BLUE")</f>
        <v>BLUE</v>
      </c>
      <c r="G5995" s="20" t="str">
        <f>IFERROR(__xludf.DUMMYFUNCTION("""COMPUTED_VALUE"""),"Uncle Sams Cider (11/12/2021) (Blue)")</f>
        <v>Uncle Sams Cider (11/12/2021) (Blue)</v>
      </c>
      <c r="H5995" s="19"/>
    </row>
    <row r="5996">
      <c r="A5996" s="9"/>
      <c r="B5996" s="15"/>
      <c r="C5996" s="9">
        <f>IFERROR(__xludf.DUMMYFUNCTION("""COMPUTED_VALUE"""),44542.655230868)</f>
        <v>44542.65523</v>
      </c>
      <c r="D5996" s="15">
        <f>IFERROR(__xludf.DUMMYFUNCTION("""COMPUTED_VALUE"""),1.017)</f>
        <v>1.017</v>
      </c>
      <c r="E5996" s="16">
        <f>IFERROR(__xludf.DUMMYFUNCTION("""COMPUTED_VALUE"""),63.0)</f>
        <v>63</v>
      </c>
      <c r="F5996" s="19" t="str">
        <f>IFERROR(__xludf.DUMMYFUNCTION("""COMPUTED_VALUE"""),"BLUE")</f>
        <v>BLUE</v>
      </c>
      <c r="G5996" s="20" t="str">
        <f>IFERROR(__xludf.DUMMYFUNCTION("""COMPUTED_VALUE"""),"Uncle Sams Cider (11/12/2021) (Blue)")</f>
        <v>Uncle Sams Cider (11/12/2021) (Blue)</v>
      </c>
      <c r="H5996" s="19"/>
    </row>
    <row r="5997">
      <c r="A5997" s="9"/>
      <c r="B5997" s="15"/>
      <c r="C5997" s="9">
        <f>IFERROR(__xludf.DUMMYFUNCTION("""COMPUTED_VALUE"""),44542.644809375)</f>
        <v>44542.64481</v>
      </c>
      <c r="D5997" s="15">
        <f>IFERROR(__xludf.DUMMYFUNCTION("""COMPUTED_VALUE"""),1.017)</f>
        <v>1.017</v>
      </c>
      <c r="E5997" s="16">
        <f>IFERROR(__xludf.DUMMYFUNCTION("""COMPUTED_VALUE"""),63.0)</f>
        <v>63</v>
      </c>
      <c r="F5997" s="19" t="str">
        <f>IFERROR(__xludf.DUMMYFUNCTION("""COMPUTED_VALUE"""),"BLUE")</f>
        <v>BLUE</v>
      </c>
      <c r="G5997" s="20" t="str">
        <f>IFERROR(__xludf.DUMMYFUNCTION("""COMPUTED_VALUE"""),"Uncle Sams Cider (11/12/2021) (Blue)")</f>
        <v>Uncle Sams Cider (11/12/2021) (Blue)</v>
      </c>
      <c r="H5997" s="19"/>
    </row>
    <row r="5998">
      <c r="A5998" s="9"/>
      <c r="B5998" s="15"/>
      <c r="C5998" s="9">
        <f>IFERROR(__xludf.DUMMYFUNCTION("""COMPUTED_VALUE"""),44542.6343881134)</f>
        <v>44542.63439</v>
      </c>
      <c r="D5998" s="15">
        <f>IFERROR(__xludf.DUMMYFUNCTION("""COMPUTED_VALUE"""),1.016)</f>
        <v>1.016</v>
      </c>
      <c r="E5998" s="16">
        <f>IFERROR(__xludf.DUMMYFUNCTION("""COMPUTED_VALUE"""),63.0)</f>
        <v>63</v>
      </c>
      <c r="F5998" s="19" t="str">
        <f>IFERROR(__xludf.DUMMYFUNCTION("""COMPUTED_VALUE"""),"BLUE")</f>
        <v>BLUE</v>
      </c>
      <c r="G5998" s="20" t="str">
        <f>IFERROR(__xludf.DUMMYFUNCTION("""COMPUTED_VALUE"""),"Uncle Sams Cider (11/12/2021) (Blue)")</f>
        <v>Uncle Sams Cider (11/12/2021) (Blue)</v>
      </c>
      <c r="H5998" s="19"/>
    </row>
    <row r="5999">
      <c r="A5999" s="9"/>
      <c r="B5999" s="15"/>
      <c r="C5999" s="9">
        <f>IFERROR(__xludf.DUMMYFUNCTION("""COMPUTED_VALUE"""),44542.6239664236)</f>
        <v>44542.62397</v>
      </c>
      <c r="D5999" s="15">
        <f>IFERROR(__xludf.DUMMYFUNCTION("""COMPUTED_VALUE"""),1.016)</f>
        <v>1.016</v>
      </c>
      <c r="E5999" s="16">
        <f>IFERROR(__xludf.DUMMYFUNCTION("""COMPUTED_VALUE"""),63.0)</f>
        <v>63</v>
      </c>
      <c r="F5999" s="19" t="str">
        <f>IFERROR(__xludf.DUMMYFUNCTION("""COMPUTED_VALUE"""),"BLUE")</f>
        <v>BLUE</v>
      </c>
      <c r="G5999" s="20" t="str">
        <f>IFERROR(__xludf.DUMMYFUNCTION("""COMPUTED_VALUE"""),"Uncle Sams Cider (11/12/2021) (Blue)")</f>
        <v>Uncle Sams Cider (11/12/2021) (Blue)</v>
      </c>
      <c r="H5999" s="19"/>
    </row>
    <row r="6000">
      <c r="A6000" s="9"/>
      <c r="B6000" s="15"/>
      <c r="C6000" s="9">
        <f>IFERROR(__xludf.DUMMYFUNCTION("""COMPUTED_VALUE"""),44542.6135456712)</f>
        <v>44542.61355</v>
      </c>
      <c r="D6000" s="15">
        <f>IFERROR(__xludf.DUMMYFUNCTION("""COMPUTED_VALUE"""),1.016)</f>
        <v>1.016</v>
      </c>
      <c r="E6000" s="16">
        <f>IFERROR(__xludf.DUMMYFUNCTION("""COMPUTED_VALUE"""),63.0)</f>
        <v>63</v>
      </c>
      <c r="F6000" s="19" t="str">
        <f>IFERROR(__xludf.DUMMYFUNCTION("""COMPUTED_VALUE"""),"BLUE")</f>
        <v>BLUE</v>
      </c>
      <c r="G6000" s="20" t="str">
        <f>IFERROR(__xludf.DUMMYFUNCTION("""COMPUTED_VALUE"""),"Uncle Sams Cider (11/12/2021) (Blue)")</f>
        <v>Uncle Sams Cider (11/12/2021) (Blue)</v>
      </c>
      <c r="H6000" s="19"/>
    </row>
    <row r="6001">
      <c r="A6001" s="9"/>
      <c r="B6001" s="15"/>
      <c r="C6001" s="9">
        <f>IFERROR(__xludf.DUMMYFUNCTION("""COMPUTED_VALUE"""),44542.603124375)</f>
        <v>44542.60312</v>
      </c>
      <c r="D6001" s="15">
        <f>IFERROR(__xludf.DUMMYFUNCTION("""COMPUTED_VALUE"""),1.017)</f>
        <v>1.017</v>
      </c>
      <c r="E6001" s="16">
        <f>IFERROR(__xludf.DUMMYFUNCTION("""COMPUTED_VALUE"""),63.0)</f>
        <v>63</v>
      </c>
      <c r="F6001" s="19" t="str">
        <f>IFERROR(__xludf.DUMMYFUNCTION("""COMPUTED_VALUE"""),"BLUE")</f>
        <v>BLUE</v>
      </c>
      <c r="G6001" s="20" t="str">
        <f>IFERROR(__xludf.DUMMYFUNCTION("""COMPUTED_VALUE"""),"Uncle Sams Cider (11/12/2021) (Blue)")</f>
        <v>Uncle Sams Cider (11/12/2021) (Blue)</v>
      </c>
      <c r="H6001" s="19"/>
    </row>
    <row r="6002">
      <c r="A6002" s="9"/>
      <c r="B6002" s="15"/>
      <c r="C6002" s="9">
        <f>IFERROR(__xludf.DUMMYFUNCTION("""COMPUTED_VALUE"""),44542.5927035416)</f>
        <v>44542.5927</v>
      </c>
      <c r="D6002" s="15">
        <f>IFERROR(__xludf.DUMMYFUNCTION("""COMPUTED_VALUE"""),1.016)</f>
        <v>1.016</v>
      </c>
      <c r="E6002" s="16">
        <f>IFERROR(__xludf.DUMMYFUNCTION("""COMPUTED_VALUE"""),63.0)</f>
        <v>63</v>
      </c>
      <c r="F6002" s="19" t="str">
        <f>IFERROR(__xludf.DUMMYFUNCTION("""COMPUTED_VALUE"""),"BLUE")</f>
        <v>BLUE</v>
      </c>
      <c r="G6002" s="20" t="str">
        <f>IFERROR(__xludf.DUMMYFUNCTION("""COMPUTED_VALUE"""),"Uncle Sams Cider (11/12/2021) (Blue)")</f>
        <v>Uncle Sams Cider (11/12/2021) (Blue)</v>
      </c>
      <c r="H6002" s="19"/>
    </row>
    <row r="6003">
      <c r="A6003" s="9"/>
      <c r="B6003" s="15"/>
      <c r="C6003" s="9">
        <f>IFERROR(__xludf.DUMMYFUNCTION("""COMPUTED_VALUE"""),44542.5822826041)</f>
        <v>44542.58228</v>
      </c>
      <c r="D6003" s="15">
        <f>IFERROR(__xludf.DUMMYFUNCTION("""COMPUTED_VALUE"""),1.017)</f>
        <v>1.017</v>
      </c>
      <c r="E6003" s="16">
        <f>IFERROR(__xludf.DUMMYFUNCTION("""COMPUTED_VALUE"""),63.0)</f>
        <v>63</v>
      </c>
      <c r="F6003" s="19" t="str">
        <f>IFERROR(__xludf.DUMMYFUNCTION("""COMPUTED_VALUE"""),"BLUE")</f>
        <v>BLUE</v>
      </c>
      <c r="G6003" s="20" t="str">
        <f>IFERROR(__xludf.DUMMYFUNCTION("""COMPUTED_VALUE"""),"Uncle Sams Cider (11/12/2021) (Blue)")</f>
        <v>Uncle Sams Cider (11/12/2021) (Blue)</v>
      </c>
      <c r="H6003" s="19"/>
    </row>
    <row r="6004">
      <c r="A6004" s="9"/>
      <c r="B6004" s="15"/>
      <c r="C6004" s="9">
        <f>IFERROR(__xludf.DUMMYFUNCTION("""COMPUTED_VALUE"""),44542.5718490856)</f>
        <v>44542.57185</v>
      </c>
      <c r="D6004" s="15">
        <f>IFERROR(__xludf.DUMMYFUNCTION("""COMPUTED_VALUE"""),1.016)</f>
        <v>1.016</v>
      </c>
      <c r="E6004" s="16">
        <f>IFERROR(__xludf.DUMMYFUNCTION("""COMPUTED_VALUE"""),63.0)</f>
        <v>63</v>
      </c>
      <c r="F6004" s="19" t="str">
        <f>IFERROR(__xludf.DUMMYFUNCTION("""COMPUTED_VALUE"""),"BLUE")</f>
        <v>BLUE</v>
      </c>
      <c r="G6004" s="20" t="str">
        <f>IFERROR(__xludf.DUMMYFUNCTION("""COMPUTED_VALUE"""),"Uncle Sams Cider (11/12/2021) (Blue)")</f>
        <v>Uncle Sams Cider (11/12/2021) (Blue)</v>
      </c>
      <c r="H6004" s="19"/>
    </row>
    <row r="6005">
      <c r="A6005" s="9"/>
      <c r="B6005" s="15"/>
      <c r="C6005" s="9">
        <f>IFERROR(__xludf.DUMMYFUNCTION("""COMPUTED_VALUE"""),44542.5614287731)</f>
        <v>44542.56143</v>
      </c>
      <c r="D6005" s="15">
        <f>IFERROR(__xludf.DUMMYFUNCTION("""COMPUTED_VALUE"""),1.016)</f>
        <v>1.016</v>
      </c>
      <c r="E6005" s="16">
        <f>IFERROR(__xludf.DUMMYFUNCTION("""COMPUTED_VALUE"""),63.0)</f>
        <v>63</v>
      </c>
      <c r="F6005" s="19" t="str">
        <f>IFERROR(__xludf.DUMMYFUNCTION("""COMPUTED_VALUE"""),"BLUE")</f>
        <v>BLUE</v>
      </c>
      <c r="G6005" s="20" t="str">
        <f>IFERROR(__xludf.DUMMYFUNCTION("""COMPUTED_VALUE"""),"Uncle Sams Cider (11/12/2021) (Blue)")</f>
        <v>Uncle Sams Cider (11/12/2021) (Blue)</v>
      </c>
      <c r="H6005" s="19"/>
    </row>
    <row r="6006">
      <c r="A6006" s="9"/>
      <c r="B6006" s="15"/>
      <c r="C6006" s="9">
        <f>IFERROR(__xludf.DUMMYFUNCTION("""COMPUTED_VALUE"""),44542.5509950231)</f>
        <v>44542.551</v>
      </c>
      <c r="D6006" s="15">
        <f>IFERROR(__xludf.DUMMYFUNCTION("""COMPUTED_VALUE"""),1.017)</f>
        <v>1.017</v>
      </c>
      <c r="E6006" s="16">
        <f>IFERROR(__xludf.DUMMYFUNCTION("""COMPUTED_VALUE"""),63.0)</f>
        <v>63</v>
      </c>
      <c r="F6006" s="19" t="str">
        <f>IFERROR(__xludf.DUMMYFUNCTION("""COMPUTED_VALUE"""),"BLUE")</f>
        <v>BLUE</v>
      </c>
      <c r="G6006" s="20" t="str">
        <f>IFERROR(__xludf.DUMMYFUNCTION("""COMPUTED_VALUE"""),"Uncle Sams Cider (11/12/2021) (Blue)")</f>
        <v>Uncle Sams Cider (11/12/2021) (Blue)</v>
      </c>
      <c r="H6006" s="19"/>
    </row>
    <row r="6007">
      <c r="A6007" s="9"/>
      <c r="B6007" s="15"/>
      <c r="C6007" s="9">
        <f>IFERROR(__xludf.DUMMYFUNCTION("""COMPUTED_VALUE"""),44542.5405728472)</f>
        <v>44542.54057</v>
      </c>
      <c r="D6007" s="15">
        <f>IFERROR(__xludf.DUMMYFUNCTION("""COMPUTED_VALUE"""),1.017)</f>
        <v>1.017</v>
      </c>
      <c r="E6007" s="16">
        <f>IFERROR(__xludf.DUMMYFUNCTION("""COMPUTED_VALUE"""),63.0)</f>
        <v>63</v>
      </c>
      <c r="F6007" s="19" t="str">
        <f>IFERROR(__xludf.DUMMYFUNCTION("""COMPUTED_VALUE"""),"BLUE")</f>
        <v>BLUE</v>
      </c>
      <c r="G6007" s="20" t="str">
        <f>IFERROR(__xludf.DUMMYFUNCTION("""COMPUTED_VALUE"""),"Uncle Sams Cider (11/12/2021) (Blue)")</f>
        <v>Uncle Sams Cider (11/12/2021) (Blue)</v>
      </c>
      <c r="H6007" s="19"/>
    </row>
    <row r="6008">
      <c r="A6008" s="9"/>
      <c r="B6008" s="15"/>
      <c r="C6008" s="9">
        <f>IFERROR(__xludf.DUMMYFUNCTION("""COMPUTED_VALUE"""),44542.5301511574)</f>
        <v>44542.53015</v>
      </c>
      <c r="D6008" s="15">
        <f>IFERROR(__xludf.DUMMYFUNCTION("""COMPUTED_VALUE"""),1.017)</f>
        <v>1.017</v>
      </c>
      <c r="E6008" s="16">
        <f>IFERROR(__xludf.DUMMYFUNCTION("""COMPUTED_VALUE"""),63.0)</f>
        <v>63</v>
      </c>
      <c r="F6008" s="19" t="str">
        <f>IFERROR(__xludf.DUMMYFUNCTION("""COMPUTED_VALUE"""),"BLUE")</f>
        <v>BLUE</v>
      </c>
      <c r="G6008" s="20" t="str">
        <f>IFERROR(__xludf.DUMMYFUNCTION("""COMPUTED_VALUE"""),"Uncle Sams Cider (11/12/2021) (Blue)")</f>
        <v>Uncle Sams Cider (11/12/2021) (Blue)</v>
      </c>
      <c r="H6008" s="19"/>
    </row>
    <row r="6009">
      <c r="A6009" s="9"/>
      <c r="B6009" s="15"/>
      <c r="C6009" s="9">
        <f>IFERROR(__xludf.DUMMYFUNCTION("""COMPUTED_VALUE"""),44542.5197178125)</f>
        <v>44542.51972</v>
      </c>
      <c r="D6009" s="15">
        <f>IFERROR(__xludf.DUMMYFUNCTION("""COMPUTED_VALUE"""),1.017)</f>
        <v>1.017</v>
      </c>
      <c r="E6009" s="16">
        <f>IFERROR(__xludf.DUMMYFUNCTION("""COMPUTED_VALUE"""),63.0)</f>
        <v>63</v>
      </c>
      <c r="F6009" s="19" t="str">
        <f>IFERROR(__xludf.DUMMYFUNCTION("""COMPUTED_VALUE"""),"BLUE")</f>
        <v>BLUE</v>
      </c>
      <c r="G6009" s="20" t="str">
        <f>IFERROR(__xludf.DUMMYFUNCTION("""COMPUTED_VALUE"""),"Uncle Sams Cider (11/12/2021) (Blue)")</f>
        <v>Uncle Sams Cider (11/12/2021) (Blue)</v>
      </c>
      <c r="H6009" s="19"/>
    </row>
    <row r="6010">
      <c r="A6010" s="9"/>
      <c r="B6010" s="15"/>
      <c r="C6010" s="9">
        <f>IFERROR(__xludf.DUMMYFUNCTION("""COMPUTED_VALUE"""),44542.509298368)</f>
        <v>44542.5093</v>
      </c>
      <c r="D6010" s="15">
        <f>IFERROR(__xludf.DUMMYFUNCTION("""COMPUTED_VALUE"""),1.017)</f>
        <v>1.017</v>
      </c>
      <c r="E6010" s="16">
        <f>IFERROR(__xludf.DUMMYFUNCTION("""COMPUTED_VALUE"""),63.0)</f>
        <v>63</v>
      </c>
      <c r="F6010" s="19" t="str">
        <f>IFERROR(__xludf.DUMMYFUNCTION("""COMPUTED_VALUE"""),"BLUE")</f>
        <v>BLUE</v>
      </c>
      <c r="G6010" s="20" t="str">
        <f>IFERROR(__xludf.DUMMYFUNCTION("""COMPUTED_VALUE"""),"Uncle Sams Cider (11/12/2021) (Blue)")</f>
        <v>Uncle Sams Cider (11/12/2021) (Blue)</v>
      </c>
      <c r="H6010" s="19"/>
    </row>
    <row r="6011">
      <c r="A6011" s="9"/>
      <c r="B6011" s="15"/>
      <c r="C6011" s="9">
        <f>IFERROR(__xludf.DUMMYFUNCTION("""COMPUTED_VALUE"""),44542.4988764814)</f>
        <v>44542.49888</v>
      </c>
      <c r="D6011" s="15">
        <f>IFERROR(__xludf.DUMMYFUNCTION("""COMPUTED_VALUE"""),1.017)</f>
        <v>1.017</v>
      </c>
      <c r="E6011" s="16">
        <f>IFERROR(__xludf.DUMMYFUNCTION("""COMPUTED_VALUE"""),63.0)</f>
        <v>63</v>
      </c>
      <c r="F6011" s="19" t="str">
        <f>IFERROR(__xludf.DUMMYFUNCTION("""COMPUTED_VALUE"""),"BLUE")</f>
        <v>BLUE</v>
      </c>
      <c r="G6011" s="20" t="str">
        <f>IFERROR(__xludf.DUMMYFUNCTION("""COMPUTED_VALUE"""),"Uncle Sams Cider (11/12/2021) (Blue)")</f>
        <v>Uncle Sams Cider (11/12/2021) (Blue)</v>
      </c>
      <c r="H6011" s="19"/>
    </row>
    <row r="6012">
      <c r="A6012" s="9"/>
      <c r="B6012" s="15"/>
      <c r="C6012" s="9">
        <f>IFERROR(__xludf.DUMMYFUNCTION("""COMPUTED_VALUE"""),44542.4884552546)</f>
        <v>44542.48846</v>
      </c>
      <c r="D6012" s="15">
        <f>IFERROR(__xludf.DUMMYFUNCTION("""COMPUTED_VALUE"""),1.017)</f>
        <v>1.017</v>
      </c>
      <c r="E6012" s="16">
        <f>IFERROR(__xludf.DUMMYFUNCTION("""COMPUTED_VALUE"""),63.0)</f>
        <v>63</v>
      </c>
      <c r="F6012" s="19" t="str">
        <f>IFERROR(__xludf.DUMMYFUNCTION("""COMPUTED_VALUE"""),"BLUE")</f>
        <v>BLUE</v>
      </c>
      <c r="G6012" s="20" t="str">
        <f>IFERROR(__xludf.DUMMYFUNCTION("""COMPUTED_VALUE"""),"Uncle Sams Cider (11/12/2021) (Blue)")</f>
        <v>Uncle Sams Cider (11/12/2021) (Blue)</v>
      </c>
      <c r="H6012" s="19"/>
    </row>
    <row r="6013">
      <c r="A6013" s="9"/>
      <c r="B6013" s="15"/>
      <c r="C6013" s="9">
        <f>IFERROR(__xludf.DUMMYFUNCTION("""COMPUTED_VALUE"""),44542.4780345717)</f>
        <v>44542.47803</v>
      </c>
      <c r="D6013" s="15">
        <f>IFERROR(__xludf.DUMMYFUNCTION("""COMPUTED_VALUE"""),1.017)</f>
        <v>1.017</v>
      </c>
      <c r="E6013" s="16">
        <f>IFERROR(__xludf.DUMMYFUNCTION("""COMPUTED_VALUE"""),63.0)</f>
        <v>63</v>
      </c>
      <c r="F6013" s="19" t="str">
        <f>IFERROR(__xludf.DUMMYFUNCTION("""COMPUTED_VALUE"""),"BLUE")</f>
        <v>BLUE</v>
      </c>
      <c r="G6013" s="20" t="str">
        <f>IFERROR(__xludf.DUMMYFUNCTION("""COMPUTED_VALUE"""),"Uncle Sams Cider (11/12/2021) (Blue)")</f>
        <v>Uncle Sams Cider (11/12/2021) (Blue)</v>
      </c>
      <c r="H6013" s="19"/>
    </row>
    <row r="6014">
      <c r="A6014" s="9"/>
      <c r="B6014" s="15"/>
      <c r="C6014" s="9">
        <f>IFERROR(__xludf.DUMMYFUNCTION("""COMPUTED_VALUE"""),44542.4676136921)</f>
        <v>44542.46761</v>
      </c>
      <c r="D6014" s="15">
        <f>IFERROR(__xludf.DUMMYFUNCTION("""COMPUTED_VALUE"""),1.017)</f>
        <v>1.017</v>
      </c>
      <c r="E6014" s="16">
        <f>IFERROR(__xludf.DUMMYFUNCTION("""COMPUTED_VALUE"""),63.0)</f>
        <v>63</v>
      </c>
      <c r="F6014" s="19" t="str">
        <f>IFERROR(__xludf.DUMMYFUNCTION("""COMPUTED_VALUE"""),"BLUE")</f>
        <v>BLUE</v>
      </c>
      <c r="G6014" s="20" t="str">
        <f>IFERROR(__xludf.DUMMYFUNCTION("""COMPUTED_VALUE"""),"Uncle Sams Cider (11/12/2021) (Blue)")</f>
        <v>Uncle Sams Cider (11/12/2021) (Blue)</v>
      </c>
      <c r="H6014" s="19"/>
    </row>
    <row r="6015">
      <c r="A6015" s="9"/>
      <c r="B6015" s="15"/>
      <c r="C6015" s="9">
        <f>IFERROR(__xludf.DUMMYFUNCTION("""COMPUTED_VALUE"""),44542.4571936574)</f>
        <v>44542.45719</v>
      </c>
      <c r="D6015" s="15">
        <f>IFERROR(__xludf.DUMMYFUNCTION("""COMPUTED_VALUE"""),1.017)</f>
        <v>1.017</v>
      </c>
      <c r="E6015" s="16">
        <f>IFERROR(__xludf.DUMMYFUNCTION("""COMPUTED_VALUE"""),63.0)</f>
        <v>63</v>
      </c>
      <c r="F6015" s="19" t="str">
        <f>IFERROR(__xludf.DUMMYFUNCTION("""COMPUTED_VALUE"""),"BLUE")</f>
        <v>BLUE</v>
      </c>
      <c r="G6015" s="20" t="str">
        <f>IFERROR(__xludf.DUMMYFUNCTION("""COMPUTED_VALUE"""),"Uncle Sams Cider (11/12/2021) (Blue)")</f>
        <v>Uncle Sams Cider (11/12/2021) (Blue)</v>
      </c>
      <c r="H6015" s="19"/>
    </row>
    <row r="6016">
      <c r="A6016" s="9"/>
      <c r="B6016" s="15"/>
      <c r="C6016" s="9">
        <f>IFERROR(__xludf.DUMMYFUNCTION("""COMPUTED_VALUE"""),44542.4467748611)</f>
        <v>44542.44677</v>
      </c>
      <c r="D6016" s="15">
        <f>IFERROR(__xludf.DUMMYFUNCTION("""COMPUTED_VALUE"""),1.017)</f>
        <v>1.017</v>
      </c>
      <c r="E6016" s="16">
        <f>IFERROR(__xludf.DUMMYFUNCTION("""COMPUTED_VALUE"""),63.0)</f>
        <v>63</v>
      </c>
      <c r="F6016" s="19" t="str">
        <f>IFERROR(__xludf.DUMMYFUNCTION("""COMPUTED_VALUE"""),"BLUE")</f>
        <v>BLUE</v>
      </c>
      <c r="G6016" s="20" t="str">
        <f>IFERROR(__xludf.DUMMYFUNCTION("""COMPUTED_VALUE"""),"Uncle Sams Cider (11/12/2021) (Blue)")</f>
        <v>Uncle Sams Cider (11/12/2021) (Blue)</v>
      </c>
      <c r="H6016" s="19"/>
    </row>
    <row r="6017">
      <c r="A6017" s="9"/>
      <c r="B6017" s="15"/>
      <c r="C6017" s="9">
        <f>IFERROR(__xludf.DUMMYFUNCTION("""COMPUTED_VALUE"""),44542.4363524652)</f>
        <v>44542.43635</v>
      </c>
      <c r="D6017" s="15">
        <f>IFERROR(__xludf.DUMMYFUNCTION("""COMPUTED_VALUE"""),1.017)</f>
        <v>1.017</v>
      </c>
      <c r="E6017" s="16">
        <f>IFERROR(__xludf.DUMMYFUNCTION("""COMPUTED_VALUE"""),63.0)</f>
        <v>63</v>
      </c>
      <c r="F6017" s="19" t="str">
        <f>IFERROR(__xludf.DUMMYFUNCTION("""COMPUTED_VALUE"""),"BLUE")</f>
        <v>BLUE</v>
      </c>
      <c r="G6017" s="20" t="str">
        <f>IFERROR(__xludf.DUMMYFUNCTION("""COMPUTED_VALUE"""),"Uncle Sams Cider (11/12/2021) (Blue)")</f>
        <v>Uncle Sams Cider (11/12/2021) (Blue)</v>
      </c>
      <c r="H6017" s="19"/>
    </row>
    <row r="6018">
      <c r="A6018" s="9"/>
      <c r="B6018" s="15"/>
      <c r="C6018" s="9">
        <f>IFERROR(__xludf.DUMMYFUNCTION("""COMPUTED_VALUE"""),44542.4259194675)</f>
        <v>44542.42592</v>
      </c>
      <c r="D6018" s="15">
        <f>IFERROR(__xludf.DUMMYFUNCTION("""COMPUTED_VALUE"""),1.017)</f>
        <v>1.017</v>
      </c>
      <c r="E6018" s="16">
        <f>IFERROR(__xludf.DUMMYFUNCTION("""COMPUTED_VALUE"""),63.0)</f>
        <v>63</v>
      </c>
      <c r="F6018" s="19" t="str">
        <f>IFERROR(__xludf.DUMMYFUNCTION("""COMPUTED_VALUE"""),"BLUE")</f>
        <v>BLUE</v>
      </c>
      <c r="G6018" s="20" t="str">
        <f>IFERROR(__xludf.DUMMYFUNCTION("""COMPUTED_VALUE"""),"Uncle Sams Cider (11/12/2021) (Blue)")</f>
        <v>Uncle Sams Cider (11/12/2021) (Blue)</v>
      </c>
      <c r="H6018" s="19"/>
    </row>
    <row r="6019">
      <c r="A6019" s="9"/>
      <c r="B6019" s="15"/>
      <c r="C6019" s="9">
        <f>IFERROR(__xludf.DUMMYFUNCTION("""COMPUTED_VALUE"""),44542.4154990509)</f>
        <v>44542.4155</v>
      </c>
      <c r="D6019" s="15">
        <f>IFERROR(__xludf.DUMMYFUNCTION("""COMPUTED_VALUE"""),1.017)</f>
        <v>1.017</v>
      </c>
      <c r="E6019" s="16">
        <f>IFERROR(__xludf.DUMMYFUNCTION("""COMPUTED_VALUE"""),63.0)</f>
        <v>63</v>
      </c>
      <c r="F6019" s="19" t="str">
        <f>IFERROR(__xludf.DUMMYFUNCTION("""COMPUTED_VALUE"""),"BLUE")</f>
        <v>BLUE</v>
      </c>
      <c r="G6019" s="20" t="str">
        <f>IFERROR(__xludf.DUMMYFUNCTION("""COMPUTED_VALUE"""),"Uncle Sams Cider (11/12/2021) (Blue)")</f>
        <v>Uncle Sams Cider (11/12/2021) (Blue)</v>
      </c>
      <c r="H6019" s="19"/>
    </row>
    <row r="6020">
      <c r="A6020" s="9"/>
      <c r="B6020" s="15"/>
      <c r="C6020" s="9">
        <f>IFERROR(__xludf.DUMMYFUNCTION("""COMPUTED_VALUE"""),44542.4050780902)</f>
        <v>44542.40508</v>
      </c>
      <c r="D6020" s="15">
        <f>IFERROR(__xludf.DUMMYFUNCTION("""COMPUTED_VALUE"""),1.017)</f>
        <v>1.017</v>
      </c>
      <c r="E6020" s="16">
        <f>IFERROR(__xludf.DUMMYFUNCTION("""COMPUTED_VALUE"""),63.0)</f>
        <v>63</v>
      </c>
      <c r="F6020" s="19" t="str">
        <f>IFERROR(__xludf.DUMMYFUNCTION("""COMPUTED_VALUE"""),"BLUE")</f>
        <v>BLUE</v>
      </c>
      <c r="G6020" s="20" t="str">
        <f>IFERROR(__xludf.DUMMYFUNCTION("""COMPUTED_VALUE"""),"Uncle Sams Cider (11/12/2021) (Blue)")</f>
        <v>Uncle Sams Cider (11/12/2021) (Blue)</v>
      </c>
      <c r="H6020" s="19"/>
    </row>
    <row r="6021">
      <c r="A6021" s="9"/>
      <c r="B6021" s="15"/>
      <c r="C6021" s="9">
        <f>IFERROR(__xludf.DUMMYFUNCTION("""COMPUTED_VALUE"""),44542.3946585763)</f>
        <v>44542.39466</v>
      </c>
      <c r="D6021" s="15">
        <f>IFERROR(__xludf.DUMMYFUNCTION("""COMPUTED_VALUE"""),1.017)</f>
        <v>1.017</v>
      </c>
      <c r="E6021" s="16">
        <f>IFERROR(__xludf.DUMMYFUNCTION("""COMPUTED_VALUE"""),63.0)</f>
        <v>63</v>
      </c>
      <c r="F6021" s="19" t="str">
        <f>IFERROR(__xludf.DUMMYFUNCTION("""COMPUTED_VALUE"""),"BLUE")</f>
        <v>BLUE</v>
      </c>
      <c r="G6021" s="20" t="str">
        <f>IFERROR(__xludf.DUMMYFUNCTION("""COMPUTED_VALUE"""),"Uncle Sams Cider (11/12/2021) (Blue)")</f>
        <v>Uncle Sams Cider (11/12/2021) (Blue)</v>
      </c>
      <c r="H6021" s="19"/>
    </row>
    <row r="6022">
      <c r="A6022" s="9"/>
      <c r="B6022" s="15"/>
      <c r="C6022" s="9">
        <f>IFERROR(__xludf.DUMMYFUNCTION("""COMPUTED_VALUE"""),44542.3842366898)</f>
        <v>44542.38424</v>
      </c>
      <c r="D6022" s="15">
        <f>IFERROR(__xludf.DUMMYFUNCTION("""COMPUTED_VALUE"""),1.017)</f>
        <v>1.017</v>
      </c>
      <c r="E6022" s="16">
        <f>IFERROR(__xludf.DUMMYFUNCTION("""COMPUTED_VALUE"""),63.0)</f>
        <v>63</v>
      </c>
      <c r="F6022" s="19" t="str">
        <f>IFERROR(__xludf.DUMMYFUNCTION("""COMPUTED_VALUE"""),"BLUE")</f>
        <v>BLUE</v>
      </c>
      <c r="G6022" s="20" t="str">
        <f>IFERROR(__xludf.DUMMYFUNCTION("""COMPUTED_VALUE"""),"Uncle Sams Cider (11/12/2021) (Blue)")</f>
        <v>Uncle Sams Cider (11/12/2021) (Blue)</v>
      </c>
      <c r="H6022" s="19"/>
    </row>
    <row r="6023">
      <c r="A6023" s="9"/>
      <c r="B6023" s="15"/>
      <c r="C6023" s="9">
        <f>IFERROR(__xludf.DUMMYFUNCTION("""COMPUTED_VALUE"""),44542.3738155787)</f>
        <v>44542.37382</v>
      </c>
      <c r="D6023" s="15">
        <f>IFERROR(__xludf.DUMMYFUNCTION("""COMPUTED_VALUE"""),1.017)</f>
        <v>1.017</v>
      </c>
      <c r="E6023" s="16">
        <f>IFERROR(__xludf.DUMMYFUNCTION("""COMPUTED_VALUE"""),63.0)</f>
        <v>63</v>
      </c>
      <c r="F6023" s="19" t="str">
        <f>IFERROR(__xludf.DUMMYFUNCTION("""COMPUTED_VALUE"""),"BLUE")</f>
        <v>BLUE</v>
      </c>
      <c r="G6023" s="20" t="str">
        <f>IFERROR(__xludf.DUMMYFUNCTION("""COMPUTED_VALUE"""),"Uncle Sams Cider (11/12/2021) (Blue)")</f>
        <v>Uncle Sams Cider (11/12/2021) (Blue)</v>
      </c>
      <c r="H6023" s="19"/>
    </row>
    <row r="6024">
      <c r="A6024" s="9"/>
      <c r="B6024" s="15"/>
      <c r="C6024" s="9">
        <f>IFERROR(__xludf.DUMMYFUNCTION("""COMPUTED_VALUE"""),44542.3633944097)</f>
        <v>44542.36339</v>
      </c>
      <c r="D6024" s="15">
        <f>IFERROR(__xludf.DUMMYFUNCTION("""COMPUTED_VALUE"""),1.017)</f>
        <v>1.017</v>
      </c>
      <c r="E6024" s="16">
        <f>IFERROR(__xludf.DUMMYFUNCTION("""COMPUTED_VALUE"""),63.0)</f>
        <v>63</v>
      </c>
      <c r="F6024" s="19" t="str">
        <f>IFERROR(__xludf.DUMMYFUNCTION("""COMPUTED_VALUE"""),"BLUE")</f>
        <v>BLUE</v>
      </c>
      <c r="G6024" s="20" t="str">
        <f>IFERROR(__xludf.DUMMYFUNCTION("""COMPUTED_VALUE"""),"Uncle Sams Cider (11/12/2021) (Blue)")</f>
        <v>Uncle Sams Cider (11/12/2021) (Blue)</v>
      </c>
      <c r="H6024" s="19"/>
    </row>
    <row r="6025">
      <c r="A6025" s="9"/>
      <c r="B6025" s="15"/>
      <c r="C6025" s="9">
        <f>IFERROR(__xludf.DUMMYFUNCTION("""COMPUTED_VALUE"""),44542.3529604166)</f>
        <v>44542.35296</v>
      </c>
      <c r="D6025" s="15">
        <f>IFERROR(__xludf.DUMMYFUNCTION("""COMPUTED_VALUE"""),1.017)</f>
        <v>1.017</v>
      </c>
      <c r="E6025" s="16">
        <f>IFERROR(__xludf.DUMMYFUNCTION("""COMPUTED_VALUE"""),63.0)</f>
        <v>63</v>
      </c>
      <c r="F6025" s="19" t="str">
        <f>IFERROR(__xludf.DUMMYFUNCTION("""COMPUTED_VALUE"""),"BLUE")</f>
        <v>BLUE</v>
      </c>
      <c r="G6025" s="20" t="str">
        <f>IFERROR(__xludf.DUMMYFUNCTION("""COMPUTED_VALUE"""),"Uncle Sams Cider (11/12/2021) (Blue)")</f>
        <v>Uncle Sams Cider (11/12/2021) (Blue)</v>
      </c>
      <c r="H6025" s="19"/>
    </row>
    <row r="6026">
      <c r="A6026" s="9"/>
      <c r="B6026" s="15"/>
      <c r="C6026" s="9">
        <f>IFERROR(__xludf.DUMMYFUNCTION("""COMPUTED_VALUE"""),44542.3425384953)</f>
        <v>44542.34254</v>
      </c>
      <c r="D6026" s="15">
        <f>IFERROR(__xludf.DUMMYFUNCTION("""COMPUTED_VALUE"""),1.017)</f>
        <v>1.017</v>
      </c>
      <c r="E6026" s="16">
        <f>IFERROR(__xludf.DUMMYFUNCTION("""COMPUTED_VALUE"""),63.0)</f>
        <v>63</v>
      </c>
      <c r="F6026" s="19" t="str">
        <f>IFERROR(__xludf.DUMMYFUNCTION("""COMPUTED_VALUE"""),"BLUE")</f>
        <v>BLUE</v>
      </c>
      <c r="G6026" s="20" t="str">
        <f>IFERROR(__xludf.DUMMYFUNCTION("""COMPUTED_VALUE"""),"Uncle Sams Cider (11/12/2021) (Blue)")</f>
        <v>Uncle Sams Cider (11/12/2021) (Blue)</v>
      </c>
      <c r="H6026" s="19"/>
    </row>
    <row r="6027">
      <c r="A6027" s="9"/>
      <c r="B6027" s="15"/>
      <c r="C6027" s="9">
        <f>IFERROR(__xludf.DUMMYFUNCTION("""COMPUTED_VALUE"""),44542.3321186226)</f>
        <v>44542.33212</v>
      </c>
      <c r="D6027" s="15">
        <f>IFERROR(__xludf.DUMMYFUNCTION("""COMPUTED_VALUE"""),1.017)</f>
        <v>1.017</v>
      </c>
      <c r="E6027" s="16">
        <f>IFERROR(__xludf.DUMMYFUNCTION("""COMPUTED_VALUE"""),63.0)</f>
        <v>63</v>
      </c>
      <c r="F6027" s="19" t="str">
        <f>IFERROR(__xludf.DUMMYFUNCTION("""COMPUTED_VALUE"""),"BLUE")</f>
        <v>BLUE</v>
      </c>
      <c r="G6027" s="20" t="str">
        <f>IFERROR(__xludf.DUMMYFUNCTION("""COMPUTED_VALUE"""),"Uncle Sams Cider (11/12/2021) (Blue)")</f>
        <v>Uncle Sams Cider (11/12/2021) (Blue)</v>
      </c>
      <c r="H6027" s="19"/>
    </row>
    <row r="6028">
      <c r="A6028" s="9"/>
      <c r="B6028" s="15"/>
      <c r="C6028" s="9">
        <f>IFERROR(__xludf.DUMMYFUNCTION("""COMPUTED_VALUE"""),44542.3216993518)</f>
        <v>44542.3217</v>
      </c>
      <c r="D6028" s="15">
        <f>IFERROR(__xludf.DUMMYFUNCTION("""COMPUTED_VALUE"""),1.017)</f>
        <v>1.017</v>
      </c>
      <c r="E6028" s="16">
        <f>IFERROR(__xludf.DUMMYFUNCTION("""COMPUTED_VALUE"""),63.0)</f>
        <v>63</v>
      </c>
      <c r="F6028" s="19" t="str">
        <f>IFERROR(__xludf.DUMMYFUNCTION("""COMPUTED_VALUE"""),"BLUE")</f>
        <v>BLUE</v>
      </c>
      <c r="G6028" s="20" t="str">
        <f>IFERROR(__xludf.DUMMYFUNCTION("""COMPUTED_VALUE"""),"Uncle Sams Cider (11/12/2021) (Blue)")</f>
        <v>Uncle Sams Cider (11/12/2021) (Blue)</v>
      </c>
      <c r="H6028" s="19"/>
    </row>
    <row r="6029">
      <c r="A6029" s="9"/>
      <c r="B6029" s="15"/>
      <c r="C6029" s="9">
        <f>IFERROR(__xludf.DUMMYFUNCTION("""COMPUTED_VALUE"""),44542.3112795486)</f>
        <v>44542.31128</v>
      </c>
      <c r="D6029" s="15">
        <f>IFERROR(__xludf.DUMMYFUNCTION("""COMPUTED_VALUE"""),1.017)</f>
        <v>1.017</v>
      </c>
      <c r="E6029" s="16">
        <f>IFERROR(__xludf.DUMMYFUNCTION("""COMPUTED_VALUE"""),63.0)</f>
        <v>63</v>
      </c>
      <c r="F6029" s="19" t="str">
        <f>IFERROR(__xludf.DUMMYFUNCTION("""COMPUTED_VALUE"""),"BLUE")</f>
        <v>BLUE</v>
      </c>
      <c r="G6029" s="20" t="str">
        <f>IFERROR(__xludf.DUMMYFUNCTION("""COMPUTED_VALUE"""),"Uncle Sams Cider (11/12/2021) (Blue)")</f>
        <v>Uncle Sams Cider (11/12/2021) (Blue)</v>
      </c>
      <c r="H6029" s="19"/>
    </row>
    <row r="6030">
      <c r="A6030" s="9"/>
      <c r="B6030" s="15"/>
      <c r="C6030" s="9">
        <f>IFERROR(__xludf.DUMMYFUNCTION("""COMPUTED_VALUE"""),44542.300846493)</f>
        <v>44542.30085</v>
      </c>
      <c r="D6030" s="15">
        <f>IFERROR(__xludf.DUMMYFUNCTION("""COMPUTED_VALUE"""),1.017)</f>
        <v>1.017</v>
      </c>
      <c r="E6030" s="16">
        <f>IFERROR(__xludf.DUMMYFUNCTION("""COMPUTED_VALUE"""),63.0)</f>
        <v>63</v>
      </c>
      <c r="F6030" s="19" t="str">
        <f>IFERROR(__xludf.DUMMYFUNCTION("""COMPUTED_VALUE"""),"BLUE")</f>
        <v>BLUE</v>
      </c>
      <c r="G6030" s="20" t="str">
        <f>IFERROR(__xludf.DUMMYFUNCTION("""COMPUTED_VALUE"""),"Uncle Sams Cider (11/12/2021) (Blue)")</f>
        <v>Uncle Sams Cider (11/12/2021) (Blue)</v>
      </c>
      <c r="H6030" s="19"/>
    </row>
    <row r="6031">
      <c r="A6031" s="9"/>
      <c r="B6031" s="15"/>
      <c r="C6031" s="9">
        <f>IFERROR(__xludf.DUMMYFUNCTION("""COMPUTED_VALUE"""),44542.2904250694)</f>
        <v>44542.29043</v>
      </c>
      <c r="D6031" s="15">
        <f>IFERROR(__xludf.DUMMYFUNCTION("""COMPUTED_VALUE"""),1.017)</f>
        <v>1.017</v>
      </c>
      <c r="E6031" s="16">
        <f>IFERROR(__xludf.DUMMYFUNCTION("""COMPUTED_VALUE"""),63.0)</f>
        <v>63</v>
      </c>
      <c r="F6031" s="19" t="str">
        <f>IFERROR(__xludf.DUMMYFUNCTION("""COMPUTED_VALUE"""),"BLUE")</f>
        <v>BLUE</v>
      </c>
      <c r="G6031" s="20" t="str">
        <f>IFERROR(__xludf.DUMMYFUNCTION("""COMPUTED_VALUE"""),"Uncle Sams Cider (11/12/2021) (Blue)")</f>
        <v>Uncle Sams Cider (11/12/2021) (Blue)</v>
      </c>
      <c r="H6031" s="19"/>
    </row>
    <row r="6032">
      <c r="A6032" s="9"/>
      <c r="B6032" s="15"/>
      <c r="C6032" s="9">
        <f>IFERROR(__xludf.DUMMYFUNCTION("""COMPUTED_VALUE"""),44542.2799906249)</f>
        <v>44542.27999</v>
      </c>
      <c r="D6032" s="15">
        <f>IFERROR(__xludf.DUMMYFUNCTION("""COMPUTED_VALUE"""),1.017)</f>
        <v>1.017</v>
      </c>
      <c r="E6032" s="16">
        <f>IFERROR(__xludf.DUMMYFUNCTION("""COMPUTED_VALUE"""),63.0)</f>
        <v>63</v>
      </c>
      <c r="F6032" s="19" t="str">
        <f>IFERROR(__xludf.DUMMYFUNCTION("""COMPUTED_VALUE"""),"BLUE")</f>
        <v>BLUE</v>
      </c>
      <c r="G6032" s="20" t="str">
        <f>IFERROR(__xludf.DUMMYFUNCTION("""COMPUTED_VALUE"""),"Uncle Sams Cider (11/12/2021) (Blue)")</f>
        <v>Uncle Sams Cider (11/12/2021) (Blue)</v>
      </c>
      <c r="H6032" s="19"/>
    </row>
    <row r="6033">
      <c r="A6033" s="9"/>
      <c r="B6033" s="15"/>
      <c r="C6033" s="9">
        <f>IFERROR(__xludf.DUMMYFUNCTION("""COMPUTED_VALUE"""),44542.2695674189)</f>
        <v>44542.26957</v>
      </c>
      <c r="D6033" s="15">
        <f>IFERROR(__xludf.DUMMYFUNCTION("""COMPUTED_VALUE"""),1.017)</f>
        <v>1.017</v>
      </c>
      <c r="E6033" s="16">
        <f>IFERROR(__xludf.DUMMYFUNCTION("""COMPUTED_VALUE"""),63.0)</f>
        <v>63</v>
      </c>
      <c r="F6033" s="19" t="str">
        <f>IFERROR(__xludf.DUMMYFUNCTION("""COMPUTED_VALUE"""),"BLUE")</f>
        <v>BLUE</v>
      </c>
      <c r="G6033" s="20" t="str">
        <f>IFERROR(__xludf.DUMMYFUNCTION("""COMPUTED_VALUE"""),"Uncle Sams Cider (11/12/2021) (Blue)")</f>
        <v>Uncle Sams Cider (11/12/2021) (Blue)</v>
      </c>
      <c r="H6033" s="19"/>
    </row>
    <row r="6034">
      <c r="A6034" s="9"/>
      <c r="B6034" s="15"/>
      <c r="C6034" s="9">
        <f>IFERROR(__xludf.DUMMYFUNCTION("""COMPUTED_VALUE"""),44542.2591469675)</f>
        <v>44542.25915</v>
      </c>
      <c r="D6034" s="15">
        <f>IFERROR(__xludf.DUMMYFUNCTION("""COMPUTED_VALUE"""),1.017)</f>
        <v>1.017</v>
      </c>
      <c r="E6034" s="16">
        <f>IFERROR(__xludf.DUMMYFUNCTION("""COMPUTED_VALUE"""),63.0)</f>
        <v>63</v>
      </c>
      <c r="F6034" s="19" t="str">
        <f>IFERROR(__xludf.DUMMYFUNCTION("""COMPUTED_VALUE"""),"BLUE")</f>
        <v>BLUE</v>
      </c>
      <c r="G6034" s="20" t="str">
        <f>IFERROR(__xludf.DUMMYFUNCTION("""COMPUTED_VALUE"""),"Uncle Sams Cider (11/12/2021) (Blue)")</f>
        <v>Uncle Sams Cider (11/12/2021) (Blue)</v>
      </c>
      <c r="H6034" s="19"/>
    </row>
    <row r="6035">
      <c r="A6035" s="9"/>
      <c r="B6035" s="15"/>
      <c r="C6035" s="9">
        <f>IFERROR(__xludf.DUMMYFUNCTION("""COMPUTED_VALUE"""),44542.2487244328)</f>
        <v>44542.24872</v>
      </c>
      <c r="D6035" s="15">
        <f>IFERROR(__xludf.DUMMYFUNCTION("""COMPUTED_VALUE"""),1.017)</f>
        <v>1.017</v>
      </c>
      <c r="E6035" s="16">
        <f>IFERROR(__xludf.DUMMYFUNCTION("""COMPUTED_VALUE"""),63.0)</f>
        <v>63</v>
      </c>
      <c r="F6035" s="19" t="str">
        <f>IFERROR(__xludf.DUMMYFUNCTION("""COMPUTED_VALUE"""),"BLUE")</f>
        <v>BLUE</v>
      </c>
      <c r="G6035" s="20" t="str">
        <f>IFERROR(__xludf.DUMMYFUNCTION("""COMPUTED_VALUE"""),"Uncle Sams Cider (11/12/2021) (Blue)")</f>
        <v>Uncle Sams Cider (11/12/2021) (Blue)</v>
      </c>
      <c r="H6035" s="19"/>
    </row>
    <row r="6036">
      <c r="A6036" s="9"/>
      <c r="B6036" s="15"/>
      <c r="C6036" s="9">
        <f>IFERROR(__xludf.DUMMYFUNCTION("""COMPUTED_VALUE"""),44542.2383032638)</f>
        <v>44542.2383</v>
      </c>
      <c r="D6036" s="15">
        <f>IFERROR(__xludf.DUMMYFUNCTION("""COMPUTED_VALUE"""),1.017)</f>
        <v>1.017</v>
      </c>
      <c r="E6036" s="16">
        <f>IFERROR(__xludf.DUMMYFUNCTION("""COMPUTED_VALUE"""),63.0)</f>
        <v>63</v>
      </c>
      <c r="F6036" s="19" t="str">
        <f>IFERROR(__xludf.DUMMYFUNCTION("""COMPUTED_VALUE"""),"BLUE")</f>
        <v>BLUE</v>
      </c>
      <c r="G6036" s="20" t="str">
        <f>IFERROR(__xludf.DUMMYFUNCTION("""COMPUTED_VALUE"""),"Uncle Sams Cider (11/12/2021) (Blue)")</f>
        <v>Uncle Sams Cider (11/12/2021) (Blue)</v>
      </c>
      <c r="H6036" s="19"/>
    </row>
    <row r="6037">
      <c r="A6037" s="9"/>
      <c r="B6037" s="15"/>
      <c r="C6037" s="9">
        <f>IFERROR(__xludf.DUMMYFUNCTION("""COMPUTED_VALUE"""),44542.2278816898)</f>
        <v>44542.22788</v>
      </c>
      <c r="D6037" s="15">
        <f>IFERROR(__xludf.DUMMYFUNCTION("""COMPUTED_VALUE"""),1.017)</f>
        <v>1.017</v>
      </c>
      <c r="E6037" s="16">
        <f>IFERROR(__xludf.DUMMYFUNCTION("""COMPUTED_VALUE"""),63.0)</f>
        <v>63</v>
      </c>
      <c r="F6037" s="19" t="str">
        <f>IFERROR(__xludf.DUMMYFUNCTION("""COMPUTED_VALUE"""),"BLUE")</f>
        <v>BLUE</v>
      </c>
      <c r="G6037" s="20" t="str">
        <f>IFERROR(__xludf.DUMMYFUNCTION("""COMPUTED_VALUE"""),"Uncle Sams Cider (11/12/2021) (Blue)")</f>
        <v>Uncle Sams Cider (11/12/2021) (Blue)</v>
      </c>
      <c r="H6037" s="19"/>
    </row>
    <row r="6038">
      <c r="A6038" s="9"/>
      <c r="B6038" s="15"/>
      <c r="C6038" s="9">
        <f>IFERROR(__xludf.DUMMYFUNCTION("""COMPUTED_VALUE"""),44542.2174604513)</f>
        <v>44542.21746</v>
      </c>
      <c r="D6038" s="15">
        <f>IFERROR(__xludf.DUMMYFUNCTION("""COMPUTED_VALUE"""),1.017)</f>
        <v>1.017</v>
      </c>
      <c r="E6038" s="16">
        <f>IFERROR(__xludf.DUMMYFUNCTION("""COMPUTED_VALUE"""),63.0)</f>
        <v>63</v>
      </c>
      <c r="F6038" s="19" t="str">
        <f>IFERROR(__xludf.DUMMYFUNCTION("""COMPUTED_VALUE"""),"BLUE")</f>
        <v>BLUE</v>
      </c>
      <c r="G6038" s="20" t="str">
        <f>IFERROR(__xludf.DUMMYFUNCTION("""COMPUTED_VALUE"""),"Uncle Sams Cider (11/12/2021) (Blue)")</f>
        <v>Uncle Sams Cider (11/12/2021) (Blue)</v>
      </c>
      <c r="H6038" s="19"/>
    </row>
    <row r="6039">
      <c r="A6039" s="9"/>
      <c r="B6039" s="15"/>
      <c r="C6039" s="9">
        <f>IFERROR(__xludf.DUMMYFUNCTION("""COMPUTED_VALUE"""),44542.2070274652)</f>
        <v>44542.20703</v>
      </c>
      <c r="D6039" s="15">
        <f>IFERROR(__xludf.DUMMYFUNCTION("""COMPUTED_VALUE"""),1.017)</f>
        <v>1.017</v>
      </c>
      <c r="E6039" s="16">
        <f>IFERROR(__xludf.DUMMYFUNCTION("""COMPUTED_VALUE"""),63.0)</f>
        <v>63</v>
      </c>
      <c r="F6039" s="19" t="str">
        <f>IFERROR(__xludf.DUMMYFUNCTION("""COMPUTED_VALUE"""),"BLUE")</f>
        <v>BLUE</v>
      </c>
      <c r="G6039" s="20" t="str">
        <f>IFERROR(__xludf.DUMMYFUNCTION("""COMPUTED_VALUE"""),"Uncle Sams Cider (11/12/2021) (Blue)")</f>
        <v>Uncle Sams Cider (11/12/2021) (Blue)</v>
      </c>
      <c r="H6039" s="19"/>
    </row>
    <row r="6040">
      <c r="A6040" s="9"/>
      <c r="B6040" s="15"/>
      <c r="C6040" s="9">
        <f>IFERROR(__xludf.DUMMYFUNCTION("""COMPUTED_VALUE"""),44542.1966062847)</f>
        <v>44542.19661</v>
      </c>
      <c r="D6040" s="15">
        <f>IFERROR(__xludf.DUMMYFUNCTION("""COMPUTED_VALUE"""),1.017)</f>
        <v>1.017</v>
      </c>
      <c r="E6040" s="16">
        <f>IFERROR(__xludf.DUMMYFUNCTION("""COMPUTED_VALUE"""),63.0)</f>
        <v>63</v>
      </c>
      <c r="F6040" s="19" t="str">
        <f>IFERROR(__xludf.DUMMYFUNCTION("""COMPUTED_VALUE"""),"BLUE")</f>
        <v>BLUE</v>
      </c>
      <c r="G6040" s="20" t="str">
        <f>IFERROR(__xludf.DUMMYFUNCTION("""COMPUTED_VALUE"""),"Uncle Sams Cider (11/12/2021) (Blue)")</f>
        <v>Uncle Sams Cider (11/12/2021) (Blue)</v>
      </c>
      <c r="H6040" s="19"/>
    </row>
    <row r="6041">
      <c r="A6041" s="9"/>
      <c r="B6041" s="15"/>
      <c r="C6041" s="9">
        <f>IFERROR(__xludf.DUMMYFUNCTION("""COMPUTED_VALUE"""),44542.1861855092)</f>
        <v>44542.18619</v>
      </c>
      <c r="D6041" s="15">
        <f>IFERROR(__xludf.DUMMYFUNCTION("""COMPUTED_VALUE"""),1.017)</f>
        <v>1.017</v>
      </c>
      <c r="E6041" s="16">
        <f>IFERROR(__xludf.DUMMYFUNCTION("""COMPUTED_VALUE"""),63.0)</f>
        <v>63</v>
      </c>
      <c r="F6041" s="19" t="str">
        <f>IFERROR(__xludf.DUMMYFUNCTION("""COMPUTED_VALUE"""),"BLUE")</f>
        <v>BLUE</v>
      </c>
      <c r="G6041" s="20" t="str">
        <f>IFERROR(__xludf.DUMMYFUNCTION("""COMPUTED_VALUE"""),"Uncle Sams Cider (11/12/2021) (Blue)")</f>
        <v>Uncle Sams Cider (11/12/2021) (Blue)</v>
      </c>
      <c r="H6041" s="19"/>
    </row>
    <row r="6042">
      <c r="A6042" s="9"/>
      <c r="B6042" s="15"/>
      <c r="C6042" s="9">
        <f>IFERROR(__xludf.DUMMYFUNCTION("""COMPUTED_VALUE"""),44542.1757647222)</f>
        <v>44542.17576</v>
      </c>
      <c r="D6042" s="15">
        <f>IFERROR(__xludf.DUMMYFUNCTION("""COMPUTED_VALUE"""),1.017)</f>
        <v>1.017</v>
      </c>
      <c r="E6042" s="16">
        <f>IFERROR(__xludf.DUMMYFUNCTION("""COMPUTED_VALUE"""),63.0)</f>
        <v>63</v>
      </c>
      <c r="F6042" s="19" t="str">
        <f>IFERROR(__xludf.DUMMYFUNCTION("""COMPUTED_VALUE"""),"BLUE")</f>
        <v>BLUE</v>
      </c>
      <c r="G6042" s="20" t="str">
        <f>IFERROR(__xludf.DUMMYFUNCTION("""COMPUTED_VALUE"""),"Uncle Sams Cider (11/12/2021) (Blue)")</f>
        <v>Uncle Sams Cider (11/12/2021) (Blue)</v>
      </c>
      <c r="H6042" s="19"/>
    </row>
    <row r="6043">
      <c r="A6043" s="9"/>
      <c r="B6043" s="15"/>
      <c r="C6043" s="9">
        <f>IFERROR(__xludf.DUMMYFUNCTION("""COMPUTED_VALUE"""),44542.1653446643)</f>
        <v>44542.16534</v>
      </c>
      <c r="D6043" s="15">
        <f>IFERROR(__xludf.DUMMYFUNCTION("""COMPUTED_VALUE"""),1.017)</f>
        <v>1.017</v>
      </c>
      <c r="E6043" s="16">
        <f>IFERROR(__xludf.DUMMYFUNCTION("""COMPUTED_VALUE"""),63.0)</f>
        <v>63</v>
      </c>
      <c r="F6043" s="19" t="str">
        <f>IFERROR(__xludf.DUMMYFUNCTION("""COMPUTED_VALUE"""),"BLUE")</f>
        <v>BLUE</v>
      </c>
      <c r="G6043" s="20" t="str">
        <f>IFERROR(__xludf.DUMMYFUNCTION("""COMPUTED_VALUE"""),"Uncle Sams Cider (11/12/2021) (Blue)")</f>
        <v>Uncle Sams Cider (11/12/2021) (Blue)</v>
      </c>
      <c r="H6043" s="19"/>
    </row>
    <row r="6044">
      <c r="A6044" s="9"/>
      <c r="B6044" s="15"/>
      <c r="C6044" s="9">
        <f>IFERROR(__xludf.DUMMYFUNCTION("""COMPUTED_VALUE"""),44542.1549233217)</f>
        <v>44542.15492</v>
      </c>
      <c r="D6044" s="15">
        <f>IFERROR(__xludf.DUMMYFUNCTION("""COMPUTED_VALUE"""),1.017)</f>
        <v>1.017</v>
      </c>
      <c r="E6044" s="16">
        <f>IFERROR(__xludf.DUMMYFUNCTION("""COMPUTED_VALUE"""),63.0)</f>
        <v>63</v>
      </c>
      <c r="F6044" s="19" t="str">
        <f>IFERROR(__xludf.DUMMYFUNCTION("""COMPUTED_VALUE"""),"BLUE")</f>
        <v>BLUE</v>
      </c>
      <c r="G6044" s="20" t="str">
        <f>IFERROR(__xludf.DUMMYFUNCTION("""COMPUTED_VALUE"""),"Uncle Sams Cider (11/12/2021) (Blue)")</f>
        <v>Uncle Sams Cider (11/12/2021) (Blue)</v>
      </c>
      <c r="H6044" s="19"/>
    </row>
    <row r="6045">
      <c r="A6045" s="9"/>
      <c r="B6045" s="15"/>
      <c r="C6045" s="9">
        <f>IFERROR(__xludf.DUMMYFUNCTION("""COMPUTED_VALUE"""),44542.1445035648)</f>
        <v>44542.1445</v>
      </c>
      <c r="D6045" s="15">
        <f>IFERROR(__xludf.DUMMYFUNCTION("""COMPUTED_VALUE"""),1.017)</f>
        <v>1.017</v>
      </c>
      <c r="E6045" s="16">
        <f>IFERROR(__xludf.DUMMYFUNCTION("""COMPUTED_VALUE"""),63.0)</f>
        <v>63</v>
      </c>
      <c r="F6045" s="19" t="str">
        <f>IFERROR(__xludf.DUMMYFUNCTION("""COMPUTED_VALUE"""),"BLUE")</f>
        <v>BLUE</v>
      </c>
      <c r="G6045" s="20" t="str">
        <f>IFERROR(__xludf.DUMMYFUNCTION("""COMPUTED_VALUE"""),"Uncle Sams Cider (11/12/2021) (Blue)")</f>
        <v>Uncle Sams Cider (11/12/2021) (Blue)</v>
      </c>
      <c r="H6045" s="19"/>
    </row>
    <row r="6046">
      <c r="A6046" s="9"/>
      <c r="B6046" s="15"/>
      <c r="C6046" s="9">
        <f>IFERROR(__xludf.DUMMYFUNCTION("""COMPUTED_VALUE"""),44542.1340822222)</f>
        <v>44542.13408</v>
      </c>
      <c r="D6046" s="15">
        <f>IFERROR(__xludf.DUMMYFUNCTION("""COMPUTED_VALUE"""),1.017)</f>
        <v>1.017</v>
      </c>
      <c r="E6046" s="16">
        <f>IFERROR(__xludf.DUMMYFUNCTION("""COMPUTED_VALUE"""),63.0)</f>
        <v>63</v>
      </c>
      <c r="F6046" s="19" t="str">
        <f>IFERROR(__xludf.DUMMYFUNCTION("""COMPUTED_VALUE"""),"BLUE")</f>
        <v>BLUE</v>
      </c>
      <c r="G6046" s="20" t="str">
        <f>IFERROR(__xludf.DUMMYFUNCTION("""COMPUTED_VALUE"""),"Uncle Sams Cider (11/12/2021) (Blue)")</f>
        <v>Uncle Sams Cider (11/12/2021) (Blue)</v>
      </c>
      <c r="H6046" s="19"/>
    </row>
    <row r="6047">
      <c r="A6047" s="9"/>
      <c r="B6047" s="15"/>
      <c r="C6047" s="9">
        <f>IFERROR(__xludf.DUMMYFUNCTION("""COMPUTED_VALUE"""),44542.1236621064)</f>
        <v>44542.12366</v>
      </c>
      <c r="D6047" s="15">
        <f>IFERROR(__xludf.DUMMYFUNCTION("""COMPUTED_VALUE"""),1.017)</f>
        <v>1.017</v>
      </c>
      <c r="E6047" s="16">
        <f>IFERROR(__xludf.DUMMYFUNCTION("""COMPUTED_VALUE"""),63.0)</f>
        <v>63</v>
      </c>
      <c r="F6047" s="19" t="str">
        <f>IFERROR(__xludf.DUMMYFUNCTION("""COMPUTED_VALUE"""),"BLUE")</f>
        <v>BLUE</v>
      </c>
      <c r="G6047" s="20" t="str">
        <f>IFERROR(__xludf.DUMMYFUNCTION("""COMPUTED_VALUE"""),"Uncle Sams Cider (11/12/2021) (Blue)")</f>
        <v>Uncle Sams Cider (11/12/2021) (Blue)</v>
      </c>
      <c r="H6047" s="19"/>
    </row>
    <row r="6048">
      <c r="A6048" s="9"/>
      <c r="B6048" s="15"/>
      <c r="C6048" s="9">
        <f>IFERROR(__xludf.DUMMYFUNCTION("""COMPUTED_VALUE"""),44542.1132424305)</f>
        <v>44542.11324</v>
      </c>
      <c r="D6048" s="15">
        <f>IFERROR(__xludf.DUMMYFUNCTION("""COMPUTED_VALUE"""),1.017)</f>
        <v>1.017</v>
      </c>
      <c r="E6048" s="16">
        <f>IFERROR(__xludf.DUMMYFUNCTION("""COMPUTED_VALUE"""),63.0)</f>
        <v>63</v>
      </c>
      <c r="F6048" s="19" t="str">
        <f>IFERROR(__xludf.DUMMYFUNCTION("""COMPUTED_VALUE"""),"BLUE")</f>
        <v>BLUE</v>
      </c>
      <c r="G6048" s="20" t="str">
        <f>IFERROR(__xludf.DUMMYFUNCTION("""COMPUTED_VALUE"""),"Uncle Sams Cider (11/12/2021) (Blue)")</f>
        <v>Uncle Sams Cider (11/12/2021) (Blue)</v>
      </c>
      <c r="H6048" s="19"/>
    </row>
    <row r="6049">
      <c r="A6049" s="9"/>
      <c r="B6049" s="15"/>
      <c r="C6049" s="9">
        <f>IFERROR(__xludf.DUMMYFUNCTION("""COMPUTED_VALUE"""),44542.10280978)</f>
        <v>44542.10281</v>
      </c>
      <c r="D6049" s="15">
        <f>IFERROR(__xludf.DUMMYFUNCTION("""COMPUTED_VALUE"""),1.017)</f>
        <v>1.017</v>
      </c>
      <c r="E6049" s="16">
        <f>IFERROR(__xludf.DUMMYFUNCTION("""COMPUTED_VALUE"""),63.0)</f>
        <v>63</v>
      </c>
      <c r="F6049" s="19" t="str">
        <f>IFERROR(__xludf.DUMMYFUNCTION("""COMPUTED_VALUE"""),"BLUE")</f>
        <v>BLUE</v>
      </c>
      <c r="G6049" s="20" t="str">
        <f>IFERROR(__xludf.DUMMYFUNCTION("""COMPUTED_VALUE"""),"Uncle Sams Cider (11/12/2021) (Blue)")</f>
        <v>Uncle Sams Cider (11/12/2021) (Blue)</v>
      </c>
      <c r="H6049" s="19"/>
    </row>
    <row r="6050">
      <c r="A6050" s="9"/>
      <c r="B6050" s="15"/>
      <c r="C6050" s="9">
        <f>IFERROR(__xludf.DUMMYFUNCTION("""COMPUTED_VALUE"""),44542.092389155)</f>
        <v>44542.09239</v>
      </c>
      <c r="D6050" s="15">
        <f>IFERROR(__xludf.DUMMYFUNCTION("""COMPUTED_VALUE"""),1.017)</f>
        <v>1.017</v>
      </c>
      <c r="E6050" s="16">
        <f>IFERROR(__xludf.DUMMYFUNCTION("""COMPUTED_VALUE"""),63.0)</f>
        <v>63</v>
      </c>
      <c r="F6050" s="19" t="str">
        <f>IFERROR(__xludf.DUMMYFUNCTION("""COMPUTED_VALUE"""),"BLUE")</f>
        <v>BLUE</v>
      </c>
      <c r="G6050" s="20" t="str">
        <f>IFERROR(__xludf.DUMMYFUNCTION("""COMPUTED_VALUE"""),"Uncle Sams Cider (11/12/2021) (Blue)")</f>
        <v>Uncle Sams Cider (11/12/2021) (Blue)</v>
      </c>
      <c r="H6050" s="19"/>
    </row>
    <row r="6051">
      <c r="A6051" s="9"/>
      <c r="B6051" s="15"/>
      <c r="C6051" s="9">
        <f>IFERROR(__xludf.DUMMYFUNCTION("""COMPUTED_VALUE"""),44542.0819567939)</f>
        <v>44542.08196</v>
      </c>
      <c r="D6051" s="15">
        <f>IFERROR(__xludf.DUMMYFUNCTION("""COMPUTED_VALUE"""),1.017)</f>
        <v>1.017</v>
      </c>
      <c r="E6051" s="16">
        <f>IFERROR(__xludf.DUMMYFUNCTION("""COMPUTED_VALUE"""),63.0)</f>
        <v>63</v>
      </c>
      <c r="F6051" s="19" t="str">
        <f>IFERROR(__xludf.DUMMYFUNCTION("""COMPUTED_VALUE"""),"BLUE")</f>
        <v>BLUE</v>
      </c>
      <c r="G6051" s="20" t="str">
        <f>IFERROR(__xludf.DUMMYFUNCTION("""COMPUTED_VALUE"""),"Uncle Sams Cider (11/12/2021) (Blue)")</f>
        <v>Uncle Sams Cider (11/12/2021) (Blue)</v>
      </c>
      <c r="H6051" s="19"/>
    </row>
    <row r="6052">
      <c r="A6052" s="9"/>
      <c r="B6052" s="15"/>
      <c r="C6052" s="9">
        <f>IFERROR(__xludf.DUMMYFUNCTION("""COMPUTED_VALUE"""),44542.0715356944)</f>
        <v>44542.07154</v>
      </c>
      <c r="D6052" s="15">
        <f>IFERROR(__xludf.DUMMYFUNCTION("""COMPUTED_VALUE"""),1.017)</f>
        <v>1.017</v>
      </c>
      <c r="E6052" s="16">
        <f>IFERROR(__xludf.DUMMYFUNCTION("""COMPUTED_VALUE"""),63.0)</f>
        <v>63</v>
      </c>
      <c r="F6052" s="19" t="str">
        <f>IFERROR(__xludf.DUMMYFUNCTION("""COMPUTED_VALUE"""),"BLUE")</f>
        <v>BLUE</v>
      </c>
      <c r="G6052" s="20" t="str">
        <f>IFERROR(__xludf.DUMMYFUNCTION("""COMPUTED_VALUE"""),"Uncle Sams Cider (11/12/2021) (Blue)")</f>
        <v>Uncle Sams Cider (11/12/2021) (Blue)</v>
      </c>
      <c r="H6052" s="19"/>
    </row>
    <row r="6053">
      <c r="A6053" s="9"/>
      <c r="B6053" s="15"/>
      <c r="C6053" s="9">
        <f>IFERROR(__xludf.DUMMYFUNCTION("""COMPUTED_VALUE"""),44542.0611151851)</f>
        <v>44542.06112</v>
      </c>
      <c r="D6053" s="15">
        <f>IFERROR(__xludf.DUMMYFUNCTION("""COMPUTED_VALUE"""),1.017)</f>
        <v>1.017</v>
      </c>
      <c r="E6053" s="16">
        <f>IFERROR(__xludf.DUMMYFUNCTION("""COMPUTED_VALUE"""),63.0)</f>
        <v>63</v>
      </c>
      <c r="F6053" s="19" t="str">
        <f>IFERROR(__xludf.DUMMYFUNCTION("""COMPUTED_VALUE"""),"BLUE")</f>
        <v>BLUE</v>
      </c>
      <c r="G6053" s="20" t="str">
        <f>IFERROR(__xludf.DUMMYFUNCTION("""COMPUTED_VALUE"""),"Uncle Sams Cider (11/12/2021) (Blue)")</f>
        <v>Uncle Sams Cider (11/12/2021) (Blue)</v>
      </c>
      <c r="H6053" s="19"/>
    </row>
    <row r="6054">
      <c r="A6054" s="9"/>
      <c r="B6054" s="15"/>
      <c r="C6054" s="9">
        <f>IFERROR(__xludf.DUMMYFUNCTION("""COMPUTED_VALUE"""),44542.0506936805)</f>
        <v>44542.05069</v>
      </c>
      <c r="D6054" s="15">
        <f>IFERROR(__xludf.DUMMYFUNCTION("""COMPUTED_VALUE"""),1.017)</f>
        <v>1.017</v>
      </c>
      <c r="E6054" s="16">
        <f>IFERROR(__xludf.DUMMYFUNCTION("""COMPUTED_VALUE"""),63.0)</f>
        <v>63</v>
      </c>
      <c r="F6054" s="19" t="str">
        <f>IFERROR(__xludf.DUMMYFUNCTION("""COMPUTED_VALUE"""),"BLUE")</f>
        <v>BLUE</v>
      </c>
      <c r="G6054" s="20" t="str">
        <f>IFERROR(__xludf.DUMMYFUNCTION("""COMPUTED_VALUE"""),"Uncle Sams Cider (11/12/2021) (Blue)")</f>
        <v>Uncle Sams Cider (11/12/2021) (Blue)</v>
      </c>
      <c r="H6054" s="19"/>
    </row>
    <row r="6055">
      <c r="A6055" s="9"/>
      <c r="B6055" s="15"/>
      <c r="C6055" s="9">
        <f>IFERROR(__xludf.DUMMYFUNCTION("""COMPUTED_VALUE"""),44542.0402728472)</f>
        <v>44542.04027</v>
      </c>
      <c r="D6055" s="15">
        <f>IFERROR(__xludf.DUMMYFUNCTION("""COMPUTED_VALUE"""),1.017)</f>
        <v>1.017</v>
      </c>
      <c r="E6055" s="16">
        <f>IFERROR(__xludf.DUMMYFUNCTION("""COMPUTED_VALUE"""),63.0)</f>
        <v>63</v>
      </c>
      <c r="F6055" s="19" t="str">
        <f>IFERROR(__xludf.DUMMYFUNCTION("""COMPUTED_VALUE"""),"BLUE")</f>
        <v>BLUE</v>
      </c>
      <c r="G6055" s="20" t="str">
        <f>IFERROR(__xludf.DUMMYFUNCTION("""COMPUTED_VALUE"""),"Uncle Sams Cider (11/12/2021) (Blue)")</f>
        <v>Uncle Sams Cider (11/12/2021) (Blue)</v>
      </c>
      <c r="H6055" s="19"/>
    </row>
    <row r="6056">
      <c r="A6056" s="9"/>
      <c r="B6056" s="15"/>
      <c r="C6056" s="9">
        <f>IFERROR(__xludf.DUMMYFUNCTION("""COMPUTED_VALUE"""),44542.0298408796)</f>
        <v>44542.02984</v>
      </c>
      <c r="D6056" s="15">
        <f>IFERROR(__xludf.DUMMYFUNCTION("""COMPUTED_VALUE"""),1.017)</f>
        <v>1.017</v>
      </c>
      <c r="E6056" s="16">
        <f>IFERROR(__xludf.DUMMYFUNCTION("""COMPUTED_VALUE"""),63.0)</f>
        <v>63</v>
      </c>
      <c r="F6056" s="19" t="str">
        <f>IFERROR(__xludf.DUMMYFUNCTION("""COMPUTED_VALUE"""),"BLUE")</f>
        <v>BLUE</v>
      </c>
      <c r="G6056" s="20" t="str">
        <f>IFERROR(__xludf.DUMMYFUNCTION("""COMPUTED_VALUE"""),"Uncle Sams Cider (11/12/2021) (Blue)")</f>
        <v>Uncle Sams Cider (11/12/2021) (Blue)</v>
      </c>
      <c r="H6056" s="19"/>
    </row>
    <row r="6057">
      <c r="A6057" s="9"/>
      <c r="B6057" s="15"/>
      <c r="C6057" s="9">
        <f>IFERROR(__xludf.DUMMYFUNCTION("""COMPUTED_VALUE"""),44542.0194199421)</f>
        <v>44542.01942</v>
      </c>
      <c r="D6057" s="15">
        <f>IFERROR(__xludf.DUMMYFUNCTION("""COMPUTED_VALUE"""),1.017)</f>
        <v>1.017</v>
      </c>
      <c r="E6057" s="16">
        <f>IFERROR(__xludf.DUMMYFUNCTION("""COMPUTED_VALUE"""),63.0)</f>
        <v>63</v>
      </c>
      <c r="F6057" s="19" t="str">
        <f>IFERROR(__xludf.DUMMYFUNCTION("""COMPUTED_VALUE"""),"BLUE")</f>
        <v>BLUE</v>
      </c>
      <c r="G6057" s="20" t="str">
        <f>IFERROR(__xludf.DUMMYFUNCTION("""COMPUTED_VALUE"""),"Uncle Sams Cider (11/12/2021) (Blue)")</f>
        <v>Uncle Sams Cider (11/12/2021) (Blue)</v>
      </c>
      <c r="H6057" s="19"/>
    </row>
    <row r="6058">
      <c r="A6058" s="9"/>
      <c r="B6058" s="15"/>
      <c r="C6058" s="9">
        <f>IFERROR(__xludf.DUMMYFUNCTION("""COMPUTED_VALUE"""),44542.0090003819)</f>
        <v>44542.009</v>
      </c>
      <c r="D6058" s="15">
        <f>IFERROR(__xludf.DUMMYFUNCTION("""COMPUTED_VALUE"""),1.017)</f>
        <v>1.017</v>
      </c>
      <c r="E6058" s="16">
        <f>IFERROR(__xludf.DUMMYFUNCTION("""COMPUTED_VALUE"""),63.0)</f>
        <v>63</v>
      </c>
      <c r="F6058" s="19" t="str">
        <f>IFERROR(__xludf.DUMMYFUNCTION("""COMPUTED_VALUE"""),"BLUE")</f>
        <v>BLUE</v>
      </c>
      <c r="G6058" s="20" t="str">
        <f>IFERROR(__xludf.DUMMYFUNCTION("""COMPUTED_VALUE"""),"Uncle Sams Cider (11/12/2021) (Blue)")</f>
        <v>Uncle Sams Cider (11/12/2021) (Blue)</v>
      </c>
      <c r="H6058" s="19"/>
    </row>
    <row r="6059">
      <c r="A6059" s="9"/>
      <c r="B6059" s="15"/>
      <c r="C6059" s="9">
        <f>IFERROR(__xludf.DUMMYFUNCTION("""COMPUTED_VALUE"""),44541.9985680787)</f>
        <v>44541.99857</v>
      </c>
      <c r="D6059" s="15">
        <f>IFERROR(__xludf.DUMMYFUNCTION("""COMPUTED_VALUE"""),1.017)</f>
        <v>1.017</v>
      </c>
      <c r="E6059" s="16">
        <f>IFERROR(__xludf.DUMMYFUNCTION("""COMPUTED_VALUE"""),63.0)</f>
        <v>63</v>
      </c>
      <c r="F6059" s="19" t="str">
        <f>IFERROR(__xludf.DUMMYFUNCTION("""COMPUTED_VALUE"""),"BLUE")</f>
        <v>BLUE</v>
      </c>
      <c r="G6059" s="20" t="str">
        <f>IFERROR(__xludf.DUMMYFUNCTION("""COMPUTED_VALUE"""),"Uncle Sams Cider (11/12/2021) (Blue)")</f>
        <v>Uncle Sams Cider (11/12/2021) (Blue)</v>
      </c>
      <c r="H6059" s="19"/>
    </row>
    <row r="6060">
      <c r="A6060" s="9"/>
      <c r="B6060" s="15"/>
      <c r="C6060" s="9">
        <f>IFERROR(__xludf.DUMMYFUNCTION("""COMPUTED_VALUE"""),44541.9881480902)</f>
        <v>44541.98815</v>
      </c>
      <c r="D6060" s="15">
        <f>IFERROR(__xludf.DUMMYFUNCTION("""COMPUTED_VALUE"""),1.017)</f>
        <v>1.017</v>
      </c>
      <c r="E6060" s="16">
        <f>IFERROR(__xludf.DUMMYFUNCTION("""COMPUTED_VALUE"""),63.0)</f>
        <v>63</v>
      </c>
      <c r="F6060" s="19" t="str">
        <f>IFERROR(__xludf.DUMMYFUNCTION("""COMPUTED_VALUE"""),"BLUE")</f>
        <v>BLUE</v>
      </c>
      <c r="G6060" s="20" t="str">
        <f>IFERROR(__xludf.DUMMYFUNCTION("""COMPUTED_VALUE"""),"Uncle Sams Cider (11/12/2021) (Blue)")</f>
        <v>Uncle Sams Cider (11/12/2021) (Blue)</v>
      </c>
      <c r="H6060" s="19"/>
    </row>
    <row r="6061">
      <c r="A6061" s="9"/>
      <c r="B6061" s="15"/>
      <c r="C6061" s="9">
        <f>IFERROR(__xludf.DUMMYFUNCTION("""COMPUTED_VALUE"""),44541.9777266898)</f>
        <v>44541.97773</v>
      </c>
      <c r="D6061" s="15">
        <f>IFERROR(__xludf.DUMMYFUNCTION("""COMPUTED_VALUE"""),1.017)</f>
        <v>1.017</v>
      </c>
      <c r="E6061" s="16">
        <f>IFERROR(__xludf.DUMMYFUNCTION("""COMPUTED_VALUE"""),63.0)</f>
        <v>63</v>
      </c>
      <c r="F6061" s="19" t="str">
        <f>IFERROR(__xludf.DUMMYFUNCTION("""COMPUTED_VALUE"""),"BLUE")</f>
        <v>BLUE</v>
      </c>
      <c r="G6061" s="20" t="str">
        <f>IFERROR(__xludf.DUMMYFUNCTION("""COMPUTED_VALUE"""),"Uncle Sams Cider (11/12/2021) (Blue)")</f>
        <v>Uncle Sams Cider (11/12/2021) (Blue)</v>
      </c>
      <c r="H6061" s="19"/>
    </row>
    <row r="6062">
      <c r="A6062" s="9"/>
      <c r="B6062" s="15"/>
      <c r="C6062" s="9">
        <f>IFERROR(__xludf.DUMMYFUNCTION("""COMPUTED_VALUE"""),44541.9673059722)</f>
        <v>44541.96731</v>
      </c>
      <c r="D6062" s="15">
        <f>IFERROR(__xludf.DUMMYFUNCTION("""COMPUTED_VALUE"""),1.017)</f>
        <v>1.017</v>
      </c>
      <c r="E6062" s="16">
        <f>IFERROR(__xludf.DUMMYFUNCTION("""COMPUTED_VALUE"""),63.0)</f>
        <v>63</v>
      </c>
      <c r="F6062" s="19" t="str">
        <f>IFERROR(__xludf.DUMMYFUNCTION("""COMPUTED_VALUE"""),"BLUE")</f>
        <v>BLUE</v>
      </c>
      <c r="G6062" s="20" t="str">
        <f>IFERROR(__xludf.DUMMYFUNCTION("""COMPUTED_VALUE"""),"Uncle Sams Cider (11/12/2021) (Blue)")</f>
        <v>Uncle Sams Cider (11/12/2021) (Blue)</v>
      </c>
      <c r="H6062" s="19"/>
    </row>
    <row r="6063">
      <c r="A6063" s="9"/>
      <c r="B6063" s="15"/>
      <c r="C6063" s="9">
        <f>IFERROR(__xludf.DUMMYFUNCTION("""COMPUTED_VALUE"""),44541.9568838078)</f>
        <v>44541.95688</v>
      </c>
      <c r="D6063" s="15">
        <f>IFERROR(__xludf.DUMMYFUNCTION("""COMPUTED_VALUE"""),1.017)</f>
        <v>1.017</v>
      </c>
      <c r="E6063" s="16">
        <f>IFERROR(__xludf.DUMMYFUNCTION("""COMPUTED_VALUE"""),63.0)</f>
        <v>63</v>
      </c>
      <c r="F6063" s="19" t="str">
        <f>IFERROR(__xludf.DUMMYFUNCTION("""COMPUTED_VALUE"""),"BLUE")</f>
        <v>BLUE</v>
      </c>
      <c r="G6063" s="20" t="str">
        <f>IFERROR(__xludf.DUMMYFUNCTION("""COMPUTED_VALUE"""),"Uncle Sams Cider (11/12/2021) (Blue)")</f>
        <v>Uncle Sams Cider (11/12/2021) (Blue)</v>
      </c>
      <c r="H6063" s="19"/>
    </row>
    <row r="6064">
      <c r="A6064" s="9"/>
      <c r="B6064" s="15"/>
      <c r="C6064" s="9">
        <f>IFERROR(__xludf.DUMMYFUNCTION("""COMPUTED_VALUE"""),44541.9464601504)</f>
        <v>44541.94646</v>
      </c>
      <c r="D6064" s="15">
        <f>IFERROR(__xludf.DUMMYFUNCTION("""COMPUTED_VALUE"""),1.017)</f>
        <v>1.017</v>
      </c>
      <c r="E6064" s="16">
        <f>IFERROR(__xludf.DUMMYFUNCTION("""COMPUTED_VALUE"""),63.0)</f>
        <v>63</v>
      </c>
      <c r="F6064" s="19" t="str">
        <f>IFERROR(__xludf.DUMMYFUNCTION("""COMPUTED_VALUE"""),"BLUE")</f>
        <v>BLUE</v>
      </c>
      <c r="G6064" s="20" t="str">
        <f>IFERROR(__xludf.DUMMYFUNCTION("""COMPUTED_VALUE"""),"Uncle Sams Cider (11/12/2021) (Blue)")</f>
        <v>Uncle Sams Cider (11/12/2021) (Blue)</v>
      </c>
      <c r="H6064" s="19"/>
    </row>
    <row r="6065">
      <c r="A6065" s="9"/>
      <c r="B6065" s="15"/>
      <c r="C6065" s="9">
        <f>IFERROR(__xludf.DUMMYFUNCTION("""COMPUTED_VALUE"""),44541.936040162)</f>
        <v>44541.93604</v>
      </c>
      <c r="D6065" s="15">
        <f>IFERROR(__xludf.DUMMYFUNCTION("""COMPUTED_VALUE"""),1.017)</f>
        <v>1.017</v>
      </c>
      <c r="E6065" s="16">
        <f>IFERROR(__xludf.DUMMYFUNCTION("""COMPUTED_VALUE"""),63.0)</f>
        <v>63</v>
      </c>
      <c r="F6065" s="19" t="str">
        <f>IFERROR(__xludf.DUMMYFUNCTION("""COMPUTED_VALUE"""),"BLUE")</f>
        <v>BLUE</v>
      </c>
      <c r="G6065" s="20" t="str">
        <f>IFERROR(__xludf.DUMMYFUNCTION("""COMPUTED_VALUE"""),"Uncle Sams Cider (11/12/2021) (Blue)")</f>
        <v>Uncle Sams Cider (11/12/2021) (Blue)</v>
      </c>
      <c r="H6065" s="19"/>
    </row>
    <row r="6066">
      <c r="A6066" s="9"/>
      <c r="B6066" s="15"/>
      <c r="C6066" s="9">
        <f>IFERROR(__xludf.DUMMYFUNCTION("""COMPUTED_VALUE"""),44541.9256200694)</f>
        <v>44541.92562</v>
      </c>
      <c r="D6066" s="15">
        <f>IFERROR(__xludf.DUMMYFUNCTION("""COMPUTED_VALUE"""),1.017)</f>
        <v>1.017</v>
      </c>
      <c r="E6066" s="16">
        <f>IFERROR(__xludf.DUMMYFUNCTION("""COMPUTED_VALUE"""),63.0)</f>
        <v>63</v>
      </c>
      <c r="F6066" s="19" t="str">
        <f>IFERROR(__xludf.DUMMYFUNCTION("""COMPUTED_VALUE"""),"BLUE")</f>
        <v>BLUE</v>
      </c>
      <c r="G6066" s="20" t="str">
        <f>IFERROR(__xludf.DUMMYFUNCTION("""COMPUTED_VALUE"""),"Uncle Sams Cider (11/12/2021) (Blue)")</f>
        <v>Uncle Sams Cider (11/12/2021) (Blue)</v>
      </c>
      <c r="H6066" s="19"/>
    </row>
    <row r="6067">
      <c r="A6067" s="9"/>
      <c r="B6067" s="15"/>
      <c r="C6067" s="9">
        <f>IFERROR(__xludf.DUMMYFUNCTION("""COMPUTED_VALUE"""),44541.9151975925)</f>
        <v>44541.9152</v>
      </c>
      <c r="D6067" s="15">
        <f>IFERROR(__xludf.DUMMYFUNCTION("""COMPUTED_VALUE"""),1.017)</f>
        <v>1.017</v>
      </c>
      <c r="E6067" s="16">
        <f>IFERROR(__xludf.DUMMYFUNCTION("""COMPUTED_VALUE"""),63.0)</f>
        <v>63</v>
      </c>
      <c r="F6067" s="19" t="str">
        <f>IFERROR(__xludf.DUMMYFUNCTION("""COMPUTED_VALUE"""),"BLUE")</f>
        <v>BLUE</v>
      </c>
      <c r="G6067" s="20" t="str">
        <f>IFERROR(__xludf.DUMMYFUNCTION("""COMPUTED_VALUE"""),"Uncle Sams Cider (11/12/2021) (Blue)")</f>
        <v>Uncle Sams Cider (11/12/2021) (Blue)</v>
      </c>
      <c r="H6067" s="19"/>
    </row>
    <row r="6068">
      <c r="A6068" s="9"/>
      <c r="B6068" s="15"/>
      <c r="C6068" s="9">
        <f>IFERROR(__xludf.DUMMYFUNCTION("""COMPUTED_VALUE"""),44541.9047791087)</f>
        <v>44541.90478</v>
      </c>
      <c r="D6068" s="15">
        <f>IFERROR(__xludf.DUMMYFUNCTION("""COMPUTED_VALUE"""),1.017)</f>
        <v>1.017</v>
      </c>
      <c r="E6068" s="16">
        <f>IFERROR(__xludf.DUMMYFUNCTION("""COMPUTED_VALUE"""),63.0)</f>
        <v>63</v>
      </c>
      <c r="F6068" s="19" t="str">
        <f>IFERROR(__xludf.DUMMYFUNCTION("""COMPUTED_VALUE"""),"BLUE")</f>
        <v>BLUE</v>
      </c>
      <c r="G6068" s="20" t="str">
        <f>IFERROR(__xludf.DUMMYFUNCTION("""COMPUTED_VALUE"""),"Uncle Sams Cider (11/12/2021) (Blue)")</f>
        <v>Uncle Sams Cider (11/12/2021) (Blue)</v>
      </c>
      <c r="H6068" s="19"/>
    </row>
    <row r="6069">
      <c r="A6069" s="9"/>
      <c r="B6069" s="15"/>
      <c r="C6069" s="9">
        <f>IFERROR(__xludf.DUMMYFUNCTION("""COMPUTED_VALUE"""),44541.8943567939)</f>
        <v>44541.89436</v>
      </c>
      <c r="D6069" s="15">
        <f>IFERROR(__xludf.DUMMYFUNCTION("""COMPUTED_VALUE"""),1.017)</f>
        <v>1.017</v>
      </c>
      <c r="E6069" s="16">
        <f>IFERROR(__xludf.DUMMYFUNCTION("""COMPUTED_VALUE"""),63.0)</f>
        <v>63</v>
      </c>
      <c r="F6069" s="19" t="str">
        <f>IFERROR(__xludf.DUMMYFUNCTION("""COMPUTED_VALUE"""),"BLUE")</f>
        <v>BLUE</v>
      </c>
      <c r="G6069" s="20" t="str">
        <f>IFERROR(__xludf.DUMMYFUNCTION("""COMPUTED_VALUE"""),"Uncle Sams Cider (11/12/2021) (Blue)")</f>
        <v>Uncle Sams Cider (11/12/2021) (Blue)</v>
      </c>
      <c r="H6069" s="19"/>
    </row>
    <row r="6070">
      <c r="A6070" s="9"/>
      <c r="B6070" s="15"/>
      <c r="C6070" s="9">
        <f>IFERROR(__xludf.DUMMYFUNCTION("""COMPUTED_VALUE"""),44541.8839372453)</f>
        <v>44541.88394</v>
      </c>
      <c r="D6070" s="15">
        <f>IFERROR(__xludf.DUMMYFUNCTION("""COMPUTED_VALUE"""),1.017)</f>
        <v>1.017</v>
      </c>
      <c r="E6070" s="16">
        <f>IFERROR(__xludf.DUMMYFUNCTION("""COMPUTED_VALUE"""),63.0)</f>
        <v>63</v>
      </c>
      <c r="F6070" s="19" t="str">
        <f>IFERROR(__xludf.DUMMYFUNCTION("""COMPUTED_VALUE"""),"BLUE")</f>
        <v>BLUE</v>
      </c>
      <c r="G6070" s="20" t="str">
        <f>IFERROR(__xludf.DUMMYFUNCTION("""COMPUTED_VALUE"""),"Uncle Sams Cider (11/12/2021) (Blue)")</f>
        <v>Uncle Sams Cider (11/12/2021) (Blue)</v>
      </c>
      <c r="H6070" s="19"/>
    </row>
    <row r="6071">
      <c r="A6071" s="9"/>
      <c r="B6071" s="15"/>
      <c r="C6071" s="9">
        <f>IFERROR(__xludf.DUMMYFUNCTION("""COMPUTED_VALUE"""),44541.8735036458)</f>
        <v>44541.8735</v>
      </c>
      <c r="D6071" s="15">
        <f>IFERROR(__xludf.DUMMYFUNCTION("""COMPUTED_VALUE"""),1.017)</f>
        <v>1.017</v>
      </c>
      <c r="E6071" s="16">
        <f>IFERROR(__xludf.DUMMYFUNCTION("""COMPUTED_VALUE"""),63.0)</f>
        <v>63</v>
      </c>
      <c r="F6071" s="19" t="str">
        <f>IFERROR(__xludf.DUMMYFUNCTION("""COMPUTED_VALUE"""),"BLUE")</f>
        <v>BLUE</v>
      </c>
      <c r="G6071" s="20" t="str">
        <f>IFERROR(__xludf.DUMMYFUNCTION("""COMPUTED_VALUE"""),"Uncle Sams Cider (11/12/2021) (Blue)")</f>
        <v>Uncle Sams Cider (11/12/2021) (Blue)</v>
      </c>
      <c r="H6071" s="19"/>
    </row>
    <row r="6072">
      <c r="A6072" s="9"/>
      <c r="B6072" s="15"/>
      <c r="C6072" s="9">
        <f>IFERROR(__xludf.DUMMYFUNCTION("""COMPUTED_VALUE"""),44541.8630839583)</f>
        <v>44541.86308</v>
      </c>
      <c r="D6072" s="15">
        <f>IFERROR(__xludf.DUMMYFUNCTION("""COMPUTED_VALUE"""),1.017)</f>
        <v>1.017</v>
      </c>
      <c r="E6072" s="16">
        <f>IFERROR(__xludf.DUMMYFUNCTION("""COMPUTED_VALUE"""),63.0)</f>
        <v>63</v>
      </c>
      <c r="F6072" s="19" t="str">
        <f>IFERROR(__xludf.DUMMYFUNCTION("""COMPUTED_VALUE"""),"BLUE")</f>
        <v>BLUE</v>
      </c>
      <c r="G6072" s="20" t="str">
        <f>IFERROR(__xludf.DUMMYFUNCTION("""COMPUTED_VALUE"""),"Uncle Sams Cider (11/12/2021) (Blue)")</f>
        <v>Uncle Sams Cider (11/12/2021) (Blue)</v>
      </c>
      <c r="H6072" s="19"/>
    </row>
    <row r="6073">
      <c r="A6073" s="9"/>
      <c r="B6073" s="15"/>
      <c r="C6073" s="9">
        <f>IFERROR(__xludf.DUMMYFUNCTION("""COMPUTED_VALUE"""),44541.8526629861)</f>
        <v>44541.85266</v>
      </c>
      <c r="D6073" s="15">
        <f>IFERROR(__xludf.DUMMYFUNCTION("""COMPUTED_VALUE"""),1.017)</f>
        <v>1.017</v>
      </c>
      <c r="E6073" s="16">
        <f>IFERROR(__xludf.DUMMYFUNCTION("""COMPUTED_VALUE"""),63.0)</f>
        <v>63</v>
      </c>
      <c r="F6073" s="19" t="str">
        <f>IFERROR(__xludf.DUMMYFUNCTION("""COMPUTED_VALUE"""),"BLUE")</f>
        <v>BLUE</v>
      </c>
      <c r="G6073" s="20" t="str">
        <f>IFERROR(__xludf.DUMMYFUNCTION("""COMPUTED_VALUE"""),"Uncle Sams Cider (11/12/2021) (Blue)")</f>
        <v>Uncle Sams Cider (11/12/2021) (Blue)</v>
      </c>
      <c r="H6073" s="19"/>
    </row>
    <row r="6074">
      <c r="A6074" s="9"/>
      <c r="B6074" s="15"/>
      <c r="C6074" s="9">
        <f>IFERROR(__xludf.DUMMYFUNCTION("""COMPUTED_VALUE"""),44541.8422407291)</f>
        <v>44541.84224</v>
      </c>
      <c r="D6074" s="15">
        <f>IFERROR(__xludf.DUMMYFUNCTION("""COMPUTED_VALUE"""),1.017)</f>
        <v>1.017</v>
      </c>
      <c r="E6074" s="16">
        <f>IFERROR(__xludf.DUMMYFUNCTION("""COMPUTED_VALUE"""),63.0)</f>
        <v>63</v>
      </c>
      <c r="F6074" s="19" t="str">
        <f>IFERROR(__xludf.DUMMYFUNCTION("""COMPUTED_VALUE"""),"BLUE")</f>
        <v>BLUE</v>
      </c>
      <c r="G6074" s="20" t="str">
        <f>IFERROR(__xludf.DUMMYFUNCTION("""COMPUTED_VALUE"""),"Uncle Sams Cider (11/12/2021) (Blue)")</f>
        <v>Uncle Sams Cider (11/12/2021) (Blue)</v>
      </c>
      <c r="H6074" s="19"/>
    </row>
    <row r="6075">
      <c r="A6075" s="9"/>
      <c r="B6075" s="15"/>
      <c r="C6075" s="9">
        <f>IFERROR(__xludf.DUMMYFUNCTION("""COMPUTED_VALUE"""),44541.8318085763)</f>
        <v>44541.83181</v>
      </c>
      <c r="D6075" s="15">
        <f>IFERROR(__xludf.DUMMYFUNCTION("""COMPUTED_VALUE"""),1.017)</f>
        <v>1.017</v>
      </c>
      <c r="E6075" s="16">
        <f>IFERROR(__xludf.DUMMYFUNCTION("""COMPUTED_VALUE"""),63.0)</f>
        <v>63</v>
      </c>
      <c r="F6075" s="19" t="str">
        <f>IFERROR(__xludf.DUMMYFUNCTION("""COMPUTED_VALUE"""),"BLUE")</f>
        <v>BLUE</v>
      </c>
      <c r="G6075" s="20" t="str">
        <f>IFERROR(__xludf.DUMMYFUNCTION("""COMPUTED_VALUE"""),"Uncle Sams Cider (11/12/2021) (Blue)")</f>
        <v>Uncle Sams Cider (11/12/2021) (Blue)</v>
      </c>
      <c r="H6075" s="19"/>
    </row>
    <row r="6076">
      <c r="A6076" s="9"/>
      <c r="B6076" s="15"/>
      <c r="C6076" s="9">
        <f>IFERROR(__xludf.DUMMYFUNCTION("""COMPUTED_VALUE"""),44541.8213890625)</f>
        <v>44541.82139</v>
      </c>
      <c r="D6076" s="15">
        <f>IFERROR(__xludf.DUMMYFUNCTION("""COMPUTED_VALUE"""),1.017)</f>
        <v>1.017</v>
      </c>
      <c r="E6076" s="16">
        <f>IFERROR(__xludf.DUMMYFUNCTION("""COMPUTED_VALUE"""),63.0)</f>
        <v>63</v>
      </c>
      <c r="F6076" s="19" t="str">
        <f>IFERROR(__xludf.DUMMYFUNCTION("""COMPUTED_VALUE"""),"BLUE")</f>
        <v>BLUE</v>
      </c>
      <c r="G6076" s="20" t="str">
        <f>IFERROR(__xludf.DUMMYFUNCTION("""COMPUTED_VALUE"""),"Uncle Sams Cider (11/12/2021) (Blue)")</f>
        <v>Uncle Sams Cider (11/12/2021) (Blue)</v>
      </c>
      <c r="H6076" s="19"/>
    </row>
    <row r="6077">
      <c r="A6077" s="9"/>
      <c r="B6077" s="15"/>
      <c r="C6077" s="9">
        <f>IFERROR(__xludf.DUMMYFUNCTION("""COMPUTED_VALUE"""),44541.8109679282)</f>
        <v>44541.81097</v>
      </c>
      <c r="D6077" s="15">
        <f>IFERROR(__xludf.DUMMYFUNCTION("""COMPUTED_VALUE"""),1.017)</f>
        <v>1.017</v>
      </c>
      <c r="E6077" s="16">
        <f>IFERROR(__xludf.DUMMYFUNCTION("""COMPUTED_VALUE"""),63.0)</f>
        <v>63</v>
      </c>
      <c r="F6077" s="19" t="str">
        <f>IFERROR(__xludf.DUMMYFUNCTION("""COMPUTED_VALUE"""),"BLUE")</f>
        <v>BLUE</v>
      </c>
      <c r="G6077" s="20" t="str">
        <f>IFERROR(__xludf.DUMMYFUNCTION("""COMPUTED_VALUE"""),"Uncle Sams Cider (11/12/2021) (Blue)")</f>
        <v>Uncle Sams Cider (11/12/2021) (Blue)</v>
      </c>
      <c r="H6077" s="19"/>
    </row>
    <row r="6078">
      <c r="A6078" s="9"/>
      <c r="B6078" s="15"/>
      <c r="C6078" s="9">
        <f>IFERROR(__xludf.DUMMYFUNCTION("""COMPUTED_VALUE"""),44541.8005357523)</f>
        <v>44541.80054</v>
      </c>
      <c r="D6078" s="15">
        <f>IFERROR(__xludf.DUMMYFUNCTION("""COMPUTED_VALUE"""),1.017)</f>
        <v>1.017</v>
      </c>
      <c r="E6078" s="16">
        <f>IFERROR(__xludf.DUMMYFUNCTION("""COMPUTED_VALUE"""),63.0)</f>
        <v>63</v>
      </c>
      <c r="F6078" s="19" t="str">
        <f>IFERROR(__xludf.DUMMYFUNCTION("""COMPUTED_VALUE"""),"BLUE")</f>
        <v>BLUE</v>
      </c>
      <c r="G6078" s="20" t="str">
        <f>IFERROR(__xludf.DUMMYFUNCTION("""COMPUTED_VALUE"""),"Uncle Sams Cider (11/12/2021) (Blue)")</f>
        <v>Uncle Sams Cider (11/12/2021) (Blue)</v>
      </c>
      <c r="H6078" s="19"/>
    </row>
    <row r="6079">
      <c r="A6079" s="9"/>
      <c r="B6079" s="15"/>
      <c r="C6079" s="9">
        <f>IFERROR(__xludf.DUMMYFUNCTION("""COMPUTED_VALUE"""),44541.7901145138)</f>
        <v>44541.79011</v>
      </c>
      <c r="D6079" s="15">
        <f>IFERROR(__xludf.DUMMYFUNCTION("""COMPUTED_VALUE"""),1.017)</f>
        <v>1.017</v>
      </c>
      <c r="E6079" s="16">
        <f>IFERROR(__xludf.DUMMYFUNCTION("""COMPUTED_VALUE"""),63.0)</f>
        <v>63</v>
      </c>
      <c r="F6079" s="19" t="str">
        <f>IFERROR(__xludf.DUMMYFUNCTION("""COMPUTED_VALUE"""),"BLUE")</f>
        <v>BLUE</v>
      </c>
      <c r="G6079" s="20" t="str">
        <f>IFERROR(__xludf.DUMMYFUNCTION("""COMPUTED_VALUE"""),"Uncle Sams Cider (11/12/2021) (Blue)")</f>
        <v>Uncle Sams Cider (11/12/2021) (Blue)</v>
      </c>
      <c r="H6079" s="19"/>
    </row>
    <row r="6080">
      <c r="A6080" s="9"/>
      <c r="B6080" s="15"/>
      <c r="C6080" s="9">
        <f>IFERROR(__xludf.DUMMYFUNCTION("""COMPUTED_VALUE"""),44541.7796916782)</f>
        <v>44541.77969</v>
      </c>
      <c r="D6080" s="15">
        <f>IFERROR(__xludf.DUMMYFUNCTION("""COMPUTED_VALUE"""),1.017)</f>
        <v>1.017</v>
      </c>
      <c r="E6080" s="16">
        <f>IFERROR(__xludf.DUMMYFUNCTION("""COMPUTED_VALUE"""),63.0)</f>
        <v>63</v>
      </c>
      <c r="F6080" s="19" t="str">
        <f>IFERROR(__xludf.DUMMYFUNCTION("""COMPUTED_VALUE"""),"BLUE")</f>
        <v>BLUE</v>
      </c>
      <c r="G6080" s="20" t="str">
        <f>IFERROR(__xludf.DUMMYFUNCTION("""COMPUTED_VALUE"""),"Uncle Sams Cider (11/12/2021) (Blue)")</f>
        <v>Uncle Sams Cider (11/12/2021) (Blue)</v>
      </c>
      <c r="H6080" s="19"/>
    </row>
    <row r="6081">
      <c r="A6081" s="9"/>
      <c r="B6081" s="15"/>
      <c r="C6081" s="9">
        <f>IFERROR(__xludf.DUMMYFUNCTION("""COMPUTED_VALUE"""),44541.7692709143)</f>
        <v>44541.76927</v>
      </c>
      <c r="D6081" s="15">
        <f>IFERROR(__xludf.DUMMYFUNCTION("""COMPUTED_VALUE"""),1.017)</f>
        <v>1.017</v>
      </c>
      <c r="E6081" s="16">
        <f>IFERROR(__xludf.DUMMYFUNCTION("""COMPUTED_VALUE"""),63.0)</f>
        <v>63</v>
      </c>
      <c r="F6081" s="19" t="str">
        <f>IFERROR(__xludf.DUMMYFUNCTION("""COMPUTED_VALUE"""),"BLUE")</f>
        <v>BLUE</v>
      </c>
      <c r="G6081" s="20" t="str">
        <f>IFERROR(__xludf.DUMMYFUNCTION("""COMPUTED_VALUE"""),"Uncle Sams Cider (11/12/2021) (Blue)")</f>
        <v>Uncle Sams Cider (11/12/2021) (Blue)</v>
      </c>
      <c r="H6081" s="19"/>
    </row>
    <row r="6082">
      <c r="A6082" s="9"/>
      <c r="B6082" s="15"/>
      <c r="C6082" s="9">
        <f>IFERROR(__xludf.DUMMYFUNCTION("""COMPUTED_VALUE"""),44541.7588488541)</f>
        <v>44541.75885</v>
      </c>
      <c r="D6082" s="15">
        <f>IFERROR(__xludf.DUMMYFUNCTION("""COMPUTED_VALUE"""),1.017)</f>
        <v>1.017</v>
      </c>
      <c r="E6082" s="16">
        <f>IFERROR(__xludf.DUMMYFUNCTION("""COMPUTED_VALUE"""),63.0)</f>
        <v>63</v>
      </c>
      <c r="F6082" s="19" t="str">
        <f>IFERROR(__xludf.DUMMYFUNCTION("""COMPUTED_VALUE"""),"BLUE")</f>
        <v>BLUE</v>
      </c>
      <c r="G6082" s="20" t="str">
        <f>IFERROR(__xludf.DUMMYFUNCTION("""COMPUTED_VALUE"""),"Uncle Sams Cider (11/12/2021) (Blue)")</f>
        <v>Uncle Sams Cider (11/12/2021) (Blue)</v>
      </c>
      <c r="H6082" s="19"/>
    </row>
    <row r="6083">
      <c r="A6083" s="9"/>
      <c r="B6083" s="15"/>
      <c r="C6083" s="9">
        <f>IFERROR(__xludf.DUMMYFUNCTION("""COMPUTED_VALUE"""),44541.7484268981)</f>
        <v>44541.74843</v>
      </c>
      <c r="D6083" s="15">
        <f>IFERROR(__xludf.DUMMYFUNCTION("""COMPUTED_VALUE"""),1.017)</f>
        <v>1.017</v>
      </c>
      <c r="E6083" s="16">
        <f>IFERROR(__xludf.DUMMYFUNCTION("""COMPUTED_VALUE"""),63.0)</f>
        <v>63</v>
      </c>
      <c r="F6083" s="19" t="str">
        <f>IFERROR(__xludf.DUMMYFUNCTION("""COMPUTED_VALUE"""),"BLUE")</f>
        <v>BLUE</v>
      </c>
      <c r="G6083" s="20" t="str">
        <f>IFERROR(__xludf.DUMMYFUNCTION("""COMPUTED_VALUE"""),"Uncle Sams Cider (11/12/2021) (Blue)")</f>
        <v>Uncle Sams Cider (11/12/2021) (Blue)</v>
      </c>
      <c r="H6083" s="19"/>
    </row>
    <row r="6084">
      <c r="A6084" s="9"/>
      <c r="B6084" s="15"/>
      <c r="C6084" s="9">
        <f>IFERROR(__xludf.DUMMYFUNCTION("""COMPUTED_VALUE"""),44541.7379833449)</f>
        <v>44541.73798</v>
      </c>
      <c r="D6084" s="15">
        <f>IFERROR(__xludf.DUMMYFUNCTION("""COMPUTED_VALUE"""),1.017)</f>
        <v>1.017</v>
      </c>
      <c r="E6084" s="16">
        <f>IFERROR(__xludf.DUMMYFUNCTION("""COMPUTED_VALUE"""),63.0)</f>
        <v>63</v>
      </c>
      <c r="F6084" s="19" t="str">
        <f>IFERROR(__xludf.DUMMYFUNCTION("""COMPUTED_VALUE"""),"BLUE")</f>
        <v>BLUE</v>
      </c>
      <c r="G6084" s="20" t="str">
        <f>IFERROR(__xludf.DUMMYFUNCTION("""COMPUTED_VALUE"""),"Uncle Sams Cider (11/12/2021) (Blue)")</f>
        <v>Uncle Sams Cider (11/12/2021) (Blue)</v>
      </c>
      <c r="H6084" s="19"/>
    </row>
    <row r="6085">
      <c r="A6085" s="9"/>
      <c r="B6085" s="15"/>
      <c r="C6085" s="9">
        <f>IFERROR(__xludf.DUMMYFUNCTION("""COMPUTED_VALUE"""),44541.727562743)</f>
        <v>44541.72756</v>
      </c>
      <c r="D6085" s="15">
        <f>IFERROR(__xludf.DUMMYFUNCTION("""COMPUTED_VALUE"""),1.017)</f>
        <v>1.017</v>
      </c>
      <c r="E6085" s="16">
        <f>IFERROR(__xludf.DUMMYFUNCTION("""COMPUTED_VALUE"""),63.0)</f>
        <v>63</v>
      </c>
      <c r="F6085" s="19" t="str">
        <f>IFERROR(__xludf.DUMMYFUNCTION("""COMPUTED_VALUE"""),"BLUE")</f>
        <v>BLUE</v>
      </c>
      <c r="G6085" s="20" t="str">
        <f>IFERROR(__xludf.DUMMYFUNCTION("""COMPUTED_VALUE"""),"Uncle Sams Cider (11/12/2021) (Blue)")</f>
        <v>Uncle Sams Cider (11/12/2021) (Blue)</v>
      </c>
      <c r="H6085" s="19"/>
    </row>
    <row r="6086">
      <c r="A6086" s="9"/>
      <c r="B6086" s="15"/>
      <c r="C6086" s="9">
        <f>IFERROR(__xludf.DUMMYFUNCTION("""COMPUTED_VALUE"""),44541.71714228)</f>
        <v>44541.71714</v>
      </c>
      <c r="D6086" s="15">
        <f>IFERROR(__xludf.DUMMYFUNCTION("""COMPUTED_VALUE"""),1.017)</f>
        <v>1.017</v>
      </c>
      <c r="E6086" s="16">
        <f>IFERROR(__xludf.DUMMYFUNCTION("""COMPUTED_VALUE"""),63.0)</f>
        <v>63</v>
      </c>
      <c r="F6086" s="19" t="str">
        <f>IFERROR(__xludf.DUMMYFUNCTION("""COMPUTED_VALUE"""),"BLUE")</f>
        <v>BLUE</v>
      </c>
      <c r="G6086" s="20" t="str">
        <f>IFERROR(__xludf.DUMMYFUNCTION("""COMPUTED_VALUE"""),"Uncle Sams Cider (11/12/2021) (Blue)")</f>
        <v>Uncle Sams Cider (11/12/2021) (Blue)</v>
      </c>
      <c r="H6086" s="19"/>
    </row>
    <row r="6087">
      <c r="A6087" s="9"/>
      <c r="B6087" s="15"/>
      <c r="C6087" s="9">
        <f>IFERROR(__xludf.DUMMYFUNCTION("""COMPUTED_VALUE"""),44541.7067088657)</f>
        <v>44541.70671</v>
      </c>
      <c r="D6087" s="15">
        <f>IFERROR(__xludf.DUMMYFUNCTION("""COMPUTED_VALUE"""),1.017)</f>
        <v>1.017</v>
      </c>
      <c r="E6087" s="16">
        <f>IFERROR(__xludf.DUMMYFUNCTION("""COMPUTED_VALUE"""),63.0)</f>
        <v>63</v>
      </c>
      <c r="F6087" s="19" t="str">
        <f>IFERROR(__xludf.DUMMYFUNCTION("""COMPUTED_VALUE"""),"BLUE")</f>
        <v>BLUE</v>
      </c>
      <c r="G6087" s="20" t="str">
        <f>IFERROR(__xludf.DUMMYFUNCTION("""COMPUTED_VALUE"""),"Uncle Sams Cider (11/12/2021) (Blue)")</f>
        <v>Uncle Sams Cider (11/12/2021) (Blue)</v>
      </c>
      <c r="H6087" s="19"/>
    </row>
    <row r="6088">
      <c r="A6088" s="9"/>
      <c r="B6088" s="15"/>
      <c r="C6088" s="9">
        <f>IFERROR(__xludf.DUMMYFUNCTION("""COMPUTED_VALUE"""),44541.6962867824)</f>
        <v>44541.69629</v>
      </c>
      <c r="D6088" s="15">
        <f>IFERROR(__xludf.DUMMYFUNCTION("""COMPUTED_VALUE"""),1.017)</f>
        <v>1.017</v>
      </c>
      <c r="E6088" s="16">
        <f>IFERROR(__xludf.DUMMYFUNCTION("""COMPUTED_VALUE"""),63.0)</f>
        <v>63</v>
      </c>
      <c r="F6088" s="19" t="str">
        <f>IFERROR(__xludf.DUMMYFUNCTION("""COMPUTED_VALUE"""),"BLUE")</f>
        <v>BLUE</v>
      </c>
      <c r="G6088" s="20" t="str">
        <f>IFERROR(__xludf.DUMMYFUNCTION("""COMPUTED_VALUE"""),"Uncle Sams Cider (11/12/2021) (Blue)")</f>
        <v>Uncle Sams Cider (11/12/2021) (Blue)</v>
      </c>
      <c r="H6088" s="19"/>
    </row>
    <row r="6089">
      <c r="A6089" s="9"/>
      <c r="B6089" s="15"/>
      <c r="C6089" s="9">
        <f>IFERROR(__xludf.DUMMYFUNCTION("""COMPUTED_VALUE"""),44541.6858660879)</f>
        <v>44541.68587</v>
      </c>
      <c r="D6089" s="15">
        <f>IFERROR(__xludf.DUMMYFUNCTION("""COMPUTED_VALUE"""),1.017)</f>
        <v>1.017</v>
      </c>
      <c r="E6089" s="16">
        <f>IFERROR(__xludf.DUMMYFUNCTION("""COMPUTED_VALUE"""),63.0)</f>
        <v>63</v>
      </c>
      <c r="F6089" s="19" t="str">
        <f>IFERROR(__xludf.DUMMYFUNCTION("""COMPUTED_VALUE"""),"BLUE")</f>
        <v>BLUE</v>
      </c>
      <c r="G6089" s="20" t="str">
        <f>IFERROR(__xludf.DUMMYFUNCTION("""COMPUTED_VALUE"""),"Uncle Sams Cider (11/12/2021) (Blue)")</f>
        <v>Uncle Sams Cider (11/12/2021) (Blue)</v>
      </c>
      <c r="H6089" s="19"/>
    </row>
    <row r="6090">
      <c r="A6090" s="9"/>
      <c r="B6090" s="15"/>
      <c r="C6090" s="9">
        <f>IFERROR(__xludf.DUMMYFUNCTION("""COMPUTED_VALUE"""),44541.6754454629)</f>
        <v>44541.67545</v>
      </c>
      <c r="D6090" s="15">
        <f>IFERROR(__xludf.DUMMYFUNCTION("""COMPUTED_VALUE"""),1.017)</f>
        <v>1.017</v>
      </c>
      <c r="E6090" s="16">
        <f>IFERROR(__xludf.DUMMYFUNCTION("""COMPUTED_VALUE"""),63.0)</f>
        <v>63</v>
      </c>
      <c r="F6090" s="19" t="str">
        <f>IFERROR(__xludf.DUMMYFUNCTION("""COMPUTED_VALUE"""),"BLUE")</f>
        <v>BLUE</v>
      </c>
      <c r="G6090" s="20" t="str">
        <f>IFERROR(__xludf.DUMMYFUNCTION("""COMPUTED_VALUE"""),"Uncle Sams Cider (11/12/2021) (Blue)")</f>
        <v>Uncle Sams Cider (11/12/2021) (Blue)</v>
      </c>
      <c r="H6090" s="19"/>
    </row>
    <row r="6091">
      <c r="A6091" s="9"/>
      <c r="B6091" s="15"/>
      <c r="C6091" s="9">
        <f>IFERROR(__xludf.DUMMYFUNCTION("""COMPUTED_VALUE"""),44541.6650244791)</f>
        <v>44541.66502</v>
      </c>
      <c r="D6091" s="15">
        <f>IFERROR(__xludf.DUMMYFUNCTION("""COMPUTED_VALUE"""),1.017)</f>
        <v>1.017</v>
      </c>
      <c r="E6091" s="16">
        <f>IFERROR(__xludf.DUMMYFUNCTION("""COMPUTED_VALUE"""),63.0)</f>
        <v>63</v>
      </c>
      <c r="F6091" s="19" t="str">
        <f>IFERROR(__xludf.DUMMYFUNCTION("""COMPUTED_VALUE"""),"BLUE")</f>
        <v>BLUE</v>
      </c>
      <c r="G6091" s="20" t="str">
        <f>IFERROR(__xludf.DUMMYFUNCTION("""COMPUTED_VALUE"""),"Uncle Sams Cider (11/12/2021) (Blue)")</f>
        <v>Uncle Sams Cider (11/12/2021) (Blue)</v>
      </c>
      <c r="H6091" s="19"/>
    </row>
    <row r="6092">
      <c r="A6092" s="9"/>
      <c r="B6092" s="15"/>
      <c r="C6092" s="9">
        <f>IFERROR(__xludf.DUMMYFUNCTION("""COMPUTED_VALUE"""),44541.6546041782)</f>
        <v>44541.6546</v>
      </c>
      <c r="D6092" s="15">
        <f>IFERROR(__xludf.DUMMYFUNCTION("""COMPUTED_VALUE"""),1.017)</f>
        <v>1.017</v>
      </c>
      <c r="E6092" s="16">
        <f>IFERROR(__xludf.DUMMYFUNCTION("""COMPUTED_VALUE"""),63.0)</f>
        <v>63</v>
      </c>
      <c r="F6092" s="19" t="str">
        <f>IFERROR(__xludf.DUMMYFUNCTION("""COMPUTED_VALUE"""),"BLUE")</f>
        <v>BLUE</v>
      </c>
      <c r="G6092" s="20" t="str">
        <f>IFERROR(__xludf.DUMMYFUNCTION("""COMPUTED_VALUE"""),"Uncle Sams Cider (11/12/2021) (Blue)")</f>
        <v>Uncle Sams Cider (11/12/2021) (Blue)</v>
      </c>
      <c r="H6092" s="19"/>
    </row>
    <row r="6093">
      <c r="A6093" s="9"/>
      <c r="B6093" s="15"/>
      <c r="C6093" s="9">
        <f>IFERROR(__xludf.DUMMYFUNCTION("""COMPUTED_VALUE"""),44541.6441824305)</f>
        <v>44541.64418</v>
      </c>
      <c r="D6093" s="15">
        <f>IFERROR(__xludf.DUMMYFUNCTION("""COMPUTED_VALUE"""),1.017)</f>
        <v>1.017</v>
      </c>
      <c r="E6093" s="16">
        <f>IFERROR(__xludf.DUMMYFUNCTION("""COMPUTED_VALUE"""),63.0)</f>
        <v>63</v>
      </c>
      <c r="F6093" s="19" t="str">
        <f>IFERROR(__xludf.DUMMYFUNCTION("""COMPUTED_VALUE"""),"BLUE")</f>
        <v>BLUE</v>
      </c>
      <c r="G6093" s="20" t="str">
        <f>IFERROR(__xludf.DUMMYFUNCTION("""COMPUTED_VALUE"""),"Uncle Sams Cider (11/12/2021) (Blue)")</f>
        <v>Uncle Sams Cider (11/12/2021) (Blue)</v>
      </c>
      <c r="H6093" s="19"/>
    </row>
    <row r="6094">
      <c r="A6094" s="9"/>
      <c r="B6094" s="15"/>
      <c r="C6094" s="9">
        <f>IFERROR(__xludf.DUMMYFUNCTION("""COMPUTED_VALUE"""),44541.6337608217)</f>
        <v>44541.63376</v>
      </c>
      <c r="D6094" s="15">
        <f>IFERROR(__xludf.DUMMYFUNCTION("""COMPUTED_VALUE"""),1.017)</f>
        <v>1.017</v>
      </c>
      <c r="E6094" s="16">
        <f>IFERROR(__xludf.DUMMYFUNCTION("""COMPUTED_VALUE"""),63.0)</f>
        <v>63</v>
      </c>
      <c r="F6094" s="19" t="str">
        <f>IFERROR(__xludf.DUMMYFUNCTION("""COMPUTED_VALUE"""),"BLUE")</f>
        <v>BLUE</v>
      </c>
      <c r="G6094" s="20" t="str">
        <f>IFERROR(__xludf.DUMMYFUNCTION("""COMPUTED_VALUE"""),"Uncle Sams Cider (11/12/2021) (Blue)")</f>
        <v>Uncle Sams Cider (11/12/2021) (Blue)</v>
      </c>
      <c r="H6094" s="19"/>
    </row>
    <row r="6095">
      <c r="A6095" s="9"/>
      <c r="B6095" s="15"/>
      <c r="C6095" s="9">
        <f>IFERROR(__xludf.DUMMYFUNCTION("""COMPUTED_VALUE"""),44541.6233400925)</f>
        <v>44541.62334</v>
      </c>
      <c r="D6095" s="15">
        <f>IFERROR(__xludf.DUMMYFUNCTION("""COMPUTED_VALUE"""),1.017)</f>
        <v>1.017</v>
      </c>
      <c r="E6095" s="16">
        <f>IFERROR(__xludf.DUMMYFUNCTION("""COMPUTED_VALUE"""),63.0)</f>
        <v>63</v>
      </c>
      <c r="F6095" s="19" t="str">
        <f>IFERROR(__xludf.DUMMYFUNCTION("""COMPUTED_VALUE"""),"BLUE")</f>
        <v>BLUE</v>
      </c>
      <c r="G6095" s="20" t="str">
        <f>IFERROR(__xludf.DUMMYFUNCTION("""COMPUTED_VALUE"""),"Uncle Sams Cider (11/12/2021) (Blue)")</f>
        <v>Uncle Sams Cider (11/12/2021) (Blue)</v>
      </c>
      <c r="H6095" s="19"/>
    </row>
    <row r="6096">
      <c r="A6096" s="9"/>
      <c r="B6096" s="15"/>
      <c r="C6096" s="9">
        <f>IFERROR(__xludf.DUMMYFUNCTION("""COMPUTED_VALUE"""),44541.6129176967)</f>
        <v>44541.61292</v>
      </c>
      <c r="D6096" s="15">
        <f>IFERROR(__xludf.DUMMYFUNCTION("""COMPUTED_VALUE"""),1.017)</f>
        <v>1.017</v>
      </c>
      <c r="E6096" s="16">
        <f>IFERROR(__xludf.DUMMYFUNCTION("""COMPUTED_VALUE"""),63.0)</f>
        <v>63</v>
      </c>
      <c r="F6096" s="19" t="str">
        <f>IFERROR(__xludf.DUMMYFUNCTION("""COMPUTED_VALUE"""),"BLUE")</f>
        <v>BLUE</v>
      </c>
      <c r="G6096" s="20" t="str">
        <f>IFERROR(__xludf.DUMMYFUNCTION("""COMPUTED_VALUE"""),"Uncle Sams Cider (11/12/2021) (Blue)")</f>
        <v>Uncle Sams Cider (11/12/2021) (Blue)</v>
      </c>
      <c r="H6096" s="19"/>
    </row>
    <row r="6097">
      <c r="A6097" s="9"/>
      <c r="B6097" s="15"/>
      <c r="C6097" s="9">
        <f>IFERROR(__xludf.DUMMYFUNCTION("""COMPUTED_VALUE"""),44541.6024967129)</f>
        <v>44541.6025</v>
      </c>
      <c r="D6097" s="15">
        <f>IFERROR(__xludf.DUMMYFUNCTION("""COMPUTED_VALUE"""),1.017)</f>
        <v>1.017</v>
      </c>
      <c r="E6097" s="16">
        <f>IFERROR(__xludf.DUMMYFUNCTION("""COMPUTED_VALUE"""),63.0)</f>
        <v>63</v>
      </c>
      <c r="F6097" s="19" t="str">
        <f>IFERROR(__xludf.DUMMYFUNCTION("""COMPUTED_VALUE"""),"BLUE")</f>
        <v>BLUE</v>
      </c>
      <c r="G6097" s="20" t="str">
        <f>IFERROR(__xludf.DUMMYFUNCTION("""COMPUTED_VALUE"""),"Uncle Sams Cider (11/12/2021) (Blue)")</f>
        <v>Uncle Sams Cider (11/12/2021) (Blue)</v>
      </c>
      <c r="H6097" s="19"/>
    </row>
    <row r="6098">
      <c r="A6098" s="9"/>
      <c r="B6098" s="15"/>
      <c r="C6098" s="9">
        <f>IFERROR(__xludf.DUMMYFUNCTION("""COMPUTED_VALUE"""),44541.5920745486)</f>
        <v>44541.59207</v>
      </c>
      <c r="D6098" s="15">
        <f>IFERROR(__xludf.DUMMYFUNCTION("""COMPUTED_VALUE"""),1.017)</f>
        <v>1.017</v>
      </c>
      <c r="E6098" s="16">
        <f>IFERROR(__xludf.DUMMYFUNCTION("""COMPUTED_VALUE"""),63.0)</f>
        <v>63</v>
      </c>
      <c r="F6098" s="19" t="str">
        <f>IFERROR(__xludf.DUMMYFUNCTION("""COMPUTED_VALUE"""),"BLUE")</f>
        <v>BLUE</v>
      </c>
      <c r="G6098" s="20" t="str">
        <f>IFERROR(__xludf.DUMMYFUNCTION("""COMPUTED_VALUE"""),"Uncle Sams Cider (11/12/2021) (Blue)")</f>
        <v>Uncle Sams Cider (11/12/2021) (Blue)</v>
      </c>
      <c r="H6098" s="19"/>
    </row>
    <row r="6099">
      <c r="A6099" s="9"/>
      <c r="B6099" s="15"/>
      <c r="C6099" s="9">
        <f>IFERROR(__xludf.DUMMYFUNCTION("""COMPUTED_VALUE"""),44541.581654618)</f>
        <v>44541.58165</v>
      </c>
      <c r="D6099" s="15">
        <f>IFERROR(__xludf.DUMMYFUNCTION("""COMPUTED_VALUE"""),1.017)</f>
        <v>1.017</v>
      </c>
      <c r="E6099" s="16">
        <f>IFERROR(__xludf.DUMMYFUNCTION("""COMPUTED_VALUE"""),63.0)</f>
        <v>63</v>
      </c>
      <c r="F6099" s="19" t="str">
        <f>IFERROR(__xludf.DUMMYFUNCTION("""COMPUTED_VALUE"""),"BLUE")</f>
        <v>BLUE</v>
      </c>
      <c r="G6099" s="20" t="str">
        <f>IFERROR(__xludf.DUMMYFUNCTION("""COMPUTED_VALUE"""),"Uncle Sams Cider (11/12/2021) (Blue)")</f>
        <v>Uncle Sams Cider (11/12/2021) (Blue)</v>
      </c>
      <c r="H6099" s="19"/>
    </row>
    <row r="6100">
      <c r="A6100" s="9"/>
      <c r="B6100" s="15"/>
      <c r="C6100" s="9">
        <f>IFERROR(__xludf.DUMMYFUNCTION("""COMPUTED_VALUE"""),44541.5712340046)</f>
        <v>44541.57123</v>
      </c>
      <c r="D6100" s="15">
        <f>IFERROR(__xludf.DUMMYFUNCTION("""COMPUTED_VALUE"""),1.017)</f>
        <v>1.017</v>
      </c>
      <c r="E6100" s="16">
        <f>IFERROR(__xludf.DUMMYFUNCTION("""COMPUTED_VALUE"""),63.0)</f>
        <v>63</v>
      </c>
      <c r="F6100" s="19" t="str">
        <f>IFERROR(__xludf.DUMMYFUNCTION("""COMPUTED_VALUE"""),"BLUE")</f>
        <v>BLUE</v>
      </c>
      <c r="G6100" s="20" t="str">
        <f>IFERROR(__xludf.DUMMYFUNCTION("""COMPUTED_VALUE"""),"Uncle Sams Cider (11/12/2021) (Blue)")</f>
        <v>Uncle Sams Cider (11/12/2021) (Blue)</v>
      </c>
      <c r="H6100" s="19"/>
    </row>
    <row r="6101">
      <c r="A6101" s="9"/>
      <c r="B6101" s="15"/>
      <c r="C6101" s="9">
        <f>IFERROR(__xludf.DUMMYFUNCTION("""COMPUTED_VALUE"""),44541.5608031597)</f>
        <v>44541.5608</v>
      </c>
      <c r="D6101" s="15">
        <f>IFERROR(__xludf.DUMMYFUNCTION("""COMPUTED_VALUE"""),1.017)</f>
        <v>1.017</v>
      </c>
      <c r="E6101" s="16">
        <f>IFERROR(__xludf.DUMMYFUNCTION("""COMPUTED_VALUE"""),63.0)</f>
        <v>63</v>
      </c>
      <c r="F6101" s="19" t="str">
        <f>IFERROR(__xludf.DUMMYFUNCTION("""COMPUTED_VALUE"""),"BLUE")</f>
        <v>BLUE</v>
      </c>
      <c r="G6101" s="20" t="str">
        <f>IFERROR(__xludf.DUMMYFUNCTION("""COMPUTED_VALUE"""),"Uncle Sams Cider (11/12/2021) (Blue)")</f>
        <v>Uncle Sams Cider (11/12/2021) (Blue)</v>
      </c>
      <c r="H6101" s="19"/>
    </row>
    <row r="6102">
      <c r="A6102" s="9"/>
      <c r="B6102" s="15"/>
      <c r="C6102" s="9">
        <f>IFERROR(__xludf.DUMMYFUNCTION("""COMPUTED_VALUE"""),44541.5503817592)</f>
        <v>44541.55038</v>
      </c>
      <c r="D6102" s="15">
        <f>IFERROR(__xludf.DUMMYFUNCTION("""COMPUTED_VALUE"""),1.017)</f>
        <v>1.017</v>
      </c>
      <c r="E6102" s="16">
        <f>IFERROR(__xludf.DUMMYFUNCTION("""COMPUTED_VALUE"""),63.0)</f>
        <v>63</v>
      </c>
      <c r="F6102" s="19" t="str">
        <f>IFERROR(__xludf.DUMMYFUNCTION("""COMPUTED_VALUE"""),"BLUE")</f>
        <v>BLUE</v>
      </c>
      <c r="G6102" s="20" t="str">
        <f>IFERROR(__xludf.DUMMYFUNCTION("""COMPUTED_VALUE"""),"Uncle Sams Cider (11/12/2021) (Blue)")</f>
        <v>Uncle Sams Cider (11/12/2021) (Blue)</v>
      </c>
      <c r="H6102" s="19"/>
    </row>
    <row r="6103">
      <c r="A6103" s="9"/>
      <c r="B6103" s="15"/>
      <c r="C6103" s="9">
        <f>IFERROR(__xludf.DUMMYFUNCTION("""COMPUTED_VALUE"""),44541.5399624189)</f>
        <v>44541.53996</v>
      </c>
      <c r="D6103" s="15">
        <f>IFERROR(__xludf.DUMMYFUNCTION("""COMPUTED_VALUE"""),1.017)</f>
        <v>1.017</v>
      </c>
      <c r="E6103" s="16">
        <f>IFERROR(__xludf.DUMMYFUNCTION("""COMPUTED_VALUE"""),63.0)</f>
        <v>63</v>
      </c>
      <c r="F6103" s="19" t="str">
        <f>IFERROR(__xludf.DUMMYFUNCTION("""COMPUTED_VALUE"""),"BLUE")</f>
        <v>BLUE</v>
      </c>
      <c r="G6103" s="20" t="str">
        <f>IFERROR(__xludf.DUMMYFUNCTION("""COMPUTED_VALUE"""),"Uncle Sams Cider (11/12/2021) (Blue)")</f>
        <v>Uncle Sams Cider (11/12/2021) (Blue)</v>
      </c>
      <c r="H6103" s="19"/>
    </row>
    <row r="6104">
      <c r="A6104" s="9"/>
      <c r="B6104" s="15"/>
      <c r="C6104" s="9">
        <f>IFERROR(__xludf.DUMMYFUNCTION("""COMPUTED_VALUE"""),44541.5295420949)</f>
        <v>44541.52954</v>
      </c>
      <c r="D6104" s="15">
        <f>IFERROR(__xludf.DUMMYFUNCTION("""COMPUTED_VALUE"""),1.017)</f>
        <v>1.017</v>
      </c>
      <c r="E6104" s="16">
        <f>IFERROR(__xludf.DUMMYFUNCTION("""COMPUTED_VALUE"""),63.0)</f>
        <v>63</v>
      </c>
      <c r="F6104" s="19" t="str">
        <f>IFERROR(__xludf.DUMMYFUNCTION("""COMPUTED_VALUE"""),"BLUE")</f>
        <v>BLUE</v>
      </c>
      <c r="G6104" s="20" t="str">
        <f>IFERROR(__xludf.DUMMYFUNCTION("""COMPUTED_VALUE"""),"Uncle Sams Cider (11/12/2021) (Blue)")</f>
        <v>Uncle Sams Cider (11/12/2021) (Blue)</v>
      </c>
      <c r="H6104" s="19"/>
    </row>
    <row r="6105">
      <c r="A6105" s="9"/>
      <c r="B6105" s="15"/>
      <c r="C6105" s="9">
        <f>IFERROR(__xludf.DUMMYFUNCTION("""COMPUTED_VALUE"""),44541.5191206597)</f>
        <v>44541.51912</v>
      </c>
      <c r="D6105" s="15">
        <f>IFERROR(__xludf.DUMMYFUNCTION("""COMPUTED_VALUE"""),1.017)</f>
        <v>1.017</v>
      </c>
      <c r="E6105" s="16">
        <f>IFERROR(__xludf.DUMMYFUNCTION("""COMPUTED_VALUE"""),63.0)</f>
        <v>63</v>
      </c>
      <c r="F6105" s="19" t="str">
        <f>IFERROR(__xludf.DUMMYFUNCTION("""COMPUTED_VALUE"""),"BLUE")</f>
        <v>BLUE</v>
      </c>
      <c r="G6105" s="20" t="str">
        <f>IFERROR(__xludf.DUMMYFUNCTION("""COMPUTED_VALUE"""),"Uncle Sams Cider (11/12/2021) (Blue)")</f>
        <v>Uncle Sams Cider (11/12/2021) (Blue)</v>
      </c>
      <c r="H6105" s="19"/>
    </row>
    <row r="6106">
      <c r="A6106" s="9"/>
      <c r="B6106" s="15"/>
      <c r="C6106" s="9">
        <f>IFERROR(__xludf.DUMMYFUNCTION("""COMPUTED_VALUE"""),44541.5086875462)</f>
        <v>44541.50869</v>
      </c>
      <c r="D6106" s="15">
        <f>IFERROR(__xludf.DUMMYFUNCTION("""COMPUTED_VALUE"""),1.017)</f>
        <v>1.017</v>
      </c>
      <c r="E6106" s="16">
        <f>IFERROR(__xludf.DUMMYFUNCTION("""COMPUTED_VALUE"""),63.0)</f>
        <v>63</v>
      </c>
      <c r="F6106" s="19" t="str">
        <f>IFERROR(__xludf.DUMMYFUNCTION("""COMPUTED_VALUE"""),"BLUE")</f>
        <v>BLUE</v>
      </c>
      <c r="G6106" s="20" t="str">
        <f>IFERROR(__xludf.DUMMYFUNCTION("""COMPUTED_VALUE"""),"Uncle Sams Cider (11/12/2021) (Blue)")</f>
        <v>Uncle Sams Cider (11/12/2021) (Blue)</v>
      </c>
      <c r="H6106" s="19"/>
    </row>
    <row r="6107">
      <c r="A6107" s="9"/>
      <c r="B6107" s="15"/>
      <c r="C6107" s="9">
        <f>IFERROR(__xludf.DUMMYFUNCTION("""COMPUTED_VALUE"""),44541.4982674189)</f>
        <v>44541.49827</v>
      </c>
      <c r="D6107" s="15">
        <f>IFERROR(__xludf.DUMMYFUNCTION("""COMPUTED_VALUE"""),1.017)</f>
        <v>1.017</v>
      </c>
      <c r="E6107" s="16">
        <f>IFERROR(__xludf.DUMMYFUNCTION("""COMPUTED_VALUE"""),63.0)</f>
        <v>63</v>
      </c>
      <c r="F6107" s="19" t="str">
        <f>IFERROR(__xludf.DUMMYFUNCTION("""COMPUTED_VALUE"""),"BLUE")</f>
        <v>BLUE</v>
      </c>
      <c r="G6107" s="20" t="str">
        <f>IFERROR(__xludf.DUMMYFUNCTION("""COMPUTED_VALUE"""),"Uncle Sams Cider (11/12/2021) (Blue)")</f>
        <v>Uncle Sams Cider (11/12/2021) (Blue)</v>
      </c>
      <c r="H6107" s="19"/>
    </row>
    <row r="6108">
      <c r="A6108" s="9"/>
      <c r="B6108" s="15"/>
      <c r="C6108" s="9">
        <f>IFERROR(__xludf.DUMMYFUNCTION("""COMPUTED_VALUE"""),44541.4878457291)</f>
        <v>44541.48785</v>
      </c>
      <c r="D6108" s="15">
        <f>IFERROR(__xludf.DUMMYFUNCTION("""COMPUTED_VALUE"""),1.017)</f>
        <v>1.017</v>
      </c>
      <c r="E6108" s="16">
        <f>IFERROR(__xludf.DUMMYFUNCTION("""COMPUTED_VALUE"""),63.0)</f>
        <v>63</v>
      </c>
      <c r="F6108" s="19" t="str">
        <f>IFERROR(__xludf.DUMMYFUNCTION("""COMPUTED_VALUE"""),"BLUE")</f>
        <v>BLUE</v>
      </c>
      <c r="G6108" s="20" t="str">
        <f>IFERROR(__xludf.DUMMYFUNCTION("""COMPUTED_VALUE"""),"Uncle Sams Cider (11/12/2021) (Blue)")</f>
        <v>Uncle Sams Cider (11/12/2021) (Blue)</v>
      </c>
      <c r="H6108" s="19"/>
    </row>
    <row r="6109">
      <c r="A6109" s="9"/>
      <c r="B6109" s="15"/>
      <c r="C6109" s="9">
        <f>IFERROR(__xludf.DUMMYFUNCTION("""COMPUTED_VALUE"""),44541.4774135648)</f>
        <v>44541.47741</v>
      </c>
      <c r="D6109" s="15">
        <f>IFERROR(__xludf.DUMMYFUNCTION("""COMPUTED_VALUE"""),1.017)</f>
        <v>1.017</v>
      </c>
      <c r="E6109" s="16">
        <f>IFERROR(__xludf.DUMMYFUNCTION("""COMPUTED_VALUE"""),63.0)</f>
        <v>63</v>
      </c>
      <c r="F6109" s="19" t="str">
        <f>IFERROR(__xludf.DUMMYFUNCTION("""COMPUTED_VALUE"""),"BLUE")</f>
        <v>BLUE</v>
      </c>
      <c r="G6109" s="20" t="str">
        <f>IFERROR(__xludf.DUMMYFUNCTION("""COMPUTED_VALUE"""),"Uncle Sams Cider (11/12/2021) (Blue)")</f>
        <v>Uncle Sams Cider (11/12/2021) (Blue)</v>
      </c>
      <c r="H6109" s="19"/>
    </row>
    <row r="6110">
      <c r="A6110" s="9"/>
      <c r="B6110" s="15"/>
      <c r="C6110" s="9">
        <f>IFERROR(__xludf.DUMMYFUNCTION("""COMPUTED_VALUE"""),44541.466968449)</f>
        <v>44541.46697</v>
      </c>
      <c r="D6110" s="15">
        <f>IFERROR(__xludf.DUMMYFUNCTION("""COMPUTED_VALUE"""),1.017)</f>
        <v>1.017</v>
      </c>
      <c r="E6110" s="16">
        <f>IFERROR(__xludf.DUMMYFUNCTION("""COMPUTED_VALUE"""),63.0)</f>
        <v>63</v>
      </c>
      <c r="F6110" s="19" t="str">
        <f>IFERROR(__xludf.DUMMYFUNCTION("""COMPUTED_VALUE"""),"BLUE")</f>
        <v>BLUE</v>
      </c>
      <c r="G6110" s="20" t="str">
        <f>IFERROR(__xludf.DUMMYFUNCTION("""COMPUTED_VALUE"""),"Uncle Sams Cider (11/12/2021) (Blue)")</f>
        <v>Uncle Sams Cider (11/12/2021) (Blue)</v>
      </c>
      <c r="H6110" s="19"/>
    </row>
    <row r="6111">
      <c r="A6111" s="9"/>
      <c r="B6111" s="15"/>
      <c r="C6111" s="9">
        <f>IFERROR(__xludf.DUMMYFUNCTION("""COMPUTED_VALUE"""),44541.4565490625)</f>
        <v>44541.45655</v>
      </c>
      <c r="D6111" s="15">
        <f>IFERROR(__xludf.DUMMYFUNCTION("""COMPUTED_VALUE"""),1.017)</f>
        <v>1.017</v>
      </c>
      <c r="E6111" s="16">
        <f>IFERROR(__xludf.DUMMYFUNCTION("""COMPUTED_VALUE"""),63.0)</f>
        <v>63</v>
      </c>
      <c r="F6111" s="19" t="str">
        <f>IFERROR(__xludf.DUMMYFUNCTION("""COMPUTED_VALUE"""),"BLUE")</f>
        <v>BLUE</v>
      </c>
      <c r="G6111" s="20" t="str">
        <f>IFERROR(__xludf.DUMMYFUNCTION("""COMPUTED_VALUE"""),"Uncle Sams Cider (11/12/2021) (Blue)")</f>
        <v>Uncle Sams Cider (11/12/2021) (Blue)</v>
      </c>
      <c r="H6111" s="19"/>
    </row>
    <row r="6112">
      <c r="A6112" s="9"/>
      <c r="B6112" s="15"/>
      <c r="C6112" s="9">
        <f>IFERROR(__xludf.DUMMYFUNCTION("""COMPUTED_VALUE"""),44541.4461283912)</f>
        <v>44541.44613</v>
      </c>
      <c r="D6112" s="15">
        <f>IFERROR(__xludf.DUMMYFUNCTION("""COMPUTED_VALUE"""),1.017)</f>
        <v>1.017</v>
      </c>
      <c r="E6112" s="16">
        <f>IFERROR(__xludf.DUMMYFUNCTION("""COMPUTED_VALUE"""),63.0)</f>
        <v>63</v>
      </c>
      <c r="F6112" s="19" t="str">
        <f>IFERROR(__xludf.DUMMYFUNCTION("""COMPUTED_VALUE"""),"BLUE")</f>
        <v>BLUE</v>
      </c>
      <c r="G6112" s="20" t="str">
        <f>IFERROR(__xludf.DUMMYFUNCTION("""COMPUTED_VALUE"""),"Uncle Sams Cider (11/12/2021) (Blue)")</f>
        <v>Uncle Sams Cider (11/12/2021) (Blue)</v>
      </c>
      <c r="H6112" s="19"/>
    </row>
    <row r="6113">
      <c r="A6113" s="9"/>
      <c r="B6113" s="15"/>
      <c r="C6113" s="9">
        <f>IFERROR(__xludf.DUMMYFUNCTION("""COMPUTED_VALUE"""),44541.4357092824)</f>
        <v>44541.43571</v>
      </c>
      <c r="D6113" s="15">
        <f>IFERROR(__xludf.DUMMYFUNCTION("""COMPUTED_VALUE"""),1.017)</f>
        <v>1.017</v>
      </c>
      <c r="E6113" s="16">
        <f>IFERROR(__xludf.DUMMYFUNCTION("""COMPUTED_VALUE"""),63.0)</f>
        <v>63</v>
      </c>
      <c r="F6113" s="19" t="str">
        <f>IFERROR(__xludf.DUMMYFUNCTION("""COMPUTED_VALUE"""),"BLUE")</f>
        <v>BLUE</v>
      </c>
      <c r="G6113" s="20" t="str">
        <f>IFERROR(__xludf.DUMMYFUNCTION("""COMPUTED_VALUE"""),"Uncle Sams Cider (11/12/2021) (Blue)")</f>
        <v>Uncle Sams Cider (11/12/2021) (Blue)</v>
      </c>
      <c r="H6113" s="19"/>
    </row>
    <row r="6114">
      <c r="A6114" s="9"/>
      <c r="B6114" s="15"/>
      <c r="C6114" s="9">
        <f>IFERROR(__xludf.DUMMYFUNCTION("""COMPUTED_VALUE"""),44541.4252879398)</f>
        <v>44541.42529</v>
      </c>
      <c r="D6114" s="15">
        <f>IFERROR(__xludf.DUMMYFUNCTION("""COMPUTED_VALUE"""),1.017)</f>
        <v>1.017</v>
      </c>
      <c r="E6114" s="16">
        <f>IFERROR(__xludf.DUMMYFUNCTION("""COMPUTED_VALUE"""),63.0)</f>
        <v>63</v>
      </c>
      <c r="F6114" s="19" t="str">
        <f>IFERROR(__xludf.DUMMYFUNCTION("""COMPUTED_VALUE"""),"BLUE")</f>
        <v>BLUE</v>
      </c>
      <c r="G6114" s="20" t="str">
        <f>IFERROR(__xludf.DUMMYFUNCTION("""COMPUTED_VALUE"""),"Uncle Sams Cider (11/12/2021) (Blue)")</f>
        <v>Uncle Sams Cider (11/12/2021) (Blue)</v>
      </c>
      <c r="H6114" s="19"/>
    </row>
    <row r="6115">
      <c r="A6115" s="9"/>
      <c r="B6115" s="15"/>
      <c r="C6115" s="9">
        <f>IFERROR(__xludf.DUMMYFUNCTION("""COMPUTED_VALUE"""),44541.4148673842)</f>
        <v>44541.41487</v>
      </c>
      <c r="D6115" s="15">
        <f>IFERROR(__xludf.DUMMYFUNCTION("""COMPUTED_VALUE"""),1.017)</f>
        <v>1.017</v>
      </c>
      <c r="E6115" s="16">
        <f>IFERROR(__xludf.DUMMYFUNCTION("""COMPUTED_VALUE"""),63.0)</f>
        <v>63</v>
      </c>
      <c r="F6115" s="19" t="str">
        <f>IFERROR(__xludf.DUMMYFUNCTION("""COMPUTED_VALUE"""),"BLUE")</f>
        <v>BLUE</v>
      </c>
      <c r="G6115" s="20" t="str">
        <f>IFERROR(__xludf.DUMMYFUNCTION("""COMPUTED_VALUE"""),"Uncle Sams Cider (11/12/2021) (Blue)")</f>
        <v>Uncle Sams Cider (11/12/2021) (Blue)</v>
      </c>
      <c r="H6115" s="19"/>
    </row>
    <row r="6116">
      <c r="A6116" s="9"/>
      <c r="B6116" s="15"/>
      <c r="C6116" s="9">
        <f>IFERROR(__xludf.DUMMYFUNCTION("""COMPUTED_VALUE"""),44541.40444603)</f>
        <v>44541.40445</v>
      </c>
      <c r="D6116" s="15">
        <f>IFERROR(__xludf.DUMMYFUNCTION("""COMPUTED_VALUE"""),1.017)</f>
        <v>1.017</v>
      </c>
      <c r="E6116" s="16">
        <f>IFERROR(__xludf.DUMMYFUNCTION("""COMPUTED_VALUE"""),63.0)</f>
        <v>63</v>
      </c>
      <c r="F6116" s="19" t="str">
        <f>IFERROR(__xludf.DUMMYFUNCTION("""COMPUTED_VALUE"""),"BLUE")</f>
        <v>BLUE</v>
      </c>
      <c r="G6116" s="20" t="str">
        <f>IFERROR(__xludf.DUMMYFUNCTION("""COMPUTED_VALUE"""),"Uncle Sams Cider (11/12/2021) (Blue)")</f>
        <v>Uncle Sams Cider (11/12/2021) (Blue)</v>
      </c>
      <c r="H6116" s="19"/>
    </row>
    <row r="6117">
      <c r="A6117" s="9"/>
      <c r="B6117" s="15"/>
      <c r="C6117" s="9">
        <f>IFERROR(__xludf.DUMMYFUNCTION("""COMPUTED_VALUE"""),44541.3940249537)</f>
        <v>44541.39402</v>
      </c>
      <c r="D6117" s="15">
        <f>IFERROR(__xludf.DUMMYFUNCTION("""COMPUTED_VALUE"""),1.017)</f>
        <v>1.017</v>
      </c>
      <c r="E6117" s="16">
        <f>IFERROR(__xludf.DUMMYFUNCTION("""COMPUTED_VALUE"""),63.0)</f>
        <v>63</v>
      </c>
      <c r="F6117" s="19" t="str">
        <f>IFERROR(__xludf.DUMMYFUNCTION("""COMPUTED_VALUE"""),"BLUE")</f>
        <v>BLUE</v>
      </c>
      <c r="G6117" s="20" t="str">
        <f>IFERROR(__xludf.DUMMYFUNCTION("""COMPUTED_VALUE"""),"Uncle Sams Cider (11/12/2021) (Blue)")</f>
        <v>Uncle Sams Cider (11/12/2021) (Blue)</v>
      </c>
      <c r="H6117" s="19"/>
    </row>
    <row r="6118">
      <c r="A6118" s="9"/>
      <c r="B6118" s="15"/>
      <c r="C6118" s="9">
        <f>IFERROR(__xludf.DUMMYFUNCTION("""COMPUTED_VALUE"""),44541.3836038773)</f>
        <v>44541.3836</v>
      </c>
      <c r="D6118" s="15">
        <f>IFERROR(__xludf.DUMMYFUNCTION("""COMPUTED_VALUE"""),1.017)</f>
        <v>1.017</v>
      </c>
      <c r="E6118" s="16">
        <f>IFERROR(__xludf.DUMMYFUNCTION("""COMPUTED_VALUE"""),63.0)</f>
        <v>63</v>
      </c>
      <c r="F6118" s="19" t="str">
        <f>IFERROR(__xludf.DUMMYFUNCTION("""COMPUTED_VALUE"""),"BLUE")</f>
        <v>BLUE</v>
      </c>
      <c r="G6118" s="20" t="str">
        <f>IFERROR(__xludf.DUMMYFUNCTION("""COMPUTED_VALUE"""),"Uncle Sams Cider (11/12/2021) (Blue)")</f>
        <v>Uncle Sams Cider (11/12/2021) (Blue)</v>
      </c>
      <c r="H6118" s="19"/>
    </row>
    <row r="6119">
      <c r="A6119" s="9"/>
      <c r="B6119" s="15"/>
      <c r="C6119" s="9">
        <f>IFERROR(__xludf.DUMMYFUNCTION("""COMPUTED_VALUE"""),44541.3731826851)</f>
        <v>44541.37318</v>
      </c>
      <c r="D6119" s="15">
        <f>IFERROR(__xludf.DUMMYFUNCTION("""COMPUTED_VALUE"""),1.017)</f>
        <v>1.017</v>
      </c>
      <c r="E6119" s="16">
        <f>IFERROR(__xludf.DUMMYFUNCTION("""COMPUTED_VALUE"""),63.0)</f>
        <v>63</v>
      </c>
      <c r="F6119" s="19" t="str">
        <f>IFERROR(__xludf.DUMMYFUNCTION("""COMPUTED_VALUE"""),"BLUE")</f>
        <v>BLUE</v>
      </c>
      <c r="G6119" s="20" t="str">
        <f>IFERROR(__xludf.DUMMYFUNCTION("""COMPUTED_VALUE"""),"Uncle Sams Cider (11/12/2021) (Blue)")</f>
        <v>Uncle Sams Cider (11/12/2021) (Blue)</v>
      </c>
      <c r="H6119" s="19"/>
    </row>
    <row r="6120">
      <c r="A6120" s="9"/>
      <c r="B6120" s="15"/>
      <c r="C6120" s="9">
        <f>IFERROR(__xludf.DUMMYFUNCTION("""COMPUTED_VALUE"""),44541.3627624189)</f>
        <v>44541.36276</v>
      </c>
      <c r="D6120" s="15">
        <f>IFERROR(__xludf.DUMMYFUNCTION("""COMPUTED_VALUE"""),1.017)</f>
        <v>1.017</v>
      </c>
      <c r="E6120" s="16">
        <f>IFERROR(__xludf.DUMMYFUNCTION("""COMPUTED_VALUE"""),63.0)</f>
        <v>63</v>
      </c>
      <c r="F6120" s="19" t="str">
        <f>IFERROR(__xludf.DUMMYFUNCTION("""COMPUTED_VALUE"""),"BLUE")</f>
        <v>BLUE</v>
      </c>
      <c r="G6120" s="20" t="str">
        <f>IFERROR(__xludf.DUMMYFUNCTION("""COMPUTED_VALUE"""),"Uncle Sams Cider (11/12/2021) (Blue)")</f>
        <v>Uncle Sams Cider (11/12/2021) (Blue)</v>
      </c>
      <c r="H6120" s="19"/>
    </row>
    <row r="6121">
      <c r="A6121" s="9"/>
      <c r="B6121" s="15"/>
      <c r="C6121" s="9">
        <f>IFERROR(__xludf.DUMMYFUNCTION("""COMPUTED_VALUE"""),44541.3523424652)</f>
        <v>44541.35234</v>
      </c>
      <c r="D6121" s="15">
        <f>IFERROR(__xludf.DUMMYFUNCTION("""COMPUTED_VALUE"""),1.018)</f>
        <v>1.018</v>
      </c>
      <c r="E6121" s="16">
        <f>IFERROR(__xludf.DUMMYFUNCTION("""COMPUTED_VALUE"""),63.0)</f>
        <v>63</v>
      </c>
      <c r="F6121" s="19" t="str">
        <f>IFERROR(__xludf.DUMMYFUNCTION("""COMPUTED_VALUE"""),"BLUE")</f>
        <v>BLUE</v>
      </c>
      <c r="G6121" s="20" t="str">
        <f>IFERROR(__xludf.DUMMYFUNCTION("""COMPUTED_VALUE"""),"Uncle Sams Cider (11/12/2021) (Blue)")</f>
        <v>Uncle Sams Cider (11/12/2021) (Blue)</v>
      </c>
      <c r="H6121" s="19"/>
    </row>
    <row r="6122">
      <c r="A6122" s="9"/>
      <c r="B6122" s="15"/>
      <c r="C6122" s="9">
        <f>IFERROR(__xludf.DUMMYFUNCTION("""COMPUTED_VALUE"""),44541.3419208564)</f>
        <v>44541.34192</v>
      </c>
      <c r="D6122" s="15">
        <f>IFERROR(__xludf.DUMMYFUNCTION("""COMPUTED_VALUE"""),1.018)</f>
        <v>1.018</v>
      </c>
      <c r="E6122" s="16">
        <f>IFERROR(__xludf.DUMMYFUNCTION("""COMPUTED_VALUE"""),63.0)</f>
        <v>63</v>
      </c>
      <c r="F6122" s="19" t="str">
        <f>IFERROR(__xludf.DUMMYFUNCTION("""COMPUTED_VALUE"""),"BLUE")</f>
        <v>BLUE</v>
      </c>
      <c r="G6122" s="20" t="str">
        <f>IFERROR(__xludf.DUMMYFUNCTION("""COMPUTED_VALUE"""),"Uncle Sams Cider (11/12/2021) (Blue)")</f>
        <v>Uncle Sams Cider (11/12/2021) (Blue)</v>
      </c>
      <c r="H6122" s="19"/>
    </row>
    <row r="6123">
      <c r="A6123" s="9"/>
      <c r="B6123" s="15"/>
      <c r="C6123" s="9">
        <f>IFERROR(__xludf.DUMMYFUNCTION("""COMPUTED_VALUE"""),44541.3314886111)</f>
        <v>44541.33149</v>
      </c>
      <c r="D6123" s="15">
        <f>IFERROR(__xludf.DUMMYFUNCTION("""COMPUTED_VALUE"""),1.018)</f>
        <v>1.018</v>
      </c>
      <c r="E6123" s="16">
        <f>IFERROR(__xludf.DUMMYFUNCTION("""COMPUTED_VALUE"""),63.0)</f>
        <v>63</v>
      </c>
      <c r="F6123" s="19" t="str">
        <f>IFERROR(__xludf.DUMMYFUNCTION("""COMPUTED_VALUE"""),"BLUE")</f>
        <v>BLUE</v>
      </c>
      <c r="G6123" s="20" t="str">
        <f>IFERROR(__xludf.DUMMYFUNCTION("""COMPUTED_VALUE"""),"Uncle Sams Cider (11/12/2021) (Blue)")</f>
        <v>Uncle Sams Cider (11/12/2021) (Blue)</v>
      </c>
      <c r="H6123" s="19"/>
    </row>
    <row r="6124">
      <c r="A6124" s="9"/>
      <c r="B6124" s="15"/>
      <c r="C6124" s="9">
        <f>IFERROR(__xludf.DUMMYFUNCTION("""COMPUTED_VALUE"""),44541.3210678819)</f>
        <v>44541.32107</v>
      </c>
      <c r="D6124" s="15">
        <f>IFERROR(__xludf.DUMMYFUNCTION("""COMPUTED_VALUE"""),1.017)</f>
        <v>1.017</v>
      </c>
      <c r="E6124" s="16">
        <f>IFERROR(__xludf.DUMMYFUNCTION("""COMPUTED_VALUE"""),63.0)</f>
        <v>63</v>
      </c>
      <c r="F6124" s="19" t="str">
        <f>IFERROR(__xludf.DUMMYFUNCTION("""COMPUTED_VALUE"""),"BLUE")</f>
        <v>BLUE</v>
      </c>
      <c r="G6124" s="20" t="str">
        <f>IFERROR(__xludf.DUMMYFUNCTION("""COMPUTED_VALUE"""),"Uncle Sams Cider (11/12/2021) (Blue)")</f>
        <v>Uncle Sams Cider (11/12/2021) (Blue)</v>
      </c>
      <c r="H6124" s="19"/>
    </row>
    <row r="6125">
      <c r="A6125" s="9"/>
      <c r="B6125" s="15"/>
      <c r="C6125" s="9">
        <f>IFERROR(__xludf.DUMMYFUNCTION("""COMPUTED_VALUE"""),44541.3106477314)</f>
        <v>44541.31065</v>
      </c>
      <c r="D6125" s="15">
        <f>IFERROR(__xludf.DUMMYFUNCTION("""COMPUTED_VALUE"""),1.018)</f>
        <v>1.018</v>
      </c>
      <c r="E6125" s="16">
        <f>IFERROR(__xludf.DUMMYFUNCTION("""COMPUTED_VALUE"""),63.0)</f>
        <v>63</v>
      </c>
      <c r="F6125" s="19" t="str">
        <f>IFERROR(__xludf.DUMMYFUNCTION("""COMPUTED_VALUE"""),"BLUE")</f>
        <v>BLUE</v>
      </c>
      <c r="G6125" s="20" t="str">
        <f>IFERROR(__xludf.DUMMYFUNCTION("""COMPUTED_VALUE"""),"Uncle Sams Cider (11/12/2021) (Blue)")</f>
        <v>Uncle Sams Cider (11/12/2021) (Blue)</v>
      </c>
      <c r="H6125" s="19"/>
    </row>
    <row r="6126">
      <c r="A6126" s="9"/>
      <c r="B6126" s="15"/>
      <c r="C6126" s="9">
        <f>IFERROR(__xludf.DUMMYFUNCTION("""COMPUTED_VALUE"""),44541.3002275925)</f>
        <v>44541.30023</v>
      </c>
      <c r="D6126" s="15">
        <f>IFERROR(__xludf.DUMMYFUNCTION("""COMPUTED_VALUE"""),1.018)</f>
        <v>1.018</v>
      </c>
      <c r="E6126" s="16">
        <f>IFERROR(__xludf.DUMMYFUNCTION("""COMPUTED_VALUE"""),63.0)</f>
        <v>63</v>
      </c>
      <c r="F6126" s="19" t="str">
        <f>IFERROR(__xludf.DUMMYFUNCTION("""COMPUTED_VALUE"""),"BLUE")</f>
        <v>BLUE</v>
      </c>
      <c r="G6126" s="20" t="str">
        <f>IFERROR(__xludf.DUMMYFUNCTION("""COMPUTED_VALUE"""),"Uncle Sams Cider (11/12/2021) (Blue)")</f>
        <v>Uncle Sams Cider (11/12/2021) (Blue)</v>
      </c>
      <c r="H6126" s="19"/>
    </row>
    <row r="6127">
      <c r="A6127" s="9"/>
      <c r="B6127" s="15"/>
      <c r="C6127" s="9">
        <f>IFERROR(__xludf.DUMMYFUNCTION("""COMPUTED_VALUE"""),44541.2898066319)</f>
        <v>44541.28981</v>
      </c>
      <c r="D6127" s="15">
        <f>IFERROR(__xludf.DUMMYFUNCTION("""COMPUTED_VALUE"""),1.018)</f>
        <v>1.018</v>
      </c>
      <c r="E6127" s="16">
        <f>IFERROR(__xludf.DUMMYFUNCTION("""COMPUTED_VALUE"""),63.0)</f>
        <v>63</v>
      </c>
      <c r="F6127" s="19" t="str">
        <f>IFERROR(__xludf.DUMMYFUNCTION("""COMPUTED_VALUE"""),"BLUE")</f>
        <v>BLUE</v>
      </c>
      <c r="G6127" s="20" t="str">
        <f>IFERROR(__xludf.DUMMYFUNCTION("""COMPUTED_VALUE"""),"Uncle Sams Cider (11/12/2021) (Blue)")</f>
        <v>Uncle Sams Cider (11/12/2021) (Blue)</v>
      </c>
      <c r="H6127" s="19"/>
    </row>
    <row r="6128">
      <c r="A6128" s="9"/>
      <c r="B6128" s="15"/>
      <c r="C6128" s="9">
        <f>IFERROR(__xludf.DUMMYFUNCTION("""COMPUTED_VALUE"""),44541.2793862962)</f>
        <v>44541.27939</v>
      </c>
      <c r="D6128" s="15">
        <f>IFERROR(__xludf.DUMMYFUNCTION("""COMPUTED_VALUE"""),1.018)</f>
        <v>1.018</v>
      </c>
      <c r="E6128" s="16">
        <f>IFERROR(__xludf.DUMMYFUNCTION("""COMPUTED_VALUE"""),63.0)</f>
        <v>63</v>
      </c>
      <c r="F6128" s="19" t="str">
        <f>IFERROR(__xludf.DUMMYFUNCTION("""COMPUTED_VALUE"""),"BLUE")</f>
        <v>BLUE</v>
      </c>
      <c r="G6128" s="20" t="str">
        <f>IFERROR(__xludf.DUMMYFUNCTION("""COMPUTED_VALUE"""),"Uncle Sams Cider (11/12/2021) (Blue)")</f>
        <v>Uncle Sams Cider (11/12/2021) (Blue)</v>
      </c>
      <c r="H6128" s="19"/>
    </row>
    <row r="6129">
      <c r="A6129" s="9"/>
      <c r="B6129" s="15"/>
      <c r="C6129" s="9">
        <f>IFERROR(__xludf.DUMMYFUNCTION("""COMPUTED_VALUE"""),44541.2689634837)</f>
        <v>44541.26896</v>
      </c>
      <c r="D6129" s="15">
        <f>IFERROR(__xludf.DUMMYFUNCTION("""COMPUTED_VALUE"""),1.018)</f>
        <v>1.018</v>
      </c>
      <c r="E6129" s="16">
        <f>IFERROR(__xludf.DUMMYFUNCTION("""COMPUTED_VALUE"""),63.0)</f>
        <v>63</v>
      </c>
      <c r="F6129" s="19" t="str">
        <f>IFERROR(__xludf.DUMMYFUNCTION("""COMPUTED_VALUE"""),"BLUE")</f>
        <v>BLUE</v>
      </c>
      <c r="G6129" s="20" t="str">
        <f>IFERROR(__xludf.DUMMYFUNCTION("""COMPUTED_VALUE"""),"Uncle Sams Cider (11/12/2021) (Blue)")</f>
        <v>Uncle Sams Cider (11/12/2021) (Blue)</v>
      </c>
      <c r="H6129" s="19"/>
    </row>
    <row r="6130">
      <c r="A6130" s="9"/>
      <c r="B6130" s="15"/>
      <c r="C6130" s="9">
        <f>IFERROR(__xludf.DUMMYFUNCTION("""COMPUTED_VALUE"""),44541.258530868)</f>
        <v>44541.25853</v>
      </c>
      <c r="D6130" s="15">
        <f>IFERROR(__xludf.DUMMYFUNCTION("""COMPUTED_VALUE"""),1.018)</f>
        <v>1.018</v>
      </c>
      <c r="E6130" s="16">
        <f>IFERROR(__xludf.DUMMYFUNCTION("""COMPUTED_VALUE"""),63.0)</f>
        <v>63</v>
      </c>
      <c r="F6130" s="19" t="str">
        <f>IFERROR(__xludf.DUMMYFUNCTION("""COMPUTED_VALUE"""),"BLUE")</f>
        <v>BLUE</v>
      </c>
      <c r="G6130" s="20" t="str">
        <f>IFERROR(__xludf.DUMMYFUNCTION("""COMPUTED_VALUE"""),"Uncle Sams Cider (11/12/2021) (Blue)")</f>
        <v>Uncle Sams Cider (11/12/2021) (Blue)</v>
      </c>
      <c r="H6130" s="19"/>
    </row>
    <row r="6131">
      <c r="A6131" s="9"/>
      <c r="B6131" s="15"/>
      <c r="C6131" s="9">
        <f>IFERROR(__xludf.DUMMYFUNCTION("""COMPUTED_VALUE"""),44541.2480974536)</f>
        <v>44541.2481</v>
      </c>
      <c r="D6131" s="15">
        <f>IFERROR(__xludf.DUMMYFUNCTION("""COMPUTED_VALUE"""),1.018)</f>
        <v>1.018</v>
      </c>
      <c r="E6131" s="16">
        <f>IFERROR(__xludf.DUMMYFUNCTION("""COMPUTED_VALUE"""),63.0)</f>
        <v>63</v>
      </c>
      <c r="F6131" s="19" t="str">
        <f>IFERROR(__xludf.DUMMYFUNCTION("""COMPUTED_VALUE"""),"BLUE")</f>
        <v>BLUE</v>
      </c>
      <c r="G6131" s="20" t="str">
        <f>IFERROR(__xludf.DUMMYFUNCTION("""COMPUTED_VALUE"""),"Uncle Sams Cider (11/12/2021) (Blue)")</f>
        <v>Uncle Sams Cider (11/12/2021) (Blue)</v>
      </c>
      <c r="H6131" s="19"/>
    </row>
    <row r="6132">
      <c r="A6132" s="9"/>
      <c r="B6132" s="15"/>
      <c r="C6132" s="9">
        <f>IFERROR(__xludf.DUMMYFUNCTION("""COMPUTED_VALUE"""),44541.2376753703)</f>
        <v>44541.23768</v>
      </c>
      <c r="D6132" s="15">
        <f>IFERROR(__xludf.DUMMYFUNCTION("""COMPUTED_VALUE"""),1.018)</f>
        <v>1.018</v>
      </c>
      <c r="E6132" s="16">
        <f>IFERROR(__xludf.DUMMYFUNCTION("""COMPUTED_VALUE"""),63.0)</f>
        <v>63</v>
      </c>
      <c r="F6132" s="19" t="str">
        <f>IFERROR(__xludf.DUMMYFUNCTION("""COMPUTED_VALUE"""),"BLUE")</f>
        <v>BLUE</v>
      </c>
      <c r="G6132" s="20" t="str">
        <f>IFERROR(__xludf.DUMMYFUNCTION("""COMPUTED_VALUE"""),"Uncle Sams Cider (11/12/2021) (Blue)")</f>
        <v>Uncle Sams Cider (11/12/2021) (Blue)</v>
      </c>
      <c r="H6132" s="19"/>
    </row>
    <row r="6133">
      <c r="A6133" s="9"/>
      <c r="B6133" s="15"/>
      <c r="C6133" s="9">
        <f>IFERROR(__xludf.DUMMYFUNCTION("""COMPUTED_VALUE"""),44541.2272536342)</f>
        <v>44541.22725</v>
      </c>
      <c r="D6133" s="15">
        <f>IFERROR(__xludf.DUMMYFUNCTION("""COMPUTED_VALUE"""),1.018)</f>
        <v>1.018</v>
      </c>
      <c r="E6133" s="16">
        <f>IFERROR(__xludf.DUMMYFUNCTION("""COMPUTED_VALUE"""),63.0)</f>
        <v>63</v>
      </c>
      <c r="F6133" s="19" t="str">
        <f>IFERROR(__xludf.DUMMYFUNCTION("""COMPUTED_VALUE"""),"BLUE")</f>
        <v>BLUE</v>
      </c>
      <c r="G6133" s="20" t="str">
        <f>IFERROR(__xludf.DUMMYFUNCTION("""COMPUTED_VALUE"""),"Uncle Sams Cider (11/12/2021) (Blue)")</f>
        <v>Uncle Sams Cider (11/12/2021) (Blue)</v>
      </c>
      <c r="H6133" s="19"/>
    </row>
    <row r="6134">
      <c r="A6134" s="9"/>
      <c r="B6134" s="15"/>
      <c r="C6134" s="9">
        <f>IFERROR(__xludf.DUMMYFUNCTION("""COMPUTED_VALUE"""),44541.2168327893)</f>
        <v>44541.21683</v>
      </c>
      <c r="D6134" s="15">
        <f>IFERROR(__xludf.DUMMYFUNCTION("""COMPUTED_VALUE"""),1.018)</f>
        <v>1.018</v>
      </c>
      <c r="E6134" s="16">
        <f>IFERROR(__xludf.DUMMYFUNCTION("""COMPUTED_VALUE"""),63.0)</f>
        <v>63</v>
      </c>
      <c r="F6134" s="19" t="str">
        <f>IFERROR(__xludf.DUMMYFUNCTION("""COMPUTED_VALUE"""),"BLUE")</f>
        <v>BLUE</v>
      </c>
      <c r="G6134" s="20" t="str">
        <f>IFERROR(__xludf.DUMMYFUNCTION("""COMPUTED_VALUE"""),"Uncle Sams Cider (11/12/2021) (Blue)")</f>
        <v>Uncle Sams Cider (11/12/2021) (Blue)</v>
      </c>
      <c r="H6134" s="19"/>
    </row>
    <row r="6135">
      <c r="A6135" s="9"/>
      <c r="B6135" s="15"/>
      <c r="C6135" s="9">
        <f>IFERROR(__xludf.DUMMYFUNCTION("""COMPUTED_VALUE"""),44541.2064101388)</f>
        <v>44541.20641</v>
      </c>
      <c r="D6135" s="15">
        <f>IFERROR(__xludf.DUMMYFUNCTION("""COMPUTED_VALUE"""),1.018)</f>
        <v>1.018</v>
      </c>
      <c r="E6135" s="16">
        <f>IFERROR(__xludf.DUMMYFUNCTION("""COMPUTED_VALUE"""),63.0)</f>
        <v>63</v>
      </c>
      <c r="F6135" s="19" t="str">
        <f>IFERROR(__xludf.DUMMYFUNCTION("""COMPUTED_VALUE"""),"BLUE")</f>
        <v>BLUE</v>
      </c>
      <c r="G6135" s="20" t="str">
        <f>IFERROR(__xludf.DUMMYFUNCTION("""COMPUTED_VALUE"""),"Uncle Sams Cider (11/12/2021) (Blue)")</f>
        <v>Uncle Sams Cider (11/12/2021) (Blue)</v>
      </c>
      <c r="H6135" s="19"/>
    </row>
    <row r="6136">
      <c r="A6136" s="9"/>
      <c r="B6136" s="15"/>
      <c r="C6136" s="9">
        <f>IFERROR(__xludf.DUMMYFUNCTION("""COMPUTED_VALUE"""),44541.1959891088)</f>
        <v>44541.19599</v>
      </c>
      <c r="D6136" s="15">
        <f>IFERROR(__xludf.DUMMYFUNCTION("""COMPUTED_VALUE"""),1.018)</f>
        <v>1.018</v>
      </c>
      <c r="E6136" s="16">
        <f>IFERROR(__xludf.DUMMYFUNCTION("""COMPUTED_VALUE"""),62.0)</f>
        <v>62</v>
      </c>
      <c r="F6136" s="19" t="str">
        <f>IFERROR(__xludf.DUMMYFUNCTION("""COMPUTED_VALUE"""),"BLUE")</f>
        <v>BLUE</v>
      </c>
      <c r="G6136" s="20" t="str">
        <f>IFERROR(__xludf.DUMMYFUNCTION("""COMPUTED_VALUE"""),"Uncle Sams Cider (11/12/2021) (Blue)")</f>
        <v>Uncle Sams Cider (11/12/2021) (Blue)</v>
      </c>
      <c r="H6136" s="19"/>
    </row>
    <row r="6137">
      <c r="A6137" s="9"/>
      <c r="B6137" s="15"/>
      <c r="C6137" s="9">
        <f>IFERROR(__xludf.DUMMYFUNCTION("""COMPUTED_VALUE"""),44541.1855676041)</f>
        <v>44541.18557</v>
      </c>
      <c r="D6137" s="15">
        <f>IFERROR(__xludf.DUMMYFUNCTION("""COMPUTED_VALUE"""),1.018)</f>
        <v>1.018</v>
      </c>
      <c r="E6137" s="16">
        <f>IFERROR(__xludf.DUMMYFUNCTION("""COMPUTED_VALUE"""),63.0)</f>
        <v>63</v>
      </c>
      <c r="F6137" s="19" t="str">
        <f>IFERROR(__xludf.DUMMYFUNCTION("""COMPUTED_VALUE"""),"BLUE")</f>
        <v>BLUE</v>
      </c>
      <c r="G6137" s="20" t="str">
        <f>IFERROR(__xludf.DUMMYFUNCTION("""COMPUTED_VALUE"""),"Uncle Sams Cider (11/12/2021) (Blue)")</f>
        <v>Uncle Sams Cider (11/12/2021) (Blue)</v>
      </c>
      <c r="H6137" s="19"/>
    </row>
    <row r="6138">
      <c r="A6138" s="9"/>
      <c r="B6138" s="15"/>
      <c r="C6138" s="9">
        <f>IFERROR(__xludf.DUMMYFUNCTION("""COMPUTED_VALUE"""),44541.1751475115)</f>
        <v>44541.17515</v>
      </c>
      <c r="D6138" s="15">
        <f>IFERROR(__xludf.DUMMYFUNCTION("""COMPUTED_VALUE"""),1.018)</f>
        <v>1.018</v>
      </c>
      <c r="E6138" s="16">
        <f>IFERROR(__xludf.DUMMYFUNCTION("""COMPUTED_VALUE"""),63.0)</f>
        <v>63</v>
      </c>
      <c r="F6138" s="19" t="str">
        <f>IFERROR(__xludf.DUMMYFUNCTION("""COMPUTED_VALUE"""),"BLUE")</f>
        <v>BLUE</v>
      </c>
      <c r="G6138" s="20" t="str">
        <f>IFERROR(__xludf.DUMMYFUNCTION("""COMPUTED_VALUE"""),"Uncle Sams Cider (11/12/2021) (Blue)")</f>
        <v>Uncle Sams Cider (11/12/2021) (Blue)</v>
      </c>
      <c r="H6138" s="19"/>
    </row>
    <row r="6139">
      <c r="A6139" s="9"/>
      <c r="B6139" s="15"/>
      <c r="C6139" s="9">
        <f>IFERROR(__xludf.DUMMYFUNCTION("""COMPUTED_VALUE"""),44541.164703287)</f>
        <v>44541.1647</v>
      </c>
      <c r="D6139" s="15">
        <f>IFERROR(__xludf.DUMMYFUNCTION("""COMPUTED_VALUE"""),1.018)</f>
        <v>1.018</v>
      </c>
      <c r="E6139" s="16">
        <f>IFERROR(__xludf.DUMMYFUNCTION("""COMPUTED_VALUE"""),63.0)</f>
        <v>63</v>
      </c>
      <c r="F6139" s="19" t="str">
        <f>IFERROR(__xludf.DUMMYFUNCTION("""COMPUTED_VALUE"""),"BLUE")</f>
        <v>BLUE</v>
      </c>
      <c r="G6139" s="20" t="str">
        <f>IFERROR(__xludf.DUMMYFUNCTION("""COMPUTED_VALUE"""),"Uncle Sams Cider (11/12/2021) (Blue)")</f>
        <v>Uncle Sams Cider (11/12/2021) (Blue)</v>
      </c>
      <c r="H6139" s="19"/>
    </row>
    <row r="6140">
      <c r="A6140" s="9"/>
      <c r="B6140" s="15"/>
      <c r="C6140" s="9">
        <f>IFERROR(__xludf.DUMMYFUNCTION("""COMPUTED_VALUE"""),44541.1542812962)</f>
        <v>44541.15428</v>
      </c>
      <c r="D6140" s="15">
        <f>IFERROR(__xludf.DUMMYFUNCTION("""COMPUTED_VALUE"""),1.018)</f>
        <v>1.018</v>
      </c>
      <c r="E6140" s="16">
        <f>IFERROR(__xludf.DUMMYFUNCTION("""COMPUTED_VALUE"""),63.0)</f>
        <v>63</v>
      </c>
      <c r="F6140" s="19" t="str">
        <f>IFERROR(__xludf.DUMMYFUNCTION("""COMPUTED_VALUE"""),"BLUE")</f>
        <v>BLUE</v>
      </c>
      <c r="G6140" s="20" t="str">
        <f>IFERROR(__xludf.DUMMYFUNCTION("""COMPUTED_VALUE"""),"Uncle Sams Cider (11/12/2021) (Blue)")</f>
        <v>Uncle Sams Cider (11/12/2021) (Blue)</v>
      </c>
      <c r="H6140" s="19"/>
    </row>
    <row r="6141">
      <c r="A6141" s="9"/>
      <c r="B6141" s="15"/>
      <c r="C6141" s="9">
        <f>IFERROR(__xludf.DUMMYFUNCTION("""COMPUTED_VALUE"""),44541.1438604861)</f>
        <v>44541.14386</v>
      </c>
      <c r="D6141" s="15">
        <f>IFERROR(__xludf.DUMMYFUNCTION("""COMPUTED_VALUE"""),1.018)</f>
        <v>1.018</v>
      </c>
      <c r="E6141" s="16">
        <f>IFERROR(__xludf.DUMMYFUNCTION("""COMPUTED_VALUE"""),63.0)</f>
        <v>63</v>
      </c>
      <c r="F6141" s="19" t="str">
        <f>IFERROR(__xludf.DUMMYFUNCTION("""COMPUTED_VALUE"""),"BLUE")</f>
        <v>BLUE</v>
      </c>
      <c r="G6141" s="20" t="str">
        <f>IFERROR(__xludf.DUMMYFUNCTION("""COMPUTED_VALUE"""),"Uncle Sams Cider (11/12/2021) (Blue)")</f>
        <v>Uncle Sams Cider (11/12/2021) (Blue)</v>
      </c>
      <c r="H6141" s="19"/>
    </row>
    <row r="6142">
      <c r="A6142" s="9"/>
      <c r="B6142" s="15"/>
      <c r="C6142" s="9">
        <f>IFERROR(__xludf.DUMMYFUNCTION("""COMPUTED_VALUE"""),44541.13343978)</f>
        <v>44541.13344</v>
      </c>
      <c r="D6142" s="15">
        <f>IFERROR(__xludf.DUMMYFUNCTION("""COMPUTED_VALUE"""),1.018)</f>
        <v>1.018</v>
      </c>
      <c r="E6142" s="16">
        <f>IFERROR(__xludf.DUMMYFUNCTION("""COMPUTED_VALUE"""),63.0)</f>
        <v>63</v>
      </c>
      <c r="F6142" s="19" t="str">
        <f>IFERROR(__xludf.DUMMYFUNCTION("""COMPUTED_VALUE"""),"BLUE")</f>
        <v>BLUE</v>
      </c>
      <c r="G6142" s="20" t="str">
        <f>IFERROR(__xludf.DUMMYFUNCTION("""COMPUTED_VALUE"""),"Uncle Sams Cider (11/12/2021) (Blue)")</f>
        <v>Uncle Sams Cider (11/12/2021) (Blue)</v>
      </c>
      <c r="H6142" s="19"/>
    </row>
    <row r="6143">
      <c r="A6143" s="9"/>
      <c r="B6143" s="15"/>
      <c r="C6143" s="9">
        <f>IFERROR(__xludf.DUMMYFUNCTION("""COMPUTED_VALUE"""),44541.1230178009)</f>
        <v>44541.12302</v>
      </c>
      <c r="D6143" s="15">
        <f>IFERROR(__xludf.DUMMYFUNCTION("""COMPUTED_VALUE"""),1.018)</f>
        <v>1.018</v>
      </c>
      <c r="E6143" s="16">
        <f>IFERROR(__xludf.DUMMYFUNCTION("""COMPUTED_VALUE"""),63.0)</f>
        <v>63</v>
      </c>
      <c r="F6143" s="19" t="str">
        <f>IFERROR(__xludf.DUMMYFUNCTION("""COMPUTED_VALUE"""),"BLUE")</f>
        <v>BLUE</v>
      </c>
      <c r="G6143" s="20" t="str">
        <f>IFERROR(__xludf.DUMMYFUNCTION("""COMPUTED_VALUE"""),"Uncle Sams Cider (11/12/2021) (Blue)")</f>
        <v>Uncle Sams Cider (11/12/2021) (Blue)</v>
      </c>
      <c r="H6143" s="19"/>
    </row>
    <row r="6144">
      <c r="A6144" s="9"/>
      <c r="B6144" s="15"/>
      <c r="C6144" s="9">
        <f>IFERROR(__xludf.DUMMYFUNCTION("""COMPUTED_VALUE"""),44541.1125951967)</f>
        <v>44541.1126</v>
      </c>
      <c r="D6144" s="15">
        <f>IFERROR(__xludf.DUMMYFUNCTION("""COMPUTED_VALUE"""),1.018)</f>
        <v>1.018</v>
      </c>
      <c r="E6144" s="16">
        <f>IFERROR(__xludf.DUMMYFUNCTION("""COMPUTED_VALUE"""),63.0)</f>
        <v>63</v>
      </c>
      <c r="F6144" s="19" t="str">
        <f>IFERROR(__xludf.DUMMYFUNCTION("""COMPUTED_VALUE"""),"BLUE")</f>
        <v>BLUE</v>
      </c>
      <c r="G6144" s="20" t="str">
        <f>IFERROR(__xludf.DUMMYFUNCTION("""COMPUTED_VALUE"""),"Uncle Sams Cider (11/12/2021) (Blue)")</f>
        <v>Uncle Sams Cider (11/12/2021) (Blue)</v>
      </c>
      <c r="H6144" s="19"/>
    </row>
    <row r="6145">
      <c r="A6145" s="9"/>
      <c r="B6145" s="15"/>
      <c r="C6145" s="9">
        <f>IFERROR(__xludf.DUMMYFUNCTION("""COMPUTED_VALUE"""),44541.1021745023)</f>
        <v>44541.10217</v>
      </c>
      <c r="D6145" s="15">
        <f>IFERROR(__xludf.DUMMYFUNCTION("""COMPUTED_VALUE"""),1.018)</f>
        <v>1.018</v>
      </c>
      <c r="E6145" s="16">
        <f>IFERROR(__xludf.DUMMYFUNCTION("""COMPUTED_VALUE"""),63.0)</f>
        <v>63</v>
      </c>
      <c r="F6145" s="19" t="str">
        <f>IFERROR(__xludf.DUMMYFUNCTION("""COMPUTED_VALUE"""),"BLUE")</f>
        <v>BLUE</v>
      </c>
      <c r="G6145" s="20" t="str">
        <f>IFERROR(__xludf.DUMMYFUNCTION("""COMPUTED_VALUE"""),"Uncle Sams Cider (11/12/2021) (Blue)")</f>
        <v>Uncle Sams Cider (11/12/2021) (Blue)</v>
      </c>
      <c r="H6145" s="19"/>
    </row>
    <row r="6146">
      <c r="A6146" s="9"/>
      <c r="B6146" s="15"/>
      <c r="C6146" s="9">
        <f>IFERROR(__xludf.DUMMYFUNCTION("""COMPUTED_VALUE"""),44541.0917517361)</f>
        <v>44541.09175</v>
      </c>
      <c r="D6146" s="15">
        <f>IFERROR(__xludf.DUMMYFUNCTION("""COMPUTED_VALUE"""),1.018)</f>
        <v>1.018</v>
      </c>
      <c r="E6146" s="16">
        <f>IFERROR(__xludf.DUMMYFUNCTION("""COMPUTED_VALUE"""),63.0)</f>
        <v>63</v>
      </c>
      <c r="F6146" s="19" t="str">
        <f>IFERROR(__xludf.DUMMYFUNCTION("""COMPUTED_VALUE"""),"BLUE")</f>
        <v>BLUE</v>
      </c>
      <c r="G6146" s="20" t="str">
        <f>IFERROR(__xludf.DUMMYFUNCTION("""COMPUTED_VALUE"""),"Uncle Sams Cider (11/12/2021) (Blue)")</f>
        <v>Uncle Sams Cider (11/12/2021) (Blue)</v>
      </c>
      <c r="H6146" s="19"/>
    </row>
    <row r="6147">
      <c r="A6147" s="9"/>
      <c r="B6147" s="15"/>
      <c r="C6147" s="9">
        <f>IFERROR(__xludf.DUMMYFUNCTION("""COMPUTED_VALUE"""),44541.0813206597)</f>
        <v>44541.08132</v>
      </c>
      <c r="D6147" s="15">
        <f>IFERROR(__xludf.DUMMYFUNCTION("""COMPUTED_VALUE"""),1.018)</f>
        <v>1.018</v>
      </c>
      <c r="E6147" s="16">
        <f>IFERROR(__xludf.DUMMYFUNCTION("""COMPUTED_VALUE"""),63.0)</f>
        <v>63</v>
      </c>
      <c r="F6147" s="19" t="str">
        <f>IFERROR(__xludf.DUMMYFUNCTION("""COMPUTED_VALUE"""),"BLUE")</f>
        <v>BLUE</v>
      </c>
      <c r="G6147" s="20" t="str">
        <f>IFERROR(__xludf.DUMMYFUNCTION("""COMPUTED_VALUE"""),"Uncle Sams Cider (11/12/2021) (Blue)")</f>
        <v>Uncle Sams Cider (11/12/2021) (Blue)</v>
      </c>
      <c r="H6147" s="19"/>
    </row>
    <row r="6148">
      <c r="A6148" s="9"/>
      <c r="B6148" s="15"/>
      <c r="C6148" s="9">
        <f>IFERROR(__xludf.DUMMYFUNCTION("""COMPUTED_VALUE"""),44541.0708995833)</f>
        <v>44541.0709</v>
      </c>
      <c r="D6148" s="15">
        <f>IFERROR(__xludf.DUMMYFUNCTION("""COMPUTED_VALUE"""),1.018)</f>
        <v>1.018</v>
      </c>
      <c r="E6148" s="16">
        <f>IFERROR(__xludf.DUMMYFUNCTION("""COMPUTED_VALUE"""),63.0)</f>
        <v>63</v>
      </c>
      <c r="F6148" s="19" t="str">
        <f>IFERROR(__xludf.DUMMYFUNCTION("""COMPUTED_VALUE"""),"BLUE")</f>
        <v>BLUE</v>
      </c>
      <c r="G6148" s="20" t="str">
        <f>IFERROR(__xludf.DUMMYFUNCTION("""COMPUTED_VALUE"""),"Uncle Sams Cider (11/12/2021) (Blue)")</f>
        <v>Uncle Sams Cider (11/12/2021) (Blue)</v>
      </c>
      <c r="H6148" s="19"/>
    </row>
    <row r="6149">
      <c r="A6149" s="9"/>
      <c r="B6149" s="15"/>
      <c r="C6149" s="9">
        <f>IFERROR(__xludf.DUMMYFUNCTION("""COMPUTED_VALUE"""),44541.0604780439)</f>
        <v>44541.06048</v>
      </c>
      <c r="D6149" s="15">
        <f>IFERROR(__xludf.DUMMYFUNCTION("""COMPUTED_VALUE"""),1.018)</f>
        <v>1.018</v>
      </c>
      <c r="E6149" s="16">
        <f>IFERROR(__xludf.DUMMYFUNCTION("""COMPUTED_VALUE"""),63.0)</f>
        <v>63</v>
      </c>
      <c r="F6149" s="19" t="str">
        <f>IFERROR(__xludf.DUMMYFUNCTION("""COMPUTED_VALUE"""),"BLUE")</f>
        <v>BLUE</v>
      </c>
      <c r="G6149" s="20" t="str">
        <f>IFERROR(__xludf.DUMMYFUNCTION("""COMPUTED_VALUE"""),"Uncle Sams Cider (11/12/2021) (Blue)")</f>
        <v>Uncle Sams Cider (11/12/2021) (Blue)</v>
      </c>
      <c r="H6149" s="19"/>
    </row>
    <row r="6150">
      <c r="A6150" s="9"/>
      <c r="B6150" s="15"/>
      <c r="C6150" s="9">
        <f>IFERROR(__xludf.DUMMYFUNCTION("""COMPUTED_VALUE"""),44541.0500580324)</f>
        <v>44541.05006</v>
      </c>
      <c r="D6150" s="15">
        <f>IFERROR(__xludf.DUMMYFUNCTION("""COMPUTED_VALUE"""),1.018)</f>
        <v>1.018</v>
      </c>
      <c r="E6150" s="16">
        <f>IFERROR(__xludf.DUMMYFUNCTION("""COMPUTED_VALUE"""),63.0)</f>
        <v>63</v>
      </c>
      <c r="F6150" s="19" t="str">
        <f>IFERROR(__xludf.DUMMYFUNCTION("""COMPUTED_VALUE"""),"BLUE")</f>
        <v>BLUE</v>
      </c>
      <c r="G6150" s="20" t="str">
        <f>IFERROR(__xludf.DUMMYFUNCTION("""COMPUTED_VALUE"""),"Uncle Sams Cider (11/12/2021) (Blue)")</f>
        <v>Uncle Sams Cider (11/12/2021) (Blue)</v>
      </c>
      <c r="H6150" s="19"/>
    </row>
    <row r="6151">
      <c r="A6151" s="9"/>
      <c r="B6151" s="15"/>
      <c r="C6151" s="9">
        <f>IFERROR(__xludf.DUMMYFUNCTION("""COMPUTED_VALUE"""),44541.0396258333)</f>
        <v>44541.03963</v>
      </c>
      <c r="D6151" s="15">
        <f>IFERROR(__xludf.DUMMYFUNCTION("""COMPUTED_VALUE"""),1.018)</f>
        <v>1.018</v>
      </c>
      <c r="E6151" s="16">
        <f>IFERROR(__xludf.DUMMYFUNCTION("""COMPUTED_VALUE"""),63.0)</f>
        <v>63</v>
      </c>
      <c r="F6151" s="19" t="str">
        <f>IFERROR(__xludf.DUMMYFUNCTION("""COMPUTED_VALUE"""),"BLUE")</f>
        <v>BLUE</v>
      </c>
      <c r="G6151" s="20" t="str">
        <f>IFERROR(__xludf.DUMMYFUNCTION("""COMPUTED_VALUE"""),"Uncle Sams Cider (11/12/2021) (Blue)")</f>
        <v>Uncle Sams Cider (11/12/2021) (Blue)</v>
      </c>
      <c r="H6151" s="19"/>
    </row>
    <row r="6152">
      <c r="A6152" s="9"/>
      <c r="B6152" s="15"/>
      <c r="C6152" s="9">
        <f>IFERROR(__xludf.DUMMYFUNCTION("""COMPUTED_VALUE"""),44541.0292052314)</f>
        <v>44541.02921</v>
      </c>
      <c r="D6152" s="15">
        <f>IFERROR(__xludf.DUMMYFUNCTION("""COMPUTED_VALUE"""),1.018)</f>
        <v>1.018</v>
      </c>
      <c r="E6152" s="16">
        <f>IFERROR(__xludf.DUMMYFUNCTION("""COMPUTED_VALUE"""),63.0)</f>
        <v>63</v>
      </c>
      <c r="F6152" s="19" t="str">
        <f>IFERROR(__xludf.DUMMYFUNCTION("""COMPUTED_VALUE"""),"BLUE")</f>
        <v>BLUE</v>
      </c>
      <c r="G6152" s="20" t="str">
        <f>IFERROR(__xludf.DUMMYFUNCTION("""COMPUTED_VALUE"""),"Uncle Sams Cider (11/12/2021) (Blue)")</f>
        <v>Uncle Sams Cider (11/12/2021) (Blue)</v>
      </c>
      <c r="H6152" s="19"/>
    </row>
    <row r="6153">
      <c r="A6153" s="9"/>
      <c r="B6153" s="15"/>
      <c r="C6153" s="9">
        <f>IFERROR(__xludf.DUMMYFUNCTION("""COMPUTED_VALUE"""),44541.018785)</f>
        <v>44541.01879</v>
      </c>
      <c r="D6153" s="15">
        <f>IFERROR(__xludf.DUMMYFUNCTION("""COMPUTED_VALUE"""),1.018)</f>
        <v>1.018</v>
      </c>
      <c r="E6153" s="16">
        <f>IFERROR(__xludf.DUMMYFUNCTION("""COMPUTED_VALUE"""),63.0)</f>
        <v>63</v>
      </c>
      <c r="F6153" s="19" t="str">
        <f>IFERROR(__xludf.DUMMYFUNCTION("""COMPUTED_VALUE"""),"BLUE")</f>
        <v>BLUE</v>
      </c>
      <c r="G6153" s="20" t="str">
        <f>IFERROR(__xludf.DUMMYFUNCTION("""COMPUTED_VALUE"""),"Uncle Sams Cider (11/12/2021) (Blue)")</f>
        <v>Uncle Sams Cider (11/12/2021) (Blue)</v>
      </c>
      <c r="H6153" s="19"/>
    </row>
    <row r="6154">
      <c r="A6154" s="9"/>
      <c r="B6154" s="15"/>
      <c r="C6154" s="9">
        <f>IFERROR(__xludf.DUMMYFUNCTION("""COMPUTED_VALUE"""),44541.0083642245)</f>
        <v>44541.00836</v>
      </c>
      <c r="D6154" s="15">
        <f>IFERROR(__xludf.DUMMYFUNCTION("""COMPUTED_VALUE"""),1.018)</f>
        <v>1.018</v>
      </c>
      <c r="E6154" s="16">
        <f>IFERROR(__xludf.DUMMYFUNCTION("""COMPUTED_VALUE"""),63.0)</f>
        <v>63</v>
      </c>
      <c r="F6154" s="19" t="str">
        <f>IFERROR(__xludf.DUMMYFUNCTION("""COMPUTED_VALUE"""),"BLUE")</f>
        <v>BLUE</v>
      </c>
      <c r="G6154" s="20" t="str">
        <f>IFERROR(__xludf.DUMMYFUNCTION("""COMPUTED_VALUE"""),"Uncle Sams Cider (11/12/2021) (Blue)")</f>
        <v>Uncle Sams Cider (11/12/2021) (Blue)</v>
      </c>
      <c r="H6154" s="19"/>
    </row>
    <row r="6155">
      <c r="A6155" s="9"/>
      <c r="B6155" s="15"/>
      <c r="C6155" s="9">
        <f>IFERROR(__xludf.DUMMYFUNCTION("""COMPUTED_VALUE"""),44540.9979418402)</f>
        <v>44540.99794</v>
      </c>
      <c r="D6155" s="15">
        <f>IFERROR(__xludf.DUMMYFUNCTION("""COMPUTED_VALUE"""),1.018)</f>
        <v>1.018</v>
      </c>
      <c r="E6155" s="16">
        <f>IFERROR(__xludf.DUMMYFUNCTION("""COMPUTED_VALUE"""),63.0)</f>
        <v>63</v>
      </c>
      <c r="F6155" s="19" t="str">
        <f>IFERROR(__xludf.DUMMYFUNCTION("""COMPUTED_VALUE"""),"BLUE")</f>
        <v>BLUE</v>
      </c>
      <c r="G6155" s="20" t="str">
        <f>IFERROR(__xludf.DUMMYFUNCTION("""COMPUTED_VALUE"""),"Uncle Sams Cider (11/12/2021) (Blue)")</f>
        <v>Uncle Sams Cider (11/12/2021) (Blue)</v>
      </c>
      <c r="H6155" s="19"/>
    </row>
    <row r="6156">
      <c r="A6156" s="9"/>
      <c r="B6156" s="15"/>
      <c r="C6156" s="9">
        <f>IFERROR(__xludf.DUMMYFUNCTION("""COMPUTED_VALUE"""),44540.9875208101)</f>
        <v>44540.98752</v>
      </c>
      <c r="D6156" s="15">
        <f>IFERROR(__xludf.DUMMYFUNCTION("""COMPUTED_VALUE"""),1.018)</f>
        <v>1.018</v>
      </c>
      <c r="E6156" s="16">
        <f>IFERROR(__xludf.DUMMYFUNCTION("""COMPUTED_VALUE"""),63.0)</f>
        <v>63</v>
      </c>
      <c r="F6156" s="19" t="str">
        <f>IFERROR(__xludf.DUMMYFUNCTION("""COMPUTED_VALUE"""),"BLUE")</f>
        <v>BLUE</v>
      </c>
      <c r="G6156" s="20" t="str">
        <f>IFERROR(__xludf.DUMMYFUNCTION("""COMPUTED_VALUE"""),"Uncle Sams Cider (11/12/2021) (Blue)")</f>
        <v>Uncle Sams Cider (11/12/2021) (Blue)</v>
      </c>
      <c r="H6156" s="19"/>
    </row>
    <row r="6157">
      <c r="A6157" s="9"/>
      <c r="B6157" s="15"/>
      <c r="C6157" s="9">
        <f>IFERROR(__xludf.DUMMYFUNCTION("""COMPUTED_VALUE"""),44540.9770999884)</f>
        <v>44540.9771</v>
      </c>
      <c r="D6157" s="15">
        <f>IFERROR(__xludf.DUMMYFUNCTION("""COMPUTED_VALUE"""),1.018)</f>
        <v>1.018</v>
      </c>
      <c r="E6157" s="16">
        <f>IFERROR(__xludf.DUMMYFUNCTION("""COMPUTED_VALUE"""),63.0)</f>
        <v>63</v>
      </c>
      <c r="F6157" s="19" t="str">
        <f>IFERROR(__xludf.DUMMYFUNCTION("""COMPUTED_VALUE"""),"BLUE")</f>
        <v>BLUE</v>
      </c>
      <c r="G6157" s="20" t="str">
        <f>IFERROR(__xludf.DUMMYFUNCTION("""COMPUTED_VALUE"""),"Uncle Sams Cider (11/12/2021) (Blue)")</f>
        <v>Uncle Sams Cider (11/12/2021) (Blue)</v>
      </c>
      <c r="H6157" s="19"/>
    </row>
    <row r="6158">
      <c r="A6158" s="9"/>
      <c r="B6158" s="15"/>
      <c r="C6158" s="9">
        <f>IFERROR(__xludf.DUMMYFUNCTION("""COMPUTED_VALUE"""),44540.9666788078)</f>
        <v>44540.96668</v>
      </c>
      <c r="D6158" s="15">
        <f>IFERROR(__xludf.DUMMYFUNCTION("""COMPUTED_VALUE"""),1.018)</f>
        <v>1.018</v>
      </c>
      <c r="E6158" s="16">
        <f>IFERROR(__xludf.DUMMYFUNCTION("""COMPUTED_VALUE"""),63.0)</f>
        <v>63</v>
      </c>
      <c r="F6158" s="19" t="str">
        <f>IFERROR(__xludf.DUMMYFUNCTION("""COMPUTED_VALUE"""),"BLUE")</f>
        <v>BLUE</v>
      </c>
      <c r="G6158" s="20" t="str">
        <f>IFERROR(__xludf.DUMMYFUNCTION("""COMPUTED_VALUE"""),"Uncle Sams Cider (11/12/2021) (Blue)")</f>
        <v>Uncle Sams Cider (11/12/2021) (Blue)</v>
      </c>
      <c r="H6158" s="19"/>
    </row>
    <row r="6159">
      <c r="A6159" s="9"/>
      <c r="B6159" s="15"/>
      <c r="C6159" s="9">
        <f>IFERROR(__xludf.DUMMYFUNCTION("""COMPUTED_VALUE"""),44540.9562567013)</f>
        <v>44540.95626</v>
      </c>
      <c r="D6159" s="15">
        <f>IFERROR(__xludf.DUMMYFUNCTION("""COMPUTED_VALUE"""),1.018)</f>
        <v>1.018</v>
      </c>
      <c r="E6159" s="16">
        <f>IFERROR(__xludf.DUMMYFUNCTION("""COMPUTED_VALUE"""),63.0)</f>
        <v>63</v>
      </c>
      <c r="F6159" s="19" t="str">
        <f>IFERROR(__xludf.DUMMYFUNCTION("""COMPUTED_VALUE"""),"BLUE")</f>
        <v>BLUE</v>
      </c>
      <c r="G6159" s="20" t="str">
        <f>IFERROR(__xludf.DUMMYFUNCTION("""COMPUTED_VALUE"""),"Uncle Sams Cider (11/12/2021) (Blue)")</f>
        <v>Uncle Sams Cider (11/12/2021) (Blue)</v>
      </c>
      <c r="H6159" s="19"/>
    </row>
    <row r="6160">
      <c r="A6160" s="9"/>
      <c r="B6160" s="15"/>
      <c r="C6160" s="9">
        <f>IFERROR(__xludf.DUMMYFUNCTION("""COMPUTED_VALUE"""),44540.9458349074)</f>
        <v>44540.94583</v>
      </c>
      <c r="D6160" s="15">
        <f>IFERROR(__xludf.DUMMYFUNCTION("""COMPUTED_VALUE"""),1.018)</f>
        <v>1.018</v>
      </c>
      <c r="E6160" s="16">
        <f>IFERROR(__xludf.DUMMYFUNCTION("""COMPUTED_VALUE"""),63.0)</f>
        <v>63</v>
      </c>
      <c r="F6160" s="19" t="str">
        <f>IFERROR(__xludf.DUMMYFUNCTION("""COMPUTED_VALUE"""),"BLUE")</f>
        <v>BLUE</v>
      </c>
      <c r="G6160" s="20" t="str">
        <f>IFERROR(__xludf.DUMMYFUNCTION("""COMPUTED_VALUE"""),"Uncle Sams Cider (11/12/2021) (Blue)")</f>
        <v>Uncle Sams Cider (11/12/2021) (Blue)</v>
      </c>
      <c r="H6160" s="19"/>
    </row>
    <row r="6161">
      <c r="A6161" s="9"/>
      <c r="B6161" s="15"/>
      <c r="C6161" s="9">
        <f>IFERROR(__xludf.DUMMYFUNCTION("""COMPUTED_VALUE"""),44540.9354149768)</f>
        <v>44540.93541</v>
      </c>
      <c r="D6161" s="15">
        <f>IFERROR(__xludf.DUMMYFUNCTION("""COMPUTED_VALUE"""),1.018)</f>
        <v>1.018</v>
      </c>
      <c r="E6161" s="16">
        <f>IFERROR(__xludf.DUMMYFUNCTION("""COMPUTED_VALUE"""),63.0)</f>
        <v>63</v>
      </c>
      <c r="F6161" s="19" t="str">
        <f>IFERROR(__xludf.DUMMYFUNCTION("""COMPUTED_VALUE"""),"BLUE")</f>
        <v>BLUE</v>
      </c>
      <c r="G6161" s="20" t="str">
        <f>IFERROR(__xludf.DUMMYFUNCTION("""COMPUTED_VALUE"""),"Uncle Sams Cider (11/12/2021) (Blue)")</f>
        <v>Uncle Sams Cider (11/12/2021) (Blue)</v>
      </c>
      <c r="H6161" s="19"/>
    </row>
    <row r="6162">
      <c r="A6162" s="9"/>
      <c r="B6162" s="15"/>
      <c r="C6162" s="9">
        <f>IFERROR(__xludf.DUMMYFUNCTION("""COMPUTED_VALUE"""),44540.9249937847)</f>
        <v>44540.92499</v>
      </c>
      <c r="D6162" s="15">
        <f>IFERROR(__xludf.DUMMYFUNCTION("""COMPUTED_VALUE"""),1.018)</f>
        <v>1.018</v>
      </c>
      <c r="E6162" s="16">
        <f>IFERROR(__xludf.DUMMYFUNCTION("""COMPUTED_VALUE"""),63.0)</f>
        <v>63</v>
      </c>
      <c r="F6162" s="19" t="str">
        <f>IFERROR(__xludf.DUMMYFUNCTION("""COMPUTED_VALUE"""),"BLUE")</f>
        <v>BLUE</v>
      </c>
      <c r="G6162" s="20" t="str">
        <f>IFERROR(__xludf.DUMMYFUNCTION("""COMPUTED_VALUE"""),"Uncle Sams Cider (11/12/2021) (Blue)")</f>
        <v>Uncle Sams Cider (11/12/2021) (Blue)</v>
      </c>
      <c r="H6162" s="19"/>
    </row>
    <row r="6163">
      <c r="A6163" s="9"/>
      <c r="B6163" s="15"/>
      <c r="C6163" s="9">
        <f>IFERROR(__xludf.DUMMYFUNCTION("""COMPUTED_VALUE"""),44540.9145731365)</f>
        <v>44540.91457</v>
      </c>
      <c r="D6163" s="15">
        <f>IFERROR(__xludf.DUMMYFUNCTION("""COMPUTED_VALUE"""),1.018)</f>
        <v>1.018</v>
      </c>
      <c r="E6163" s="16">
        <f>IFERROR(__xludf.DUMMYFUNCTION("""COMPUTED_VALUE"""),63.0)</f>
        <v>63</v>
      </c>
      <c r="F6163" s="19" t="str">
        <f>IFERROR(__xludf.DUMMYFUNCTION("""COMPUTED_VALUE"""),"BLUE")</f>
        <v>BLUE</v>
      </c>
      <c r="G6163" s="20" t="str">
        <f>IFERROR(__xludf.DUMMYFUNCTION("""COMPUTED_VALUE"""),"Uncle Sams Cider (11/12/2021) (Blue)")</f>
        <v>Uncle Sams Cider (11/12/2021) (Blue)</v>
      </c>
      <c r="H6163" s="19"/>
    </row>
    <row r="6164">
      <c r="A6164" s="9"/>
      <c r="B6164" s="15"/>
      <c r="C6164" s="9">
        <f>IFERROR(__xludf.DUMMYFUNCTION("""COMPUTED_VALUE"""),44540.9041519907)</f>
        <v>44540.90415</v>
      </c>
      <c r="D6164" s="15">
        <f>IFERROR(__xludf.DUMMYFUNCTION("""COMPUTED_VALUE"""),1.018)</f>
        <v>1.018</v>
      </c>
      <c r="E6164" s="16">
        <f>IFERROR(__xludf.DUMMYFUNCTION("""COMPUTED_VALUE"""),63.0)</f>
        <v>63</v>
      </c>
      <c r="F6164" s="19" t="str">
        <f>IFERROR(__xludf.DUMMYFUNCTION("""COMPUTED_VALUE"""),"BLUE")</f>
        <v>BLUE</v>
      </c>
      <c r="G6164" s="20" t="str">
        <f>IFERROR(__xludf.DUMMYFUNCTION("""COMPUTED_VALUE"""),"Uncle Sams Cider (11/12/2021) (Blue)")</f>
        <v>Uncle Sams Cider (11/12/2021) (Blue)</v>
      </c>
      <c r="H6164" s="19"/>
    </row>
    <row r="6165">
      <c r="A6165" s="9"/>
      <c r="B6165" s="15"/>
      <c r="C6165" s="9">
        <f>IFERROR(__xludf.DUMMYFUNCTION("""COMPUTED_VALUE"""),44540.89373228)</f>
        <v>44540.89373</v>
      </c>
      <c r="D6165" s="15">
        <f>IFERROR(__xludf.DUMMYFUNCTION("""COMPUTED_VALUE"""),1.018)</f>
        <v>1.018</v>
      </c>
      <c r="E6165" s="16">
        <f>IFERROR(__xludf.DUMMYFUNCTION("""COMPUTED_VALUE"""),63.0)</f>
        <v>63</v>
      </c>
      <c r="F6165" s="19" t="str">
        <f>IFERROR(__xludf.DUMMYFUNCTION("""COMPUTED_VALUE"""),"BLUE")</f>
        <v>BLUE</v>
      </c>
      <c r="G6165" s="20" t="str">
        <f>IFERROR(__xludf.DUMMYFUNCTION("""COMPUTED_VALUE"""),"Uncle Sams Cider (11/12/2021) (Blue)")</f>
        <v>Uncle Sams Cider (11/12/2021) (Blue)</v>
      </c>
      <c r="H6165" s="19"/>
    </row>
    <row r="6166">
      <c r="A6166" s="9"/>
      <c r="B6166" s="15"/>
      <c r="C6166" s="9">
        <f>IFERROR(__xludf.DUMMYFUNCTION("""COMPUTED_VALUE"""),44540.883311875)</f>
        <v>44540.88331</v>
      </c>
      <c r="D6166" s="15">
        <f>IFERROR(__xludf.DUMMYFUNCTION("""COMPUTED_VALUE"""),1.018)</f>
        <v>1.018</v>
      </c>
      <c r="E6166" s="16">
        <f>IFERROR(__xludf.DUMMYFUNCTION("""COMPUTED_VALUE"""),63.0)</f>
        <v>63</v>
      </c>
      <c r="F6166" s="19" t="str">
        <f>IFERROR(__xludf.DUMMYFUNCTION("""COMPUTED_VALUE"""),"BLUE")</f>
        <v>BLUE</v>
      </c>
      <c r="G6166" s="20" t="str">
        <f>IFERROR(__xludf.DUMMYFUNCTION("""COMPUTED_VALUE"""),"Uncle Sams Cider (11/12/2021) (Blue)")</f>
        <v>Uncle Sams Cider (11/12/2021) (Blue)</v>
      </c>
      <c r="H6166" s="19"/>
    </row>
    <row r="6167">
      <c r="A6167" s="9"/>
      <c r="B6167" s="15"/>
      <c r="C6167" s="9">
        <f>IFERROR(__xludf.DUMMYFUNCTION("""COMPUTED_VALUE"""),44540.872890949)</f>
        <v>44540.87289</v>
      </c>
      <c r="D6167" s="15">
        <f>IFERROR(__xludf.DUMMYFUNCTION("""COMPUTED_VALUE"""),1.018)</f>
        <v>1.018</v>
      </c>
      <c r="E6167" s="16">
        <f>IFERROR(__xludf.DUMMYFUNCTION("""COMPUTED_VALUE"""),63.0)</f>
        <v>63</v>
      </c>
      <c r="F6167" s="19" t="str">
        <f>IFERROR(__xludf.DUMMYFUNCTION("""COMPUTED_VALUE"""),"BLUE")</f>
        <v>BLUE</v>
      </c>
      <c r="G6167" s="20" t="str">
        <f>IFERROR(__xludf.DUMMYFUNCTION("""COMPUTED_VALUE"""),"Uncle Sams Cider (11/12/2021) (Blue)")</f>
        <v>Uncle Sams Cider (11/12/2021) (Blue)</v>
      </c>
      <c r="H6167" s="19"/>
    </row>
    <row r="6168">
      <c r="A6168" s="9"/>
      <c r="B6168" s="15"/>
      <c r="C6168" s="9">
        <f>IFERROR(__xludf.DUMMYFUNCTION("""COMPUTED_VALUE"""),44540.862468831)</f>
        <v>44540.86247</v>
      </c>
      <c r="D6168" s="15">
        <f>IFERROR(__xludf.DUMMYFUNCTION("""COMPUTED_VALUE"""),1.018)</f>
        <v>1.018</v>
      </c>
      <c r="E6168" s="16">
        <f>IFERROR(__xludf.DUMMYFUNCTION("""COMPUTED_VALUE"""),63.0)</f>
        <v>63</v>
      </c>
      <c r="F6168" s="19" t="str">
        <f>IFERROR(__xludf.DUMMYFUNCTION("""COMPUTED_VALUE"""),"BLUE")</f>
        <v>BLUE</v>
      </c>
      <c r="G6168" s="20" t="str">
        <f>IFERROR(__xludf.DUMMYFUNCTION("""COMPUTED_VALUE"""),"Uncle Sams Cider (11/12/2021) (Blue)")</f>
        <v>Uncle Sams Cider (11/12/2021) (Blue)</v>
      </c>
      <c r="H6168" s="19"/>
    </row>
    <row r="6169">
      <c r="A6169" s="9"/>
      <c r="B6169" s="15"/>
      <c r="C6169" s="9">
        <f>IFERROR(__xludf.DUMMYFUNCTION("""COMPUTED_VALUE"""),44540.8520362268)</f>
        <v>44540.85204</v>
      </c>
      <c r="D6169" s="15">
        <f>IFERROR(__xludf.DUMMYFUNCTION("""COMPUTED_VALUE"""),1.018)</f>
        <v>1.018</v>
      </c>
      <c r="E6169" s="16">
        <f>IFERROR(__xludf.DUMMYFUNCTION("""COMPUTED_VALUE"""),63.0)</f>
        <v>63</v>
      </c>
      <c r="F6169" s="19" t="str">
        <f>IFERROR(__xludf.DUMMYFUNCTION("""COMPUTED_VALUE"""),"BLUE")</f>
        <v>BLUE</v>
      </c>
      <c r="G6169" s="20" t="str">
        <f>IFERROR(__xludf.DUMMYFUNCTION("""COMPUTED_VALUE"""),"Uncle Sams Cider (11/12/2021) (Blue)")</f>
        <v>Uncle Sams Cider (11/12/2021) (Blue)</v>
      </c>
      <c r="H6169" s="19"/>
    </row>
    <row r="6170">
      <c r="A6170" s="9"/>
      <c r="B6170" s="15"/>
      <c r="C6170" s="9">
        <f>IFERROR(__xludf.DUMMYFUNCTION("""COMPUTED_VALUE"""),44540.8416148842)</f>
        <v>44540.84161</v>
      </c>
      <c r="D6170" s="15">
        <f>IFERROR(__xludf.DUMMYFUNCTION("""COMPUTED_VALUE"""),1.018)</f>
        <v>1.018</v>
      </c>
      <c r="E6170" s="16">
        <f>IFERROR(__xludf.DUMMYFUNCTION("""COMPUTED_VALUE"""),63.0)</f>
        <v>63</v>
      </c>
      <c r="F6170" s="19" t="str">
        <f>IFERROR(__xludf.DUMMYFUNCTION("""COMPUTED_VALUE"""),"BLUE")</f>
        <v>BLUE</v>
      </c>
      <c r="G6170" s="20" t="str">
        <f>IFERROR(__xludf.DUMMYFUNCTION("""COMPUTED_VALUE"""),"Uncle Sams Cider (11/12/2021) (Blue)")</f>
        <v>Uncle Sams Cider (11/12/2021) (Blue)</v>
      </c>
      <c r="H6170" s="19"/>
    </row>
    <row r="6171">
      <c r="A6171" s="9"/>
      <c r="B6171" s="15"/>
      <c r="C6171" s="9">
        <f>IFERROR(__xludf.DUMMYFUNCTION("""COMPUTED_VALUE"""),44540.8311935185)</f>
        <v>44540.83119</v>
      </c>
      <c r="D6171" s="15">
        <f>IFERROR(__xludf.DUMMYFUNCTION("""COMPUTED_VALUE"""),1.018)</f>
        <v>1.018</v>
      </c>
      <c r="E6171" s="16">
        <f>IFERROR(__xludf.DUMMYFUNCTION("""COMPUTED_VALUE"""),63.0)</f>
        <v>63</v>
      </c>
      <c r="F6171" s="19" t="str">
        <f>IFERROR(__xludf.DUMMYFUNCTION("""COMPUTED_VALUE"""),"BLUE")</f>
        <v>BLUE</v>
      </c>
      <c r="G6171" s="20" t="str">
        <f>IFERROR(__xludf.DUMMYFUNCTION("""COMPUTED_VALUE"""),"Uncle Sams Cider (11/12/2021) (Blue)")</f>
        <v>Uncle Sams Cider (11/12/2021) (Blue)</v>
      </c>
      <c r="H6171" s="19"/>
    </row>
    <row r="6172">
      <c r="A6172" s="9"/>
      <c r="B6172" s="15"/>
      <c r="C6172" s="9">
        <f>IFERROR(__xludf.DUMMYFUNCTION("""COMPUTED_VALUE"""),44540.8207736805)</f>
        <v>44540.82077</v>
      </c>
      <c r="D6172" s="15">
        <f>IFERROR(__xludf.DUMMYFUNCTION("""COMPUTED_VALUE"""),1.018)</f>
        <v>1.018</v>
      </c>
      <c r="E6172" s="16">
        <f>IFERROR(__xludf.DUMMYFUNCTION("""COMPUTED_VALUE"""),63.0)</f>
        <v>63</v>
      </c>
      <c r="F6172" s="19" t="str">
        <f>IFERROR(__xludf.DUMMYFUNCTION("""COMPUTED_VALUE"""),"BLUE")</f>
        <v>BLUE</v>
      </c>
      <c r="G6172" s="20" t="str">
        <f>IFERROR(__xludf.DUMMYFUNCTION("""COMPUTED_VALUE"""),"Uncle Sams Cider (11/12/2021) (Blue)")</f>
        <v>Uncle Sams Cider (11/12/2021) (Blue)</v>
      </c>
      <c r="H6172" s="19"/>
    </row>
    <row r="6173">
      <c r="A6173" s="9"/>
      <c r="B6173" s="15"/>
      <c r="C6173" s="9">
        <f>IFERROR(__xludf.DUMMYFUNCTION("""COMPUTED_VALUE"""),44540.8103390856)</f>
        <v>44540.81034</v>
      </c>
      <c r="D6173" s="15">
        <f>IFERROR(__xludf.DUMMYFUNCTION("""COMPUTED_VALUE"""),1.018)</f>
        <v>1.018</v>
      </c>
      <c r="E6173" s="16">
        <f>IFERROR(__xludf.DUMMYFUNCTION("""COMPUTED_VALUE"""),63.0)</f>
        <v>63</v>
      </c>
      <c r="F6173" s="19" t="str">
        <f>IFERROR(__xludf.DUMMYFUNCTION("""COMPUTED_VALUE"""),"BLUE")</f>
        <v>BLUE</v>
      </c>
      <c r="G6173" s="20" t="str">
        <f>IFERROR(__xludf.DUMMYFUNCTION("""COMPUTED_VALUE"""),"Uncle Sams Cider (11/12/2021) (Blue)")</f>
        <v>Uncle Sams Cider (11/12/2021) (Blue)</v>
      </c>
      <c r="H6173" s="19"/>
    </row>
    <row r="6174">
      <c r="A6174" s="9"/>
      <c r="B6174" s="15"/>
      <c r="C6174" s="9">
        <f>IFERROR(__xludf.DUMMYFUNCTION("""COMPUTED_VALUE"""),44540.7999064351)</f>
        <v>44540.79991</v>
      </c>
      <c r="D6174" s="15">
        <f>IFERROR(__xludf.DUMMYFUNCTION("""COMPUTED_VALUE"""),1.018)</f>
        <v>1.018</v>
      </c>
      <c r="E6174" s="16">
        <f>IFERROR(__xludf.DUMMYFUNCTION("""COMPUTED_VALUE"""),63.0)</f>
        <v>63</v>
      </c>
      <c r="F6174" s="19" t="str">
        <f>IFERROR(__xludf.DUMMYFUNCTION("""COMPUTED_VALUE"""),"BLUE")</f>
        <v>BLUE</v>
      </c>
      <c r="G6174" s="20" t="str">
        <f>IFERROR(__xludf.DUMMYFUNCTION("""COMPUTED_VALUE"""),"Uncle Sams Cider (11/12/2021) (Blue)")</f>
        <v>Uncle Sams Cider (11/12/2021) (Blue)</v>
      </c>
      <c r="H6174" s="19"/>
    </row>
    <row r="6175">
      <c r="A6175" s="9"/>
      <c r="B6175" s="15"/>
      <c r="C6175" s="9">
        <f>IFERROR(__xludf.DUMMYFUNCTION("""COMPUTED_VALUE"""),44540.7894858449)</f>
        <v>44540.78949</v>
      </c>
      <c r="D6175" s="15">
        <f>IFERROR(__xludf.DUMMYFUNCTION("""COMPUTED_VALUE"""),1.018)</f>
        <v>1.018</v>
      </c>
      <c r="E6175" s="16">
        <f>IFERROR(__xludf.DUMMYFUNCTION("""COMPUTED_VALUE"""),63.0)</f>
        <v>63</v>
      </c>
      <c r="F6175" s="19" t="str">
        <f>IFERROR(__xludf.DUMMYFUNCTION("""COMPUTED_VALUE"""),"BLUE")</f>
        <v>BLUE</v>
      </c>
      <c r="G6175" s="20" t="str">
        <f>IFERROR(__xludf.DUMMYFUNCTION("""COMPUTED_VALUE"""),"Uncle Sams Cider (11/12/2021) (Blue)")</f>
        <v>Uncle Sams Cider (11/12/2021) (Blue)</v>
      </c>
      <c r="H6175" s="19"/>
    </row>
    <row r="6176">
      <c r="A6176" s="9"/>
      <c r="B6176" s="15"/>
      <c r="C6176" s="9">
        <f>IFERROR(__xludf.DUMMYFUNCTION("""COMPUTED_VALUE"""),44540.7790538426)</f>
        <v>44540.77905</v>
      </c>
      <c r="D6176" s="15">
        <f>IFERROR(__xludf.DUMMYFUNCTION("""COMPUTED_VALUE"""),1.018)</f>
        <v>1.018</v>
      </c>
      <c r="E6176" s="16">
        <f>IFERROR(__xludf.DUMMYFUNCTION("""COMPUTED_VALUE"""),63.0)</f>
        <v>63</v>
      </c>
      <c r="F6176" s="19" t="str">
        <f>IFERROR(__xludf.DUMMYFUNCTION("""COMPUTED_VALUE"""),"BLUE")</f>
        <v>BLUE</v>
      </c>
      <c r="G6176" s="20" t="str">
        <f>IFERROR(__xludf.DUMMYFUNCTION("""COMPUTED_VALUE"""),"Uncle Sams Cider (11/12/2021) (Blue)")</f>
        <v>Uncle Sams Cider (11/12/2021) (Blue)</v>
      </c>
      <c r="H6176" s="19"/>
    </row>
    <row r="6177">
      <c r="A6177" s="9"/>
      <c r="B6177" s="15"/>
      <c r="C6177" s="9">
        <f>IFERROR(__xludf.DUMMYFUNCTION("""COMPUTED_VALUE"""),44540.7686339351)</f>
        <v>44540.76863</v>
      </c>
      <c r="D6177" s="15">
        <f>IFERROR(__xludf.DUMMYFUNCTION("""COMPUTED_VALUE"""),1.018)</f>
        <v>1.018</v>
      </c>
      <c r="E6177" s="16">
        <f>IFERROR(__xludf.DUMMYFUNCTION("""COMPUTED_VALUE"""),63.0)</f>
        <v>63</v>
      </c>
      <c r="F6177" s="19" t="str">
        <f>IFERROR(__xludf.DUMMYFUNCTION("""COMPUTED_VALUE"""),"BLUE")</f>
        <v>BLUE</v>
      </c>
      <c r="G6177" s="20" t="str">
        <f>IFERROR(__xludf.DUMMYFUNCTION("""COMPUTED_VALUE"""),"Uncle Sams Cider (11/12/2021) (Blue)")</f>
        <v>Uncle Sams Cider (11/12/2021) (Blue)</v>
      </c>
      <c r="H6177" s="19"/>
    </row>
    <row r="6178">
      <c r="A6178" s="9"/>
      <c r="B6178" s="15"/>
      <c r="C6178" s="9">
        <f>IFERROR(__xludf.DUMMYFUNCTION("""COMPUTED_VALUE"""),44540.758210243)</f>
        <v>44540.75821</v>
      </c>
      <c r="D6178" s="15">
        <f>IFERROR(__xludf.DUMMYFUNCTION("""COMPUTED_VALUE"""),1.018)</f>
        <v>1.018</v>
      </c>
      <c r="E6178" s="16">
        <f>IFERROR(__xludf.DUMMYFUNCTION("""COMPUTED_VALUE"""),63.0)</f>
        <v>63</v>
      </c>
      <c r="F6178" s="19" t="str">
        <f>IFERROR(__xludf.DUMMYFUNCTION("""COMPUTED_VALUE"""),"BLUE")</f>
        <v>BLUE</v>
      </c>
      <c r="G6178" s="20" t="str">
        <f>IFERROR(__xludf.DUMMYFUNCTION("""COMPUTED_VALUE"""),"Uncle Sams Cider (11/12/2021) (Blue)")</f>
        <v>Uncle Sams Cider (11/12/2021) (Blue)</v>
      </c>
      <c r="H6178" s="19"/>
    </row>
    <row r="6179">
      <c r="A6179" s="9"/>
      <c r="B6179" s="15"/>
      <c r="C6179" s="9">
        <f>IFERROR(__xludf.DUMMYFUNCTION("""COMPUTED_VALUE"""),44540.7477874537)</f>
        <v>44540.74779</v>
      </c>
      <c r="D6179" s="15">
        <f>IFERROR(__xludf.DUMMYFUNCTION("""COMPUTED_VALUE"""),1.018)</f>
        <v>1.018</v>
      </c>
      <c r="E6179" s="16">
        <f>IFERROR(__xludf.DUMMYFUNCTION("""COMPUTED_VALUE"""),63.0)</f>
        <v>63</v>
      </c>
      <c r="F6179" s="19" t="str">
        <f>IFERROR(__xludf.DUMMYFUNCTION("""COMPUTED_VALUE"""),"BLUE")</f>
        <v>BLUE</v>
      </c>
      <c r="G6179" s="20" t="str">
        <f>IFERROR(__xludf.DUMMYFUNCTION("""COMPUTED_VALUE"""),"Uncle Sams Cider (11/12/2021) (Blue)")</f>
        <v>Uncle Sams Cider (11/12/2021) (Blue)</v>
      </c>
      <c r="H6179" s="19"/>
    </row>
    <row r="6180">
      <c r="A6180" s="9"/>
      <c r="B6180" s="15"/>
      <c r="C6180" s="9">
        <f>IFERROR(__xludf.DUMMYFUNCTION("""COMPUTED_VALUE"""),44540.7373680439)</f>
        <v>44540.73737</v>
      </c>
      <c r="D6180" s="15">
        <f>IFERROR(__xludf.DUMMYFUNCTION("""COMPUTED_VALUE"""),1.018)</f>
        <v>1.018</v>
      </c>
      <c r="E6180" s="16">
        <f>IFERROR(__xludf.DUMMYFUNCTION("""COMPUTED_VALUE"""),63.0)</f>
        <v>63</v>
      </c>
      <c r="F6180" s="19" t="str">
        <f>IFERROR(__xludf.DUMMYFUNCTION("""COMPUTED_VALUE"""),"BLUE")</f>
        <v>BLUE</v>
      </c>
      <c r="G6180" s="20" t="str">
        <f>IFERROR(__xludf.DUMMYFUNCTION("""COMPUTED_VALUE"""),"Uncle Sams Cider (11/12/2021) (Blue)")</f>
        <v>Uncle Sams Cider (11/12/2021) (Blue)</v>
      </c>
      <c r="H6180" s="19"/>
    </row>
    <row r="6181">
      <c r="A6181" s="9"/>
      <c r="B6181" s="15"/>
      <c r="C6181" s="9">
        <f>IFERROR(__xludf.DUMMYFUNCTION("""COMPUTED_VALUE"""),44540.7269450694)</f>
        <v>44540.72695</v>
      </c>
      <c r="D6181" s="15">
        <f>IFERROR(__xludf.DUMMYFUNCTION("""COMPUTED_VALUE"""),1.018)</f>
        <v>1.018</v>
      </c>
      <c r="E6181" s="16">
        <f>IFERROR(__xludf.DUMMYFUNCTION("""COMPUTED_VALUE"""),63.0)</f>
        <v>63</v>
      </c>
      <c r="F6181" s="19" t="str">
        <f>IFERROR(__xludf.DUMMYFUNCTION("""COMPUTED_VALUE"""),"BLUE")</f>
        <v>BLUE</v>
      </c>
      <c r="G6181" s="20" t="str">
        <f>IFERROR(__xludf.DUMMYFUNCTION("""COMPUTED_VALUE"""),"Uncle Sams Cider (11/12/2021) (Blue)")</f>
        <v>Uncle Sams Cider (11/12/2021) (Blue)</v>
      </c>
      <c r="H6181" s="19"/>
    </row>
    <row r="6182">
      <c r="A6182" s="9"/>
      <c r="B6182" s="15"/>
      <c r="C6182" s="9">
        <f>IFERROR(__xludf.DUMMYFUNCTION("""COMPUTED_VALUE"""),44540.7165230092)</f>
        <v>44540.71652</v>
      </c>
      <c r="D6182" s="15">
        <f>IFERROR(__xludf.DUMMYFUNCTION("""COMPUTED_VALUE"""),1.018)</f>
        <v>1.018</v>
      </c>
      <c r="E6182" s="16">
        <f>IFERROR(__xludf.DUMMYFUNCTION("""COMPUTED_VALUE"""),63.0)</f>
        <v>63</v>
      </c>
      <c r="F6182" s="19" t="str">
        <f>IFERROR(__xludf.DUMMYFUNCTION("""COMPUTED_VALUE"""),"BLUE")</f>
        <v>BLUE</v>
      </c>
      <c r="G6182" s="20" t="str">
        <f>IFERROR(__xludf.DUMMYFUNCTION("""COMPUTED_VALUE"""),"Uncle Sams Cider (11/12/2021) (Blue)")</f>
        <v>Uncle Sams Cider (11/12/2021) (Blue)</v>
      </c>
      <c r="H6182" s="19"/>
    </row>
    <row r="6183">
      <c r="A6183" s="9"/>
      <c r="B6183" s="15"/>
      <c r="C6183" s="9">
        <f>IFERROR(__xludf.DUMMYFUNCTION("""COMPUTED_VALUE"""),44540.7060907638)</f>
        <v>44540.70609</v>
      </c>
      <c r="D6183" s="15">
        <f>IFERROR(__xludf.DUMMYFUNCTION("""COMPUTED_VALUE"""),1.018)</f>
        <v>1.018</v>
      </c>
      <c r="E6183" s="16">
        <f>IFERROR(__xludf.DUMMYFUNCTION("""COMPUTED_VALUE"""),63.0)</f>
        <v>63</v>
      </c>
      <c r="F6183" s="19" t="str">
        <f>IFERROR(__xludf.DUMMYFUNCTION("""COMPUTED_VALUE"""),"BLUE")</f>
        <v>BLUE</v>
      </c>
      <c r="G6183" s="20" t="str">
        <f>IFERROR(__xludf.DUMMYFUNCTION("""COMPUTED_VALUE"""),"Uncle Sams Cider (11/12/2021) (Blue)")</f>
        <v>Uncle Sams Cider (11/12/2021) (Blue)</v>
      </c>
      <c r="H6183" s="19"/>
    </row>
    <row r="6184">
      <c r="A6184" s="9"/>
      <c r="B6184" s="15"/>
      <c r="C6184" s="9">
        <f>IFERROR(__xludf.DUMMYFUNCTION("""COMPUTED_VALUE"""),44540.6956700578)</f>
        <v>44540.69567</v>
      </c>
      <c r="D6184" s="15">
        <f>IFERROR(__xludf.DUMMYFUNCTION("""COMPUTED_VALUE"""),1.018)</f>
        <v>1.018</v>
      </c>
      <c r="E6184" s="16">
        <f>IFERROR(__xludf.DUMMYFUNCTION("""COMPUTED_VALUE"""),63.0)</f>
        <v>63</v>
      </c>
      <c r="F6184" s="19" t="str">
        <f>IFERROR(__xludf.DUMMYFUNCTION("""COMPUTED_VALUE"""),"BLUE")</f>
        <v>BLUE</v>
      </c>
      <c r="G6184" s="20" t="str">
        <f>IFERROR(__xludf.DUMMYFUNCTION("""COMPUTED_VALUE"""),"Uncle Sams Cider (11/12/2021) (Blue)")</f>
        <v>Uncle Sams Cider (11/12/2021) (Blue)</v>
      </c>
      <c r="H6184" s="19"/>
    </row>
    <row r="6185">
      <c r="A6185" s="9"/>
      <c r="B6185" s="15"/>
      <c r="C6185" s="9">
        <f>IFERROR(__xludf.DUMMYFUNCTION("""COMPUTED_VALUE"""),44540.6852492013)</f>
        <v>44540.68525</v>
      </c>
      <c r="D6185" s="15">
        <f>IFERROR(__xludf.DUMMYFUNCTION("""COMPUTED_VALUE"""),1.018)</f>
        <v>1.018</v>
      </c>
      <c r="E6185" s="16">
        <f>IFERROR(__xludf.DUMMYFUNCTION("""COMPUTED_VALUE"""),63.0)</f>
        <v>63</v>
      </c>
      <c r="F6185" s="19" t="str">
        <f>IFERROR(__xludf.DUMMYFUNCTION("""COMPUTED_VALUE"""),"BLUE")</f>
        <v>BLUE</v>
      </c>
      <c r="G6185" s="20" t="str">
        <f>IFERROR(__xludf.DUMMYFUNCTION("""COMPUTED_VALUE"""),"Uncle Sams Cider (11/12/2021) (Blue)")</f>
        <v>Uncle Sams Cider (11/12/2021) (Blue)</v>
      </c>
      <c r="H6185" s="19"/>
    </row>
    <row r="6186">
      <c r="A6186" s="9"/>
      <c r="B6186" s="15"/>
      <c r="C6186" s="9">
        <f>IFERROR(__xludf.DUMMYFUNCTION("""COMPUTED_VALUE"""),44540.674826574)</f>
        <v>44540.67483</v>
      </c>
      <c r="D6186" s="15">
        <f>IFERROR(__xludf.DUMMYFUNCTION("""COMPUTED_VALUE"""),1.018)</f>
        <v>1.018</v>
      </c>
      <c r="E6186" s="16">
        <f>IFERROR(__xludf.DUMMYFUNCTION("""COMPUTED_VALUE"""),63.0)</f>
        <v>63</v>
      </c>
      <c r="F6186" s="19" t="str">
        <f>IFERROR(__xludf.DUMMYFUNCTION("""COMPUTED_VALUE"""),"BLUE")</f>
        <v>BLUE</v>
      </c>
      <c r="G6186" s="20" t="str">
        <f>IFERROR(__xludf.DUMMYFUNCTION("""COMPUTED_VALUE"""),"Uncle Sams Cider (11/12/2021) (Blue)")</f>
        <v>Uncle Sams Cider (11/12/2021) (Blue)</v>
      </c>
      <c r="H6186" s="19"/>
    </row>
    <row r="6187">
      <c r="A6187" s="9"/>
      <c r="B6187" s="15"/>
      <c r="C6187" s="9">
        <f>IFERROR(__xludf.DUMMYFUNCTION("""COMPUTED_VALUE"""),44540.6643946296)</f>
        <v>44540.66439</v>
      </c>
      <c r="D6187" s="15">
        <f>IFERROR(__xludf.DUMMYFUNCTION("""COMPUTED_VALUE"""),1.018)</f>
        <v>1.018</v>
      </c>
      <c r="E6187" s="16">
        <f>IFERROR(__xludf.DUMMYFUNCTION("""COMPUTED_VALUE"""),63.0)</f>
        <v>63</v>
      </c>
      <c r="F6187" s="19" t="str">
        <f>IFERROR(__xludf.DUMMYFUNCTION("""COMPUTED_VALUE"""),"BLUE")</f>
        <v>BLUE</v>
      </c>
      <c r="G6187" s="20" t="str">
        <f>IFERROR(__xludf.DUMMYFUNCTION("""COMPUTED_VALUE"""),"Uncle Sams Cider (11/12/2021) (Blue)")</f>
        <v>Uncle Sams Cider (11/12/2021) (Blue)</v>
      </c>
      <c r="H6187" s="19"/>
    </row>
    <row r="6188">
      <c r="A6188" s="9"/>
      <c r="B6188" s="15"/>
      <c r="C6188" s="9">
        <f>IFERROR(__xludf.DUMMYFUNCTION("""COMPUTED_VALUE"""),44540.653973368)</f>
        <v>44540.65397</v>
      </c>
      <c r="D6188" s="15">
        <f>IFERROR(__xludf.DUMMYFUNCTION("""COMPUTED_VALUE"""),1.018)</f>
        <v>1.018</v>
      </c>
      <c r="E6188" s="16">
        <f>IFERROR(__xludf.DUMMYFUNCTION("""COMPUTED_VALUE"""),63.0)</f>
        <v>63</v>
      </c>
      <c r="F6188" s="19" t="str">
        <f>IFERROR(__xludf.DUMMYFUNCTION("""COMPUTED_VALUE"""),"BLUE")</f>
        <v>BLUE</v>
      </c>
      <c r="G6188" s="20" t="str">
        <f>IFERROR(__xludf.DUMMYFUNCTION("""COMPUTED_VALUE"""),"Uncle Sams Cider (11/12/2021) (Blue)")</f>
        <v>Uncle Sams Cider (11/12/2021) (Blue)</v>
      </c>
      <c r="H6188" s="19"/>
    </row>
    <row r="6189">
      <c r="A6189" s="9"/>
      <c r="B6189" s="15"/>
      <c r="C6189" s="9">
        <f>IFERROR(__xludf.DUMMYFUNCTION("""COMPUTED_VALUE"""),44540.6435549884)</f>
        <v>44540.64355</v>
      </c>
      <c r="D6189" s="15">
        <f>IFERROR(__xludf.DUMMYFUNCTION("""COMPUTED_VALUE"""),1.018)</f>
        <v>1.018</v>
      </c>
      <c r="E6189" s="16">
        <f>IFERROR(__xludf.DUMMYFUNCTION("""COMPUTED_VALUE"""),63.0)</f>
        <v>63</v>
      </c>
      <c r="F6189" s="19" t="str">
        <f>IFERROR(__xludf.DUMMYFUNCTION("""COMPUTED_VALUE"""),"BLUE")</f>
        <v>BLUE</v>
      </c>
      <c r="G6189" s="20" t="str">
        <f>IFERROR(__xludf.DUMMYFUNCTION("""COMPUTED_VALUE"""),"Uncle Sams Cider (11/12/2021) (Blue)")</f>
        <v>Uncle Sams Cider (11/12/2021) (Blue)</v>
      </c>
      <c r="H6189" s="19"/>
    </row>
    <row r="6190">
      <c r="A6190" s="9"/>
      <c r="B6190" s="15"/>
      <c r="C6190" s="9">
        <f>IFERROR(__xludf.DUMMYFUNCTION("""COMPUTED_VALUE"""),44540.6331335995)</f>
        <v>44540.63313</v>
      </c>
      <c r="D6190" s="15">
        <f>IFERROR(__xludf.DUMMYFUNCTION("""COMPUTED_VALUE"""),1.018)</f>
        <v>1.018</v>
      </c>
      <c r="E6190" s="16">
        <f>IFERROR(__xludf.DUMMYFUNCTION("""COMPUTED_VALUE"""),63.0)</f>
        <v>63</v>
      </c>
      <c r="F6190" s="19" t="str">
        <f>IFERROR(__xludf.DUMMYFUNCTION("""COMPUTED_VALUE"""),"BLUE")</f>
        <v>BLUE</v>
      </c>
      <c r="G6190" s="20" t="str">
        <f>IFERROR(__xludf.DUMMYFUNCTION("""COMPUTED_VALUE"""),"Uncle Sams Cider (11/12/2021) (Blue)")</f>
        <v>Uncle Sams Cider (11/12/2021) (Blue)</v>
      </c>
      <c r="H6190" s="19"/>
    </row>
    <row r="6191">
      <c r="A6191" s="9"/>
      <c r="B6191" s="15"/>
      <c r="C6191" s="9">
        <f>IFERROR(__xludf.DUMMYFUNCTION("""COMPUTED_VALUE"""),44540.6226995833)</f>
        <v>44540.6227</v>
      </c>
      <c r="D6191" s="15">
        <f>IFERROR(__xludf.DUMMYFUNCTION("""COMPUTED_VALUE"""),1.018)</f>
        <v>1.018</v>
      </c>
      <c r="E6191" s="16">
        <f>IFERROR(__xludf.DUMMYFUNCTION("""COMPUTED_VALUE"""),63.0)</f>
        <v>63</v>
      </c>
      <c r="F6191" s="19" t="str">
        <f>IFERROR(__xludf.DUMMYFUNCTION("""COMPUTED_VALUE"""),"BLUE")</f>
        <v>BLUE</v>
      </c>
      <c r="G6191" s="20" t="str">
        <f>IFERROR(__xludf.DUMMYFUNCTION("""COMPUTED_VALUE"""),"Uncle Sams Cider (11/12/2021) (Blue)")</f>
        <v>Uncle Sams Cider (11/12/2021) (Blue)</v>
      </c>
      <c r="H6191" s="19"/>
    </row>
    <row r="6192">
      <c r="A6192" s="9"/>
      <c r="B6192" s="15"/>
      <c r="C6192" s="9">
        <f>IFERROR(__xludf.DUMMYFUNCTION("""COMPUTED_VALUE"""),44540.6122795254)</f>
        <v>44540.61228</v>
      </c>
      <c r="D6192" s="15">
        <f>IFERROR(__xludf.DUMMYFUNCTION("""COMPUTED_VALUE"""),1.018)</f>
        <v>1.018</v>
      </c>
      <c r="E6192" s="16">
        <f>IFERROR(__xludf.DUMMYFUNCTION("""COMPUTED_VALUE"""),63.0)</f>
        <v>63</v>
      </c>
      <c r="F6192" s="19" t="str">
        <f>IFERROR(__xludf.DUMMYFUNCTION("""COMPUTED_VALUE"""),"BLUE")</f>
        <v>BLUE</v>
      </c>
      <c r="G6192" s="20" t="str">
        <f>IFERROR(__xludf.DUMMYFUNCTION("""COMPUTED_VALUE"""),"Uncle Sams Cider (11/12/2021) (Blue)")</f>
        <v>Uncle Sams Cider (11/12/2021) (Blue)</v>
      </c>
      <c r="H6192" s="19"/>
    </row>
    <row r="6193">
      <c r="A6193" s="9"/>
      <c r="B6193" s="15"/>
      <c r="C6193" s="9">
        <f>IFERROR(__xludf.DUMMYFUNCTION("""COMPUTED_VALUE"""),44540.6018582754)</f>
        <v>44540.60186</v>
      </c>
      <c r="D6193" s="15">
        <f>IFERROR(__xludf.DUMMYFUNCTION("""COMPUTED_VALUE"""),1.018)</f>
        <v>1.018</v>
      </c>
      <c r="E6193" s="16">
        <f>IFERROR(__xludf.DUMMYFUNCTION("""COMPUTED_VALUE"""),63.0)</f>
        <v>63</v>
      </c>
      <c r="F6193" s="19" t="str">
        <f>IFERROR(__xludf.DUMMYFUNCTION("""COMPUTED_VALUE"""),"BLUE")</f>
        <v>BLUE</v>
      </c>
      <c r="G6193" s="20" t="str">
        <f>IFERROR(__xludf.DUMMYFUNCTION("""COMPUTED_VALUE"""),"Uncle Sams Cider (11/12/2021) (Blue)")</f>
        <v>Uncle Sams Cider (11/12/2021) (Blue)</v>
      </c>
      <c r="H6193" s="19"/>
    </row>
    <row r="6194">
      <c r="A6194" s="9"/>
      <c r="B6194" s="15"/>
      <c r="C6194" s="9">
        <f>IFERROR(__xludf.DUMMYFUNCTION("""COMPUTED_VALUE"""),44540.5914378356)</f>
        <v>44540.59144</v>
      </c>
      <c r="D6194" s="15">
        <f>IFERROR(__xludf.DUMMYFUNCTION("""COMPUTED_VALUE"""),1.018)</f>
        <v>1.018</v>
      </c>
      <c r="E6194" s="16">
        <f>IFERROR(__xludf.DUMMYFUNCTION("""COMPUTED_VALUE"""),63.0)</f>
        <v>63</v>
      </c>
      <c r="F6194" s="19" t="str">
        <f>IFERROR(__xludf.DUMMYFUNCTION("""COMPUTED_VALUE"""),"BLUE")</f>
        <v>BLUE</v>
      </c>
      <c r="G6194" s="20" t="str">
        <f>IFERROR(__xludf.DUMMYFUNCTION("""COMPUTED_VALUE"""),"Uncle Sams Cider (11/12/2021) (Blue)")</f>
        <v>Uncle Sams Cider (11/12/2021) (Blue)</v>
      </c>
      <c r="H6194" s="19"/>
    </row>
    <row r="6195">
      <c r="A6195" s="9"/>
      <c r="B6195" s="15"/>
      <c r="C6195" s="9">
        <f>IFERROR(__xludf.DUMMYFUNCTION("""COMPUTED_VALUE"""),44540.5810168865)</f>
        <v>44540.58102</v>
      </c>
      <c r="D6195" s="15">
        <f>IFERROR(__xludf.DUMMYFUNCTION("""COMPUTED_VALUE"""),1.018)</f>
        <v>1.018</v>
      </c>
      <c r="E6195" s="16">
        <f>IFERROR(__xludf.DUMMYFUNCTION("""COMPUTED_VALUE"""),63.0)</f>
        <v>63</v>
      </c>
      <c r="F6195" s="19" t="str">
        <f>IFERROR(__xludf.DUMMYFUNCTION("""COMPUTED_VALUE"""),"BLUE")</f>
        <v>BLUE</v>
      </c>
      <c r="G6195" s="20" t="str">
        <f>IFERROR(__xludf.DUMMYFUNCTION("""COMPUTED_VALUE"""),"Uncle Sams Cider (11/12/2021) (Blue)")</f>
        <v>Uncle Sams Cider (11/12/2021) (Blue)</v>
      </c>
      <c r="H6195" s="19"/>
    </row>
    <row r="6196">
      <c r="A6196" s="9"/>
      <c r="B6196" s="15"/>
      <c r="C6196" s="9">
        <f>IFERROR(__xludf.DUMMYFUNCTION("""COMPUTED_VALUE"""),44540.5705961458)</f>
        <v>44540.5706</v>
      </c>
      <c r="D6196" s="15">
        <f>IFERROR(__xludf.DUMMYFUNCTION("""COMPUTED_VALUE"""),1.018)</f>
        <v>1.018</v>
      </c>
      <c r="E6196" s="16">
        <f>IFERROR(__xludf.DUMMYFUNCTION("""COMPUTED_VALUE"""),63.0)</f>
        <v>63</v>
      </c>
      <c r="F6196" s="19" t="str">
        <f>IFERROR(__xludf.DUMMYFUNCTION("""COMPUTED_VALUE"""),"BLUE")</f>
        <v>BLUE</v>
      </c>
      <c r="G6196" s="20" t="str">
        <f>IFERROR(__xludf.DUMMYFUNCTION("""COMPUTED_VALUE"""),"Uncle Sams Cider (11/12/2021) (Blue)")</f>
        <v>Uncle Sams Cider (11/12/2021) (Blue)</v>
      </c>
      <c r="H6196" s="19"/>
    </row>
    <row r="6197">
      <c r="A6197" s="9"/>
      <c r="B6197" s="15"/>
      <c r="C6197" s="9">
        <f>IFERROR(__xludf.DUMMYFUNCTION("""COMPUTED_VALUE"""),44540.5601743981)</f>
        <v>44540.56017</v>
      </c>
      <c r="D6197" s="15">
        <f>IFERROR(__xludf.DUMMYFUNCTION("""COMPUTED_VALUE"""),1.018)</f>
        <v>1.018</v>
      </c>
      <c r="E6197" s="16">
        <f>IFERROR(__xludf.DUMMYFUNCTION("""COMPUTED_VALUE"""),63.0)</f>
        <v>63</v>
      </c>
      <c r="F6197" s="19" t="str">
        <f>IFERROR(__xludf.DUMMYFUNCTION("""COMPUTED_VALUE"""),"BLUE")</f>
        <v>BLUE</v>
      </c>
      <c r="G6197" s="20" t="str">
        <f>IFERROR(__xludf.DUMMYFUNCTION("""COMPUTED_VALUE"""),"Uncle Sams Cider (11/12/2021) (Blue)")</f>
        <v>Uncle Sams Cider (11/12/2021) (Blue)</v>
      </c>
      <c r="H6197" s="19"/>
    </row>
    <row r="6198">
      <c r="A6198" s="9"/>
      <c r="B6198" s="15"/>
      <c r="C6198" s="9">
        <f>IFERROR(__xludf.DUMMYFUNCTION("""COMPUTED_VALUE"""),44540.5497538078)</f>
        <v>44540.54975</v>
      </c>
      <c r="D6198" s="15">
        <f>IFERROR(__xludf.DUMMYFUNCTION("""COMPUTED_VALUE"""),1.018)</f>
        <v>1.018</v>
      </c>
      <c r="E6198" s="16">
        <f>IFERROR(__xludf.DUMMYFUNCTION("""COMPUTED_VALUE"""),63.0)</f>
        <v>63</v>
      </c>
      <c r="F6198" s="19" t="str">
        <f>IFERROR(__xludf.DUMMYFUNCTION("""COMPUTED_VALUE"""),"BLUE")</f>
        <v>BLUE</v>
      </c>
      <c r="G6198" s="20" t="str">
        <f>IFERROR(__xludf.DUMMYFUNCTION("""COMPUTED_VALUE"""),"Uncle Sams Cider (11/12/2021) (Blue)")</f>
        <v>Uncle Sams Cider (11/12/2021) (Blue)</v>
      </c>
      <c r="H6198" s="19"/>
    </row>
    <row r="6199">
      <c r="A6199" s="9"/>
      <c r="B6199" s="15"/>
      <c r="C6199" s="9">
        <f>IFERROR(__xludf.DUMMYFUNCTION("""COMPUTED_VALUE"""),44540.5393214351)</f>
        <v>44540.53932</v>
      </c>
      <c r="D6199" s="15">
        <f>IFERROR(__xludf.DUMMYFUNCTION("""COMPUTED_VALUE"""),1.018)</f>
        <v>1.018</v>
      </c>
      <c r="E6199" s="16">
        <f>IFERROR(__xludf.DUMMYFUNCTION("""COMPUTED_VALUE"""),63.0)</f>
        <v>63</v>
      </c>
      <c r="F6199" s="19" t="str">
        <f>IFERROR(__xludf.DUMMYFUNCTION("""COMPUTED_VALUE"""),"BLUE")</f>
        <v>BLUE</v>
      </c>
      <c r="G6199" s="20" t="str">
        <f>IFERROR(__xludf.DUMMYFUNCTION("""COMPUTED_VALUE"""),"Uncle Sams Cider (11/12/2021) (Blue)")</f>
        <v>Uncle Sams Cider (11/12/2021) (Blue)</v>
      </c>
      <c r="H6199" s="19"/>
    </row>
    <row r="6200">
      <c r="A6200" s="9"/>
      <c r="B6200" s="15"/>
      <c r="C6200" s="9">
        <f>IFERROR(__xludf.DUMMYFUNCTION("""COMPUTED_VALUE"""),44540.5289013657)</f>
        <v>44540.5289</v>
      </c>
      <c r="D6200" s="15">
        <f>IFERROR(__xludf.DUMMYFUNCTION("""COMPUTED_VALUE"""),1.018)</f>
        <v>1.018</v>
      </c>
      <c r="E6200" s="16">
        <f>IFERROR(__xludf.DUMMYFUNCTION("""COMPUTED_VALUE"""),63.0)</f>
        <v>63</v>
      </c>
      <c r="F6200" s="19" t="str">
        <f>IFERROR(__xludf.DUMMYFUNCTION("""COMPUTED_VALUE"""),"BLUE")</f>
        <v>BLUE</v>
      </c>
      <c r="G6200" s="20" t="str">
        <f>IFERROR(__xludf.DUMMYFUNCTION("""COMPUTED_VALUE"""),"Uncle Sams Cider (11/12/2021) (Blue)")</f>
        <v>Uncle Sams Cider (11/12/2021) (Blue)</v>
      </c>
      <c r="H6200" s="19"/>
    </row>
    <row r="6201">
      <c r="A6201" s="9"/>
      <c r="B6201" s="15"/>
      <c r="C6201" s="9">
        <f>IFERROR(__xludf.DUMMYFUNCTION("""COMPUTED_VALUE"""),44540.5184807291)</f>
        <v>44540.51848</v>
      </c>
      <c r="D6201" s="15">
        <f>IFERROR(__xludf.DUMMYFUNCTION("""COMPUTED_VALUE"""),1.018)</f>
        <v>1.018</v>
      </c>
      <c r="E6201" s="16">
        <f>IFERROR(__xludf.DUMMYFUNCTION("""COMPUTED_VALUE"""),63.0)</f>
        <v>63</v>
      </c>
      <c r="F6201" s="19" t="str">
        <f>IFERROR(__xludf.DUMMYFUNCTION("""COMPUTED_VALUE"""),"BLUE")</f>
        <v>BLUE</v>
      </c>
      <c r="G6201" s="20" t="str">
        <f>IFERROR(__xludf.DUMMYFUNCTION("""COMPUTED_VALUE"""),"Uncle Sams Cider (11/12/2021) (Blue)")</f>
        <v>Uncle Sams Cider (11/12/2021) (Blue)</v>
      </c>
      <c r="H6201" s="19"/>
    </row>
    <row r="6202">
      <c r="A6202" s="9"/>
      <c r="B6202" s="15"/>
      <c r="C6202" s="9">
        <f>IFERROR(__xludf.DUMMYFUNCTION("""COMPUTED_VALUE"""),44540.508058125)</f>
        <v>44540.50806</v>
      </c>
      <c r="D6202" s="15">
        <f>IFERROR(__xludf.DUMMYFUNCTION("""COMPUTED_VALUE"""),1.018)</f>
        <v>1.018</v>
      </c>
      <c r="E6202" s="16">
        <f>IFERROR(__xludf.DUMMYFUNCTION("""COMPUTED_VALUE"""),63.0)</f>
        <v>63</v>
      </c>
      <c r="F6202" s="19" t="str">
        <f>IFERROR(__xludf.DUMMYFUNCTION("""COMPUTED_VALUE"""),"BLUE")</f>
        <v>BLUE</v>
      </c>
      <c r="G6202" s="20" t="str">
        <f>IFERROR(__xludf.DUMMYFUNCTION("""COMPUTED_VALUE"""),"Uncle Sams Cider (11/12/2021) (Blue)")</f>
        <v>Uncle Sams Cider (11/12/2021) (Blue)</v>
      </c>
      <c r="H6202" s="19"/>
    </row>
    <row r="6203">
      <c r="A6203" s="9"/>
      <c r="B6203" s="15"/>
      <c r="C6203" s="9">
        <f>IFERROR(__xludf.DUMMYFUNCTION("""COMPUTED_VALUE"""),44540.497624537)</f>
        <v>44540.49762</v>
      </c>
      <c r="D6203" s="15">
        <f>IFERROR(__xludf.DUMMYFUNCTION("""COMPUTED_VALUE"""),1.018)</f>
        <v>1.018</v>
      </c>
      <c r="E6203" s="16">
        <f>IFERROR(__xludf.DUMMYFUNCTION("""COMPUTED_VALUE"""),63.0)</f>
        <v>63</v>
      </c>
      <c r="F6203" s="19" t="str">
        <f>IFERROR(__xludf.DUMMYFUNCTION("""COMPUTED_VALUE"""),"BLUE")</f>
        <v>BLUE</v>
      </c>
      <c r="G6203" s="20" t="str">
        <f>IFERROR(__xludf.DUMMYFUNCTION("""COMPUTED_VALUE"""),"Uncle Sams Cider (11/12/2021) (Blue)")</f>
        <v>Uncle Sams Cider (11/12/2021) (Blue)</v>
      </c>
      <c r="H6203" s="19"/>
    </row>
    <row r="6204">
      <c r="A6204" s="9"/>
      <c r="B6204" s="15"/>
      <c r="C6204" s="9">
        <f>IFERROR(__xludf.DUMMYFUNCTION("""COMPUTED_VALUE"""),44540.4872021875)</f>
        <v>44540.4872</v>
      </c>
      <c r="D6204" s="15">
        <f>IFERROR(__xludf.DUMMYFUNCTION("""COMPUTED_VALUE"""),1.018)</f>
        <v>1.018</v>
      </c>
      <c r="E6204" s="16">
        <f>IFERROR(__xludf.DUMMYFUNCTION("""COMPUTED_VALUE"""),63.0)</f>
        <v>63</v>
      </c>
      <c r="F6204" s="19" t="str">
        <f>IFERROR(__xludf.DUMMYFUNCTION("""COMPUTED_VALUE"""),"BLUE")</f>
        <v>BLUE</v>
      </c>
      <c r="G6204" s="20" t="str">
        <f>IFERROR(__xludf.DUMMYFUNCTION("""COMPUTED_VALUE"""),"Uncle Sams Cider (11/12/2021) (Blue)")</f>
        <v>Uncle Sams Cider (11/12/2021) (Blue)</v>
      </c>
      <c r="H6204" s="19"/>
    </row>
    <row r="6205">
      <c r="A6205" s="9"/>
      <c r="B6205" s="15"/>
      <c r="C6205" s="9">
        <f>IFERROR(__xludf.DUMMYFUNCTION("""COMPUTED_VALUE"""),44540.4767791203)</f>
        <v>44540.47678</v>
      </c>
      <c r="D6205" s="15">
        <f>IFERROR(__xludf.DUMMYFUNCTION("""COMPUTED_VALUE"""),1.018)</f>
        <v>1.018</v>
      </c>
      <c r="E6205" s="16">
        <f>IFERROR(__xludf.DUMMYFUNCTION("""COMPUTED_VALUE"""),63.0)</f>
        <v>63</v>
      </c>
      <c r="F6205" s="19" t="str">
        <f>IFERROR(__xludf.DUMMYFUNCTION("""COMPUTED_VALUE"""),"BLUE")</f>
        <v>BLUE</v>
      </c>
      <c r="G6205" s="20" t="str">
        <f>IFERROR(__xludf.DUMMYFUNCTION("""COMPUTED_VALUE"""),"Uncle Sams Cider (11/12/2021) (Blue)")</f>
        <v>Uncle Sams Cider (11/12/2021) (Blue)</v>
      </c>
      <c r="H6205" s="19"/>
    </row>
    <row r="6206">
      <c r="A6206" s="9"/>
      <c r="B6206" s="15"/>
      <c r="C6206" s="9">
        <f>IFERROR(__xludf.DUMMYFUNCTION("""COMPUTED_VALUE"""),44540.4663585416)</f>
        <v>44540.46636</v>
      </c>
      <c r="D6206" s="15">
        <f>IFERROR(__xludf.DUMMYFUNCTION("""COMPUTED_VALUE"""),1.018)</f>
        <v>1.018</v>
      </c>
      <c r="E6206" s="16">
        <f>IFERROR(__xludf.DUMMYFUNCTION("""COMPUTED_VALUE"""),63.0)</f>
        <v>63</v>
      </c>
      <c r="F6206" s="19" t="str">
        <f>IFERROR(__xludf.DUMMYFUNCTION("""COMPUTED_VALUE"""),"BLUE")</f>
        <v>BLUE</v>
      </c>
      <c r="G6206" s="20" t="str">
        <f>IFERROR(__xludf.DUMMYFUNCTION("""COMPUTED_VALUE"""),"Uncle Sams Cider (11/12/2021) (Blue)")</f>
        <v>Uncle Sams Cider (11/12/2021) (Blue)</v>
      </c>
      <c r="H6206" s="19"/>
    </row>
    <row r="6207">
      <c r="A6207" s="9"/>
      <c r="B6207" s="15"/>
      <c r="C6207" s="9">
        <f>IFERROR(__xludf.DUMMYFUNCTION("""COMPUTED_VALUE"""),44540.4559377199)</f>
        <v>44540.45594</v>
      </c>
      <c r="D6207" s="15">
        <f>IFERROR(__xludf.DUMMYFUNCTION("""COMPUTED_VALUE"""),1.018)</f>
        <v>1.018</v>
      </c>
      <c r="E6207" s="16">
        <f>IFERROR(__xludf.DUMMYFUNCTION("""COMPUTED_VALUE"""),63.0)</f>
        <v>63</v>
      </c>
      <c r="F6207" s="19" t="str">
        <f>IFERROR(__xludf.DUMMYFUNCTION("""COMPUTED_VALUE"""),"BLUE")</f>
        <v>BLUE</v>
      </c>
      <c r="G6207" s="20" t="str">
        <f>IFERROR(__xludf.DUMMYFUNCTION("""COMPUTED_VALUE"""),"Uncle Sams Cider (11/12/2021) (Blue)")</f>
        <v>Uncle Sams Cider (11/12/2021) (Blue)</v>
      </c>
      <c r="H6207" s="19"/>
    </row>
    <row r="6208">
      <c r="A6208" s="9"/>
      <c r="B6208" s="15"/>
      <c r="C6208" s="9">
        <f>IFERROR(__xludf.DUMMYFUNCTION("""COMPUTED_VALUE"""),44540.4455159375)</f>
        <v>44540.44552</v>
      </c>
      <c r="D6208" s="15">
        <f>IFERROR(__xludf.DUMMYFUNCTION("""COMPUTED_VALUE"""),1.018)</f>
        <v>1.018</v>
      </c>
      <c r="E6208" s="16">
        <f>IFERROR(__xludf.DUMMYFUNCTION("""COMPUTED_VALUE"""),63.0)</f>
        <v>63</v>
      </c>
      <c r="F6208" s="19" t="str">
        <f>IFERROR(__xludf.DUMMYFUNCTION("""COMPUTED_VALUE"""),"BLUE")</f>
        <v>BLUE</v>
      </c>
      <c r="G6208" s="20" t="str">
        <f>IFERROR(__xludf.DUMMYFUNCTION("""COMPUTED_VALUE"""),"Uncle Sams Cider (11/12/2021) (Blue)")</f>
        <v>Uncle Sams Cider (11/12/2021) (Blue)</v>
      </c>
      <c r="H6208" s="19"/>
    </row>
    <row r="6209">
      <c r="A6209" s="9"/>
      <c r="B6209" s="15"/>
      <c r="C6209" s="9">
        <f>IFERROR(__xludf.DUMMYFUNCTION("""COMPUTED_VALUE"""),44540.4350950231)</f>
        <v>44540.4351</v>
      </c>
      <c r="D6209" s="15">
        <f>IFERROR(__xludf.DUMMYFUNCTION("""COMPUTED_VALUE"""),1.018)</f>
        <v>1.018</v>
      </c>
      <c r="E6209" s="16">
        <f>IFERROR(__xludf.DUMMYFUNCTION("""COMPUTED_VALUE"""),63.0)</f>
        <v>63</v>
      </c>
      <c r="F6209" s="19" t="str">
        <f>IFERROR(__xludf.DUMMYFUNCTION("""COMPUTED_VALUE"""),"BLUE")</f>
        <v>BLUE</v>
      </c>
      <c r="G6209" s="20" t="str">
        <f>IFERROR(__xludf.DUMMYFUNCTION("""COMPUTED_VALUE"""),"Uncle Sams Cider (11/12/2021) (Blue)")</f>
        <v>Uncle Sams Cider (11/12/2021) (Blue)</v>
      </c>
      <c r="H6209" s="19"/>
    </row>
    <row r="6210">
      <c r="A6210" s="9"/>
      <c r="B6210" s="15"/>
      <c r="C6210" s="9">
        <f>IFERROR(__xludf.DUMMYFUNCTION("""COMPUTED_VALUE"""),44540.4246743055)</f>
        <v>44540.42467</v>
      </c>
      <c r="D6210" s="15">
        <f>IFERROR(__xludf.DUMMYFUNCTION("""COMPUTED_VALUE"""),1.018)</f>
        <v>1.018</v>
      </c>
      <c r="E6210" s="16">
        <f>IFERROR(__xludf.DUMMYFUNCTION("""COMPUTED_VALUE"""),63.0)</f>
        <v>63</v>
      </c>
      <c r="F6210" s="19" t="str">
        <f>IFERROR(__xludf.DUMMYFUNCTION("""COMPUTED_VALUE"""),"BLUE")</f>
        <v>BLUE</v>
      </c>
      <c r="G6210" s="20" t="str">
        <f>IFERROR(__xludf.DUMMYFUNCTION("""COMPUTED_VALUE"""),"Uncle Sams Cider (11/12/2021) (Blue)")</f>
        <v>Uncle Sams Cider (11/12/2021) (Blue)</v>
      </c>
      <c r="H6210" s="19"/>
    </row>
    <row r="6211">
      <c r="A6211" s="9"/>
      <c r="B6211" s="15"/>
      <c r="C6211" s="9">
        <f>IFERROR(__xludf.DUMMYFUNCTION("""COMPUTED_VALUE"""),44540.4142528587)</f>
        <v>44540.41425</v>
      </c>
      <c r="D6211" s="15">
        <f>IFERROR(__xludf.DUMMYFUNCTION("""COMPUTED_VALUE"""),1.018)</f>
        <v>1.018</v>
      </c>
      <c r="E6211" s="16">
        <f>IFERROR(__xludf.DUMMYFUNCTION("""COMPUTED_VALUE"""),63.0)</f>
        <v>63</v>
      </c>
      <c r="F6211" s="19" t="str">
        <f>IFERROR(__xludf.DUMMYFUNCTION("""COMPUTED_VALUE"""),"BLUE")</f>
        <v>BLUE</v>
      </c>
      <c r="G6211" s="20" t="str">
        <f>IFERROR(__xludf.DUMMYFUNCTION("""COMPUTED_VALUE"""),"Uncle Sams Cider (11/12/2021) (Blue)")</f>
        <v>Uncle Sams Cider (11/12/2021) (Blue)</v>
      </c>
      <c r="H6211" s="19"/>
    </row>
    <row r="6212">
      <c r="A6212" s="9"/>
      <c r="B6212" s="15"/>
      <c r="C6212" s="9">
        <f>IFERROR(__xludf.DUMMYFUNCTION("""COMPUTED_VALUE"""),44540.4038315972)</f>
        <v>44540.40383</v>
      </c>
      <c r="D6212" s="15">
        <f>IFERROR(__xludf.DUMMYFUNCTION("""COMPUTED_VALUE"""),1.018)</f>
        <v>1.018</v>
      </c>
      <c r="E6212" s="16">
        <f>IFERROR(__xludf.DUMMYFUNCTION("""COMPUTED_VALUE"""),63.0)</f>
        <v>63</v>
      </c>
      <c r="F6212" s="19" t="str">
        <f>IFERROR(__xludf.DUMMYFUNCTION("""COMPUTED_VALUE"""),"BLUE")</f>
        <v>BLUE</v>
      </c>
      <c r="G6212" s="20" t="str">
        <f>IFERROR(__xludf.DUMMYFUNCTION("""COMPUTED_VALUE"""),"Uncle Sams Cider (11/12/2021) (Blue)")</f>
        <v>Uncle Sams Cider (11/12/2021) (Blue)</v>
      </c>
      <c r="H6212" s="19"/>
    </row>
    <row r="6213">
      <c r="A6213" s="9"/>
      <c r="B6213" s="15"/>
      <c r="C6213" s="9">
        <f>IFERROR(__xludf.DUMMYFUNCTION("""COMPUTED_VALUE"""),44540.3933996759)</f>
        <v>44540.3934</v>
      </c>
      <c r="D6213" s="15">
        <f>IFERROR(__xludf.DUMMYFUNCTION("""COMPUTED_VALUE"""),1.018)</f>
        <v>1.018</v>
      </c>
      <c r="E6213" s="16">
        <f>IFERROR(__xludf.DUMMYFUNCTION("""COMPUTED_VALUE"""),63.0)</f>
        <v>63</v>
      </c>
      <c r="F6213" s="19" t="str">
        <f>IFERROR(__xludf.DUMMYFUNCTION("""COMPUTED_VALUE"""),"BLUE")</f>
        <v>BLUE</v>
      </c>
      <c r="G6213" s="20" t="str">
        <f>IFERROR(__xludf.DUMMYFUNCTION("""COMPUTED_VALUE"""),"Uncle Sams Cider (11/12/2021) (Blue)")</f>
        <v>Uncle Sams Cider (11/12/2021) (Blue)</v>
      </c>
      <c r="H6213" s="19"/>
    </row>
    <row r="6214">
      <c r="A6214" s="9"/>
      <c r="B6214" s="15"/>
      <c r="C6214" s="9">
        <f>IFERROR(__xludf.DUMMYFUNCTION("""COMPUTED_VALUE"""),44540.3829769328)</f>
        <v>44540.38298</v>
      </c>
      <c r="D6214" s="15">
        <f>IFERROR(__xludf.DUMMYFUNCTION("""COMPUTED_VALUE"""),1.018)</f>
        <v>1.018</v>
      </c>
      <c r="E6214" s="16">
        <f>IFERROR(__xludf.DUMMYFUNCTION("""COMPUTED_VALUE"""),63.0)</f>
        <v>63</v>
      </c>
      <c r="F6214" s="19" t="str">
        <f>IFERROR(__xludf.DUMMYFUNCTION("""COMPUTED_VALUE"""),"BLUE")</f>
        <v>BLUE</v>
      </c>
      <c r="G6214" s="20" t="str">
        <f>IFERROR(__xludf.DUMMYFUNCTION("""COMPUTED_VALUE"""),"Uncle Sams Cider (11/12/2021) (Blue)")</f>
        <v>Uncle Sams Cider (11/12/2021) (Blue)</v>
      </c>
      <c r="H6214" s="19"/>
    </row>
    <row r="6215">
      <c r="A6215" s="9"/>
      <c r="B6215" s="15"/>
      <c r="C6215" s="9">
        <f>IFERROR(__xludf.DUMMYFUNCTION("""COMPUTED_VALUE"""),44540.3725555671)</f>
        <v>44540.37256</v>
      </c>
      <c r="D6215" s="15">
        <f>IFERROR(__xludf.DUMMYFUNCTION("""COMPUTED_VALUE"""),1.018)</f>
        <v>1.018</v>
      </c>
      <c r="E6215" s="16">
        <f>IFERROR(__xludf.DUMMYFUNCTION("""COMPUTED_VALUE"""),63.0)</f>
        <v>63</v>
      </c>
      <c r="F6215" s="19" t="str">
        <f>IFERROR(__xludf.DUMMYFUNCTION("""COMPUTED_VALUE"""),"BLUE")</f>
        <v>BLUE</v>
      </c>
      <c r="G6215" s="20" t="str">
        <f>IFERROR(__xludf.DUMMYFUNCTION("""COMPUTED_VALUE"""),"Uncle Sams Cider (11/12/2021) (Blue)")</f>
        <v>Uncle Sams Cider (11/12/2021) (Blue)</v>
      </c>
      <c r="H6215" s="19"/>
    </row>
    <row r="6216">
      <c r="A6216" s="9"/>
      <c r="B6216" s="15"/>
      <c r="C6216" s="9">
        <f>IFERROR(__xludf.DUMMYFUNCTION("""COMPUTED_VALUE"""),44540.3621345949)</f>
        <v>44540.36213</v>
      </c>
      <c r="D6216" s="15">
        <f>IFERROR(__xludf.DUMMYFUNCTION("""COMPUTED_VALUE"""),1.018)</f>
        <v>1.018</v>
      </c>
      <c r="E6216" s="16">
        <f>IFERROR(__xludf.DUMMYFUNCTION("""COMPUTED_VALUE"""),63.0)</f>
        <v>63</v>
      </c>
      <c r="F6216" s="19" t="str">
        <f>IFERROR(__xludf.DUMMYFUNCTION("""COMPUTED_VALUE"""),"BLUE")</f>
        <v>BLUE</v>
      </c>
      <c r="G6216" s="20" t="str">
        <f>IFERROR(__xludf.DUMMYFUNCTION("""COMPUTED_VALUE"""),"Uncle Sams Cider (11/12/2021) (Blue)")</f>
        <v>Uncle Sams Cider (11/12/2021) (Blue)</v>
      </c>
      <c r="H6216" s="19"/>
    </row>
    <row r="6217">
      <c r="A6217" s="9"/>
      <c r="B6217" s="15"/>
      <c r="C6217" s="9">
        <f>IFERROR(__xludf.DUMMYFUNCTION("""COMPUTED_VALUE"""),44540.351714074)</f>
        <v>44540.35171</v>
      </c>
      <c r="D6217" s="15">
        <f>IFERROR(__xludf.DUMMYFUNCTION("""COMPUTED_VALUE"""),1.018)</f>
        <v>1.018</v>
      </c>
      <c r="E6217" s="16">
        <f>IFERROR(__xludf.DUMMYFUNCTION("""COMPUTED_VALUE"""),63.0)</f>
        <v>63</v>
      </c>
      <c r="F6217" s="19" t="str">
        <f>IFERROR(__xludf.DUMMYFUNCTION("""COMPUTED_VALUE"""),"BLUE")</f>
        <v>BLUE</v>
      </c>
      <c r="G6217" s="20" t="str">
        <f>IFERROR(__xludf.DUMMYFUNCTION("""COMPUTED_VALUE"""),"Uncle Sams Cider (11/12/2021) (Blue)")</f>
        <v>Uncle Sams Cider (11/12/2021) (Blue)</v>
      </c>
      <c r="H6217" s="19"/>
    </row>
    <row r="6218">
      <c r="A6218" s="9"/>
      <c r="B6218" s="15"/>
      <c r="C6218" s="9">
        <f>IFERROR(__xludf.DUMMYFUNCTION("""COMPUTED_VALUE"""),44540.3412956134)</f>
        <v>44540.3413</v>
      </c>
      <c r="D6218" s="15">
        <f>IFERROR(__xludf.DUMMYFUNCTION("""COMPUTED_VALUE"""),1.018)</f>
        <v>1.018</v>
      </c>
      <c r="E6218" s="16">
        <f>IFERROR(__xludf.DUMMYFUNCTION("""COMPUTED_VALUE"""),63.0)</f>
        <v>63</v>
      </c>
      <c r="F6218" s="19" t="str">
        <f>IFERROR(__xludf.DUMMYFUNCTION("""COMPUTED_VALUE"""),"BLUE")</f>
        <v>BLUE</v>
      </c>
      <c r="G6218" s="20" t="str">
        <f>IFERROR(__xludf.DUMMYFUNCTION("""COMPUTED_VALUE"""),"Uncle Sams Cider (11/12/2021) (Blue)")</f>
        <v>Uncle Sams Cider (11/12/2021) (Blue)</v>
      </c>
      <c r="H6218" s="19"/>
    </row>
    <row r="6219">
      <c r="A6219" s="9"/>
      <c r="B6219" s="15"/>
      <c r="C6219" s="9">
        <f>IFERROR(__xludf.DUMMYFUNCTION("""COMPUTED_VALUE"""),44540.3308739004)</f>
        <v>44540.33087</v>
      </c>
      <c r="D6219" s="15">
        <f>IFERROR(__xludf.DUMMYFUNCTION("""COMPUTED_VALUE"""),1.018)</f>
        <v>1.018</v>
      </c>
      <c r="E6219" s="16">
        <f>IFERROR(__xludf.DUMMYFUNCTION("""COMPUTED_VALUE"""),63.0)</f>
        <v>63</v>
      </c>
      <c r="F6219" s="19" t="str">
        <f>IFERROR(__xludf.DUMMYFUNCTION("""COMPUTED_VALUE"""),"BLUE")</f>
        <v>BLUE</v>
      </c>
      <c r="G6219" s="20" t="str">
        <f>IFERROR(__xludf.DUMMYFUNCTION("""COMPUTED_VALUE"""),"Uncle Sams Cider (11/12/2021) (Blue)")</f>
        <v>Uncle Sams Cider (11/12/2021) (Blue)</v>
      </c>
      <c r="H6219" s="19"/>
    </row>
    <row r="6220">
      <c r="A6220" s="9"/>
      <c r="B6220" s="15"/>
      <c r="C6220" s="9">
        <f>IFERROR(__xludf.DUMMYFUNCTION("""COMPUTED_VALUE"""),44540.3204531944)</f>
        <v>44540.32045</v>
      </c>
      <c r="D6220" s="15">
        <f>IFERROR(__xludf.DUMMYFUNCTION("""COMPUTED_VALUE"""),1.018)</f>
        <v>1.018</v>
      </c>
      <c r="E6220" s="16">
        <f>IFERROR(__xludf.DUMMYFUNCTION("""COMPUTED_VALUE"""),63.0)</f>
        <v>63</v>
      </c>
      <c r="F6220" s="19" t="str">
        <f>IFERROR(__xludf.DUMMYFUNCTION("""COMPUTED_VALUE"""),"BLUE")</f>
        <v>BLUE</v>
      </c>
      <c r="G6220" s="20" t="str">
        <f>IFERROR(__xludf.DUMMYFUNCTION("""COMPUTED_VALUE"""),"Uncle Sams Cider (11/12/2021) (Blue)")</f>
        <v>Uncle Sams Cider (11/12/2021) (Blue)</v>
      </c>
      <c r="H6220" s="19"/>
    </row>
    <row r="6221">
      <c r="A6221" s="9"/>
      <c r="B6221" s="15"/>
      <c r="C6221" s="9">
        <f>IFERROR(__xludf.DUMMYFUNCTION("""COMPUTED_VALUE"""),44540.3100314236)</f>
        <v>44540.31003</v>
      </c>
      <c r="D6221" s="15">
        <f>IFERROR(__xludf.DUMMYFUNCTION("""COMPUTED_VALUE"""),1.018)</f>
        <v>1.018</v>
      </c>
      <c r="E6221" s="16">
        <f>IFERROR(__xludf.DUMMYFUNCTION("""COMPUTED_VALUE"""),63.0)</f>
        <v>63</v>
      </c>
      <c r="F6221" s="19" t="str">
        <f>IFERROR(__xludf.DUMMYFUNCTION("""COMPUTED_VALUE"""),"BLUE")</f>
        <v>BLUE</v>
      </c>
      <c r="G6221" s="20" t="str">
        <f>IFERROR(__xludf.DUMMYFUNCTION("""COMPUTED_VALUE"""),"Uncle Sams Cider (11/12/2021) (Blue)")</f>
        <v>Uncle Sams Cider (11/12/2021) (Blue)</v>
      </c>
      <c r="H6221" s="19"/>
    </row>
    <row r="6222">
      <c r="A6222" s="9"/>
      <c r="B6222" s="15"/>
      <c r="C6222" s="9">
        <f>IFERROR(__xludf.DUMMYFUNCTION("""COMPUTED_VALUE"""),44540.2996099421)</f>
        <v>44540.29961</v>
      </c>
      <c r="D6222" s="15">
        <f>IFERROR(__xludf.DUMMYFUNCTION("""COMPUTED_VALUE"""),1.018)</f>
        <v>1.018</v>
      </c>
      <c r="E6222" s="16">
        <f>IFERROR(__xludf.DUMMYFUNCTION("""COMPUTED_VALUE"""),63.0)</f>
        <v>63</v>
      </c>
      <c r="F6222" s="19" t="str">
        <f>IFERROR(__xludf.DUMMYFUNCTION("""COMPUTED_VALUE"""),"BLUE")</f>
        <v>BLUE</v>
      </c>
      <c r="G6222" s="20" t="str">
        <f>IFERROR(__xludf.DUMMYFUNCTION("""COMPUTED_VALUE"""),"Uncle Sams Cider (11/12/2021) (Blue)")</f>
        <v>Uncle Sams Cider (11/12/2021) (Blue)</v>
      </c>
      <c r="H6222" s="19"/>
    </row>
    <row r="6223">
      <c r="A6223" s="9"/>
      <c r="B6223" s="15"/>
      <c r="C6223" s="9">
        <f>IFERROR(__xludf.DUMMYFUNCTION("""COMPUTED_VALUE"""),44540.2891911342)</f>
        <v>44540.28919</v>
      </c>
      <c r="D6223" s="15">
        <f>IFERROR(__xludf.DUMMYFUNCTION("""COMPUTED_VALUE"""),1.018)</f>
        <v>1.018</v>
      </c>
      <c r="E6223" s="16">
        <f>IFERROR(__xludf.DUMMYFUNCTION("""COMPUTED_VALUE"""),63.0)</f>
        <v>63</v>
      </c>
      <c r="F6223" s="19" t="str">
        <f>IFERROR(__xludf.DUMMYFUNCTION("""COMPUTED_VALUE"""),"BLUE")</f>
        <v>BLUE</v>
      </c>
      <c r="G6223" s="20" t="str">
        <f>IFERROR(__xludf.DUMMYFUNCTION("""COMPUTED_VALUE"""),"Uncle Sams Cider (11/12/2021) (Blue)")</f>
        <v>Uncle Sams Cider (11/12/2021) (Blue)</v>
      </c>
      <c r="H6223" s="19"/>
    </row>
    <row r="6224">
      <c r="A6224" s="9"/>
      <c r="B6224" s="15"/>
      <c r="C6224" s="9">
        <f>IFERROR(__xludf.DUMMYFUNCTION("""COMPUTED_VALUE"""),44540.2787681944)</f>
        <v>44540.27877</v>
      </c>
      <c r="D6224" s="15">
        <f>IFERROR(__xludf.DUMMYFUNCTION("""COMPUTED_VALUE"""),1.018)</f>
        <v>1.018</v>
      </c>
      <c r="E6224" s="16">
        <f>IFERROR(__xludf.DUMMYFUNCTION("""COMPUTED_VALUE"""),63.0)</f>
        <v>63</v>
      </c>
      <c r="F6224" s="19" t="str">
        <f>IFERROR(__xludf.DUMMYFUNCTION("""COMPUTED_VALUE"""),"BLUE")</f>
        <v>BLUE</v>
      </c>
      <c r="G6224" s="20" t="str">
        <f>IFERROR(__xludf.DUMMYFUNCTION("""COMPUTED_VALUE"""),"Uncle Sams Cider (11/12/2021) (Blue)")</f>
        <v>Uncle Sams Cider (11/12/2021) (Blue)</v>
      </c>
      <c r="H6224" s="19"/>
    </row>
    <row r="6225">
      <c r="A6225" s="9"/>
      <c r="B6225" s="15"/>
      <c r="C6225" s="9">
        <f>IFERROR(__xludf.DUMMYFUNCTION("""COMPUTED_VALUE"""),44540.2683370023)</f>
        <v>44540.26834</v>
      </c>
      <c r="D6225" s="15">
        <f>IFERROR(__xludf.DUMMYFUNCTION("""COMPUTED_VALUE"""),1.018)</f>
        <v>1.018</v>
      </c>
      <c r="E6225" s="16">
        <f>IFERROR(__xludf.DUMMYFUNCTION("""COMPUTED_VALUE"""),63.0)</f>
        <v>63</v>
      </c>
      <c r="F6225" s="19" t="str">
        <f>IFERROR(__xludf.DUMMYFUNCTION("""COMPUTED_VALUE"""),"BLUE")</f>
        <v>BLUE</v>
      </c>
      <c r="G6225" s="20" t="str">
        <f>IFERROR(__xludf.DUMMYFUNCTION("""COMPUTED_VALUE"""),"Uncle Sams Cider (11/12/2021) (Blue)")</f>
        <v>Uncle Sams Cider (11/12/2021) (Blue)</v>
      </c>
      <c r="H6225" s="19"/>
    </row>
    <row r="6226">
      <c r="A6226" s="9"/>
      <c r="B6226" s="15"/>
      <c r="C6226" s="9">
        <f>IFERROR(__xludf.DUMMYFUNCTION("""COMPUTED_VALUE"""),44540.257916574)</f>
        <v>44540.25792</v>
      </c>
      <c r="D6226" s="15">
        <f>IFERROR(__xludf.DUMMYFUNCTION("""COMPUTED_VALUE"""),1.018)</f>
        <v>1.018</v>
      </c>
      <c r="E6226" s="16">
        <f>IFERROR(__xludf.DUMMYFUNCTION("""COMPUTED_VALUE"""),63.0)</f>
        <v>63</v>
      </c>
      <c r="F6226" s="19" t="str">
        <f>IFERROR(__xludf.DUMMYFUNCTION("""COMPUTED_VALUE"""),"BLUE")</f>
        <v>BLUE</v>
      </c>
      <c r="G6226" s="20" t="str">
        <f>IFERROR(__xludf.DUMMYFUNCTION("""COMPUTED_VALUE"""),"Uncle Sams Cider (11/12/2021) (Blue)")</f>
        <v>Uncle Sams Cider (11/12/2021) (Blue)</v>
      </c>
      <c r="H6226" s="19"/>
    </row>
    <row r="6227">
      <c r="A6227" s="9"/>
      <c r="B6227" s="15"/>
      <c r="C6227" s="9">
        <f>IFERROR(__xludf.DUMMYFUNCTION("""COMPUTED_VALUE"""),44540.2474953935)</f>
        <v>44540.2475</v>
      </c>
      <c r="D6227" s="15">
        <f>IFERROR(__xludf.DUMMYFUNCTION("""COMPUTED_VALUE"""),1.018)</f>
        <v>1.018</v>
      </c>
      <c r="E6227" s="16">
        <f>IFERROR(__xludf.DUMMYFUNCTION("""COMPUTED_VALUE"""),63.0)</f>
        <v>63</v>
      </c>
      <c r="F6227" s="19" t="str">
        <f>IFERROR(__xludf.DUMMYFUNCTION("""COMPUTED_VALUE"""),"BLUE")</f>
        <v>BLUE</v>
      </c>
      <c r="G6227" s="20" t="str">
        <f>IFERROR(__xludf.DUMMYFUNCTION("""COMPUTED_VALUE"""),"Uncle Sams Cider (11/12/2021) (Blue)")</f>
        <v>Uncle Sams Cider (11/12/2021) (Blue)</v>
      </c>
      <c r="H6227" s="19"/>
    </row>
    <row r="6228">
      <c r="A6228" s="9"/>
      <c r="B6228" s="15"/>
      <c r="C6228" s="9">
        <f>IFERROR(__xludf.DUMMYFUNCTION("""COMPUTED_VALUE"""),44540.237075081)</f>
        <v>44540.23708</v>
      </c>
      <c r="D6228" s="15">
        <f>IFERROR(__xludf.DUMMYFUNCTION("""COMPUTED_VALUE"""),1.018)</f>
        <v>1.018</v>
      </c>
      <c r="E6228" s="16">
        <f>IFERROR(__xludf.DUMMYFUNCTION("""COMPUTED_VALUE"""),63.0)</f>
        <v>63</v>
      </c>
      <c r="F6228" s="19" t="str">
        <f>IFERROR(__xludf.DUMMYFUNCTION("""COMPUTED_VALUE"""),"BLUE")</f>
        <v>BLUE</v>
      </c>
      <c r="G6228" s="20" t="str">
        <f>IFERROR(__xludf.DUMMYFUNCTION("""COMPUTED_VALUE"""),"Uncle Sams Cider (11/12/2021) (Blue)")</f>
        <v>Uncle Sams Cider (11/12/2021) (Blue)</v>
      </c>
      <c r="H6228" s="19"/>
    </row>
    <row r="6229">
      <c r="A6229" s="9"/>
      <c r="B6229" s="15"/>
      <c r="C6229" s="9">
        <f>IFERROR(__xludf.DUMMYFUNCTION("""COMPUTED_VALUE"""),44540.226618912)</f>
        <v>44540.22662</v>
      </c>
      <c r="D6229" s="15">
        <f>IFERROR(__xludf.DUMMYFUNCTION("""COMPUTED_VALUE"""),1.018)</f>
        <v>1.018</v>
      </c>
      <c r="E6229" s="16">
        <f>IFERROR(__xludf.DUMMYFUNCTION("""COMPUTED_VALUE"""),63.0)</f>
        <v>63</v>
      </c>
      <c r="F6229" s="19" t="str">
        <f>IFERROR(__xludf.DUMMYFUNCTION("""COMPUTED_VALUE"""),"BLUE")</f>
        <v>BLUE</v>
      </c>
      <c r="G6229" s="20" t="str">
        <f>IFERROR(__xludf.DUMMYFUNCTION("""COMPUTED_VALUE"""),"Uncle Sams Cider (11/12/2021) (Blue)")</f>
        <v>Uncle Sams Cider (11/12/2021) (Blue)</v>
      </c>
      <c r="H6229" s="19"/>
    </row>
    <row r="6230">
      <c r="A6230" s="9"/>
      <c r="B6230" s="15"/>
      <c r="C6230" s="9">
        <f>IFERROR(__xludf.DUMMYFUNCTION("""COMPUTED_VALUE"""),44540.2161982291)</f>
        <v>44540.2162</v>
      </c>
      <c r="D6230" s="15">
        <f>IFERROR(__xludf.DUMMYFUNCTION("""COMPUTED_VALUE"""),1.018)</f>
        <v>1.018</v>
      </c>
      <c r="E6230" s="16">
        <f>IFERROR(__xludf.DUMMYFUNCTION("""COMPUTED_VALUE"""),63.0)</f>
        <v>63</v>
      </c>
      <c r="F6230" s="19" t="str">
        <f>IFERROR(__xludf.DUMMYFUNCTION("""COMPUTED_VALUE"""),"BLUE")</f>
        <v>BLUE</v>
      </c>
      <c r="G6230" s="20" t="str">
        <f>IFERROR(__xludf.DUMMYFUNCTION("""COMPUTED_VALUE"""),"Uncle Sams Cider (11/12/2021) (Blue)")</f>
        <v>Uncle Sams Cider (11/12/2021) (Blue)</v>
      </c>
      <c r="H6230" s="19"/>
    </row>
    <row r="6231">
      <c r="A6231" s="9"/>
      <c r="B6231" s="15"/>
      <c r="C6231" s="9">
        <f>IFERROR(__xludf.DUMMYFUNCTION("""COMPUTED_VALUE"""),44540.2057787152)</f>
        <v>44540.20578</v>
      </c>
      <c r="D6231" s="15">
        <f>IFERROR(__xludf.DUMMYFUNCTION("""COMPUTED_VALUE"""),1.018)</f>
        <v>1.018</v>
      </c>
      <c r="E6231" s="16">
        <f>IFERROR(__xludf.DUMMYFUNCTION("""COMPUTED_VALUE"""),63.0)</f>
        <v>63</v>
      </c>
      <c r="F6231" s="19" t="str">
        <f>IFERROR(__xludf.DUMMYFUNCTION("""COMPUTED_VALUE"""),"BLUE")</f>
        <v>BLUE</v>
      </c>
      <c r="G6231" s="20" t="str">
        <f>IFERROR(__xludf.DUMMYFUNCTION("""COMPUTED_VALUE"""),"Uncle Sams Cider (11/12/2021) (Blue)")</f>
        <v>Uncle Sams Cider (11/12/2021) (Blue)</v>
      </c>
      <c r="H6231" s="19"/>
    </row>
    <row r="6232">
      <c r="A6232" s="9"/>
      <c r="B6232" s="15"/>
      <c r="C6232" s="9">
        <f>IFERROR(__xludf.DUMMYFUNCTION("""COMPUTED_VALUE"""),44540.1953567361)</f>
        <v>44540.19536</v>
      </c>
      <c r="D6232" s="15">
        <f>IFERROR(__xludf.DUMMYFUNCTION("""COMPUTED_VALUE"""),1.018)</f>
        <v>1.018</v>
      </c>
      <c r="E6232" s="16">
        <f>IFERROR(__xludf.DUMMYFUNCTION("""COMPUTED_VALUE"""),63.0)</f>
        <v>63</v>
      </c>
      <c r="F6232" s="19" t="str">
        <f>IFERROR(__xludf.DUMMYFUNCTION("""COMPUTED_VALUE"""),"BLUE")</f>
        <v>BLUE</v>
      </c>
      <c r="G6232" s="20" t="str">
        <f>IFERROR(__xludf.DUMMYFUNCTION("""COMPUTED_VALUE"""),"Uncle Sams Cider (11/12/2021) (Blue)")</f>
        <v>Uncle Sams Cider (11/12/2021) (Blue)</v>
      </c>
      <c r="H6232" s="19"/>
    </row>
    <row r="6233">
      <c r="A6233" s="9"/>
      <c r="B6233" s="15"/>
      <c r="C6233" s="9">
        <f>IFERROR(__xludf.DUMMYFUNCTION("""COMPUTED_VALUE"""),44540.1849359722)</f>
        <v>44540.18494</v>
      </c>
      <c r="D6233" s="15">
        <f>IFERROR(__xludf.DUMMYFUNCTION("""COMPUTED_VALUE"""),1.018)</f>
        <v>1.018</v>
      </c>
      <c r="E6233" s="16">
        <f>IFERROR(__xludf.DUMMYFUNCTION("""COMPUTED_VALUE"""),63.0)</f>
        <v>63</v>
      </c>
      <c r="F6233" s="19" t="str">
        <f>IFERROR(__xludf.DUMMYFUNCTION("""COMPUTED_VALUE"""),"BLUE")</f>
        <v>BLUE</v>
      </c>
      <c r="G6233" s="20" t="str">
        <f>IFERROR(__xludf.DUMMYFUNCTION("""COMPUTED_VALUE"""),"Uncle Sams Cider (11/12/2021) (Blue)")</f>
        <v>Uncle Sams Cider (11/12/2021) (Blue)</v>
      </c>
      <c r="H6233" s="19"/>
    </row>
    <row r="6234">
      <c r="A6234" s="9"/>
      <c r="B6234" s="15"/>
      <c r="C6234" s="9">
        <f>IFERROR(__xludf.DUMMYFUNCTION("""COMPUTED_VALUE"""),44540.174515162)</f>
        <v>44540.17452</v>
      </c>
      <c r="D6234" s="15">
        <f>IFERROR(__xludf.DUMMYFUNCTION("""COMPUTED_VALUE"""),1.018)</f>
        <v>1.018</v>
      </c>
      <c r="E6234" s="16">
        <f>IFERROR(__xludf.DUMMYFUNCTION("""COMPUTED_VALUE"""),63.0)</f>
        <v>63</v>
      </c>
      <c r="F6234" s="19" t="str">
        <f>IFERROR(__xludf.DUMMYFUNCTION("""COMPUTED_VALUE"""),"BLUE")</f>
        <v>BLUE</v>
      </c>
      <c r="G6234" s="20" t="str">
        <f>IFERROR(__xludf.DUMMYFUNCTION("""COMPUTED_VALUE"""),"Uncle Sams Cider (11/12/2021) (Blue)")</f>
        <v>Uncle Sams Cider (11/12/2021) (Blue)</v>
      </c>
      <c r="H6234" s="19"/>
    </row>
    <row r="6235">
      <c r="A6235" s="9"/>
      <c r="B6235" s="15"/>
      <c r="C6235" s="9">
        <f>IFERROR(__xludf.DUMMYFUNCTION("""COMPUTED_VALUE"""),44540.1640942708)</f>
        <v>44540.16409</v>
      </c>
      <c r="D6235" s="15">
        <f>IFERROR(__xludf.DUMMYFUNCTION("""COMPUTED_VALUE"""),1.018)</f>
        <v>1.018</v>
      </c>
      <c r="E6235" s="16">
        <f>IFERROR(__xludf.DUMMYFUNCTION("""COMPUTED_VALUE"""),63.0)</f>
        <v>63</v>
      </c>
      <c r="F6235" s="19" t="str">
        <f>IFERROR(__xludf.DUMMYFUNCTION("""COMPUTED_VALUE"""),"BLUE")</f>
        <v>BLUE</v>
      </c>
      <c r="G6235" s="20" t="str">
        <f>IFERROR(__xludf.DUMMYFUNCTION("""COMPUTED_VALUE"""),"Uncle Sams Cider (11/12/2021) (Blue)")</f>
        <v>Uncle Sams Cider (11/12/2021) (Blue)</v>
      </c>
      <c r="H6235" s="19"/>
    </row>
    <row r="6236">
      <c r="A6236" s="9"/>
      <c r="B6236" s="15"/>
      <c r="C6236" s="9">
        <f>IFERROR(__xludf.DUMMYFUNCTION("""COMPUTED_VALUE"""),44540.1536723379)</f>
        <v>44540.15367</v>
      </c>
      <c r="D6236" s="15">
        <f>IFERROR(__xludf.DUMMYFUNCTION("""COMPUTED_VALUE"""),1.018)</f>
        <v>1.018</v>
      </c>
      <c r="E6236" s="16">
        <f>IFERROR(__xludf.DUMMYFUNCTION("""COMPUTED_VALUE"""),63.0)</f>
        <v>63</v>
      </c>
      <c r="F6236" s="19" t="str">
        <f>IFERROR(__xludf.DUMMYFUNCTION("""COMPUTED_VALUE"""),"BLUE")</f>
        <v>BLUE</v>
      </c>
      <c r="G6236" s="20" t="str">
        <f>IFERROR(__xludf.DUMMYFUNCTION("""COMPUTED_VALUE"""),"Uncle Sams Cider (11/12/2021) (Blue)")</f>
        <v>Uncle Sams Cider (11/12/2021) (Blue)</v>
      </c>
      <c r="H6236" s="19"/>
    </row>
    <row r="6237">
      <c r="A6237" s="9"/>
      <c r="B6237" s="15"/>
      <c r="C6237" s="9">
        <f>IFERROR(__xludf.DUMMYFUNCTION("""COMPUTED_VALUE"""),44540.1432501736)</f>
        <v>44540.14325</v>
      </c>
      <c r="D6237" s="15">
        <f>IFERROR(__xludf.DUMMYFUNCTION("""COMPUTED_VALUE"""),1.018)</f>
        <v>1.018</v>
      </c>
      <c r="E6237" s="16">
        <f>IFERROR(__xludf.DUMMYFUNCTION("""COMPUTED_VALUE"""),63.0)</f>
        <v>63</v>
      </c>
      <c r="F6237" s="19" t="str">
        <f>IFERROR(__xludf.DUMMYFUNCTION("""COMPUTED_VALUE"""),"BLUE")</f>
        <v>BLUE</v>
      </c>
      <c r="G6237" s="20" t="str">
        <f>IFERROR(__xludf.DUMMYFUNCTION("""COMPUTED_VALUE"""),"Uncle Sams Cider (11/12/2021) (Blue)")</f>
        <v>Uncle Sams Cider (11/12/2021) (Blue)</v>
      </c>
      <c r="H6237" s="19"/>
    </row>
    <row r="6238">
      <c r="A6238" s="9"/>
      <c r="B6238" s="15"/>
      <c r="C6238" s="9">
        <f>IFERROR(__xludf.DUMMYFUNCTION("""COMPUTED_VALUE"""),44540.1328293055)</f>
        <v>44540.13283</v>
      </c>
      <c r="D6238" s="15">
        <f>IFERROR(__xludf.DUMMYFUNCTION("""COMPUTED_VALUE"""),1.018)</f>
        <v>1.018</v>
      </c>
      <c r="E6238" s="16">
        <f>IFERROR(__xludf.DUMMYFUNCTION("""COMPUTED_VALUE"""),63.0)</f>
        <v>63</v>
      </c>
      <c r="F6238" s="19" t="str">
        <f>IFERROR(__xludf.DUMMYFUNCTION("""COMPUTED_VALUE"""),"BLUE")</f>
        <v>BLUE</v>
      </c>
      <c r="G6238" s="20" t="str">
        <f>IFERROR(__xludf.DUMMYFUNCTION("""COMPUTED_VALUE"""),"Uncle Sams Cider (11/12/2021) (Blue)")</f>
        <v>Uncle Sams Cider (11/12/2021) (Blue)</v>
      </c>
      <c r="H6238" s="19"/>
    </row>
    <row r="6239">
      <c r="A6239" s="9"/>
      <c r="B6239" s="15"/>
      <c r="C6239" s="9">
        <f>IFERROR(__xludf.DUMMYFUNCTION("""COMPUTED_VALUE"""),44540.1224079976)</f>
        <v>44540.12241</v>
      </c>
      <c r="D6239" s="15">
        <f>IFERROR(__xludf.DUMMYFUNCTION("""COMPUTED_VALUE"""),1.018)</f>
        <v>1.018</v>
      </c>
      <c r="E6239" s="16">
        <f>IFERROR(__xludf.DUMMYFUNCTION("""COMPUTED_VALUE"""),63.0)</f>
        <v>63</v>
      </c>
      <c r="F6239" s="19" t="str">
        <f>IFERROR(__xludf.DUMMYFUNCTION("""COMPUTED_VALUE"""),"BLUE")</f>
        <v>BLUE</v>
      </c>
      <c r="G6239" s="20" t="str">
        <f>IFERROR(__xludf.DUMMYFUNCTION("""COMPUTED_VALUE"""),"Uncle Sams Cider (11/12/2021) (Blue)")</f>
        <v>Uncle Sams Cider (11/12/2021) (Blue)</v>
      </c>
      <c r="H6239" s="19"/>
    </row>
    <row r="6240">
      <c r="A6240" s="9"/>
      <c r="B6240" s="15"/>
      <c r="C6240" s="9">
        <f>IFERROR(__xludf.DUMMYFUNCTION("""COMPUTED_VALUE"""),44540.1119862731)</f>
        <v>44540.11199</v>
      </c>
      <c r="D6240" s="15">
        <f>IFERROR(__xludf.DUMMYFUNCTION("""COMPUTED_VALUE"""),1.018)</f>
        <v>1.018</v>
      </c>
      <c r="E6240" s="16">
        <f>IFERROR(__xludf.DUMMYFUNCTION("""COMPUTED_VALUE"""),63.0)</f>
        <v>63</v>
      </c>
      <c r="F6240" s="19" t="str">
        <f>IFERROR(__xludf.DUMMYFUNCTION("""COMPUTED_VALUE"""),"BLUE")</f>
        <v>BLUE</v>
      </c>
      <c r="G6240" s="20" t="str">
        <f>IFERROR(__xludf.DUMMYFUNCTION("""COMPUTED_VALUE"""),"Uncle Sams Cider (11/12/2021) (Blue)")</f>
        <v>Uncle Sams Cider (11/12/2021) (Blue)</v>
      </c>
      <c r="H6240" s="19"/>
    </row>
    <row r="6241">
      <c r="A6241" s="9"/>
      <c r="B6241" s="15"/>
      <c r="C6241" s="9">
        <f>IFERROR(__xludf.DUMMYFUNCTION("""COMPUTED_VALUE"""),44540.1015528703)</f>
        <v>44540.10155</v>
      </c>
      <c r="D6241" s="15">
        <f>IFERROR(__xludf.DUMMYFUNCTION("""COMPUTED_VALUE"""),1.018)</f>
        <v>1.018</v>
      </c>
      <c r="E6241" s="16">
        <f>IFERROR(__xludf.DUMMYFUNCTION("""COMPUTED_VALUE"""),63.0)</f>
        <v>63</v>
      </c>
      <c r="F6241" s="19" t="str">
        <f>IFERROR(__xludf.DUMMYFUNCTION("""COMPUTED_VALUE"""),"BLUE")</f>
        <v>BLUE</v>
      </c>
      <c r="G6241" s="20" t="str">
        <f>IFERROR(__xludf.DUMMYFUNCTION("""COMPUTED_VALUE"""),"Uncle Sams Cider (11/12/2021) (Blue)")</f>
        <v>Uncle Sams Cider (11/12/2021) (Blue)</v>
      </c>
      <c r="H6241" s="19"/>
    </row>
    <row r="6242">
      <c r="A6242" s="9"/>
      <c r="B6242" s="15"/>
      <c r="C6242" s="9">
        <f>IFERROR(__xludf.DUMMYFUNCTION("""COMPUTED_VALUE"""),44540.0911325347)</f>
        <v>44540.09113</v>
      </c>
      <c r="D6242" s="15">
        <f>IFERROR(__xludf.DUMMYFUNCTION("""COMPUTED_VALUE"""),1.018)</f>
        <v>1.018</v>
      </c>
      <c r="E6242" s="16">
        <f>IFERROR(__xludf.DUMMYFUNCTION("""COMPUTED_VALUE"""),63.0)</f>
        <v>63</v>
      </c>
      <c r="F6242" s="19" t="str">
        <f>IFERROR(__xludf.DUMMYFUNCTION("""COMPUTED_VALUE"""),"BLUE")</f>
        <v>BLUE</v>
      </c>
      <c r="G6242" s="20" t="str">
        <f>IFERROR(__xludf.DUMMYFUNCTION("""COMPUTED_VALUE"""),"Uncle Sams Cider (11/12/2021) (Blue)")</f>
        <v>Uncle Sams Cider (11/12/2021) (Blue)</v>
      </c>
      <c r="H6242" s="19"/>
    </row>
    <row r="6243">
      <c r="A6243" s="9"/>
      <c r="B6243" s="15"/>
      <c r="C6243" s="9">
        <f>IFERROR(__xludf.DUMMYFUNCTION("""COMPUTED_VALUE"""),44540.0807105671)</f>
        <v>44540.08071</v>
      </c>
      <c r="D6243" s="15">
        <f>IFERROR(__xludf.DUMMYFUNCTION("""COMPUTED_VALUE"""),1.018)</f>
        <v>1.018</v>
      </c>
      <c r="E6243" s="16">
        <f>IFERROR(__xludf.DUMMYFUNCTION("""COMPUTED_VALUE"""),63.0)</f>
        <v>63</v>
      </c>
      <c r="F6243" s="19" t="str">
        <f>IFERROR(__xludf.DUMMYFUNCTION("""COMPUTED_VALUE"""),"BLUE")</f>
        <v>BLUE</v>
      </c>
      <c r="G6243" s="20" t="str">
        <f>IFERROR(__xludf.DUMMYFUNCTION("""COMPUTED_VALUE"""),"Uncle Sams Cider (11/12/2021) (Blue)")</f>
        <v>Uncle Sams Cider (11/12/2021) (Blue)</v>
      </c>
      <c r="H6243" s="19"/>
    </row>
    <row r="6244">
      <c r="A6244" s="9"/>
      <c r="B6244" s="15"/>
      <c r="C6244" s="9">
        <f>IFERROR(__xludf.DUMMYFUNCTION("""COMPUTED_VALUE"""),44540.0702883912)</f>
        <v>44540.07029</v>
      </c>
      <c r="D6244" s="15">
        <f>IFERROR(__xludf.DUMMYFUNCTION("""COMPUTED_VALUE"""),1.018)</f>
        <v>1.018</v>
      </c>
      <c r="E6244" s="16">
        <f>IFERROR(__xludf.DUMMYFUNCTION("""COMPUTED_VALUE"""),63.0)</f>
        <v>63</v>
      </c>
      <c r="F6244" s="19" t="str">
        <f>IFERROR(__xludf.DUMMYFUNCTION("""COMPUTED_VALUE"""),"BLUE")</f>
        <v>BLUE</v>
      </c>
      <c r="G6244" s="20" t="str">
        <f>IFERROR(__xludf.DUMMYFUNCTION("""COMPUTED_VALUE"""),"Uncle Sams Cider (11/12/2021) (Blue)")</f>
        <v>Uncle Sams Cider (11/12/2021) (Blue)</v>
      </c>
      <c r="H6244" s="19"/>
    </row>
    <row r="6245">
      <c r="A6245" s="9"/>
      <c r="B6245" s="15"/>
      <c r="C6245" s="9">
        <f>IFERROR(__xludf.DUMMYFUNCTION("""COMPUTED_VALUE"""),44540.0598668287)</f>
        <v>44540.05987</v>
      </c>
      <c r="D6245" s="15">
        <f>IFERROR(__xludf.DUMMYFUNCTION("""COMPUTED_VALUE"""),1.018)</f>
        <v>1.018</v>
      </c>
      <c r="E6245" s="16">
        <f>IFERROR(__xludf.DUMMYFUNCTION("""COMPUTED_VALUE"""),63.0)</f>
        <v>63</v>
      </c>
      <c r="F6245" s="19" t="str">
        <f>IFERROR(__xludf.DUMMYFUNCTION("""COMPUTED_VALUE"""),"BLUE")</f>
        <v>BLUE</v>
      </c>
      <c r="G6245" s="20" t="str">
        <f>IFERROR(__xludf.DUMMYFUNCTION("""COMPUTED_VALUE"""),"Uncle Sams Cider (11/12/2021) (Blue)")</f>
        <v>Uncle Sams Cider (11/12/2021) (Blue)</v>
      </c>
      <c r="H6245" s="19"/>
    </row>
    <row r="6246">
      <c r="A6246" s="9"/>
      <c r="B6246" s="15"/>
      <c r="C6246" s="9">
        <f>IFERROR(__xludf.DUMMYFUNCTION("""COMPUTED_VALUE"""),44540.0494454513)</f>
        <v>44540.04945</v>
      </c>
      <c r="D6246" s="15">
        <f>IFERROR(__xludf.DUMMYFUNCTION("""COMPUTED_VALUE"""),1.018)</f>
        <v>1.018</v>
      </c>
      <c r="E6246" s="16">
        <f>IFERROR(__xludf.DUMMYFUNCTION("""COMPUTED_VALUE"""),63.0)</f>
        <v>63</v>
      </c>
      <c r="F6246" s="19" t="str">
        <f>IFERROR(__xludf.DUMMYFUNCTION("""COMPUTED_VALUE"""),"BLUE")</f>
        <v>BLUE</v>
      </c>
      <c r="G6246" s="20" t="str">
        <f>IFERROR(__xludf.DUMMYFUNCTION("""COMPUTED_VALUE"""),"Uncle Sams Cider (11/12/2021) (Blue)")</f>
        <v>Uncle Sams Cider (11/12/2021) (Blue)</v>
      </c>
      <c r="H6246" s="19"/>
    </row>
    <row r="6247">
      <c r="A6247" s="9"/>
      <c r="B6247" s="15"/>
      <c r="C6247" s="9">
        <f>IFERROR(__xludf.DUMMYFUNCTION("""COMPUTED_VALUE"""),44540.0390123495)</f>
        <v>44540.03901</v>
      </c>
      <c r="D6247" s="15">
        <f>IFERROR(__xludf.DUMMYFUNCTION("""COMPUTED_VALUE"""),1.018)</f>
        <v>1.018</v>
      </c>
      <c r="E6247" s="16">
        <f>IFERROR(__xludf.DUMMYFUNCTION("""COMPUTED_VALUE"""),63.0)</f>
        <v>63</v>
      </c>
      <c r="F6247" s="19" t="str">
        <f>IFERROR(__xludf.DUMMYFUNCTION("""COMPUTED_VALUE"""),"BLUE")</f>
        <v>BLUE</v>
      </c>
      <c r="G6247" s="20" t="str">
        <f>IFERROR(__xludf.DUMMYFUNCTION("""COMPUTED_VALUE"""),"Uncle Sams Cider (11/12/2021) (Blue)")</f>
        <v>Uncle Sams Cider (11/12/2021) (Blue)</v>
      </c>
      <c r="H6247" s="19"/>
    </row>
    <row r="6248">
      <c r="A6248" s="9"/>
      <c r="B6248" s="15"/>
      <c r="C6248" s="9">
        <f>IFERROR(__xludf.DUMMYFUNCTION("""COMPUTED_VALUE"""),44540.0285792476)</f>
        <v>44540.02858</v>
      </c>
      <c r="D6248" s="15">
        <f>IFERROR(__xludf.DUMMYFUNCTION("""COMPUTED_VALUE"""),1.018)</f>
        <v>1.018</v>
      </c>
      <c r="E6248" s="16">
        <f>IFERROR(__xludf.DUMMYFUNCTION("""COMPUTED_VALUE"""),63.0)</f>
        <v>63</v>
      </c>
      <c r="F6248" s="19" t="str">
        <f>IFERROR(__xludf.DUMMYFUNCTION("""COMPUTED_VALUE"""),"BLUE")</f>
        <v>BLUE</v>
      </c>
      <c r="G6248" s="20" t="str">
        <f>IFERROR(__xludf.DUMMYFUNCTION("""COMPUTED_VALUE"""),"Uncle Sams Cider (11/12/2021) (Blue)")</f>
        <v>Uncle Sams Cider (11/12/2021) (Blue)</v>
      </c>
      <c r="H6248" s="19"/>
    </row>
    <row r="6249">
      <c r="A6249" s="9"/>
      <c r="B6249" s="15"/>
      <c r="C6249" s="9">
        <f>IFERROR(__xludf.DUMMYFUNCTION("""COMPUTED_VALUE"""),44540.0181593518)</f>
        <v>44540.01816</v>
      </c>
      <c r="D6249" s="15">
        <f>IFERROR(__xludf.DUMMYFUNCTION("""COMPUTED_VALUE"""),1.018)</f>
        <v>1.018</v>
      </c>
      <c r="E6249" s="16">
        <f>IFERROR(__xludf.DUMMYFUNCTION("""COMPUTED_VALUE"""),63.0)</f>
        <v>63</v>
      </c>
      <c r="F6249" s="19" t="str">
        <f>IFERROR(__xludf.DUMMYFUNCTION("""COMPUTED_VALUE"""),"BLUE")</f>
        <v>BLUE</v>
      </c>
      <c r="G6249" s="20" t="str">
        <f>IFERROR(__xludf.DUMMYFUNCTION("""COMPUTED_VALUE"""),"Uncle Sams Cider (11/12/2021) (Blue)")</f>
        <v>Uncle Sams Cider (11/12/2021) (Blue)</v>
      </c>
      <c r="H6249" s="19"/>
    </row>
    <row r="6250">
      <c r="A6250" s="9"/>
      <c r="B6250" s="15"/>
      <c r="C6250" s="9">
        <f>IFERROR(__xludf.DUMMYFUNCTION("""COMPUTED_VALUE"""),44540.0077271064)</f>
        <v>44540.00773</v>
      </c>
      <c r="D6250" s="15">
        <f>IFERROR(__xludf.DUMMYFUNCTION("""COMPUTED_VALUE"""),1.018)</f>
        <v>1.018</v>
      </c>
      <c r="E6250" s="16">
        <f>IFERROR(__xludf.DUMMYFUNCTION("""COMPUTED_VALUE"""),63.0)</f>
        <v>63</v>
      </c>
      <c r="F6250" s="19" t="str">
        <f>IFERROR(__xludf.DUMMYFUNCTION("""COMPUTED_VALUE"""),"BLUE")</f>
        <v>BLUE</v>
      </c>
      <c r="G6250" s="20" t="str">
        <f>IFERROR(__xludf.DUMMYFUNCTION("""COMPUTED_VALUE"""),"Uncle Sams Cider (11/12/2021) (Blue)")</f>
        <v>Uncle Sams Cider (11/12/2021) (Blue)</v>
      </c>
      <c r="H6250" s="19"/>
    </row>
    <row r="6251">
      <c r="A6251" s="9"/>
      <c r="B6251" s="15"/>
      <c r="C6251" s="9">
        <f>IFERROR(__xludf.DUMMYFUNCTION("""COMPUTED_VALUE"""),44539.9973078472)</f>
        <v>44539.99731</v>
      </c>
      <c r="D6251" s="15">
        <f>IFERROR(__xludf.DUMMYFUNCTION("""COMPUTED_VALUE"""),1.018)</f>
        <v>1.018</v>
      </c>
      <c r="E6251" s="16">
        <f>IFERROR(__xludf.DUMMYFUNCTION("""COMPUTED_VALUE"""),63.0)</f>
        <v>63</v>
      </c>
      <c r="F6251" s="19" t="str">
        <f>IFERROR(__xludf.DUMMYFUNCTION("""COMPUTED_VALUE"""),"BLUE")</f>
        <v>BLUE</v>
      </c>
      <c r="G6251" s="20" t="str">
        <f>IFERROR(__xludf.DUMMYFUNCTION("""COMPUTED_VALUE"""),"Uncle Sams Cider (11/12/2021) (Blue)")</f>
        <v>Uncle Sams Cider (11/12/2021) (Blue)</v>
      </c>
      <c r="H6251" s="19"/>
    </row>
    <row r="6252">
      <c r="A6252" s="9"/>
      <c r="B6252" s="15"/>
      <c r="C6252" s="9">
        <f>IFERROR(__xludf.DUMMYFUNCTION("""COMPUTED_VALUE"""),44539.9868737847)</f>
        <v>44539.98687</v>
      </c>
      <c r="D6252" s="15">
        <f>IFERROR(__xludf.DUMMYFUNCTION("""COMPUTED_VALUE"""),1.018)</f>
        <v>1.018</v>
      </c>
      <c r="E6252" s="16">
        <f>IFERROR(__xludf.DUMMYFUNCTION("""COMPUTED_VALUE"""),63.0)</f>
        <v>63</v>
      </c>
      <c r="F6252" s="19" t="str">
        <f>IFERROR(__xludf.DUMMYFUNCTION("""COMPUTED_VALUE"""),"BLUE")</f>
        <v>BLUE</v>
      </c>
      <c r="G6252" s="20" t="str">
        <f>IFERROR(__xludf.DUMMYFUNCTION("""COMPUTED_VALUE"""),"Uncle Sams Cider (11/12/2021) (Blue)")</f>
        <v>Uncle Sams Cider (11/12/2021) (Blue)</v>
      </c>
      <c r="H6252" s="19"/>
    </row>
    <row r="6253">
      <c r="A6253" s="9"/>
      <c r="B6253" s="15"/>
      <c r="C6253" s="9">
        <f>IFERROR(__xludf.DUMMYFUNCTION("""COMPUTED_VALUE"""),44539.9764517476)</f>
        <v>44539.97645</v>
      </c>
      <c r="D6253" s="15">
        <f>IFERROR(__xludf.DUMMYFUNCTION("""COMPUTED_VALUE"""),1.019)</f>
        <v>1.019</v>
      </c>
      <c r="E6253" s="16">
        <f>IFERROR(__xludf.DUMMYFUNCTION("""COMPUTED_VALUE"""),63.0)</f>
        <v>63</v>
      </c>
      <c r="F6253" s="19" t="str">
        <f>IFERROR(__xludf.DUMMYFUNCTION("""COMPUTED_VALUE"""),"BLUE")</f>
        <v>BLUE</v>
      </c>
      <c r="G6253" s="20" t="str">
        <f>IFERROR(__xludf.DUMMYFUNCTION("""COMPUTED_VALUE"""),"Uncle Sams Cider (11/12/2021) (Blue)")</f>
        <v>Uncle Sams Cider (11/12/2021) (Blue)</v>
      </c>
      <c r="H6253" s="19"/>
    </row>
    <row r="6254">
      <c r="A6254" s="9"/>
      <c r="B6254" s="15"/>
      <c r="C6254" s="9">
        <f>IFERROR(__xludf.DUMMYFUNCTION("""COMPUTED_VALUE"""),44539.9660312152)</f>
        <v>44539.96603</v>
      </c>
      <c r="D6254" s="15">
        <f>IFERROR(__xludf.DUMMYFUNCTION("""COMPUTED_VALUE"""),1.018)</f>
        <v>1.018</v>
      </c>
      <c r="E6254" s="16">
        <f>IFERROR(__xludf.DUMMYFUNCTION("""COMPUTED_VALUE"""),63.0)</f>
        <v>63</v>
      </c>
      <c r="F6254" s="19" t="str">
        <f>IFERROR(__xludf.DUMMYFUNCTION("""COMPUTED_VALUE"""),"BLUE")</f>
        <v>BLUE</v>
      </c>
      <c r="G6254" s="20" t="str">
        <f>IFERROR(__xludf.DUMMYFUNCTION("""COMPUTED_VALUE"""),"Uncle Sams Cider (11/12/2021) (Blue)")</f>
        <v>Uncle Sams Cider (11/12/2021) (Blue)</v>
      </c>
      <c r="H6254" s="19"/>
    </row>
    <row r="6255">
      <c r="A6255" s="9"/>
      <c r="B6255" s="15"/>
      <c r="C6255" s="9">
        <f>IFERROR(__xludf.DUMMYFUNCTION("""COMPUTED_VALUE"""),44539.9556099421)</f>
        <v>44539.95561</v>
      </c>
      <c r="D6255" s="15">
        <f>IFERROR(__xludf.DUMMYFUNCTION("""COMPUTED_VALUE"""),1.018)</f>
        <v>1.018</v>
      </c>
      <c r="E6255" s="16">
        <f>IFERROR(__xludf.DUMMYFUNCTION("""COMPUTED_VALUE"""),63.0)</f>
        <v>63</v>
      </c>
      <c r="F6255" s="19" t="str">
        <f>IFERROR(__xludf.DUMMYFUNCTION("""COMPUTED_VALUE"""),"BLUE")</f>
        <v>BLUE</v>
      </c>
      <c r="G6255" s="20" t="str">
        <f>IFERROR(__xludf.DUMMYFUNCTION("""COMPUTED_VALUE"""),"Uncle Sams Cider (11/12/2021) (Blue)")</f>
        <v>Uncle Sams Cider (11/12/2021) (Blue)</v>
      </c>
      <c r="H6255" s="19"/>
    </row>
    <row r="6256">
      <c r="A6256" s="9"/>
      <c r="B6256" s="15"/>
      <c r="C6256" s="9">
        <f>IFERROR(__xludf.DUMMYFUNCTION("""COMPUTED_VALUE"""),44539.9451895833)</f>
        <v>44539.94519</v>
      </c>
      <c r="D6256" s="15">
        <f>IFERROR(__xludf.DUMMYFUNCTION("""COMPUTED_VALUE"""),1.018)</f>
        <v>1.018</v>
      </c>
      <c r="E6256" s="16">
        <f>IFERROR(__xludf.DUMMYFUNCTION("""COMPUTED_VALUE"""),63.0)</f>
        <v>63</v>
      </c>
      <c r="F6256" s="19" t="str">
        <f>IFERROR(__xludf.DUMMYFUNCTION("""COMPUTED_VALUE"""),"BLUE")</f>
        <v>BLUE</v>
      </c>
      <c r="G6256" s="20" t="str">
        <f>IFERROR(__xludf.DUMMYFUNCTION("""COMPUTED_VALUE"""),"Uncle Sams Cider (11/12/2021) (Blue)")</f>
        <v>Uncle Sams Cider (11/12/2021) (Blue)</v>
      </c>
      <c r="H6256" s="19"/>
    </row>
    <row r="6257">
      <c r="A6257" s="9"/>
      <c r="B6257" s="15"/>
      <c r="C6257" s="9">
        <f>IFERROR(__xludf.DUMMYFUNCTION("""COMPUTED_VALUE"""),44539.9347689583)</f>
        <v>44539.93477</v>
      </c>
      <c r="D6257" s="15">
        <f>IFERROR(__xludf.DUMMYFUNCTION("""COMPUTED_VALUE"""),1.019)</f>
        <v>1.019</v>
      </c>
      <c r="E6257" s="16">
        <f>IFERROR(__xludf.DUMMYFUNCTION("""COMPUTED_VALUE"""),63.0)</f>
        <v>63</v>
      </c>
      <c r="F6257" s="19" t="str">
        <f>IFERROR(__xludf.DUMMYFUNCTION("""COMPUTED_VALUE"""),"BLUE")</f>
        <v>BLUE</v>
      </c>
      <c r="G6257" s="20" t="str">
        <f>IFERROR(__xludf.DUMMYFUNCTION("""COMPUTED_VALUE"""),"Uncle Sams Cider (11/12/2021) (Blue)")</f>
        <v>Uncle Sams Cider (11/12/2021) (Blue)</v>
      </c>
      <c r="H6257" s="19"/>
    </row>
    <row r="6258">
      <c r="A6258" s="9"/>
      <c r="B6258" s="15"/>
      <c r="C6258" s="9">
        <f>IFERROR(__xludf.DUMMYFUNCTION("""COMPUTED_VALUE"""),44539.9243349999)</f>
        <v>44539.92433</v>
      </c>
      <c r="D6258" s="15">
        <f>IFERROR(__xludf.DUMMYFUNCTION("""COMPUTED_VALUE"""),1.018)</f>
        <v>1.018</v>
      </c>
      <c r="E6258" s="16">
        <f>IFERROR(__xludf.DUMMYFUNCTION("""COMPUTED_VALUE"""),63.0)</f>
        <v>63</v>
      </c>
      <c r="F6258" s="19" t="str">
        <f>IFERROR(__xludf.DUMMYFUNCTION("""COMPUTED_VALUE"""),"BLUE")</f>
        <v>BLUE</v>
      </c>
      <c r="G6258" s="20" t="str">
        <f>IFERROR(__xludf.DUMMYFUNCTION("""COMPUTED_VALUE"""),"Uncle Sams Cider (11/12/2021) (Blue)")</f>
        <v>Uncle Sams Cider (11/12/2021) (Blue)</v>
      </c>
      <c r="H6258" s="19"/>
    </row>
    <row r="6259">
      <c r="A6259" s="9"/>
      <c r="B6259" s="15"/>
      <c r="C6259" s="9">
        <f>IFERROR(__xludf.DUMMYFUNCTION("""COMPUTED_VALUE"""),44539.9139130324)</f>
        <v>44539.91391</v>
      </c>
      <c r="D6259" s="15">
        <f>IFERROR(__xludf.DUMMYFUNCTION("""COMPUTED_VALUE"""),1.018)</f>
        <v>1.018</v>
      </c>
      <c r="E6259" s="16">
        <f>IFERROR(__xludf.DUMMYFUNCTION("""COMPUTED_VALUE"""),63.0)</f>
        <v>63</v>
      </c>
      <c r="F6259" s="19" t="str">
        <f>IFERROR(__xludf.DUMMYFUNCTION("""COMPUTED_VALUE"""),"BLUE")</f>
        <v>BLUE</v>
      </c>
      <c r="G6259" s="20" t="str">
        <f>IFERROR(__xludf.DUMMYFUNCTION("""COMPUTED_VALUE"""),"Uncle Sams Cider (11/12/2021) (Blue)")</f>
        <v>Uncle Sams Cider (11/12/2021) (Blue)</v>
      </c>
      <c r="H6259" s="19"/>
    </row>
    <row r="6260">
      <c r="A6260" s="9"/>
      <c r="B6260" s="15"/>
      <c r="C6260" s="9">
        <f>IFERROR(__xludf.DUMMYFUNCTION("""COMPUTED_VALUE"""),44539.9034693055)</f>
        <v>44539.90347</v>
      </c>
      <c r="D6260" s="15">
        <f>IFERROR(__xludf.DUMMYFUNCTION("""COMPUTED_VALUE"""),1.019)</f>
        <v>1.019</v>
      </c>
      <c r="E6260" s="16">
        <f>IFERROR(__xludf.DUMMYFUNCTION("""COMPUTED_VALUE"""),63.0)</f>
        <v>63</v>
      </c>
      <c r="F6260" s="19" t="str">
        <f>IFERROR(__xludf.DUMMYFUNCTION("""COMPUTED_VALUE"""),"BLUE")</f>
        <v>BLUE</v>
      </c>
      <c r="G6260" s="20" t="str">
        <f>IFERROR(__xludf.DUMMYFUNCTION("""COMPUTED_VALUE"""),"Uncle Sams Cider (11/12/2021) (Blue)")</f>
        <v>Uncle Sams Cider (11/12/2021) (Blue)</v>
      </c>
      <c r="H6260" s="19"/>
    </row>
    <row r="6261">
      <c r="A6261" s="9"/>
      <c r="B6261" s="15"/>
      <c r="C6261" s="9">
        <f>IFERROR(__xludf.DUMMYFUNCTION("""COMPUTED_VALUE"""),44539.8930355324)</f>
        <v>44539.89304</v>
      </c>
      <c r="D6261" s="15">
        <f>IFERROR(__xludf.DUMMYFUNCTION("""COMPUTED_VALUE"""),1.019)</f>
        <v>1.019</v>
      </c>
      <c r="E6261" s="16">
        <f>IFERROR(__xludf.DUMMYFUNCTION("""COMPUTED_VALUE"""),63.0)</f>
        <v>63</v>
      </c>
      <c r="F6261" s="19" t="str">
        <f>IFERROR(__xludf.DUMMYFUNCTION("""COMPUTED_VALUE"""),"BLUE")</f>
        <v>BLUE</v>
      </c>
      <c r="G6261" s="20" t="str">
        <f>IFERROR(__xludf.DUMMYFUNCTION("""COMPUTED_VALUE"""),"Uncle Sams Cider (11/12/2021) (Blue)")</f>
        <v>Uncle Sams Cider (11/12/2021) (Blue)</v>
      </c>
      <c r="H6261" s="19"/>
    </row>
    <row r="6262">
      <c r="A6262" s="9"/>
      <c r="B6262" s="15"/>
      <c r="C6262" s="9">
        <f>IFERROR(__xludf.DUMMYFUNCTION("""COMPUTED_VALUE"""),44539.8826144212)</f>
        <v>44539.88261</v>
      </c>
      <c r="D6262" s="15">
        <f>IFERROR(__xludf.DUMMYFUNCTION("""COMPUTED_VALUE"""),1.018)</f>
        <v>1.018</v>
      </c>
      <c r="E6262" s="16">
        <f>IFERROR(__xludf.DUMMYFUNCTION("""COMPUTED_VALUE"""),63.0)</f>
        <v>63</v>
      </c>
      <c r="F6262" s="19" t="str">
        <f>IFERROR(__xludf.DUMMYFUNCTION("""COMPUTED_VALUE"""),"BLUE")</f>
        <v>BLUE</v>
      </c>
      <c r="G6262" s="20" t="str">
        <f>IFERROR(__xludf.DUMMYFUNCTION("""COMPUTED_VALUE"""),"Uncle Sams Cider (11/12/2021) (Blue)")</f>
        <v>Uncle Sams Cider (11/12/2021) (Blue)</v>
      </c>
      <c r="H6262" s="19"/>
    </row>
    <row r="6263">
      <c r="A6263" s="9"/>
      <c r="B6263" s="15"/>
      <c r="C6263" s="9">
        <f>IFERROR(__xludf.DUMMYFUNCTION("""COMPUTED_VALUE"""),44539.8721697685)</f>
        <v>44539.87217</v>
      </c>
      <c r="D6263" s="15">
        <f>IFERROR(__xludf.DUMMYFUNCTION("""COMPUTED_VALUE"""),1.019)</f>
        <v>1.019</v>
      </c>
      <c r="E6263" s="16">
        <f>IFERROR(__xludf.DUMMYFUNCTION("""COMPUTED_VALUE"""),63.0)</f>
        <v>63</v>
      </c>
      <c r="F6263" s="19" t="str">
        <f>IFERROR(__xludf.DUMMYFUNCTION("""COMPUTED_VALUE"""),"BLUE")</f>
        <v>BLUE</v>
      </c>
      <c r="G6263" s="20" t="str">
        <f>IFERROR(__xludf.DUMMYFUNCTION("""COMPUTED_VALUE"""),"Uncle Sams Cider (11/12/2021) (Blue)")</f>
        <v>Uncle Sams Cider (11/12/2021) (Blue)</v>
      </c>
      <c r="H6263" s="19"/>
    </row>
    <row r="6264">
      <c r="A6264" s="9"/>
      <c r="B6264" s="15"/>
      <c r="C6264" s="9">
        <f>IFERROR(__xludf.DUMMYFUNCTION("""COMPUTED_VALUE"""),44539.8617251273)</f>
        <v>44539.86173</v>
      </c>
      <c r="D6264" s="15">
        <f>IFERROR(__xludf.DUMMYFUNCTION("""COMPUTED_VALUE"""),1.019)</f>
        <v>1.019</v>
      </c>
      <c r="E6264" s="16">
        <f>IFERROR(__xludf.DUMMYFUNCTION("""COMPUTED_VALUE"""),63.0)</f>
        <v>63</v>
      </c>
      <c r="F6264" s="19" t="str">
        <f>IFERROR(__xludf.DUMMYFUNCTION("""COMPUTED_VALUE"""),"BLUE")</f>
        <v>BLUE</v>
      </c>
      <c r="G6264" s="20" t="str">
        <f>IFERROR(__xludf.DUMMYFUNCTION("""COMPUTED_VALUE"""),"Uncle Sams Cider (11/12/2021) (Blue)")</f>
        <v>Uncle Sams Cider (11/12/2021) (Blue)</v>
      </c>
      <c r="H6264" s="19"/>
    </row>
    <row r="6265">
      <c r="A6265" s="9"/>
      <c r="B6265" s="15"/>
      <c r="C6265" s="9">
        <f>IFERROR(__xludf.DUMMYFUNCTION("""COMPUTED_VALUE"""),44539.8513039004)</f>
        <v>44539.8513</v>
      </c>
      <c r="D6265" s="15">
        <f>IFERROR(__xludf.DUMMYFUNCTION("""COMPUTED_VALUE"""),1.019)</f>
        <v>1.019</v>
      </c>
      <c r="E6265" s="16">
        <f>IFERROR(__xludf.DUMMYFUNCTION("""COMPUTED_VALUE"""),63.0)</f>
        <v>63</v>
      </c>
      <c r="F6265" s="19" t="str">
        <f>IFERROR(__xludf.DUMMYFUNCTION("""COMPUTED_VALUE"""),"BLUE")</f>
        <v>BLUE</v>
      </c>
      <c r="G6265" s="20" t="str">
        <f>IFERROR(__xludf.DUMMYFUNCTION("""COMPUTED_VALUE"""),"Uncle Sams Cider (11/12/2021) (Blue)")</f>
        <v>Uncle Sams Cider (11/12/2021) (Blue)</v>
      </c>
      <c r="H6265" s="19"/>
    </row>
    <row r="6266">
      <c r="A6266" s="9"/>
      <c r="B6266" s="15"/>
      <c r="C6266" s="9">
        <f>IFERROR(__xludf.DUMMYFUNCTION("""COMPUTED_VALUE"""),44539.8408821064)</f>
        <v>44539.84088</v>
      </c>
      <c r="D6266" s="15">
        <f>IFERROR(__xludf.DUMMYFUNCTION("""COMPUTED_VALUE"""),1.019)</f>
        <v>1.019</v>
      </c>
      <c r="E6266" s="16">
        <f>IFERROR(__xludf.DUMMYFUNCTION("""COMPUTED_VALUE"""),63.0)</f>
        <v>63</v>
      </c>
      <c r="F6266" s="19" t="str">
        <f>IFERROR(__xludf.DUMMYFUNCTION("""COMPUTED_VALUE"""),"BLUE")</f>
        <v>BLUE</v>
      </c>
      <c r="G6266" s="20" t="str">
        <f>IFERROR(__xludf.DUMMYFUNCTION("""COMPUTED_VALUE"""),"Uncle Sams Cider (11/12/2021) (Blue)")</f>
        <v>Uncle Sams Cider (11/12/2021) (Blue)</v>
      </c>
      <c r="H6266" s="19"/>
    </row>
    <row r="6267">
      <c r="A6267" s="9"/>
      <c r="B6267" s="15"/>
      <c r="C6267" s="9">
        <f>IFERROR(__xludf.DUMMYFUNCTION("""COMPUTED_VALUE"""),44539.8304625463)</f>
        <v>44539.83046</v>
      </c>
      <c r="D6267" s="15">
        <f>IFERROR(__xludf.DUMMYFUNCTION("""COMPUTED_VALUE"""),1.019)</f>
        <v>1.019</v>
      </c>
      <c r="E6267" s="16">
        <f>IFERROR(__xludf.DUMMYFUNCTION("""COMPUTED_VALUE"""),63.0)</f>
        <v>63</v>
      </c>
      <c r="F6267" s="19" t="str">
        <f>IFERROR(__xludf.DUMMYFUNCTION("""COMPUTED_VALUE"""),"BLUE")</f>
        <v>BLUE</v>
      </c>
      <c r="G6267" s="20" t="str">
        <f>IFERROR(__xludf.DUMMYFUNCTION("""COMPUTED_VALUE"""),"Uncle Sams Cider (11/12/2021) (Blue)")</f>
        <v>Uncle Sams Cider (11/12/2021) (Blue)</v>
      </c>
      <c r="H6267" s="19"/>
    </row>
    <row r="6268">
      <c r="A6268" s="9"/>
      <c r="B6268" s="15"/>
      <c r="C6268" s="9">
        <f>IFERROR(__xludf.DUMMYFUNCTION("""COMPUTED_VALUE"""),44539.8200412152)</f>
        <v>44539.82004</v>
      </c>
      <c r="D6268" s="15">
        <f>IFERROR(__xludf.DUMMYFUNCTION("""COMPUTED_VALUE"""),1.019)</f>
        <v>1.019</v>
      </c>
      <c r="E6268" s="16">
        <f>IFERROR(__xludf.DUMMYFUNCTION("""COMPUTED_VALUE"""),63.0)</f>
        <v>63</v>
      </c>
      <c r="F6268" s="19" t="str">
        <f>IFERROR(__xludf.DUMMYFUNCTION("""COMPUTED_VALUE"""),"BLUE")</f>
        <v>BLUE</v>
      </c>
      <c r="G6268" s="20" t="str">
        <f>IFERROR(__xludf.DUMMYFUNCTION("""COMPUTED_VALUE"""),"Uncle Sams Cider (11/12/2021) (Blue)")</f>
        <v>Uncle Sams Cider (11/12/2021) (Blue)</v>
      </c>
      <c r="H6268" s="19"/>
    </row>
    <row r="6269">
      <c r="A6269" s="9"/>
      <c r="B6269" s="15"/>
      <c r="C6269" s="9">
        <f>IFERROR(__xludf.DUMMYFUNCTION("""COMPUTED_VALUE"""),44539.8096212037)</f>
        <v>44539.80962</v>
      </c>
      <c r="D6269" s="15">
        <f>IFERROR(__xludf.DUMMYFUNCTION("""COMPUTED_VALUE"""),1.018)</f>
        <v>1.018</v>
      </c>
      <c r="E6269" s="16">
        <f>IFERROR(__xludf.DUMMYFUNCTION("""COMPUTED_VALUE"""),63.0)</f>
        <v>63</v>
      </c>
      <c r="F6269" s="19" t="str">
        <f>IFERROR(__xludf.DUMMYFUNCTION("""COMPUTED_VALUE"""),"BLUE")</f>
        <v>BLUE</v>
      </c>
      <c r="G6269" s="20" t="str">
        <f>IFERROR(__xludf.DUMMYFUNCTION("""COMPUTED_VALUE"""),"Uncle Sams Cider (11/12/2021) (Blue)")</f>
        <v>Uncle Sams Cider (11/12/2021) (Blue)</v>
      </c>
      <c r="H6269" s="19"/>
    </row>
    <row r="6270">
      <c r="A6270" s="9"/>
      <c r="B6270" s="15"/>
      <c r="C6270" s="9">
        <f>IFERROR(__xludf.DUMMYFUNCTION("""COMPUTED_VALUE"""),44539.7991995949)</f>
        <v>44539.7992</v>
      </c>
      <c r="D6270" s="15">
        <f>IFERROR(__xludf.DUMMYFUNCTION("""COMPUTED_VALUE"""),1.019)</f>
        <v>1.019</v>
      </c>
      <c r="E6270" s="16">
        <f>IFERROR(__xludf.DUMMYFUNCTION("""COMPUTED_VALUE"""),63.0)</f>
        <v>63</v>
      </c>
      <c r="F6270" s="19" t="str">
        <f>IFERROR(__xludf.DUMMYFUNCTION("""COMPUTED_VALUE"""),"BLUE")</f>
        <v>BLUE</v>
      </c>
      <c r="G6270" s="20" t="str">
        <f>IFERROR(__xludf.DUMMYFUNCTION("""COMPUTED_VALUE"""),"Uncle Sams Cider (11/12/2021) (Blue)")</f>
        <v>Uncle Sams Cider (11/12/2021) (Blue)</v>
      </c>
      <c r="H6270" s="19"/>
    </row>
    <row r="6271">
      <c r="A6271" s="9"/>
      <c r="B6271" s="15"/>
      <c r="C6271" s="9">
        <f>IFERROR(__xludf.DUMMYFUNCTION("""COMPUTED_VALUE"""),44539.788779375)</f>
        <v>44539.78878</v>
      </c>
      <c r="D6271" s="15">
        <f>IFERROR(__xludf.DUMMYFUNCTION("""COMPUTED_VALUE"""),1.018)</f>
        <v>1.018</v>
      </c>
      <c r="E6271" s="16">
        <f>IFERROR(__xludf.DUMMYFUNCTION("""COMPUTED_VALUE"""),63.0)</f>
        <v>63</v>
      </c>
      <c r="F6271" s="19" t="str">
        <f>IFERROR(__xludf.DUMMYFUNCTION("""COMPUTED_VALUE"""),"BLUE")</f>
        <v>BLUE</v>
      </c>
      <c r="G6271" s="20" t="str">
        <f>IFERROR(__xludf.DUMMYFUNCTION("""COMPUTED_VALUE"""),"Uncle Sams Cider (11/12/2021) (Blue)")</f>
        <v>Uncle Sams Cider (11/12/2021) (Blue)</v>
      </c>
      <c r="H6271" s="19"/>
    </row>
    <row r="6272">
      <c r="A6272" s="9"/>
      <c r="B6272" s="15"/>
      <c r="C6272" s="9">
        <f>IFERROR(__xludf.DUMMYFUNCTION("""COMPUTED_VALUE"""),44539.7783590625)</f>
        <v>44539.77836</v>
      </c>
      <c r="D6272" s="15">
        <f>IFERROR(__xludf.DUMMYFUNCTION("""COMPUTED_VALUE"""),1.018)</f>
        <v>1.018</v>
      </c>
      <c r="E6272" s="16">
        <f>IFERROR(__xludf.DUMMYFUNCTION("""COMPUTED_VALUE"""),63.0)</f>
        <v>63</v>
      </c>
      <c r="F6272" s="19" t="str">
        <f>IFERROR(__xludf.DUMMYFUNCTION("""COMPUTED_VALUE"""),"BLUE")</f>
        <v>BLUE</v>
      </c>
      <c r="G6272" s="20" t="str">
        <f>IFERROR(__xludf.DUMMYFUNCTION("""COMPUTED_VALUE"""),"Uncle Sams Cider (11/12/2021) (Blue)")</f>
        <v>Uncle Sams Cider (11/12/2021) (Blue)</v>
      </c>
      <c r="H6272" s="19"/>
    </row>
    <row r="6273">
      <c r="A6273" s="9"/>
      <c r="B6273" s="15"/>
      <c r="C6273" s="9">
        <f>IFERROR(__xludf.DUMMYFUNCTION("""COMPUTED_VALUE"""),44539.767914375)</f>
        <v>44539.76791</v>
      </c>
      <c r="D6273" s="15">
        <f>IFERROR(__xludf.DUMMYFUNCTION("""COMPUTED_VALUE"""),1.019)</f>
        <v>1.019</v>
      </c>
      <c r="E6273" s="16">
        <f>IFERROR(__xludf.DUMMYFUNCTION("""COMPUTED_VALUE"""),63.0)</f>
        <v>63</v>
      </c>
      <c r="F6273" s="19" t="str">
        <f>IFERROR(__xludf.DUMMYFUNCTION("""COMPUTED_VALUE"""),"BLUE")</f>
        <v>BLUE</v>
      </c>
      <c r="G6273" s="20" t="str">
        <f>IFERROR(__xludf.DUMMYFUNCTION("""COMPUTED_VALUE"""),"Uncle Sams Cider (11/12/2021) (Blue)")</f>
        <v>Uncle Sams Cider (11/12/2021) (Blue)</v>
      </c>
      <c r="H6273" s="19"/>
    </row>
    <row r="6274">
      <c r="A6274" s="9"/>
      <c r="B6274" s="15"/>
      <c r="C6274" s="9">
        <f>IFERROR(__xludf.DUMMYFUNCTION("""COMPUTED_VALUE"""),44539.7574948611)</f>
        <v>44539.75749</v>
      </c>
      <c r="D6274" s="15">
        <f>IFERROR(__xludf.DUMMYFUNCTION("""COMPUTED_VALUE"""),1.019)</f>
        <v>1.019</v>
      </c>
      <c r="E6274" s="16">
        <f>IFERROR(__xludf.DUMMYFUNCTION("""COMPUTED_VALUE"""),63.0)</f>
        <v>63</v>
      </c>
      <c r="F6274" s="19" t="str">
        <f>IFERROR(__xludf.DUMMYFUNCTION("""COMPUTED_VALUE"""),"BLUE")</f>
        <v>BLUE</v>
      </c>
      <c r="G6274" s="20" t="str">
        <f>IFERROR(__xludf.DUMMYFUNCTION("""COMPUTED_VALUE"""),"Uncle Sams Cider (11/12/2021) (Blue)")</f>
        <v>Uncle Sams Cider (11/12/2021) (Blue)</v>
      </c>
      <c r="H6274" s="19"/>
    </row>
    <row r="6275">
      <c r="A6275" s="9"/>
      <c r="B6275" s="15"/>
      <c r="C6275" s="9">
        <f>IFERROR(__xludf.DUMMYFUNCTION("""COMPUTED_VALUE"""),44539.7470744213)</f>
        <v>44539.74707</v>
      </c>
      <c r="D6275" s="15">
        <f>IFERROR(__xludf.DUMMYFUNCTION("""COMPUTED_VALUE"""),1.019)</f>
        <v>1.019</v>
      </c>
      <c r="E6275" s="16">
        <f>IFERROR(__xludf.DUMMYFUNCTION("""COMPUTED_VALUE"""),63.0)</f>
        <v>63</v>
      </c>
      <c r="F6275" s="19" t="str">
        <f>IFERROR(__xludf.DUMMYFUNCTION("""COMPUTED_VALUE"""),"BLUE")</f>
        <v>BLUE</v>
      </c>
      <c r="G6275" s="20" t="str">
        <f>IFERROR(__xludf.DUMMYFUNCTION("""COMPUTED_VALUE"""),"Uncle Sams Cider (11/12/2021) (Blue)")</f>
        <v>Uncle Sams Cider (11/12/2021) (Blue)</v>
      </c>
      <c r="H6275" s="19"/>
    </row>
    <row r="6276">
      <c r="A6276" s="9"/>
      <c r="B6276" s="15"/>
      <c r="C6276" s="9">
        <f>IFERROR(__xludf.DUMMYFUNCTION("""COMPUTED_VALUE"""),44539.7366517708)</f>
        <v>44539.73665</v>
      </c>
      <c r="D6276" s="15">
        <f>IFERROR(__xludf.DUMMYFUNCTION("""COMPUTED_VALUE"""),1.019)</f>
        <v>1.019</v>
      </c>
      <c r="E6276" s="16">
        <f>IFERROR(__xludf.DUMMYFUNCTION("""COMPUTED_VALUE"""),63.0)</f>
        <v>63</v>
      </c>
      <c r="F6276" s="19" t="str">
        <f>IFERROR(__xludf.DUMMYFUNCTION("""COMPUTED_VALUE"""),"BLUE")</f>
        <v>BLUE</v>
      </c>
      <c r="G6276" s="20" t="str">
        <f>IFERROR(__xludf.DUMMYFUNCTION("""COMPUTED_VALUE"""),"Uncle Sams Cider (11/12/2021) (Blue)")</f>
        <v>Uncle Sams Cider (11/12/2021) (Blue)</v>
      </c>
      <c r="H6276" s="19"/>
    </row>
    <row r="6277">
      <c r="A6277" s="9"/>
      <c r="B6277" s="15"/>
      <c r="C6277" s="9">
        <f>IFERROR(__xludf.DUMMYFUNCTION("""COMPUTED_VALUE"""),44539.7262298611)</f>
        <v>44539.72623</v>
      </c>
      <c r="D6277" s="15">
        <f>IFERROR(__xludf.DUMMYFUNCTION("""COMPUTED_VALUE"""),1.019)</f>
        <v>1.019</v>
      </c>
      <c r="E6277" s="16">
        <f>IFERROR(__xludf.DUMMYFUNCTION("""COMPUTED_VALUE"""),63.0)</f>
        <v>63</v>
      </c>
      <c r="F6277" s="19" t="str">
        <f>IFERROR(__xludf.DUMMYFUNCTION("""COMPUTED_VALUE"""),"BLUE")</f>
        <v>BLUE</v>
      </c>
      <c r="G6277" s="20" t="str">
        <f>IFERROR(__xludf.DUMMYFUNCTION("""COMPUTED_VALUE"""),"Uncle Sams Cider (11/12/2021) (Blue)")</f>
        <v>Uncle Sams Cider (11/12/2021) (Blue)</v>
      </c>
      <c r="H6277" s="19"/>
    </row>
    <row r="6278">
      <c r="A6278" s="9"/>
      <c r="B6278" s="15"/>
      <c r="C6278" s="9">
        <f>IFERROR(__xludf.DUMMYFUNCTION("""COMPUTED_VALUE"""),44539.7157967824)</f>
        <v>44539.7158</v>
      </c>
      <c r="D6278" s="15">
        <f>IFERROR(__xludf.DUMMYFUNCTION("""COMPUTED_VALUE"""),1.019)</f>
        <v>1.019</v>
      </c>
      <c r="E6278" s="16">
        <f>IFERROR(__xludf.DUMMYFUNCTION("""COMPUTED_VALUE"""),63.0)</f>
        <v>63</v>
      </c>
      <c r="F6278" s="19" t="str">
        <f>IFERROR(__xludf.DUMMYFUNCTION("""COMPUTED_VALUE"""),"BLUE")</f>
        <v>BLUE</v>
      </c>
      <c r="G6278" s="20" t="str">
        <f>IFERROR(__xludf.DUMMYFUNCTION("""COMPUTED_VALUE"""),"Uncle Sams Cider (11/12/2021) (Blue)")</f>
        <v>Uncle Sams Cider (11/12/2021) (Blue)</v>
      </c>
      <c r="H6278" s="19"/>
    </row>
    <row r="6279">
      <c r="A6279" s="9"/>
      <c r="B6279" s="15"/>
      <c r="C6279" s="9">
        <f>IFERROR(__xludf.DUMMYFUNCTION("""COMPUTED_VALUE"""),44539.7053523611)</f>
        <v>44539.70535</v>
      </c>
      <c r="D6279" s="15">
        <f>IFERROR(__xludf.DUMMYFUNCTION("""COMPUTED_VALUE"""),1.019)</f>
        <v>1.019</v>
      </c>
      <c r="E6279" s="16">
        <f>IFERROR(__xludf.DUMMYFUNCTION("""COMPUTED_VALUE"""),63.0)</f>
        <v>63</v>
      </c>
      <c r="F6279" s="19" t="str">
        <f>IFERROR(__xludf.DUMMYFUNCTION("""COMPUTED_VALUE"""),"BLUE")</f>
        <v>BLUE</v>
      </c>
      <c r="G6279" s="20" t="str">
        <f>IFERROR(__xludf.DUMMYFUNCTION("""COMPUTED_VALUE"""),"Uncle Sams Cider (11/12/2021) (Blue)")</f>
        <v>Uncle Sams Cider (11/12/2021) (Blue)</v>
      </c>
      <c r="H6279" s="19"/>
    </row>
    <row r="6280">
      <c r="A6280" s="9"/>
      <c r="B6280" s="15"/>
      <c r="C6280" s="9">
        <f>IFERROR(__xludf.DUMMYFUNCTION("""COMPUTED_VALUE"""),44539.6949199421)</f>
        <v>44539.69492</v>
      </c>
      <c r="D6280" s="15">
        <f>IFERROR(__xludf.DUMMYFUNCTION("""COMPUTED_VALUE"""),1.019)</f>
        <v>1.019</v>
      </c>
      <c r="E6280" s="16">
        <f>IFERROR(__xludf.DUMMYFUNCTION("""COMPUTED_VALUE"""),63.0)</f>
        <v>63</v>
      </c>
      <c r="F6280" s="19" t="str">
        <f>IFERROR(__xludf.DUMMYFUNCTION("""COMPUTED_VALUE"""),"BLUE")</f>
        <v>BLUE</v>
      </c>
      <c r="G6280" s="20" t="str">
        <f>IFERROR(__xludf.DUMMYFUNCTION("""COMPUTED_VALUE"""),"Uncle Sams Cider (11/12/2021) (Blue)")</f>
        <v>Uncle Sams Cider (11/12/2021) (Blue)</v>
      </c>
      <c r="H6280" s="19"/>
    </row>
    <row r="6281">
      <c r="A6281" s="9"/>
      <c r="B6281" s="15"/>
      <c r="C6281" s="9">
        <f>IFERROR(__xludf.DUMMYFUNCTION("""COMPUTED_VALUE"""),44539.6844978009)</f>
        <v>44539.6845</v>
      </c>
      <c r="D6281" s="15">
        <f>IFERROR(__xludf.DUMMYFUNCTION("""COMPUTED_VALUE"""),1.019)</f>
        <v>1.019</v>
      </c>
      <c r="E6281" s="16">
        <f>IFERROR(__xludf.DUMMYFUNCTION("""COMPUTED_VALUE"""),63.0)</f>
        <v>63</v>
      </c>
      <c r="F6281" s="19" t="str">
        <f>IFERROR(__xludf.DUMMYFUNCTION("""COMPUTED_VALUE"""),"BLUE")</f>
        <v>BLUE</v>
      </c>
      <c r="G6281" s="20" t="str">
        <f>IFERROR(__xludf.DUMMYFUNCTION("""COMPUTED_VALUE"""),"Uncle Sams Cider (11/12/2021) (Blue)")</f>
        <v>Uncle Sams Cider (11/12/2021) (Blue)</v>
      </c>
      <c r="H6281" s="19"/>
    </row>
    <row r="6282">
      <c r="A6282" s="9"/>
      <c r="B6282" s="15"/>
      <c r="C6282" s="9">
        <f>IFERROR(__xludf.DUMMYFUNCTION("""COMPUTED_VALUE"""),44539.6740773379)</f>
        <v>44539.67408</v>
      </c>
      <c r="D6282" s="15">
        <f>IFERROR(__xludf.DUMMYFUNCTION("""COMPUTED_VALUE"""),1.019)</f>
        <v>1.019</v>
      </c>
      <c r="E6282" s="16">
        <f>IFERROR(__xludf.DUMMYFUNCTION("""COMPUTED_VALUE"""),63.0)</f>
        <v>63</v>
      </c>
      <c r="F6282" s="19" t="str">
        <f>IFERROR(__xludf.DUMMYFUNCTION("""COMPUTED_VALUE"""),"BLUE")</f>
        <v>BLUE</v>
      </c>
      <c r="G6282" s="20" t="str">
        <f>IFERROR(__xludf.DUMMYFUNCTION("""COMPUTED_VALUE"""),"Uncle Sams Cider (11/12/2021) (Blue)")</f>
        <v>Uncle Sams Cider (11/12/2021) (Blue)</v>
      </c>
      <c r="H6282" s="19"/>
    </row>
    <row r="6283">
      <c r="A6283" s="9"/>
      <c r="B6283" s="15"/>
      <c r="C6283" s="9">
        <f>IFERROR(__xludf.DUMMYFUNCTION("""COMPUTED_VALUE"""),44539.6636569212)</f>
        <v>44539.66366</v>
      </c>
      <c r="D6283" s="15">
        <f>IFERROR(__xludf.DUMMYFUNCTION("""COMPUTED_VALUE"""),1.019)</f>
        <v>1.019</v>
      </c>
      <c r="E6283" s="16">
        <f>IFERROR(__xludf.DUMMYFUNCTION("""COMPUTED_VALUE"""),63.0)</f>
        <v>63</v>
      </c>
      <c r="F6283" s="19" t="str">
        <f>IFERROR(__xludf.DUMMYFUNCTION("""COMPUTED_VALUE"""),"BLUE")</f>
        <v>BLUE</v>
      </c>
      <c r="G6283" s="20" t="str">
        <f>IFERROR(__xludf.DUMMYFUNCTION("""COMPUTED_VALUE"""),"Uncle Sams Cider (11/12/2021) (Blue)")</f>
        <v>Uncle Sams Cider (11/12/2021) (Blue)</v>
      </c>
      <c r="H6283" s="19"/>
    </row>
    <row r="6284">
      <c r="A6284" s="9"/>
      <c r="B6284" s="15"/>
      <c r="C6284" s="9">
        <f>IFERROR(__xludf.DUMMYFUNCTION("""COMPUTED_VALUE"""),44539.6532357986)</f>
        <v>44539.65324</v>
      </c>
      <c r="D6284" s="15">
        <f>IFERROR(__xludf.DUMMYFUNCTION("""COMPUTED_VALUE"""),1.019)</f>
        <v>1.019</v>
      </c>
      <c r="E6284" s="16">
        <f>IFERROR(__xludf.DUMMYFUNCTION("""COMPUTED_VALUE"""),63.0)</f>
        <v>63</v>
      </c>
      <c r="F6284" s="19" t="str">
        <f>IFERROR(__xludf.DUMMYFUNCTION("""COMPUTED_VALUE"""),"BLUE")</f>
        <v>BLUE</v>
      </c>
      <c r="G6284" s="20" t="str">
        <f>IFERROR(__xludf.DUMMYFUNCTION("""COMPUTED_VALUE"""),"Uncle Sams Cider (11/12/2021) (Blue)")</f>
        <v>Uncle Sams Cider (11/12/2021) (Blue)</v>
      </c>
      <c r="H6284" s="19"/>
    </row>
    <row r="6285">
      <c r="A6285" s="9"/>
      <c r="B6285" s="15"/>
      <c r="C6285" s="9">
        <f>IFERROR(__xludf.DUMMYFUNCTION("""COMPUTED_VALUE"""),44539.6428158449)</f>
        <v>44539.64282</v>
      </c>
      <c r="D6285" s="15">
        <f>IFERROR(__xludf.DUMMYFUNCTION("""COMPUTED_VALUE"""),1.019)</f>
        <v>1.019</v>
      </c>
      <c r="E6285" s="16">
        <f>IFERROR(__xludf.DUMMYFUNCTION("""COMPUTED_VALUE"""),63.0)</f>
        <v>63</v>
      </c>
      <c r="F6285" s="19" t="str">
        <f>IFERROR(__xludf.DUMMYFUNCTION("""COMPUTED_VALUE"""),"BLUE")</f>
        <v>BLUE</v>
      </c>
      <c r="G6285" s="20" t="str">
        <f>IFERROR(__xludf.DUMMYFUNCTION("""COMPUTED_VALUE"""),"Uncle Sams Cider (11/12/2021) (Blue)")</f>
        <v>Uncle Sams Cider (11/12/2021) (Blue)</v>
      </c>
      <c r="H6285" s="19"/>
    </row>
    <row r="6286">
      <c r="A6286" s="9"/>
      <c r="B6286" s="15"/>
      <c r="C6286" s="9">
        <f>IFERROR(__xludf.DUMMYFUNCTION("""COMPUTED_VALUE"""),44539.6323942129)</f>
        <v>44539.63239</v>
      </c>
      <c r="D6286" s="15">
        <f>IFERROR(__xludf.DUMMYFUNCTION("""COMPUTED_VALUE"""),1.019)</f>
        <v>1.019</v>
      </c>
      <c r="E6286" s="16">
        <f>IFERROR(__xludf.DUMMYFUNCTION("""COMPUTED_VALUE"""),63.0)</f>
        <v>63</v>
      </c>
      <c r="F6286" s="19" t="str">
        <f>IFERROR(__xludf.DUMMYFUNCTION("""COMPUTED_VALUE"""),"BLUE")</f>
        <v>BLUE</v>
      </c>
      <c r="G6286" s="20" t="str">
        <f>IFERROR(__xludf.DUMMYFUNCTION("""COMPUTED_VALUE"""),"Uncle Sams Cider (11/12/2021) (Blue)")</f>
        <v>Uncle Sams Cider (11/12/2021) (Blue)</v>
      </c>
      <c r="H6286" s="19"/>
    </row>
    <row r="6287">
      <c r="A6287" s="9"/>
      <c r="B6287" s="15"/>
      <c r="C6287" s="9">
        <f>IFERROR(__xludf.DUMMYFUNCTION("""COMPUTED_VALUE"""),44539.6219721759)</f>
        <v>44539.62197</v>
      </c>
      <c r="D6287" s="15">
        <f>IFERROR(__xludf.DUMMYFUNCTION("""COMPUTED_VALUE"""),1.019)</f>
        <v>1.019</v>
      </c>
      <c r="E6287" s="16">
        <f>IFERROR(__xludf.DUMMYFUNCTION("""COMPUTED_VALUE"""),63.0)</f>
        <v>63</v>
      </c>
      <c r="F6287" s="19" t="str">
        <f>IFERROR(__xludf.DUMMYFUNCTION("""COMPUTED_VALUE"""),"BLUE")</f>
        <v>BLUE</v>
      </c>
      <c r="G6287" s="20" t="str">
        <f>IFERROR(__xludf.DUMMYFUNCTION("""COMPUTED_VALUE"""),"Uncle Sams Cider (11/12/2021) (Blue)")</f>
        <v>Uncle Sams Cider (11/12/2021) (Blue)</v>
      </c>
      <c r="H6287" s="19"/>
    </row>
    <row r="6288">
      <c r="A6288" s="9"/>
      <c r="B6288" s="15"/>
      <c r="C6288" s="9">
        <f>IFERROR(__xludf.DUMMYFUNCTION("""COMPUTED_VALUE"""),44539.6115517708)</f>
        <v>44539.61155</v>
      </c>
      <c r="D6288" s="15">
        <f>IFERROR(__xludf.DUMMYFUNCTION("""COMPUTED_VALUE"""),1.019)</f>
        <v>1.019</v>
      </c>
      <c r="E6288" s="16">
        <f>IFERROR(__xludf.DUMMYFUNCTION("""COMPUTED_VALUE"""),63.0)</f>
        <v>63</v>
      </c>
      <c r="F6288" s="19" t="str">
        <f>IFERROR(__xludf.DUMMYFUNCTION("""COMPUTED_VALUE"""),"BLUE")</f>
        <v>BLUE</v>
      </c>
      <c r="G6288" s="20" t="str">
        <f>IFERROR(__xludf.DUMMYFUNCTION("""COMPUTED_VALUE"""),"Uncle Sams Cider (11/12/2021) (Blue)")</f>
        <v>Uncle Sams Cider (11/12/2021) (Blue)</v>
      </c>
      <c r="H6288" s="19"/>
    </row>
    <row r="6289">
      <c r="A6289" s="9"/>
      <c r="B6289" s="15"/>
      <c r="C6289" s="9">
        <f>IFERROR(__xludf.DUMMYFUNCTION("""COMPUTED_VALUE"""),44539.6011296296)</f>
        <v>44539.60113</v>
      </c>
      <c r="D6289" s="15">
        <f>IFERROR(__xludf.DUMMYFUNCTION("""COMPUTED_VALUE"""),1.019)</f>
        <v>1.019</v>
      </c>
      <c r="E6289" s="16">
        <f>IFERROR(__xludf.DUMMYFUNCTION("""COMPUTED_VALUE"""),63.0)</f>
        <v>63</v>
      </c>
      <c r="F6289" s="19" t="str">
        <f>IFERROR(__xludf.DUMMYFUNCTION("""COMPUTED_VALUE"""),"BLUE")</f>
        <v>BLUE</v>
      </c>
      <c r="G6289" s="20" t="str">
        <f>IFERROR(__xludf.DUMMYFUNCTION("""COMPUTED_VALUE"""),"Uncle Sams Cider (11/12/2021) (Blue)")</f>
        <v>Uncle Sams Cider (11/12/2021) (Blue)</v>
      </c>
      <c r="H6289" s="19"/>
    </row>
    <row r="6290">
      <c r="A6290" s="9"/>
      <c r="B6290" s="15"/>
      <c r="C6290" s="9">
        <f>IFERROR(__xludf.DUMMYFUNCTION("""COMPUTED_VALUE"""),44539.5907099652)</f>
        <v>44539.59071</v>
      </c>
      <c r="D6290" s="15">
        <f>IFERROR(__xludf.DUMMYFUNCTION("""COMPUTED_VALUE"""),1.019)</f>
        <v>1.019</v>
      </c>
      <c r="E6290" s="16">
        <f>IFERROR(__xludf.DUMMYFUNCTION("""COMPUTED_VALUE"""),63.0)</f>
        <v>63</v>
      </c>
      <c r="F6290" s="19" t="str">
        <f>IFERROR(__xludf.DUMMYFUNCTION("""COMPUTED_VALUE"""),"BLUE")</f>
        <v>BLUE</v>
      </c>
      <c r="G6290" s="20" t="str">
        <f>IFERROR(__xludf.DUMMYFUNCTION("""COMPUTED_VALUE"""),"Uncle Sams Cider (11/12/2021) (Blue)")</f>
        <v>Uncle Sams Cider (11/12/2021) (Blue)</v>
      </c>
      <c r="H6290" s="19"/>
    </row>
    <row r="6291">
      <c r="A6291" s="9"/>
      <c r="B6291" s="15"/>
      <c r="C6291" s="9">
        <f>IFERROR(__xludf.DUMMYFUNCTION("""COMPUTED_VALUE"""),44539.580275949)</f>
        <v>44539.58028</v>
      </c>
      <c r="D6291" s="15">
        <f>IFERROR(__xludf.DUMMYFUNCTION("""COMPUTED_VALUE"""),1.019)</f>
        <v>1.019</v>
      </c>
      <c r="E6291" s="16">
        <f>IFERROR(__xludf.DUMMYFUNCTION("""COMPUTED_VALUE"""),63.0)</f>
        <v>63</v>
      </c>
      <c r="F6291" s="19" t="str">
        <f>IFERROR(__xludf.DUMMYFUNCTION("""COMPUTED_VALUE"""),"BLUE")</f>
        <v>BLUE</v>
      </c>
      <c r="G6291" s="20" t="str">
        <f>IFERROR(__xludf.DUMMYFUNCTION("""COMPUTED_VALUE"""),"Uncle Sams Cider (11/12/2021) (Blue)")</f>
        <v>Uncle Sams Cider (11/12/2021) (Blue)</v>
      </c>
      <c r="H6291" s="19"/>
    </row>
    <row r="6292">
      <c r="A6292" s="9"/>
      <c r="B6292" s="15"/>
      <c r="C6292" s="9">
        <f>IFERROR(__xludf.DUMMYFUNCTION("""COMPUTED_VALUE"""),44539.5698547453)</f>
        <v>44539.56985</v>
      </c>
      <c r="D6292" s="15">
        <f>IFERROR(__xludf.DUMMYFUNCTION("""COMPUTED_VALUE"""),1.019)</f>
        <v>1.019</v>
      </c>
      <c r="E6292" s="16">
        <f>IFERROR(__xludf.DUMMYFUNCTION("""COMPUTED_VALUE"""),63.0)</f>
        <v>63</v>
      </c>
      <c r="F6292" s="19" t="str">
        <f>IFERROR(__xludf.DUMMYFUNCTION("""COMPUTED_VALUE"""),"BLUE")</f>
        <v>BLUE</v>
      </c>
      <c r="G6292" s="20" t="str">
        <f>IFERROR(__xludf.DUMMYFUNCTION("""COMPUTED_VALUE"""),"Uncle Sams Cider (11/12/2021) (Blue)")</f>
        <v>Uncle Sams Cider (11/12/2021) (Blue)</v>
      </c>
      <c r="H6292" s="19"/>
    </row>
    <row r="6293">
      <c r="A6293" s="9"/>
      <c r="B6293" s="15"/>
      <c r="C6293" s="9">
        <f>IFERROR(__xludf.DUMMYFUNCTION("""COMPUTED_VALUE"""),44539.5594315393)</f>
        <v>44539.55943</v>
      </c>
      <c r="D6293" s="15">
        <f>IFERROR(__xludf.DUMMYFUNCTION("""COMPUTED_VALUE"""),1.019)</f>
        <v>1.019</v>
      </c>
      <c r="E6293" s="16">
        <f>IFERROR(__xludf.DUMMYFUNCTION("""COMPUTED_VALUE"""),63.0)</f>
        <v>63</v>
      </c>
      <c r="F6293" s="19" t="str">
        <f>IFERROR(__xludf.DUMMYFUNCTION("""COMPUTED_VALUE"""),"BLUE")</f>
        <v>BLUE</v>
      </c>
      <c r="G6293" s="20" t="str">
        <f>IFERROR(__xludf.DUMMYFUNCTION("""COMPUTED_VALUE"""),"Uncle Sams Cider (11/12/2021) (Blue)")</f>
        <v>Uncle Sams Cider (11/12/2021) (Blue)</v>
      </c>
      <c r="H6293" s="19"/>
    </row>
    <row r="6294">
      <c r="A6294" s="9"/>
      <c r="B6294" s="15"/>
      <c r="C6294" s="9">
        <f>IFERROR(__xludf.DUMMYFUNCTION("""COMPUTED_VALUE"""),44539.549010625)</f>
        <v>44539.54901</v>
      </c>
      <c r="D6294" s="15">
        <f>IFERROR(__xludf.DUMMYFUNCTION("""COMPUTED_VALUE"""),1.019)</f>
        <v>1.019</v>
      </c>
      <c r="E6294" s="16">
        <f>IFERROR(__xludf.DUMMYFUNCTION("""COMPUTED_VALUE"""),63.0)</f>
        <v>63</v>
      </c>
      <c r="F6294" s="19" t="str">
        <f>IFERROR(__xludf.DUMMYFUNCTION("""COMPUTED_VALUE"""),"BLUE")</f>
        <v>BLUE</v>
      </c>
      <c r="G6294" s="20" t="str">
        <f>IFERROR(__xludf.DUMMYFUNCTION("""COMPUTED_VALUE"""),"Uncle Sams Cider (11/12/2021) (Blue)")</f>
        <v>Uncle Sams Cider (11/12/2021) (Blue)</v>
      </c>
      <c r="H6294" s="19"/>
    </row>
    <row r="6295">
      <c r="A6295" s="9"/>
      <c r="B6295" s="15"/>
      <c r="C6295" s="9">
        <f>IFERROR(__xludf.DUMMYFUNCTION("""COMPUTED_VALUE"""),44539.5385904745)</f>
        <v>44539.53859</v>
      </c>
      <c r="D6295" s="15">
        <f>IFERROR(__xludf.DUMMYFUNCTION("""COMPUTED_VALUE"""),1.019)</f>
        <v>1.019</v>
      </c>
      <c r="E6295" s="16">
        <f>IFERROR(__xludf.DUMMYFUNCTION("""COMPUTED_VALUE"""),63.0)</f>
        <v>63</v>
      </c>
      <c r="F6295" s="19" t="str">
        <f>IFERROR(__xludf.DUMMYFUNCTION("""COMPUTED_VALUE"""),"BLUE")</f>
        <v>BLUE</v>
      </c>
      <c r="G6295" s="20" t="str">
        <f>IFERROR(__xludf.DUMMYFUNCTION("""COMPUTED_VALUE"""),"Uncle Sams Cider (11/12/2021) (Blue)")</f>
        <v>Uncle Sams Cider (11/12/2021) (Blue)</v>
      </c>
      <c r="H6295" s="19"/>
    </row>
    <row r="6296">
      <c r="A6296" s="9"/>
      <c r="B6296" s="15"/>
      <c r="C6296" s="9">
        <f>IFERROR(__xludf.DUMMYFUNCTION("""COMPUTED_VALUE"""),44539.5281684143)</f>
        <v>44539.52817</v>
      </c>
      <c r="D6296" s="15">
        <f>IFERROR(__xludf.DUMMYFUNCTION("""COMPUTED_VALUE"""),1.019)</f>
        <v>1.019</v>
      </c>
      <c r="E6296" s="16">
        <f>IFERROR(__xludf.DUMMYFUNCTION("""COMPUTED_VALUE"""),63.0)</f>
        <v>63</v>
      </c>
      <c r="F6296" s="19" t="str">
        <f>IFERROR(__xludf.DUMMYFUNCTION("""COMPUTED_VALUE"""),"BLUE")</f>
        <v>BLUE</v>
      </c>
      <c r="G6296" s="20" t="str">
        <f>IFERROR(__xludf.DUMMYFUNCTION("""COMPUTED_VALUE"""),"Uncle Sams Cider (11/12/2021) (Blue)")</f>
        <v>Uncle Sams Cider (11/12/2021) (Blue)</v>
      </c>
      <c r="H6296" s="19"/>
    </row>
    <row r="6297">
      <c r="A6297" s="9"/>
      <c r="B6297" s="15"/>
      <c r="C6297" s="9">
        <f>IFERROR(__xludf.DUMMYFUNCTION("""COMPUTED_VALUE"""),44539.5177466319)</f>
        <v>44539.51775</v>
      </c>
      <c r="D6297" s="15">
        <f>IFERROR(__xludf.DUMMYFUNCTION("""COMPUTED_VALUE"""),1.019)</f>
        <v>1.019</v>
      </c>
      <c r="E6297" s="16">
        <f>IFERROR(__xludf.DUMMYFUNCTION("""COMPUTED_VALUE"""),63.0)</f>
        <v>63</v>
      </c>
      <c r="F6297" s="19" t="str">
        <f>IFERROR(__xludf.DUMMYFUNCTION("""COMPUTED_VALUE"""),"BLUE")</f>
        <v>BLUE</v>
      </c>
      <c r="G6297" s="20" t="str">
        <f>IFERROR(__xludf.DUMMYFUNCTION("""COMPUTED_VALUE"""),"Uncle Sams Cider (11/12/2021) (Blue)")</f>
        <v>Uncle Sams Cider (11/12/2021) (Blue)</v>
      </c>
      <c r="H6297" s="19"/>
    </row>
    <row r="6298">
      <c r="A6298" s="9"/>
      <c r="B6298" s="15"/>
      <c r="C6298" s="9">
        <f>IFERROR(__xludf.DUMMYFUNCTION("""COMPUTED_VALUE"""),44539.5073245023)</f>
        <v>44539.50732</v>
      </c>
      <c r="D6298" s="15">
        <f>IFERROR(__xludf.DUMMYFUNCTION("""COMPUTED_VALUE"""),1.019)</f>
        <v>1.019</v>
      </c>
      <c r="E6298" s="16">
        <f>IFERROR(__xludf.DUMMYFUNCTION("""COMPUTED_VALUE"""),63.0)</f>
        <v>63</v>
      </c>
      <c r="F6298" s="19" t="str">
        <f>IFERROR(__xludf.DUMMYFUNCTION("""COMPUTED_VALUE"""),"BLUE")</f>
        <v>BLUE</v>
      </c>
      <c r="G6298" s="20" t="str">
        <f>IFERROR(__xludf.DUMMYFUNCTION("""COMPUTED_VALUE"""),"Uncle Sams Cider (11/12/2021) (Blue)")</f>
        <v>Uncle Sams Cider (11/12/2021) (Blue)</v>
      </c>
      <c r="H6298" s="19"/>
    </row>
    <row r="6299">
      <c r="A6299" s="9"/>
      <c r="B6299" s="15"/>
      <c r="C6299" s="9">
        <f>IFERROR(__xludf.DUMMYFUNCTION("""COMPUTED_VALUE"""),44539.4969042708)</f>
        <v>44539.4969</v>
      </c>
      <c r="D6299" s="15">
        <f>IFERROR(__xludf.DUMMYFUNCTION("""COMPUTED_VALUE"""),1.019)</f>
        <v>1.019</v>
      </c>
      <c r="E6299" s="16">
        <f>IFERROR(__xludf.DUMMYFUNCTION("""COMPUTED_VALUE"""),63.0)</f>
        <v>63</v>
      </c>
      <c r="F6299" s="19" t="str">
        <f>IFERROR(__xludf.DUMMYFUNCTION("""COMPUTED_VALUE"""),"BLUE")</f>
        <v>BLUE</v>
      </c>
      <c r="G6299" s="20" t="str">
        <f>IFERROR(__xludf.DUMMYFUNCTION("""COMPUTED_VALUE"""),"Uncle Sams Cider (11/12/2021) (Blue)")</f>
        <v>Uncle Sams Cider (11/12/2021) (Blue)</v>
      </c>
      <c r="H6299" s="19"/>
    </row>
    <row r="6300">
      <c r="A6300" s="9"/>
      <c r="B6300" s="15"/>
      <c r="C6300" s="9">
        <f>IFERROR(__xludf.DUMMYFUNCTION("""COMPUTED_VALUE"""),44539.4864703935)</f>
        <v>44539.48647</v>
      </c>
      <c r="D6300" s="15">
        <f>IFERROR(__xludf.DUMMYFUNCTION("""COMPUTED_VALUE"""),1.019)</f>
        <v>1.019</v>
      </c>
      <c r="E6300" s="16">
        <f>IFERROR(__xludf.DUMMYFUNCTION("""COMPUTED_VALUE"""),63.0)</f>
        <v>63</v>
      </c>
      <c r="F6300" s="19" t="str">
        <f>IFERROR(__xludf.DUMMYFUNCTION("""COMPUTED_VALUE"""),"BLUE")</f>
        <v>BLUE</v>
      </c>
      <c r="G6300" s="20" t="str">
        <f>IFERROR(__xludf.DUMMYFUNCTION("""COMPUTED_VALUE"""),"Uncle Sams Cider (11/12/2021) (Blue)")</f>
        <v>Uncle Sams Cider (11/12/2021) (Blue)</v>
      </c>
      <c r="H6300" s="19"/>
    </row>
    <row r="6301">
      <c r="A6301" s="9"/>
      <c r="B6301" s="15"/>
      <c r="C6301" s="9">
        <f>IFERROR(__xludf.DUMMYFUNCTION("""COMPUTED_VALUE"""),44539.4760477893)</f>
        <v>44539.47605</v>
      </c>
      <c r="D6301" s="15">
        <f>IFERROR(__xludf.DUMMYFUNCTION("""COMPUTED_VALUE"""),1.019)</f>
        <v>1.019</v>
      </c>
      <c r="E6301" s="16">
        <f>IFERROR(__xludf.DUMMYFUNCTION("""COMPUTED_VALUE"""),63.0)</f>
        <v>63</v>
      </c>
      <c r="F6301" s="19" t="str">
        <f>IFERROR(__xludf.DUMMYFUNCTION("""COMPUTED_VALUE"""),"BLUE")</f>
        <v>BLUE</v>
      </c>
      <c r="G6301" s="20" t="str">
        <f>IFERROR(__xludf.DUMMYFUNCTION("""COMPUTED_VALUE"""),"Uncle Sams Cider (11/12/2021) (Blue)")</f>
        <v>Uncle Sams Cider (11/12/2021) (Blue)</v>
      </c>
      <c r="H6301" s="19"/>
    </row>
    <row r="6302">
      <c r="A6302" s="9"/>
      <c r="B6302" s="15"/>
      <c r="C6302" s="9">
        <f>IFERROR(__xludf.DUMMYFUNCTION("""COMPUTED_VALUE"""),44539.4656248958)</f>
        <v>44539.46562</v>
      </c>
      <c r="D6302" s="15">
        <f>IFERROR(__xludf.DUMMYFUNCTION("""COMPUTED_VALUE"""),1.019)</f>
        <v>1.019</v>
      </c>
      <c r="E6302" s="16">
        <f>IFERROR(__xludf.DUMMYFUNCTION("""COMPUTED_VALUE"""),63.0)</f>
        <v>63</v>
      </c>
      <c r="F6302" s="19" t="str">
        <f>IFERROR(__xludf.DUMMYFUNCTION("""COMPUTED_VALUE"""),"BLUE")</f>
        <v>BLUE</v>
      </c>
      <c r="G6302" s="20" t="str">
        <f>IFERROR(__xludf.DUMMYFUNCTION("""COMPUTED_VALUE"""),"Uncle Sams Cider (11/12/2021) (Blue)")</f>
        <v>Uncle Sams Cider (11/12/2021) (Blue)</v>
      </c>
      <c r="H6302" s="19"/>
    </row>
    <row r="6303">
      <c r="A6303" s="9"/>
      <c r="B6303" s="15"/>
      <c r="C6303" s="9">
        <f>IFERROR(__xludf.DUMMYFUNCTION("""COMPUTED_VALUE"""),44539.455203449)</f>
        <v>44539.4552</v>
      </c>
      <c r="D6303" s="15">
        <f>IFERROR(__xludf.DUMMYFUNCTION("""COMPUTED_VALUE"""),1.019)</f>
        <v>1.019</v>
      </c>
      <c r="E6303" s="16">
        <f>IFERROR(__xludf.DUMMYFUNCTION("""COMPUTED_VALUE"""),63.0)</f>
        <v>63</v>
      </c>
      <c r="F6303" s="19" t="str">
        <f>IFERROR(__xludf.DUMMYFUNCTION("""COMPUTED_VALUE"""),"BLUE")</f>
        <v>BLUE</v>
      </c>
      <c r="G6303" s="20" t="str">
        <f>IFERROR(__xludf.DUMMYFUNCTION("""COMPUTED_VALUE"""),"Uncle Sams Cider (11/12/2021) (Blue)")</f>
        <v>Uncle Sams Cider (11/12/2021) (Blue)</v>
      </c>
      <c r="H6303" s="19"/>
    </row>
    <row r="6304">
      <c r="A6304" s="9"/>
      <c r="B6304" s="15"/>
      <c r="C6304" s="9">
        <f>IFERROR(__xludf.DUMMYFUNCTION("""COMPUTED_VALUE"""),44539.4447829398)</f>
        <v>44539.44478</v>
      </c>
      <c r="D6304" s="15">
        <f>IFERROR(__xludf.DUMMYFUNCTION("""COMPUTED_VALUE"""),1.019)</f>
        <v>1.019</v>
      </c>
      <c r="E6304" s="16">
        <f>IFERROR(__xludf.DUMMYFUNCTION("""COMPUTED_VALUE"""),63.0)</f>
        <v>63</v>
      </c>
      <c r="F6304" s="19" t="str">
        <f>IFERROR(__xludf.DUMMYFUNCTION("""COMPUTED_VALUE"""),"BLUE")</f>
        <v>BLUE</v>
      </c>
      <c r="G6304" s="20" t="str">
        <f>IFERROR(__xludf.DUMMYFUNCTION("""COMPUTED_VALUE"""),"Uncle Sams Cider (11/12/2021) (Blue)")</f>
        <v>Uncle Sams Cider (11/12/2021) (Blue)</v>
      </c>
      <c r="H6304" s="19"/>
    </row>
    <row r="6305">
      <c r="A6305" s="9"/>
      <c r="B6305" s="15"/>
      <c r="C6305" s="9">
        <f>IFERROR(__xludf.DUMMYFUNCTION("""COMPUTED_VALUE"""),44539.4343603587)</f>
        <v>44539.43436</v>
      </c>
      <c r="D6305" s="15">
        <f>IFERROR(__xludf.DUMMYFUNCTION("""COMPUTED_VALUE"""),1.019)</f>
        <v>1.019</v>
      </c>
      <c r="E6305" s="16">
        <f>IFERROR(__xludf.DUMMYFUNCTION("""COMPUTED_VALUE"""),63.0)</f>
        <v>63</v>
      </c>
      <c r="F6305" s="19" t="str">
        <f>IFERROR(__xludf.DUMMYFUNCTION("""COMPUTED_VALUE"""),"BLUE")</f>
        <v>BLUE</v>
      </c>
      <c r="G6305" s="20" t="str">
        <f>IFERROR(__xludf.DUMMYFUNCTION("""COMPUTED_VALUE"""),"Uncle Sams Cider (11/12/2021) (Blue)")</f>
        <v>Uncle Sams Cider (11/12/2021) (Blue)</v>
      </c>
      <c r="H6305" s="19"/>
    </row>
    <row r="6306">
      <c r="A6306" s="9"/>
      <c r="B6306" s="15"/>
      <c r="C6306" s="9">
        <f>IFERROR(__xludf.DUMMYFUNCTION("""COMPUTED_VALUE"""),44539.4239262152)</f>
        <v>44539.42393</v>
      </c>
      <c r="D6306" s="15">
        <f>IFERROR(__xludf.DUMMYFUNCTION("""COMPUTED_VALUE"""),1.019)</f>
        <v>1.019</v>
      </c>
      <c r="E6306" s="16">
        <f>IFERROR(__xludf.DUMMYFUNCTION("""COMPUTED_VALUE"""),63.0)</f>
        <v>63</v>
      </c>
      <c r="F6306" s="19" t="str">
        <f>IFERROR(__xludf.DUMMYFUNCTION("""COMPUTED_VALUE"""),"BLUE")</f>
        <v>BLUE</v>
      </c>
      <c r="G6306" s="20" t="str">
        <f>IFERROR(__xludf.DUMMYFUNCTION("""COMPUTED_VALUE"""),"Uncle Sams Cider (11/12/2021) (Blue)")</f>
        <v>Uncle Sams Cider (11/12/2021) (Blue)</v>
      </c>
      <c r="H6306" s="19"/>
    </row>
    <row r="6307">
      <c r="A6307" s="9"/>
      <c r="B6307" s="15"/>
      <c r="C6307" s="9">
        <f>IFERROR(__xludf.DUMMYFUNCTION("""COMPUTED_VALUE"""),44539.4135040972)</f>
        <v>44539.4135</v>
      </c>
      <c r="D6307" s="15">
        <f>IFERROR(__xludf.DUMMYFUNCTION("""COMPUTED_VALUE"""),1.019)</f>
        <v>1.019</v>
      </c>
      <c r="E6307" s="16">
        <f>IFERROR(__xludf.DUMMYFUNCTION("""COMPUTED_VALUE"""),63.0)</f>
        <v>63</v>
      </c>
      <c r="F6307" s="19" t="str">
        <f>IFERROR(__xludf.DUMMYFUNCTION("""COMPUTED_VALUE"""),"BLUE")</f>
        <v>BLUE</v>
      </c>
      <c r="G6307" s="20" t="str">
        <f>IFERROR(__xludf.DUMMYFUNCTION("""COMPUTED_VALUE"""),"Uncle Sams Cider (11/12/2021) (Blue)")</f>
        <v>Uncle Sams Cider (11/12/2021) (Blue)</v>
      </c>
      <c r="H6307" s="19"/>
    </row>
    <row r="6308">
      <c r="A6308" s="9"/>
      <c r="B6308" s="15"/>
      <c r="C6308" s="9">
        <f>IFERROR(__xludf.DUMMYFUNCTION("""COMPUTED_VALUE"""),44539.4030827546)</f>
        <v>44539.40308</v>
      </c>
      <c r="D6308" s="15">
        <f>IFERROR(__xludf.DUMMYFUNCTION("""COMPUTED_VALUE"""),1.019)</f>
        <v>1.019</v>
      </c>
      <c r="E6308" s="16">
        <f>IFERROR(__xludf.DUMMYFUNCTION("""COMPUTED_VALUE"""),63.0)</f>
        <v>63</v>
      </c>
      <c r="F6308" s="19" t="str">
        <f>IFERROR(__xludf.DUMMYFUNCTION("""COMPUTED_VALUE"""),"BLUE")</f>
        <v>BLUE</v>
      </c>
      <c r="G6308" s="20" t="str">
        <f>IFERROR(__xludf.DUMMYFUNCTION("""COMPUTED_VALUE"""),"Uncle Sams Cider (11/12/2021) (Blue)")</f>
        <v>Uncle Sams Cider (11/12/2021) (Blue)</v>
      </c>
      <c r="H6308" s="19"/>
    </row>
    <row r="6309">
      <c r="A6309" s="9"/>
      <c r="B6309" s="15"/>
      <c r="C6309" s="9">
        <f>IFERROR(__xludf.DUMMYFUNCTION("""COMPUTED_VALUE"""),44539.3926622222)</f>
        <v>44539.39266</v>
      </c>
      <c r="D6309" s="15">
        <f>IFERROR(__xludf.DUMMYFUNCTION("""COMPUTED_VALUE"""),1.019)</f>
        <v>1.019</v>
      </c>
      <c r="E6309" s="16">
        <f>IFERROR(__xludf.DUMMYFUNCTION("""COMPUTED_VALUE"""),63.0)</f>
        <v>63</v>
      </c>
      <c r="F6309" s="19" t="str">
        <f>IFERROR(__xludf.DUMMYFUNCTION("""COMPUTED_VALUE"""),"BLUE")</f>
        <v>BLUE</v>
      </c>
      <c r="G6309" s="20" t="str">
        <f>IFERROR(__xludf.DUMMYFUNCTION("""COMPUTED_VALUE"""),"Uncle Sams Cider (11/12/2021) (Blue)")</f>
        <v>Uncle Sams Cider (11/12/2021) (Blue)</v>
      </c>
      <c r="H6309" s="19"/>
    </row>
    <row r="6310">
      <c r="A6310" s="9"/>
      <c r="B6310" s="15"/>
      <c r="C6310" s="9">
        <f>IFERROR(__xludf.DUMMYFUNCTION("""COMPUTED_VALUE"""),44539.382240868)</f>
        <v>44539.38224</v>
      </c>
      <c r="D6310" s="15">
        <f>IFERROR(__xludf.DUMMYFUNCTION("""COMPUTED_VALUE"""),1.019)</f>
        <v>1.019</v>
      </c>
      <c r="E6310" s="16">
        <f>IFERROR(__xludf.DUMMYFUNCTION("""COMPUTED_VALUE"""),63.0)</f>
        <v>63</v>
      </c>
      <c r="F6310" s="19" t="str">
        <f>IFERROR(__xludf.DUMMYFUNCTION("""COMPUTED_VALUE"""),"BLUE")</f>
        <v>BLUE</v>
      </c>
      <c r="G6310" s="20" t="str">
        <f>IFERROR(__xludf.DUMMYFUNCTION("""COMPUTED_VALUE"""),"Uncle Sams Cider (11/12/2021) (Blue)")</f>
        <v>Uncle Sams Cider (11/12/2021) (Blue)</v>
      </c>
      <c r="H6310" s="19"/>
    </row>
    <row r="6311">
      <c r="A6311" s="9"/>
      <c r="B6311" s="15"/>
      <c r="C6311" s="9">
        <f>IFERROR(__xludf.DUMMYFUNCTION("""COMPUTED_VALUE"""),44539.3718213194)</f>
        <v>44539.37182</v>
      </c>
      <c r="D6311" s="15">
        <f>IFERROR(__xludf.DUMMYFUNCTION("""COMPUTED_VALUE"""),1.019)</f>
        <v>1.019</v>
      </c>
      <c r="E6311" s="16">
        <f>IFERROR(__xludf.DUMMYFUNCTION("""COMPUTED_VALUE"""),63.0)</f>
        <v>63</v>
      </c>
      <c r="F6311" s="19" t="str">
        <f>IFERROR(__xludf.DUMMYFUNCTION("""COMPUTED_VALUE"""),"BLUE")</f>
        <v>BLUE</v>
      </c>
      <c r="G6311" s="20" t="str">
        <f>IFERROR(__xludf.DUMMYFUNCTION("""COMPUTED_VALUE"""),"Uncle Sams Cider (11/12/2021) (Blue)")</f>
        <v>Uncle Sams Cider (11/12/2021) (Blue)</v>
      </c>
      <c r="H6311" s="19"/>
    </row>
    <row r="6312">
      <c r="A6312" s="9"/>
      <c r="B6312" s="15"/>
      <c r="C6312" s="9">
        <f>IFERROR(__xludf.DUMMYFUNCTION("""COMPUTED_VALUE"""),44539.361400706)</f>
        <v>44539.3614</v>
      </c>
      <c r="D6312" s="15">
        <f>IFERROR(__xludf.DUMMYFUNCTION("""COMPUTED_VALUE"""),1.019)</f>
        <v>1.019</v>
      </c>
      <c r="E6312" s="16">
        <f>IFERROR(__xludf.DUMMYFUNCTION("""COMPUTED_VALUE"""),63.0)</f>
        <v>63</v>
      </c>
      <c r="F6312" s="19" t="str">
        <f>IFERROR(__xludf.DUMMYFUNCTION("""COMPUTED_VALUE"""),"BLUE")</f>
        <v>BLUE</v>
      </c>
      <c r="G6312" s="20" t="str">
        <f>IFERROR(__xludf.DUMMYFUNCTION("""COMPUTED_VALUE"""),"Uncle Sams Cider (11/12/2021) (Blue)")</f>
        <v>Uncle Sams Cider (11/12/2021) (Blue)</v>
      </c>
      <c r="H6312" s="19"/>
    </row>
    <row r="6313">
      <c r="A6313" s="9"/>
      <c r="B6313" s="15"/>
      <c r="C6313" s="9">
        <f>IFERROR(__xludf.DUMMYFUNCTION("""COMPUTED_VALUE"""),44539.3509808101)</f>
        <v>44539.35098</v>
      </c>
      <c r="D6313" s="15">
        <f>IFERROR(__xludf.DUMMYFUNCTION("""COMPUTED_VALUE"""),1.019)</f>
        <v>1.019</v>
      </c>
      <c r="E6313" s="16">
        <f>IFERROR(__xludf.DUMMYFUNCTION("""COMPUTED_VALUE"""),63.0)</f>
        <v>63</v>
      </c>
      <c r="F6313" s="19" t="str">
        <f>IFERROR(__xludf.DUMMYFUNCTION("""COMPUTED_VALUE"""),"BLUE")</f>
        <v>BLUE</v>
      </c>
      <c r="G6313" s="20" t="str">
        <f>IFERROR(__xludf.DUMMYFUNCTION("""COMPUTED_VALUE"""),"Uncle Sams Cider (11/12/2021) (Blue)")</f>
        <v>Uncle Sams Cider (11/12/2021) (Blue)</v>
      </c>
      <c r="H6313" s="19"/>
    </row>
    <row r="6314">
      <c r="A6314" s="9"/>
      <c r="B6314" s="15"/>
      <c r="C6314" s="9">
        <f>IFERROR(__xludf.DUMMYFUNCTION("""COMPUTED_VALUE"""),44539.3405620023)</f>
        <v>44539.34056</v>
      </c>
      <c r="D6314" s="15">
        <f>IFERROR(__xludf.DUMMYFUNCTION("""COMPUTED_VALUE"""),1.019)</f>
        <v>1.019</v>
      </c>
      <c r="E6314" s="16">
        <f>IFERROR(__xludf.DUMMYFUNCTION("""COMPUTED_VALUE"""),63.0)</f>
        <v>63</v>
      </c>
      <c r="F6314" s="19" t="str">
        <f>IFERROR(__xludf.DUMMYFUNCTION("""COMPUTED_VALUE"""),"BLUE")</f>
        <v>BLUE</v>
      </c>
      <c r="G6314" s="20" t="str">
        <f>IFERROR(__xludf.DUMMYFUNCTION("""COMPUTED_VALUE"""),"Uncle Sams Cider (11/12/2021) (Blue)")</f>
        <v>Uncle Sams Cider (11/12/2021) (Blue)</v>
      </c>
      <c r="H6314" s="19"/>
    </row>
    <row r="6315">
      <c r="A6315" s="9"/>
      <c r="B6315" s="15"/>
      <c r="C6315" s="9">
        <f>IFERROR(__xludf.DUMMYFUNCTION("""COMPUTED_VALUE"""),44539.3301304282)</f>
        <v>44539.33013</v>
      </c>
      <c r="D6315" s="15">
        <f>IFERROR(__xludf.DUMMYFUNCTION("""COMPUTED_VALUE"""),1.019)</f>
        <v>1.019</v>
      </c>
      <c r="E6315" s="16">
        <f>IFERROR(__xludf.DUMMYFUNCTION("""COMPUTED_VALUE"""),63.0)</f>
        <v>63</v>
      </c>
      <c r="F6315" s="19" t="str">
        <f>IFERROR(__xludf.DUMMYFUNCTION("""COMPUTED_VALUE"""),"BLUE")</f>
        <v>BLUE</v>
      </c>
      <c r="G6315" s="20" t="str">
        <f>IFERROR(__xludf.DUMMYFUNCTION("""COMPUTED_VALUE"""),"Uncle Sams Cider (11/12/2021) (Blue)")</f>
        <v>Uncle Sams Cider (11/12/2021) (Blue)</v>
      </c>
      <c r="H6315" s="19"/>
    </row>
    <row r="6316">
      <c r="A6316" s="9"/>
      <c r="B6316" s="15"/>
      <c r="C6316" s="9">
        <f>IFERROR(__xludf.DUMMYFUNCTION("""COMPUTED_VALUE"""),44539.3197091898)</f>
        <v>44539.31971</v>
      </c>
      <c r="D6316" s="15">
        <f>IFERROR(__xludf.DUMMYFUNCTION("""COMPUTED_VALUE"""),1.019)</f>
        <v>1.019</v>
      </c>
      <c r="E6316" s="16">
        <f>IFERROR(__xludf.DUMMYFUNCTION("""COMPUTED_VALUE"""),63.0)</f>
        <v>63</v>
      </c>
      <c r="F6316" s="19" t="str">
        <f>IFERROR(__xludf.DUMMYFUNCTION("""COMPUTED_VALUE"""),"BLUE")</f>
        <v>BLUE</v>
      </c>
      <c r="G6316" s="20" t="str">
        <f>IFERROR(__xludf.DUMMYFUNCTION("""COMPUTED_VALUE"""),"Uncle Sams Cider (11/12/2021) (Blue)")</f>
        <v>Uncle Sams Cider (11/12/2021) (Blue)</v>
      </c>
      <c r="H6316" s="19"/>
    </row>
    <row r="6317">
      <c r="A6317" s="9"/>
      <c r="B6317" s="15"/>
      <c r="C6317" s="9">
        <f>IFERROR(__xludf.DUMMYFUNCTION("""COMPUTED_VALUE"""),44539.3092864351)</f>
        <v>44539.30929</v>
      </c>
      <c r="D6317" s="15">
        <f>IFERROR(__xludf.DUMMYFUNCTION("""COMPUTED_VALUE"""),1.019)</f>
        <v>1.019</v>
      </c>
      <c r="E6317" s="16">
        <f>IFERROR(__xludf.DUMMYFUNCTION("""COMPUTED_VALUE"""),63.0)</f>
        <v>63</v>
      </c>
      <c r="F6317" s="19" t="str">
        <f>IFERROR(__xludf.DUMMYFUNCTION("""COMPUTED_VALUE"""),"BLUE")</f>
        <v>BLUE</v>
      </c>
      <c r="G6317" s="20" t="str">
        <f>IFERROR(__xludf.DUMMYFUNCTION("""COMPUTED_VALUE"""),"Uncle Sams Cider (11/12/2021) (Blue)")</f>
        <v>Uncle Sams Cider (11/12/2021) (Blue)</v>
      </c>
      <c r="H6317" s="19"/>
    </row>
    <row r="6318">
      <c r="A6318" s="9"/>
      <c r="B6318" s="15"/>
      <c r="C6318" s="9">
        <f>IFERROR(__xludf.DUMMYFUNCTION("""COMPUTED_VALUE"""),44539.2988529166)</f>
        <v>44539.29885</v>
      </c>
      <c r="D6318" s="15">
        <f>IFERROR(__xludf.DUMMYFUNCTION("""COMPUTED_VALUE"""),1.019)</f>
        <v>1.019</v>
      </c>
      <c r="E6318" s="16">
        <f>IFERROR(__xludf.DUMMYFUNCTION("""COMPUTED_VALUE"""),63.0)</f>
        <v>63</v>
      </c>
      <c r="F6318" s="19" t="str">
        <f>IFERROR(__xludf.DUMMYFUNCTION("""COMPUTED_VALUE"""),"BLUE")</f>
        <v>BLUE</v>
      </c>
      <c r="G6318" s="20" t="str">
        <f>IFERROR(__xludf.DUMMYFUNCTION("""COMPUTED_VALUE"""),"Uncle Sams Cider (11/12/2021) (Blue)")</f>
        <v>Uncle Sams Cider (11/12/2021) (Blue)</v>
      </c>
      <c r="H6318" s="19"/>
    </row>
    <row r="6319">
      <c r="A6319" s="9"/>
      <c r="B6319" s="15"/>
      <c r="C6319" s="9">
        <f>IFERROR(__xludf.DUMMYFUNCTION("""COMPUTED_VALUE"""),44539.2884303703)</f>
        <v>44539.28843</v>
      </c>
      <c r="D6319" s="15">
        <f>IFERROR(__xludf.DUMMYFUNCTION("""COMPUTED_VALUE"""),1.019)</f>
        <v>1.019</v>
      </c>
      <c r="E6319" s="16">
        <f>IFERROR(__xludf.DUMMYFUNCTION("""COMPUTED_VALUE"""),63.0)</f>
        <v>63</v>
      </c>
      <c r="F6319" s="19" t="str">
        <f>IFERROR(__xludf.DUMMYFUNCTION("""COMPUTED_VALUE"""),"BLUE")</f>
        <v>BLUE</v>
      </c>
      <c r="G6319" s="20" t="str">
        <f>IFERROR(__xludf.DUMMYFUNCTION("""COMPUTED_VALUE"""),"Uncle Sams Cider (11/12/2021) (Blue)")</f>
        <v>Uncle Sams Cider (11/12/2021) (Blue)</v>
      </c>
      <c r="H6319" s="19"/>
    </row>
    <row r="6320">
      <c r="A6320" s="9"/>
      <c r="B6320" s="15"/>
      <c r="C6320" s="9">
        <f>IFERROR(__xludf.DUMMYFUNCTION("""COMPUTED_VALUE"""),44539.2780114004)</f>
        <v>44539.27801</v>
      </c>
      <c r="D6320" s="15">
        <f>IFERROR(__xludf.DUMMYFUNCTION("""COMPUTED_VALUE"""),1.019)</f>
        <v>1.019</v>
      </c>
      <c r="E6320" s="16">
        <f>IFERROR(__xludf.DUMMYFUNCTION("""COMPUTED_VALUE"""),63.0)</f>
        <v>63</v>
      </c>
      <c r="F6320" s="19" t="str">
        <f>IFERROR(__xludf.DUMMYFUNCTION("""COMPUTED_VALUE"""),"BLUE")</f>
        <v>BLUE</v>
      </c>
      <c r="G6320" s="20" t="str">
        <f>IFERROR(__xludf.DUMMYFUNCTION("""COMPUTED_VALUE"""),"Uncle Sams Cider (11/12/2021) (Blue)")</f>
        <v>Uncle Sams Cider (11/12/2021) (Blue)</v>
      </c>
      <c r="H6320" s="19"/>
    </row>
    <row r="6321">
      <c r="A6321" s="9"/>
      <c r="B6321" s="15"/>
      <c r="C6321" s="9">
        <f>IFERROR(__xludf.DUMMYFUNCTION("""COMPUTED_VALUE"""),44539.2675891203)</f>
        <v>44539.26759</v>
      </c>
      <c r="D6321" s="15">
        <f>IFERROR(__xludf.DUMMYFUNCTION("""COMPUTED_VALUE"""),1.019)</f>
        <v>1.019</v>
      </c>
      <c r="E6321" s="16">
        <f>IFERROR(__xludf.DUMMYFUNCTION("""COMPUTED_VALUE"""),63.0)</f>
        <v>63</v>
      </c>
      <c r="F6321" s="19" t="str">
        <f>IFERROR(__xludf.DUMMYFUNCTION("""COMPUTED_VALUE"""),"BLUE")</f>
        <v>BLUE</v>
      </c>
      <c r="G6321" s="20" t="str">
        <f>IFERROR(__xludf.DUMMYFUNCTION("""COMPUTED_VALUE"""),"Uncle Sams Cider (11/12/2021) (Blue)")</f>
        <v>Uncle Sams Cider (11/12/2021) (Blue)</v>
      </c>
      <c r="H6321" s="19"/>
    </row>
    <row r="6322">
      <c r="A6322" s="9"/>
      <c r="B6322" s="15"/>
      <c r="C6322" s="9">
        <f>IFERROR(__xludf.DUMMYFUNCTION("""COMPUTED_VALUE"""),44539.2571703935)</f>
        <v>44539.25717</v>
      </c>
      <c r="D6322" s="15">
        <f>IFERROR(__xludf.DUMMYFUNCTION("""COMPUTED_VALUE"""),1.019)</f>
        <v>1.019</v>
      </c>
      <c r="E6322" s="16">
        <f>IFERROR(__xludf.DUMMYFUNCTION("""COMPUTED_VALUE"""),63.0)</f>
        <v>63</v>
      </c>
      <c r="F6322" s="19" t="str">
        <f>IFERROR(__xludf.DUMMYFUNCTION("""COMPUTED_VALUE"""),"BLUE")</f>
        <v>BLUE</v>
      </c>
      <c r="G6322" s="20" t="str">
        <f>IFERROR(__xludf.DUMMYFUNCTION("""COMPUTED_VALUE"""),"Uncle Sams Cider (11/12/2021) (Blue)")</f>
        <v>Uncle Sams Cider (11/12/2021) (Blue)</v>
      </c>
      <c r="H6322" s="19"/>
    </row>
    <row r="6323">
      <c r="A6323" s="9"/>
      <c r="B6323" s="15"/>
      <c r="C6323" s="9">
        <f>IFERROR(__xludf.DUMMYFUNCTION("""COMPUTED_VALUE"""),44539.2467372685)</f>
        <v>44539.24674</v>
      </c>
      <c r="D6323" s="15">
        <f>IFERROR(__xludf.DUMMYFUNCTION("""COMPUTED_VALUE"""),1.019)</f>
        <v>1.019</v>
      </c>
      <c r="E6323" s="16">
        <f>IFERROR(__xludf.DUMMYFUNCTION("""COMPUTED_VALUE"""),63.0)</f>
        <v>63</v>
      </c>
      <c r="F6323" s="19" t="str">
        <f>IFERROR(__xludf.DUMMYFUNCTION("""COMPUTED_VALUE"""),"BLUE")</f>
        <v>BLUE</v>
      </c>
      <c r="G6323" s="20" t="str">
        <f>IFERROR(__xludf.DUMMYFUNCTION("""COMPUTED_VALUE"""),"Uncle Sams Cider (11/12/2021) (Blue)")</f>
        <v>Uncle Sams Cider (11/12/2021) (Blue)</v>
      </c>
      <c r="H6323" s="19"/>
    </row>
    <row r="6324">
      <c r="A6324" s="9"/>
      <c r="B6324" s="15"/>
      <c r="C6324" s="9">
        <f>IFERROR(__xludf.DUMMYFUNCTION("""COMPUTED_VALUE"""),44539.2363146527)</f>
        <v>44539.23631</v>
      </c>
      <c r="D6324" s="15">
        <f>IFERROR(__xludf.DUMMYFUNCTION("""COMPUTED_VALUE"""),1.019)</f>
        <v>1.019</v>
      </c>
      <c r="E6324" s="16">
        <f>IFERROR(__xludf.DUMMYFUNCTION("""COMPUTED_VALUE"""),63.0)</f>
        <v>63</v>
      </c>
      <c r="F6324" s="19" t="str">
        <f>IFERROR(__xludf.DUMMYFUNCTION("""COMPUTED_VALUE"""),"BLUE")</f>
        <v>BLUE</v>
      </c>
      <c r="G6324" s="20" t="str">
        <f>IFERROR(__xludf.DUMMYFUNCTION("""COMPUTED_VALUE"""),"Uncle Sams Cider (11/12/2021) (Blue)")</f>
        <v>Uncle Sams Cider (11/12/2021) (Blue)</v>
      </c>
      <c r="H6324" s="19"/>
    </row>
    <row r="6325">
      <c r="A6325" s="9"/>
      <c r="B6325" s="15"/>
      <c r="C6325" s="9">
        <f>IFERROR(__xludf.DUMMYFUNCTION("""COMPUTED_VALUE"""),44539.2258948958)</f>
        <v>44539.22589</v>
      </c>
      <c r="D6325" s="15">
        <f>IFERROR(__xludf.DUMMYFUNCTION("""COMPUTED_VALUE"""),1.019)</f>
        <v>1.019</v>
      </c>
      <c r="E6325" s="16">
        <f>IFERROR(__xludf.DUMMYFUNCTION("""COMPUTED_VALUE"""),63.0)</f>
        <v>63</v>
      </c>
      <c r="F6325" s="19" t="str">
        <f>IFERROR(__xludf.DUMMYFUNCTION("""COMPUTED_VALUE"""),"BLUE")</f>
        <v>BLUE</v>
      </c>
      <c r="G6325" s="20" t="str">
        <f>IFERROR(__xludf.DUMMYFUNCTION("""COMPUTED_VALUE"""),"Uncle Sams Cider (11/12/2021) (Blue)")</f>
        <v>Uncle Sams Cider (11/12/2021) (Blue)</v>
      </c>
      <c r="H6325" s="19"/>
    </row>
    <row r="6326">
      <c r="A6326" s="9"/>
      <c r="B6326" s="15"/>
      <c r="C6326" s="9">
        <f>IFERROR(__xludf.DUMMYFUNCTION("""COMPUTED_VALUE"""),44539.2154625347)</f>
        <v>44539.21546</v>
      </c>
      <c r="D6326" s="15">
        <f>IFERROR(__xludf.DUMMYFUNCTION("""COMPUTED_VALUE"""),1.019)</f>
        <v>1.019</v>
      </c>
      <c r="E6326" s="16">
        <f>IFERROR(__xludf.DUMMYFUNCTION("""COMPUTED_VALUE"""),63.0)</f>
        <v>63</v>
      </c>
      <c r="F6326" s="19" t="str">
        <f>IFERROR(__xludf.DUMMYFUNCTION("""COMPUTED_VALUE"""),"BLUE")</f>
        <v>BLUE</v>
      </c>
      <c r="G6326" s="20" t="str">
        <f>IFERROR(__xludf.DUMMYFUNCTION("""COMPUTED_VALUE"""),"Uncle Sams Cider (11/12/2021) (Blue)")</f>
        <v>Uncle Sams Cider (11/12/2021) (Blue)</v>
      </c>
      <c r="H6326" s="19"/>
    </row>
    <row r="6327">
      <c r="A6327" s="9"/>
      <c r="B6327" s="15"/>
      <c r="C6327" s="9">
        <f>IFERROR(__xludf.DUMMYFUNCTION("""COMPUTED_VALUE"""),44539.2050412268)</f>
        <v>44539.20504</v>
      </c>
      <c r="D6327" s="15">
        <f>IFERROR(__xludf.DUMMYFUNCTION("""COMPUTED_VALUE"""),1.019)</f>
        <v>1.019</v>
      </c>
      <c r="E6327" s="16">
        <f>IFERROR(__xludf.DUMMYFUNCTION("""COMPUTED_VALUE"""),63.0)</f>
        <v>63</v>
      </c>
      <c r="F6327" s="19" t="str">
        <f>IFERROR(__xludf.DUMMYFUNCTION("""COMPUTED_VALUE"""),"BLUE")</f>
        <v>BLUE</v>
      </c>
      <c r="G6327" s="20" t="str">
        <f>IFERROR(__xludf.DUMMYFUNCTION("""COMPUTED_VALUE"""),"Uncle Sams Cider (11/12/2021) (Blue)")</f>
        <v>Uncle Sams Cider (11/12/2021) (Blue)</v>
      </c>
      <c r="H6327" s="19"/>
    </row>
    <row r="6328">
      <c r="A6328" s="9"/>
      <c r="B6328" s="15"/>
      <c r="C6328" s="9">
        <f>IFERROR(__xludf.DUMMYFUNCTION("""COMPUTED_VALUE"""),44539.194607037)</f>
        <v>44539.19461</v>
      </c>
      <c r="D6328" s="15">
        <f>IFERROR(__xludf.DUMMYFUNCTION("""COMPUTED_VALUE"""),1.019)</f>
        <v>1.019</v>
      </c>
      <c r="E6328" s="16">
        <f>IFERROR(__xludf.DUMMYFUNCTION("""COMPUTED_VALUE"""),63.0)</f>
        <v>63</v>
      </c>
      <c r="F6328" s="19" t="str">
        <f>IFERROR(__xludf.DUMMYFUNCTION("""COMPUTED_VALUE"""),"BLUE")</f>
        <v>BLUE</v>
      </c>
      <c r="G6328" s="20" t="str">
        <f>IFERROR(__xludf.DUMMYFUNCTION("""COMPUTED_VALUE"""),"Uncle Sams Cider (11/12/2021) (Blue)")</f>
        <v>Uncle Sams Cider (11/12/2021) (Blue)</v>
      </c>
      <c r="H6328" s="19"/>
    </row>
    <row r="6329">
      <c r="A6329" s="9"/>
      <c r="B6329" s="15"/>
      <c r="C6329" s="9">
        <f>IFERROR(__xludf.DUMMYFUNCTION("""COMPUTED_VALUE"""),44539.1841853472)</f>
        <v>44539.18419</v>
      </c>
      <c r="D6329" s="15">
        <f>IFERROR(__xludf.DUMMYFUNCTION("""COMPUTED_VALUE"""),1.019)</f>
        <v>1.019</v>
      </c>
      <c r="E6329" s="16">
        <f>IFERROR(__xludf.DUMMYFUNCTION("""COMPUTED_VALUE"""),63.0)</f>
        <v>63</v>
      </c>
      <c r="F6329" s="19" t="str">
        <f>IFERROR(__xludf.DUMMYFUNCTION("""COMPUTED_VALUE"""),"BLUE")</f>
        <v>BLUE</v>
      </c>
      <c r="G6329" s="20" t="str">
        <f>IFERROR(__xludf.DUMMYFUNCTION("""COMPUTED_VALUE"""),"Uncle Sams Cider (11/12/2021) (Blue)")</f>
        <v>Uncle Sams Cider (11/12/2021) (Blue)</v>
      </c>
      <c r="H6329" s="19"/>
    </row>
    <row r="6330">
      <c r="A6330" s="9"/>
      <c r="B6330" s="15"/>
      <c r="C6330" s="9">
        <f>IFERROR(__xludf.DUMMYFUNCTION("""COMPUTED_VALUE"""),44539.1737635648)</f>
        <v>44539.17376</v>
      </c>
      <c r="D6330" s="15">
        <f>IFERROR(__xludf.DUMMYFUNCTION("""COMPUTED_VALUE"""),1.019)</f>
        <v>1.019</v>
      </c>
      <c r="E6330" s="16">
        <f>IFERROR(__xludf.DUMMYFUNCTION("""COMPUTED_VALUE"""),63.0)</f>
        <v>63</v>
      </c>
      <c r="F6330" s="19" t="str">
        <f>IFERROR(__xludf.DUMMYFUNCTION("""COMPUTED_VALUE"""),"BLUE")</f>
        <v>BLUE</v>
      </c>
      <c r="G6330" s="20" t="str">
        <f>IFERROR(__xludf.DUMMYFUNCTION("""COMPUTED_VALUE"""),"Uncle Sams Cider (11/12/2021) (Blue)")</f>
        <v>Uncle Sams Cider (11/12/2021) (Blue)</v>
      </c>
      <c r="H6330" s="19"/>
    </row>
    <row r="6331">
      <c r="A6331" s="9"/>
      <c r="B6331" s="15"/>
      <c r="C6331" s="9">
        <f>IFERROR(__xludf.DUMMYFUNCTION("""COMPUTED_VALUE"""),44539.163343206)</f>
        <v>44539.16334</v>
      </c>
      <c r="D6331" s="15">
        <f>IFERROR(__xludf.DUMMYFUNCTION("""COMPUTED_VALUE"""),1.019)</f>
        <v>1.019</v>
      </c>
      <c r="E6331" s="16">
        <f>IFERROR(__xludf.DUMMYFUNCTION("""COMPUTED_VALUE"""),63.0)</f>
        <v>63</v>
      </c>
      <c r="F6331" s="19" t="str">
        <f>IFERROR(__xludf.DUMMYFUNCTION("""COMPUTED_VALUE"""),"BLUE")</f>
        <v>BLUE</v>
      </c>
      <c r="G6331" s="20" t="str">
        <f>IFERROR(__xludf.DUMMYFUNCTION("""COMPUTED_VALUE"""),"Uncle Sams Cider (11/12/2021) (Blue)")</f>
        <v>Uncle Sams Cider (11/12/2021) (Blue)</v>
      </c>
      <c r="H6331" s="19"/>
    </row>
    <row r="6332">
      <c r="A6332" s="9"/>
      <c r="B6332" s="15"/>
      <c r="C6332" s="9">
        <f>IFERROR(__xludf.DUMMYFUNCTION("""COMPUTED_VALUE"""),44539.1529216666)</f>
        <v>44539.15292</v>
      </c>
      <c r="D6332" s="15">
        <f>IFERROR(__xludf.DUMMYFUNCTION("""COMPUTED_VALUE"""),1.019)</f>
        <v>1.019</v>
      </c>
      <c r="E6332" s="16">
        <f>IFERROR(__xludf.DUMMYFUNCTION("""COMPUTED_VALUE"""),63.0)</f>
        <v>63</v>
      </c>
      <c r="F6332" s="19" t="str">
        <f>IFERROR(__xludf.DUMMYFUNCTION("""COMPUTED_VALUE"""),"BLUE")</f>
        <v>BLUE</v>
      </c>
      <c r="G6332" s="20" t="str">
        <f>IFERROR(__xludf.DUMMYFUNCTION("""COMPUTED_VALUE"""),"Uncle Sams Cider (11/12/2021) (Blue)")</f>
        <v>Uncle Sams Cider (11/12/2021) (Blue)</v>
      </c>
      <c r="H6332" s="19"/>
    </row>
    <row r="6333">
      <c r="A6333" s="9"/>
      <c r="B6333" s="15"/>
      <c r="C6333" s="9">
        <f>IFERROR(__xludf.DUMMYFUNCTION("""COMPUTED_VALUE"""),44539.1424988194)</f>
        <v>44539.1425</v>
      </c>
      <c r="D6333" s="15">
        <f>IFERROR(__xludf.DUMMYFUNCTION("""COMPUTED_VALUE"""),1.019)</f>
        <v>1.019</v>
      </c>
      <c r="E6333" s="16">
        <f>IFERROR(__xludf.DUMMYFUNCTION("""COMPUTED_VALUE"""),63.0)</f>
        <v>63</v>
      </c>
      <c r="F6333" s="19" t="str">
        <f>IFERROR(__xludf.DUMMYFUNCTION("""COMPUTED_VALUE"""),"BLUE")</f>
        <v>BLUE</v>
      </c>
      <c r="G6333" s="20" t="str">
        <f>IFERROR(__xludf.DUMMYFUNCTION("""COMPUTED_VALUE"""),"Uncle Sams Cider (11/12/2021) (Blue)")</f>
        <v>Uncle Sams Cider (11/12/2021) (Blue)</v>
      </c>
      <c r="H6333" s="19"/>
    </row>
    <row r="6334">
      <c r="A6334" s="9"/>
      <c r="B6334" s="15"/>
      <c r="C6334" s="9">
        <f>IFERROR(__xludf.DUMMYFUNCTION("""COMPUTED_VALUE"""),44539.1320779976)</f>
        <v>44539.13208</v>
      </c>
      <c r="D6334" s="15">
        <f>IFERROR(__xludf.DUMMYFUNCTION("""COMPUTED_VALUE"""),1.019)</f>
        <v>1.019</v>
      </c>
      <c r="E6334" s="16">
        <f>IFERROR(__xludf.DUMMYFUNCTION("""COMPUTED_VALUE"""),63.0)</f>
        <v>63</v>
      </c>
      <c r="F6334" s="19" t="str">
        <f>IFERROR(__xludf.DUMMYFUNCTION("""COMPUTED_VALUE"""),"BLUE")</f>
        <v>BLUE</v>
      </c>
      <c r="G6334" s="20" t="str">
        <f>IFERROR(__xludf.DUMMYFUNCTION("""COMPUTED_VALUE"""),"Uncle Sams Cider (11/12/2021) (Blue)")</f>
        <v>Uncle Sams Cider (11/12/2021) (Blue)</v>
      </c>
      <c r="H6334" s="19"/>
    </row>
    <row r="6335">
      <c r="A6335" s="9"/>
      <c r="B6335" s="15"/>
      <c r="C6335" s="9">
        <f>IFERROR(__xludf.DUMMYFUNCTION("""COMPUTED_VALUE"""),44539.1216563425)</f>
        <v>44539.12166</v>
      </c>
      <c r="D6335" s="15">
        <f>IFERROR(__xludf.DUMMYFUNCTION("""COMPUTED_VALUE"""),1.019)</f>
        <v>1.019</v>
      </c>
      <c r="E6335" s="16">
        <f>IFERROR(__xludf.DUMMYFUNCTION("""COMPUTED_VALUE"""),63.0)</f>
        <v>63</v>
      </c>
      <c r="F6335" s="19" t="str">
        <f>IFERROR(__xludf.DUMMYFUNCTION("""COMPUTED_VALUE"""),"BLUE")</f>
        <v>BLUE</v>
      </c>
      <c r="G6335" s="20" t="str">
        <f>IFERROR(__xludf.DUMMYFUNCTION("""COMPUTED_VALUE"""),"Uncle Sams Cider (11/12/2021) (Blue)")</f>
        <v>Uncle Sams Cider (11/12/2021) (Blue)</v>
      </c>
      <c r="H6335" s="19"/>
    </row>
    <row r="6336">
      <c r="A6336" s="9"/>
      <c r="B6336" s="15"/>
      <c r="C6336" s="9">
        <f>IFERROR(__xludf.DUMMYFUNCTION("""COMPUTED_VALUE"""),44539.1112351273)</f>
        <v>44539.11124</v>
      </c>
      <c r="D6336" s="15">
        <f>IFERROR(__xludf.DUMMYFUNCTION("""COMPUTED_VALUE"""),1.019)</f>
        <v>1.019</v>
      </c>
      <c r="E6336" s="16">
        <f>IFERROR(__xludf.DUMMYFUNCTION("""COMPUTED_VALUE"""),63.0)</f>
        <v>63</v>
      </c>
      <c r="F6336" s="19" t="str">
        <f>IFERROR(__xludf.DUMMYFUNCTION("""COMPUTED_VALUE"""),"BLUE")</f>
        <v>BLUE</v>
      </c>
      <c r="G6336" s="20" t="str">
        <f>IFERROR(__xludf.DUMMYFUNCTION("""COMPUTED_VALUE"""),"Uncle Sams Cider (11/12/2021) (Blue)")</f>
        <v>Uncle Sams Cider (11/12/2021) (Blue)</v>
      </c>
      <c r="H6336" s="19"/>
    </row>
    <row r="6337">
      <c r="A6337" s="9"/>
      <c r="B6337" s="15"/>
      <c r="C6337" s="9">
        <f>IFERROR(__xludf.DUMMYFUNCTION("""COMPUTED_VALUE"""),44539.1008133796)</f>
        <v>44539.10081</v>
      </c>
      <c r="D6337" s="15">
        <f>IFERROR(__xludf.DUMMYFUNCTION("""COMPUTED_VALUE"""),1.019)</f>
        <v>1.019</v>
      </c>
      <c r="E6337" s="16">
        <f>IFERROR(__xludf.DUMMYFUNCTION("""COMPUTED_VALUE"""),63.0)</f>
        <v>63</v>
      </c>
      <c r="F6337" s="19" t="str">
        <f>IFERROR(__xludf.DUMMYFUNCTION("""COMPUTED_VALUE"""),"BLUE")</f>
        <v>BLUE</v>
      </c>
      <c r="G6337" s="20" t="str">
        <f>IFERROR(__xludf.DUMMYFUNCTION("""COMPUTED_VALUE"""),"Uncle Sams Cider (11/12/2021) (Blue)")</f>
        <v>Uncle Sams Cider (11/12/2021) (Blue)</v>
      </c>
      <c r="H6337" s="19"/>
    </row>
    <row r="6338">
      <c r="A6338" s="9"/>
      <c r="B6338" s="15"/>
      <c r="C6338" s="9">
        <f>IFERROR(__xludf.DUMMYFUNCTION("""COMPUTED_VALUE"""),44539.0903934259)</f>
        <v>44539.09039</v>
      </c>
      <c r="D6338" s="15">
        <f>IFERROR(__xludf.DUMMYFUNCTION("""COMPUTED_VALUE"""),1.019)</f>
        <v>1.019</v>
      </c>
      <c r="E6338" s="16">
        <f>IFERROR(__xludf.DUMMYFUNCTION("""COMPUTED_VALUE"""),63.0)</f>
        <v>63</v>
      </c>
      <c r="F6338" s="19" t="str">
        <f>IFERROR(__xludf.DUMMYFUNCTION("""COMPUTED_VALUE"""),"BLUE")</f>
        <v>BLUE</v>
      </c>
      <c r="G6338" s="20" t="str">
        <f>IFERROR(__xludf.DUMMYFUNCTION("""COMPUTED_VALUE"""),"Uncle Sams Cider (11/12/2021) (Blue)")</f>
        <v>Uncle Sams Cider (11/12/2021) (Blue)</v>
      </c>
      <c r="H6338" s="19"/>
    </row>
    <row r="6339">
      <c r="A6339" s="9"/>
      <c r="B6339" s="15"/>
      <c r="C6339" s="9">
        <f>IFERROR(__xludf.DUMMYFUNCTION("""COMPUTED_VALUE"""),44539.0799735416)</f>
        <v>44539.07997</v>
      </c>
      <c r="D6339" s="15">
        <f>IFERROR(__xludf.DUMMYFUNCTION("""COMPUTED_VALUE"""),1.019)</f>
        <v>1.019</v>
      </c>
      <c r="E6339" s="16">
        <f>IFERROR(__xludf.DUMMYFUNCTION("""COMPUTED_VALUE"""),63.0)</f>
        <v>63</v>
      </c>
      <c r="F6339" s="19" t="str">
        <f>IFERROR(__xludf.DUMMYFUNCTION("""COMPUTED_VALUE"""),"BLUE")</f>
        <v>BLUE</v>
      </c>
      <c r="G6339" s="20" t="str">
        <f>IFERROR(__xludf.DUMMYFUNCTION("""COMPUTED_VALUE"""),"Uncle Sams Cider (11/12/2021) (Blue)")</f>
        <v>Uncle Sams Cider (11/12/2021) (Blue)</v>
      </c>
      <c r="H6339" s="19"/>
    </row>
    <row r="6340">
      <c r="A6340" s="9"/>
      <c r="B6340" s="15"/>
      <c r="C6340" s="9">
        <f>IFERROR(__xludf.DUMMYFUNCTION("""COMPUTED_VALUE"""),44539.0695521527)</f>
        <v>44539.06955</v>
      </c>
      <c r="D6340" s="15">
        <f>IFERROR(__xludf.DUMMYFUNCTION("""COMPUTED_VALUE"""),1.019)</f>
        <v>1.019</v>
      </c>
      <c r="E6340" s="16">
        <f>IFERROR(__xludf.DUMMYFUNCTION("""COMPUTED_VALUE"""),63.0)</f>
        <v>63</v>
      </c>
      <c r="F6340" s="19" t="str">
        <f>IFERROR(__xludf.DUMMYFUNCTION("""COMPUTED_VALUE"""),"BLUE")</f>
        <v>BLUE</v>
      </c>
      <c r="G6340" s="20" t="str">
        <f>IFERROR(__xludf.DUMMYFUNCTION("""COMPUTED_VALUE"""),"Uncle Sams Cider (11/12/2021) (Blue)")</f>
        <v>Uncle Sams Cider (11/12/2021) (Blue)</v>
      </c>
      <c r="H6340" s="19"/>
    </row>
    <row r="6341">
      <c r="A6341" s="9"/>
      <c r="B6341" s="15"/>
      <c r="C6341" s="9">
        <f>IFERROR(__xludf.DUMMYFUNCTION("""COMPUTED_VALUE"""),44539.0591312152)</f>
        <v>44539.05913</v>
      </c>
      <c r="D6341" s="15">
        <f>IFERROR(__xludf.DUMMYFUNCTION("""COMPUTED_VALUE"""),1.019)</f>
        <v>1.019</v>
      </c>
      <c r="E6341" s="16">
        <f>IFERROR(__xludf.DUMMYFUNCTION("""COMPUTED_VALUE"""),63.0)</f>
        <v>63</v>
      </c>
      <c r="F6341" s="19" t="str">
        <f>IFERROR(__xludf.DUMMYFUNCTION("""COMPUTED_VALUE"""),"BLUE")</f>
        <v>BLUE</v>
      </c>
      <c r="G6341" s="20" t="str">
        <f>IFERROR(__xludf.DUMMYFUNCTION("""COMPUTED_VALUE"""),"Uncle Sams Cider (11/12/2021) (Blue)")</f>
        <v>Uncle Sams Cider (11/12/2021) (Blue)</v>
      </c>
      <c r="H6341" s="19"/>
    </row>
    <row r="6342">
      <c r="A6342" s="9"/>
      <c r="B6342" s="15"/>
      <c r="C6342" s="9">
        <f>IFERROR(__xludf.DUMMYFUNCTION("""COMPUTED_VALUE"""),44539.0487089699)</f>
        <v>44539.04871</v>
      </c>
      <c r="D6342" s="15">
        <f>IFERROR(__xludf.DUMMYFUNCTION("""COMPUTED_VALUE"""),1.019)</f>
        <v>1.019</v>
      </c>
      <c r="E6342" s="16">
        <f>IFERROR(__xludf.DUMMYFUNCTION("""COMPUTED_VALUE"""),63.0)</f>
        <v>63</v>
      </c>
      <c r="F6342" s="19" t="str">
        <f>IFERROR(__xludf.DUMMYFUNCTION("""COMPUTED_VALUE"""),"BLUE")</f>
        <v>BLUE</v>
      </c>
      <c r="G6342" s="20" t="str">
        <f>IFERROR(__xludf.DUMMYFUNCTION("""COMPUTED_VALUE"""),"Uncle Sams Cider (11/12/2021) (Blue)")</f>
        <v>Uncle Sams Cider (11/12/2021) (Blue)</v>
      </c>
      <c r="H6342" s="19"/>
    </row>
    <row r="6343">
      <c r="A6343" s="9"/>
      <c r="B6343" s="15"/>
      <c r="C6343" s="9">
        <f>IFERROR(__xludf.DUMMYFUNCTION("""COMPUTED_VALUE"""),44539.0382878125)</f>
        <v>44539.03829</v>
      </c>
      <c r="D6343" s="15">
        <f>IFERROR(__xludf.DUMMYFUNCTION("""COMPUTED_VALUE"""),1.019)</f>
        <v>1.019</v>
      </c>
      <c r="E6343" s="16">
        <f>IFERROR(__xludf.DUMMYFUNCTION("""COMPUTED_VALUE"""),63.0)</f>
        <v>63</v>
      </c>
      <c r="F6343" s="19" t="str">
        <f>IFERROR(__xludf.DUMMYFUNCTION("""COMPUTED_VALUE"""),"BLUE")</f>
        <v>BLUE</v>
      </c>
      <c r="G6343" s="20" t="str">
        <f>IFERROR(__xludf.DUMMYFUNCTION("""COMPUTED_VALUE"""),"Uncle Sams Cider (11/12/2021) (Blue)")</f>
        <v>Uncle Sams Cider (11/12/2021) (Blue)</v>
      </c>
      <c r="H6343" s="19"/>
    </row>
    <row r="6344">
      <c r="A6344" s="9"/>
      <c r="B6344" s="15"/>
      <c r="C6344" s="9">
        <f>IFERROR(__xludf.DUMMYFUNCTION("""COMPUTED_VALUE"""),44539.0278663541)</f>
        <v>44539.02787</v>
      </c>
      <c r="D6344" s="15">
        <f>IFERROR(__xludf.DUMMYFUNCTION("""COMPUTED_VALUE"""),1.019)</f>
        <v>1.019</v>
      </c>
      <c r="E6344" s="16">
        <f>IFERROR(__xludf.DUMMYFUNCTION("""COMPUTED_VALUE"""),63.0)</f>
        <v>63</v>
      </c>
      <c r="F6344" s="19" t="str">
        <f>IFERROR(__xludf.DUMMYFUNCTION("""COMPUTED_VALUE"""),"BLUE")</f>
        <v>BLUE</v>
      </c>
      <c r="G6344" s="20" t="str">
        <f>IFERROR(__xludf.DUMMYFUNCTION("""COMPUTED_VALUE"""),"Uncle Sams Cider (11/12/2021) (Blue)")</f>
        <v>Uncle Sams Cider (11/12/2021) (Blue)</v>
      </c>
      <c r="H6344" s="19"/>
    </row>
    <row r="6345">
      <c r="A6345" s="9"/>
      <c r="B6345" s="15"/>
      <c r="C6345" s="9">
        <f>IFERROR(__xludf.DUMMYFUNCTION("""COMPUTED_VALUE"""),44539.0174323726)</f>
        <v>44539.01743</v>
      </c>
      <c r="D6345" s="15">
        <f>IFERROR(__xludf.DUMMYFUNCTION("""COMPUTED_VALUE"""),1.019)</f>
        <v>1.019</v>
      </c>
      <c r="E6345" s="16">
        <f>IFERROR(__xludf.DUMMYFUNCTION("""COMPUTED_VALUE"""),63.0)</f>
        <v>63</v>
      </c>
      <c r="F6345" s="19" t="str">
        <f>IFERROR(__xludf.DUMMYFUNCTION("""COMPUTED_VALUE"""),"BLUE")</f>
        <v>BLUE</v>
      </c>
      <c r="G6345" s="20" t="str">
        <f>IFERROR(__xludf.DUMMYFUNCTION("""COMPUTED_VALUE"""),"Uncle Sams Cider (11/12/2021) (Blue)")</f>
        <v>Uncle Sams Cider (11/12/2021) (Blue)</v>
      </c>
      <c r="H6345" s="19"/>
    </row>
    <row r="6346">
      <c r="A6346" s="9"/>
      <c r="B6346" s="15"/>
      <c r="C6346" s="9">
        <f>IFERROR(__xludf.DUMMYFUNCTION("""COMPUTED_VALUE"""),44539.0070110879)</f>
        <v>44539.00701</v>
      </c>
      <c r="D6346" s="15">
        <f>IFERROR(__xludf.DUMMYFUNCTION("""COMPUTED_VALUE"""),1.019)</f>
        <v>1.019</v>
      </c>
      <c r="E6346" s="16">
        <f>IFERROR(__xludf.DUMMYFUNCTION("""COMPUTED_VALUE"""),63.0)</f>
        <v>63</v>
      </c>
      <c r="F6346" s="19" t="str">
        <f>IFERROR(__xludf.DUMMYFUNCTION("""COMPUTED_VALUE"""),"BLUE")</f>
        <v>BLUE</v>
      </c>
      <c r="G6346" s="20" t="str">
        <f>IFERROR(__xludf.DUMMYFUNCTION("""COMPUTED_VALUE"""),"Uncle Sams Cider (11/12/2021) (Blue)")</f>
        <v>Uncle Sams Cider (11/12/2021) (Blue)</v>
      </c>
      <c r="H6346" s="19"/>
    </row>
    <row r="6347">
      <c r="A6347" s="9"/>
      <c r="B6347" s="15"/>
      <c r="C6347" s="9">
        <f>IFERROR(__xludf.DUMMYFUNCTION("""COMPUTED_VALUE"""),44538.99659103)</f>
        <v>44538.99659</v>
      </c>
      <c r="D6347" s="15">
        <f>IFERROR(__xludf.DUMMYFUNCTION("""COMPUTED_VALUE"""),1.019)</f>
        <v>1.019</v>
      </c>
      <c r="E6347" s="16">
        <f>IFERROR(__xludf.DUMMYFUNCTION("""COMPUTED_VALUE"""),63.0)</f>
        <v>63</v>
      </c>
      <c r="F6347" s="19" t="str">
        <f>IFERROR(__xludf.DUMMYFUNCTION("""COMPUTED_VALUE"""),"BLUE")</f>
        <v>BLUE</v>
      </c>
      <c r="G6347" s="20" t="str">
        <f>IFERROR(__xludf.DUMMYFUNCTION("""COMPUTED_VALUE"""),"Uncle Sams Cider (11/12/2021) (Blue)")</f>
        <v>Uncle Sams Cider (11/12/2021) (Blue)</v>
      </c>
      <c r="H6347" s="19"/>
    </row>
    <row r="6348">
      <c r="A6348" s="9"/>
      <c r="B6348" s="15"/>
      <c r="C6348" s="9">
        <f>IFERROR(__xludf.DUMMYFUNCTION("""COMPUTED_VALUE"""),44538.986168912)</f>
        <v>44538.98617</v>
      </c>
      <c r="D6348" s="15">
        <f>IFERROR(__xludf.DUMMYFUNCTION("""COMPUTED_VALUE"""),1.019)</f>
        <v>1.019</v>
      </c>
      <c r="E6348" s="16">
        <f>IFERROR(__xludf.DUMMYFUNCTION("""COMPUTED_VALUE"""),63.0)</f>
        <v>63</v>
      </c>
      <c r="F6348" s="19" t="str">
        <f>IFERROR(__xludf.DUMMYFUNCTION("""COMPUTED_VALUE"""),"BLUE")</f>
        <v>BLUE</v>
      </c>
      <c r="G6348" s="20" t="str">
        <f>IFERROR(__xludf.DUMMYFUNCTION("""COMPUTED_VALUE"""),"Uncle Sams Cider (11/12/2021) (Blue)")</f>
        <v>Uncle Sams Cider (11/12/2021) (Blue)</v>
      </c>
      <c r="H6348" s="19"/>
    </row>
    <row r="6349">
      <c r="A6349" s="9"/>
      <c r="B6349" s="15"/>
      <c r="C6349" s="9">
        <f>IFERROR(__xludf.DUMMYFUNCTION("""COMPUTED_VALUE"""),44538.975748831)</f>
        <v>44538.97575</v>
      </c>
      <c r="D6349" s="15">
        <f>IFERROR(__xludf.DUMMYFUNCTION("""COMPUTED_VALUE"""),1.019)</f>
        <v>1.019</v>
      </c>
      <c r="E6349" s="16">
        <f>IFERROR(__xludf.DUMMYFUNCTION("""COMPUTED_VALUE"""),63.0)</f>
        <v>63</v>
      </c>
      <c r="F6349" s="19" t="str">
        <f>IFERROR(__xludf.DUMMYFUNCTION("""COMPUTED_VALUE"""),"BLUE")</f>
        <v>BLUE</v>
      </c>
      <c r="G6349" s="20" t="str">
        <f>IFERROR(__xludf.DUMMYFUNCTION("""COMPUTED_VALUE"""),"Uncle Sams Cider (11/12/2021) (Blue)")</f>
        <v>Uncle Sams Cider (11/12/2021) (Blue)</v>
      </c>
      <c r="H6349" s="19"/>
    </row>
    <row r="6350">
      <c r="A6350" s="9"/>
      <c r="B6350" s="15"/>
      <c r="C6350" s="9">
        <f>IFERROR(__xludf.DUMMYFUNCTION("""COMPUTED_VALUE"""),44538.9653258796)</f>
        <v>44538.96533</v>
      </c>
      <c r="D6350" s="15">
        <f>IFERROR(__xludf.DUMMYFUNCTION("""COMPUTED_VALUE"""),1.019)</f>
        <v>1.019</v>
      </c>
      <c r="E6350" s="16">
        <f>IFERROR(__xludf.DUMMYFUNCTION("""COMPUTED_VALUE"""),63.0)</f>
        <v>63</v>
      </c>
      <c r="F6350" s="19" t="str">
        <f>IFERROR(__xludf.DUMMYFUNCTION("""COMPUTED_VALUE"""),"BLUE")</f>
        <v>BLUE</v>
      </c>
      <c r="G6350" s="20" t="str">
        <f>IFERROR(__xludf.DUMMYFUNCTION("""COMPUTED_VALUE"""),"Uncle Sams Cider (11/12/2021) (Blue)")</f>
        <v>Uncle Sams Cider (11/12/2021) (Blue)</v>
      </c>
      <c r="H6350" s="19"/>
    </row>
    <row r="6351">
      <c r="A6351" s="9"/>
      <c r="B6351" s="15"/>
      <c r="C6351" s="9">
        <f>IFERROR(__xludf.DUMMYFUNCTION("""COMPUTED_VALUE"""),44538.9549042592)</f>
        <v>44538.9549</v>
      </c>
      <c r="D6351" s="15">
        <f>IFERROR(__xludf.DUMMYFUNCTION("""COMPUTED_VALUE"""),1.019)</f>
        <v>1.019</v>
      </c>
      <c r="E6351" s="16">
        <f>IFERROR(__xludf.DUMMYFUNCTION("""COMPUTED_VALUE"""),63.0)</f>
        <v>63</v>
      </c>
      <c r="F6351" s="19" t="str">
        <f>IFERROR(__xludf.DUMMYFUNCTION("""COMPUTED_VALUE"""),"BLUE")</f>
        <v>BLUE</v>
      </c>
      <c r="G6351" s="20" t="str">
        <f>IFERROR(__xludf.DUMMYFUNCTION("""COMPUTED_VALUE"""),"Uncle Sams Cider (11/12/2021) (Blue)")</f>
        <v>Uncle Sams Cider (11/12/2021) (Blue)</v>
      </c>
      <c r="H6351" s="19"/>
    </row>
    <row r="6352">
      <c r="A6352" s="9"/>
      <c r="B6352" s="15"/>
      <c r="C6352" s="9">
        <f>IFERROR(__xludf.DUMMYFUNCTION("""COMPUTED_VALUE"""),44538.9444609953)</f>
        <v>44538.94446</v>
      </c>
      <c r="D6352" s="15">
        <f>IFERROR(__xludf.DUMMYFUNCTION("""COMPUTED_VALUE"""),1.019)</f>
        <v>1.019</v>
      </c>
      <c r="E6352" s="16">
        <f>IFERROR(__xludf.DUMMYFUNCTION("""COMPUTED_VALUE"""),63.0)</f>
        <v>63</v>
      </c>
      <c r="F6352" s="19" t="str">
        <f>IFERROR(__xludf.DUMMYFUNCTION("""COMPUTED_VALUE"""),"BLUE")</f>
        <v>BLUE</v>
      </c>
      <c r="G6352" s="20" t="str">
        <f>IFERROR(__xludf.DUMMYFUNCTION("""COMPUTED_VALUE"""),"Uncle Sams Cider (11/12/2021) (Blue)")</f>
        <v>Uncle Sams Cider (11/12/2021) (Blue)</v>
      </c>
      <c r="H6352" s="19"/>
    </row>
    <row r="6353">
      <c r="A6353" s="9"/>
      <c r="B6353" s="15"/>
      <c r="C6353" s="9">
        <f>IFERROR(__xludf.DUMMYFUNCTION("""COMPUTED_VALUE"""),44538.934041412)</f>
        <v>44538.93404</v>
      </c>
      <c r="D6353" s="15">
        <f>IFERROR(__xludf.DUMMYFUNCTION("""COMPUTED_VALUE"""),1.019)</f>
        <v>1.019</v>
      </c>
      <c r="E6353" s="16">
        <f>IFERROR(__xludf.DUMMYFUNCTION("""COMPUTED_VALUE"""),63.0)</f>
        <v>63</v>
      </c>
      <c r="F6353" s="19" t="str">
        <f>IFERROR(__xludf.DUMMYFUNCTION("""COMPUTED_VALUE"""),"BLUE")</f>
        <v>BLUE</v>
      </c>
      <c r="G6353" s="20" t="str">
        <f>IFERROR(__xludf.DUMMYFUNCTION("""COMPUTED_VALUE"""),"Uncle Sams Cider (11/12/2021) (Blue)")</f>
        <v>Uncle Sams Cider (11/12/2021) (Blue)</v>
      </c>
      <c r="H6353" s="19"/>
    </row>
    <row r="6354">
      <c r="A6354" s="9"/>
      <c r="B6354" s="15"/>
      <c r="C6354" s="9">
        <f>IFERROR(__xludf.DUMMYFUNCTION("""COMPUTED_VALUE"""),44538.9236202546)</f>
        <v>44538.92362</v>
      </c>
      <c r="D6354" s="15">
        <f>IFERROR(__xludf.DUMMYFUNCTION("""COMPUTED_VALUE"""),1.019)</f>
        <v>1.019</v>
      </c>
      <c r="E6354" s="16">
        <f>IFERROR(__xludf.DUMMYFUNCTION("""COMPUTED_VALUE"""),63.0)</f>
        <v>63</v>
      </c>
      <c r="F6354" s="19" t="str">
        <f>IFERROR(__xludf.DUMMYFUNCTION("""COMPUTED_VALUE"""),"BLUE")</f>
        <v>BLUE</v>
      </c>
      <c r="G6354" s="20" t="str">
        <f>IFERROR(__xludf.DUMMYFUNCTION("""COMPUTED_VALUE"""),"Uncle Sams Cider (11/12/2021) (Blue)")</f>
        <v>Uncle Sams Cider (11/12/2021) (Blue)</v>
      </c>
      <c r="H6354" s="19"/>
    </row>
    <row r="6355">
      <c r="A6355" s="9"/>
      <c r="B6355" s="15"/>
      <c r="C6355" s="9">
        <f>IFERROR(__xludf.DUMMYFUNCTION("""COMPUTED_VALUE"""),44538.9131983564)</f>
        <v>44538.9132</v>
      </c>
      <c r="D6355" s="15">
        <f>IFERROR(__xludf.DUMMYFUNCTION("""COMPUTED_VALUE"""),1.019)</f>
        <v>1.019</v>
      </c>
      <c r="E6355" s="16">
        <f>IFERROR(__xludf.DUMMYFUNCTION("""COMPUTED_VALUE"""),63.0)</f>
        <v>63</v>
      </c>
      <c r="F6355" s="19" t="str">
        <f>IFERROR(__xludf.DUMMYFUNCTION("""COMPUTED_VALUE"""),"BLUE")</f>
        <v>BLUE</v>
      </c>
      <c r="G6355" s="20" t="str">
        <f>IFERROR(__xludf.DUMMYFUNCTION("""COMPUTED_VALUE"""),"Uncle Sams Cider (11/12/2021) (Blue)")</f>
        <v>Uncle Sams Cider (11/12/2021) (Blue)</v>
      </c>
      <c r="H6355" s="19"/>
    </row>
    <row r="6356">
      <c r="A6356" s="9"/>
      <c r="B6356" s="15"/>
      <c r="C6356" s="9">
        <f>IFERROR(__xludf.DUMMYFUNCTION("""COMPUTED_VALUE"""),44538.9027772685)</f>
        <v>44538.90278</v>
      </c>
      <c r="D6356" s="15">
        <f>IFERROR(__xludf.DUMMYFUNCTION("""COMPUTED_VALUE"""),1.019)</f>
        <v>1.019</v>
      </c>
      <c r="E6356" s="16">
        <f>IFERROR(__xludf.DUMMYFUNCTION("""COMPUTED_VALUE"""),63.0)</f>
        <v>63</v>
      </c>
      <c r="F6356" s="19" t="str">
        <f>IFERROR(__xludf.DUMMYFUNCTION("""COMPUTED_VALUE"""),"BLUE")</f>
        <v>BLUE</v>
      </c>
      <c r="G6356" s="20" t="str">
        <f>IFERROR(__xludf.DUMMYFUNCTION("""COMPUTED_VALUE"""),"Uncle Sams Cider (11/12/2021) (Blue)")</f>
        <v>Uncle Sams Cider (11/12/2021) (Blue)</v>
      </c>
      <c r="H6356" s="19"/>
    </row>
    <row r="6357">
      <c r="A6357" s="9"/>
      <c r="B6357" s="15"/>
      <c r="C6357" s="9">
        <f>IFERROR(__xludf.DUMMYFUNCTION("""COMPUTED_VALUE"""),44538.8923560185)</f>
        <v>44538.89236</v>
      </c>
      <c r="D6357" s="15">
        <f>IFERROR(__xludf.DUMMYFUNCTION("""COMPUTED_VALUE"""),1.019)</f>
        <v>1.019</v>
      </c>
      <c r="E6357" s="16">
        <f>IFERROR(__xludf.DUMMYFUNCTION("""COMPUTED_VALUE"""),63.0)</f>
        <v>63</v>
      </c>
      <c r="F6357" s="19" t="str">
        <f>IFERROR(__xludf.DUMMYFUNCTION("""COMPUTED_VALUE"""),"BLUE")</f>
        <v>BLUE</v>
      </c>
      <c r="G6357" s="20" t="str">
        <f>IFERROR(__xludf.DUMMYFUNCTION("""COMPUTED_VALUE"""),"Uncle Sams Cider (11/12/2021) (Blue)")</f>
        <v>Uncle Sams Cider (11/12/2021) (Blue)</v>
      </c>
      <c r="H6357" s="19"/>
    </row>
    <row r="6358">
      <c r="A6358" s="9"/>
      <c r="B6358" s="15"/>
      <c r="C6358" s="9">
        <f>IFERROR(__xludf.DUMMYFUNCTION("""COMPUTED_VALUE"""),44538.8819356018)</f>
        <v>44538.88194</v>
      </c>
      <c r="D6358" s="15">
        <f>IFERROR(__xludf.DUMMYFUNCTION("""COMPUTED_VALUE"""),1.019)</f>
        <v>1.019</v>
      </c>
      <c r="E6358" s="16">
        <f>IFERROR(__xludf.DUMMYFUNCTION("""COMPUTED_VALUE"""),63.0)</f>
        <v>63</v>
      </c>
      <c r="F6358" s="19" t="str">
        <f>IFERROR(__xludf.DUMMYFUNCTION("""COMPUTED_VALUE"""),"BLUE")</f>
        <v>BLUE</v>
      </c>
      <c r="G6358" s="20" t="str">
        <f>IFERROR(__xludf.DUMMYFUNCTION("""COMPUTED_VALUE"""),"Uncle Sams Cider (11/12/2021) (Blue)")</f>
        <v>Uncle Sams Cider (11/12/2021) (Blue)</v>
      </c>
      <c r="H6358" s="19"/>
    </row>
    <row r="6359">
      <c r="A6359" s="9"/>
      <c r="B6359" s="15"/>
      <c r="C6359" s="9">
        <f>IFERROR(__xludf.DUMMYFUNCTION("""COMPUTED_VALUE"""),44538.871501956)</f>
        <v>44538.8715</v>
      </c>
      <c r="D6359" s="15">
        <f>IFERROR(__xludf.DUMMYFUNCTION("""COMPUTED_VALUE"""),1.019)</f>
        <v>1.019</v>
      </c>
      <c r="E6359" s="16">
        <f>IFERROR(__xludf.DUMMYFUNCTION("""COMPUTED_VALUE"""),63.0)</f>
        <v>63</v>
      </c>
      <c r="F6359" s="19" t="str">
        <f>IFERROR(__xludf.DUMMYFUNCTION("""COMPUTED_VALUE"""),"BLUE")</f>
        <v>BLUE</v>
      </c>
      <c r="G6359" s="20" t="str">
        <f>IFERROR(__xludf.DUMMYFUNCTION("""COMPUTED_VALUE"""),"Uncle Sams Cider (11/12/2021) (Blue)")</f>
        <v>Uncle Sams Cider (11/12/2021) (Blue)</v>
      </c>
      <c r="H6359" s="19"/>
    </row>
    <row r="6360">
      <c r="A6360" s="9"/>
      <c r="B6360" s="15"/>
      <c r="C6360" s="9">
        <f>IFERROR(__xludf.DUMMYFUNCTION("""COMPUTED_VALUE"""),44538.8610818865)</f>
        <v>44538.86108</v>
      </c>
      <c r="D6360" s="15">
        <f>IFERROR(__xludf.DUMMYFUNCTION("""COMPUTED_VALUE"""),1.02)</f>
        <v>1.02</v>
      </c>
      <c r="E6360" s="16">
        <f>IFERROR(__xludf.DUMMYFUNCTION("""COMPUTED_VALUE"""),63.0)</f>
        <v>63</v>
      </c>
      <c r="F6360" s="19" t="str">
        <f>IFERROR(__xludf.DUMMYFUNCTION("""COMPUTED_VALUE"""),"BLUE")</f>
        <v>BLUE</v>
      </c>
      <c r="G6360" s="20" t="str">
        <f>IFERROR(__xludf.DUMMYFUNCTION("""COMPUTED_VALUE"""),"Uncle Sams Cider (11/12/2021) (Blue)")</f>
        <v>Uncle Sams Cider (11/12/2021) (Blue)</v>
      </c>
      <c r="H6360" s="19"/>
    </row>
    <row r="6361">
      <c r="A6361" s="9"/>
      <c r="B6361" s="15"/>
      <c r="C6361" s="9">
        <f>IFERROR(__xludf.DUMMYFUNCTION("""COMPUTED_VALUE"""),44538.8506617592)</f>
        <v>44538.85066</v>
      </c>
      <c r="D6361" s="15">
        <f>IFERROR(__xludf.DUMMYFUNCTION("""COMPUTED_VALUE"""),1.02)</f>
        <v>1.02</v>
      </c>
      <c r="E6361" s="16">
        <f>IFERROR(__xludf.DUMMYFUNCTION("""COMPUTED_VALUE"""),63.0)</f>
        <v>63</v>
      </c>
      <c r="F6361" s="19" t="str">
        <f>IFERROR(__xludf.DUMMYFUNCTION("""COMPUTED_VALUE"""),"BLUE")</f>
        <v>BLUE</v>
      </c>
      <c r="G6361" s="20" t="str">
        <f>IFERROR(__xludf.DUMMYFUNCTION("""COMPUTED_VALUE"""),"Uncle Sams Cider (11/12/2021) (Blue)")</f>
        <v>Uncle Sams Cider (11/12/2021) (Blue)</v>
      </c>
      <c r="H6361" s="19"/>
    </row>
    <row r="6362">
      <c r="A6362" s="9"/>
      <c r="B6362" s="15"/>
      <c r="C6362" s="9">
        <f>IFERROR(__xludf.DUMMYFUNCTION("""COMPUTED_VALUE"""),44538.8402280092)</f>
        <v>44538.84023</v>
      </c>
      <c r="D6362" s="15">
        <f>IFERROR(__xludf.DUMMYFUNCTION("""COMPUTED_VALUE"""),1.019)</f>
        <v>1.019</v>
      </c>
      <c r="E6362" s="16">
        <f>IFERROR(__xludf.DUMMYFUNCTION("""COMPUTED_VALUE"""),63.0)</f>
        <v>63</v>
      </c>
      <c r="F6362" s="19" t="str">
        <f>IFERROR(__xludf.DUMMYFUNCTION("""COMPUTED_VALUE"""),"BLUE")</f>
        <v>BLUE</v>
      </c>
      <c r="G6362" s="20" t="str">
        <f>IFERROR(__xludf.DUMMYFUNCTION("""COMPUTED_VALUE"""),"Uncle Sams Cider (11/12/2021) (Blue)")</f>
        <v>Uncle Sams Cider (11/12/2021) (Blue)</v>
      </c>
      <c r="H6362" s="19"/>
    </row>
    <row r="6363">
      <c r="A6363" s="9"/>
      <c r="B6363" s="15"/>
      <c r="C6363" s="9">
        <f>IFERROR(__xludf.DUMMYFUNCTION("""COMPUTED_VALUE"""),44538.8298069444)</f>
        <v>44538.82981</v>
      </c>
      <c r="D6363" s="15">
        <f>IFERROR(__xludf.DUMMYFUNCTION("""COMPUTED_VALUE"""),1.019)</f>
        <v>1.019</v>
      </c>
      <c r="E6363" s="16">
        <f>IFERROR(__xludf.DUMMYFUNCTION("""COMPUTED_VALUE"""),63.0)</f>
        <v>63</v>
      </c>
      <c r="F6363" s="19" t="str">
        <f>IFERROR(__xludf.DUMMYFUNCTION("""COMPUTED_VALUE"""),"BLUE")</f>
        <v>BLUE</v>
      </c>
      <c r="G6363" s="20" t="str">
        <f>IFERROR(__xludf.DUMMYFUNCTION("""COMPUTED_VALUE"""),"Uncle Sams Cider (11/12/2021) (Blue)")</f>
        <v>Uncle Sams Cider (11/12/2021) (Blue)</v>
      </c>
      <c r="H6363" s="19"/>
    </row>
    <row r="6364">
      <c r="A6364" s="9"/>
      <c r="B6364" s="15"/>
      <c r="C6364" s="9">
        <f>IFERROR(__xludf.DUMMYFUNCTION("""COMPUTED_VALUE"""),44538.8193872801)</f>
        <v>44538.81939</v>
      </c>
      <c r="D6364" s="15">
        <f>IFERROR(__xludf.DUMMYFUNCTION("""COMPUTED_VALUE"""),1.019)</f>
        <v>1.019</v>
      </c>
      <c r="E6364" s="16">
        <f>IFERROR(__xludf.DUMMYFUNCTION("""COMPUTED_VALUE"""),63.0)</f>
        <v>63</v>
      </c>
      <c r="F6364" s="19" t="str">
        <f>IFERROR(__xludf.DUMMYFUNCTION("""COMPUTED_VALUE"""),"BLUE")</f>
        <v>BLUE</v>
      </c>
      <c r="G6364" s="20" t="str">
        <f>IFERROR(__xludf.DUMMYFUNCTION("""COMPUTED_VALUE"""),"Uncle Sams Cider (11/12/2021) (Blue)")</f>
        <v>Uncle Sams Cider (11/12/2021) (Blue)</v>
      </c>
      <c r="H6364" s="19"/>
    </row>
    <row r="6365">
      <c r="A6365" s="9"/>
      <c r="B6365" s="15"/>
      <c r="C6365" s="9">
        <f>IFERROR(__xludf.DUMMYFUNCTION("""COMPUTED_VALUE"""),44538.8089656481)</f>
        <v>44538.80897</v>
      </c>
      <c r="D6365" s="15">
        <f>IFERROR(__xludf.DUMMYFUNCTION("""COMPUTED_VALUE"""),1.02)</f>
        <v>1.02</v>
      </c>
      <c r="E6365" s="16">
        <f>IFERROR(__xludf.DUMMYFUNCTION("""COMPUTED_VALUE"""),63.0)</f>
        <v>63</v>
      </c>
      <c r="F6365" s="19" t="str">
        <f>IFERROR(__xludf.DUMMYFUNCTION("""COMPUTED_VALUE"""),"BLUE")</f>
        <v>BLUE</v>
      </c>
      <c r="G6365" s="20" t="str">
        <f>IFERROR(__xludf.DUMMYFUNCTION("""COMPUTED_VALUE"""),"Uncle Sams Cider (11/12/2021) (Blue)")</f>
        <v>Uncle Sams Cider (11/12/2021) (Blue)</v>
      </c>
      <c r="H6365" s="19"/>
    </row>
    <row r="6366">
      <c r="A6366" s="9"/>
      <c r="B6366" s="15"/>
      <c r="C6366" s="9">
        <f>IFERROR(__xludf.DUMMYFUNCTION("""COMPUTED_VALUE"""),44538.7985444675)</f>
        <v>44538.79854</v>
      </c>
      <c r="D6366" s="15">
        <f>IFERROR(__xludf.DUMMYFUNCTION("""COMPUTED_VALUE"""),1.02)</f>
        <v>1.02</v>
      </c>
      <c r="E6366" s="16">
        <f>IFERROR(__xludf.DUMMYFUNCTION("""COMPUTED_VALUE"""),63.0)</f>
        <v>63</v>
      </c>
      <c r="F6366" s="19" t="str">
        <f>IFERROR(__xludf.DUMMYFUNCTION("""COMPUTED_VALUE"""),"BLUE")</f>
        <v>BLUE</v>
      </c>
      <c r="G6366" s="20" t="str">
        <f>IFERROR(__xludf.DUMMYFUNCTION("""COMPUTED_VALUE"""),"Uncle Sams Cider (11/12/2021) (Blue)")</f>
        <v>Uncle Sams Cider (11/12/2021) (Blue)</v>
      </c>
      <c r="H6366" s="19"/>
    </row>
    <row r="6367">
      <c r="A6367" s="9"/>
      <c r="B6367" s="15"/>
      <c r="C6367" s="9">
        <f>IFERROR(__xludf.DUMMYFUNCTION("""COMPUTED_VALUE"""),44538.7881231134)</f>
        <v>44538.78812</v>
      </c>
      <c r="D6367" s="15">
        <f>IFERROR(__xludf.DUMMYFUNCTION("""COMPUTED_VALUE"""),1.02)</f>
        <v>1.02</v>
      </c>
      <c r="E6367" s="16">
        <f>IFERROR(__xludf.DUMMYFUNCTION("""COMPUTED_VALUE"""),63.0)</f>
        <v>63</v>
      </c>
      <c r="F6367" s="19" t="str">
        <f>IFERROR(__xludf.DUMMYFUNCTION("""COMPUTED_VALUE"""),"BLUE")</f>
        <v>BLUE</v>
      </c>
      <c r="G6367" s="20" t="str">
        <f>IFERROR(__xludf.DUMMYFUNCTION("""COMPUTED_VALUE"""),"Uncle Sams Cider (11/12/2021) (Blue)")</f>
        <v>Uncle Sams Cider (11/12/2021) (Blue)</v>
      </c>
      <c r="H6367" s="19"/>
    </row>
    <row r="6368">
      <c r="A6368" s="9"/>
      <c r="B6368" s="15"/>
      <c r="C6368" s="9">
        <f>IFERROR(__xludf.DUMMYFUNCTION("""COMPUTED_VALUE"""),44538.7777039814)</f>
        <v>44538.7777</v>
      </c>
      <c r="D6368" s="15">
        <f>IFERROR(__xludf.DUMMYFUNCTION("""COMPUTED_VALUE"""),1.02)</f>
        <v>1.02</v>
      </c>
      <c r="E6368" s="16">
        <f>IFERROR(__xludf.DUMMYFUNCTION("""COMPUTED_VALUE"""),63.0)</f>
        <v>63</v>
      </c>
      <c r="F6368" s="19" t="str">
        <f>IFERROR(__xludf.DUMMYFUNCTION("""COMPUTED_VALUE"""),"BLUE")</f>
        <v>BLUE</v>
      </c>
      <c r="G6368" s="20" t="str">
        <f>IFERROR(__xludf.DUMMYFUNCTION("""COMPUTED_VALUE"""),"Uncle Sams Cider (11/12/2021) (Blue)")</f>
        <v>Uncle Sams Cider (11/12/2021) (Blue)</v>
      </c>
      <c r="H6368" s="19"/>
    </row>
    <row r="6369">
      <c r="A6369" s="9"/>
      <c r="B6369" s="15"/>
      <c r="C6369" s="9">
        <f>IFERROR(__xludf.DUMMYFUNCTION("""COMPUTED_VALUE"""),44538.7672826504)</f>
        <v>44538.76728</v>
      </c>
      <c r="D6369" s="15">
        <f>IFERROR(__xludf.DUMMYFUNCTION("""COMPUTED_VALUE"""),1.019)</f>
        <v>1.019</v>
      </c>
      <c r="E6369" s="16">
        <f>IFERROR(__xludf.DUMMYFUNCTION("""COMPUTED_VALUE"""),63.0)</f>
        <v>63</v>
      </c>
      <c r="F6369" s="19" t="str">
        <f>IFERROR(__xludf.DUMMYFUNCTION("""COMPUTED_VALUE"""),"BLUE")</f>
        <v>BLUE</v>
      </c>
      <c r="G6369" s="20" t="str">
        <f>IFERROR(__xludf.DUMMYFUNCTION("""COMPUTED_VALUE"""),"Uncle Sams Cider (11/12/2021) (Blue)")</f>
        <v>Uncle Sams Cider (11/12/2021) (Blue)</v>
      </c>
      <c r="H6369" s="19"/>
    </row>
    <row r="6370">
      <c r="A6370" s="9"/>
      <c r="B6370" s="15"/>
      <c r="C6370" s="9">
        <f>IFERROR(__xludf.DUMMYFUNCTION("""COMPUTED_VALUE"""),44538.75686103)</f>
        <v>44538.75686</v>
      </c>
      <c r="D6370" s="15">
        <f>IFERROR(__xludf.DUMMYFUNCTION("""COMPUTED_VALUE"""),1.02)</f>
        <v>1.02</v>
      </c>
      <c r="E6370" s="16">
        <f>IFERROR(__xludf.DUMMYFUNCTION("""COMPUTED_VALUE"""),63.0)</f>
        <v>63</v>
      </c>
      <c r="F6370" s="19" t="str">
        <f>IFERROR(__xludf.DUMMYFUNCTION("""COMPUTED_VALUE"""),"BLUE")</f>
        <v>BLUE</v>
      </c>
      <c r="G6370" s="20" t="str">
        <f>IFERROR(__xludf.DUMMYFUNCTION("""COMPUTED_VALUE"""),"Uncle Sams Cider (11/12/2021) (Blue)")</f>
        <v>Uncle Sams Cider (11/12/2021) (Blue)</v>
      </c>
      <c r="H6370" s="19"/>
    </row>
    <row r="6371">
      <c r="A6371" s="9"/>
      <c r="B6371" s="15"/>
      <c r="C6371" s="9">
        <f>IFERROR(__xludf.DUMMYFUNCTION("""COMPUTED_VALUE"""),44538.746438449)</f>
        <v>44538.74644</v>
      </c>
      <c r="D6371" s="15">
        <f>IFERROR(__xludf.DUMMYFUNCTION("""COMPUTED_VALUE"""),1.02)</f>
        <v>1.02</v>
      </c>
      <c r="E6371" s="16">
        <f>IFERROR(__xludf.DUMMYFUNCTION("""COMPUTED_VALUE"""),63.0)</f>
        <v>63</v>
      </c>
      <c r="F6371" s="19" t="str">
        <f>IFERROR(__xludf.DUMMYFUNCTION("""COMPUTED_VALUE"""),"BLUE")</f>
        <v>BLUE</v>
      </c>
      <c r="G6371" s="20" t="str">
        <f>IFERROR(__xludf.DUMMYFUNCTION("""COMPUTED_VALUE"""),"Uncle Sams Cider (11/12/2021) (Blue)")</f>
        <v>Uncle Sams Cider (11/12/2021) (Blue)</v>
      </c>
      <c r="H6371" s="19"/>
    </row>
    <row r="6372">
      <c r="A6372" s="9"/>
      <c r="B6372" s="15"/>
      <c r="C6372" s="9">
        <f>IFERROR(__xludf.DUMMYFUNCTION("""COMPUTED_VALUE"""),44538.736017824)</f>
        <v>44538.73602</v>
      </c>
      <c r="D6372" s="15">
        <f>IFERROR(__xludf.DUMMYFUNCTION("""COMPUTED_VALUE"""),1.02)</f>
        <v>1.02</v>
      </c>
      <c r="E6372" s="16">
        <f>IFERROR(__xludf.DUMMYFUNCTION("""COMPUTED_VALUE"""),63.0)</f>
        <v>63</v>
      </c>
      <c r="F6372" s="19" t="str">
        <f>IFERROR(__xludf.DUMMYFUNCTION("""COMPUTED_VALUE"""),"BLUE")</f>
        <v>BLUE</v>
      </c>
      <c r="G6372" s="20" t="str">
        <f>IFERROR(__xludf.DUMMYFUNCTION("""COMPUTED_VALUE"""),"Uncle Sams Cider (11/12/2021) (Blue)")</f>
        <v>Uncle Sams Cider (11/12/2021) (Blue)</v>
      </c>
      <c r="H6372" s="19"/>
    </row>
    <row r="6373">
      <c r="A6373" s="9"/>
      <c r="B6373" s="15"/>
      <c r="C6373" s="9">
        <f>IFERROR(__xludf.DUMMYFUNCTION("""COMPUTED_VALUE"""),44538.72559625)</f>
        <v>44538.7256</v>
      </c>
      <c r="D6373" s="15">
        <f>IFERROR(__xludf.DUMMYFUNCTION("""COMPUTED_VALUE"""),1.02)</f>
        <v>1.02</v>
      </c>
      <c r="E6373" s="16">
        <f>IFERROR(__xludf.DUMMYFUNCTION("""COMPUTED_VALUE"""),63.0)</f>
        <v>63</v>
      </c>
      <c r="F6373" s="19" t="str">
        <f>IFERROR(__xludf.DUMMYFUNCTION("""COMPUTED_VALUE"""),"BLUE")</f>
        <v>BLUE</v>
      </c>
      <c r="G6373" s="20" t="str">
        <f>IFERROR(__xludf.DUMMYFUNCTION("""COMPUTED_VALUE"""),"Uncle Sams Cider (11/12/2021) (Blue)")</f>
        <v>Uncle Sams Cider (11/12/2021) (Blue)</v>
      </c>
      <c r="H6373" s="19"/>
    </row>
    <row r="6374">
      <c r="A6374" s="9"/>
      <c r="B6374" s="15"/>
      <c r="C6374" s="9">
        <f>IFERROR(__xludf.DUMMYFUNCTION("""COMPUTED_VALUE"""),44538.7151753703)</f>
        <v>44538.71518</v>
      </c>
      <c r="D6374" s="15">
        <f>IFERROR(__xludf.DUMMYFUNCTION("""COMPUTED_VALUE"""),1.02)</f>
        <v>1.02</v>
      </c>
      <c r="E6374" s="16">
        <f>IFERROR(__xludf.DUMMYFUNCTION("""COMPUTED_VALUE"""),63.0)</f>
        <v>63</v>
      </c>
      <c r="F6374" s="19" t="str">
        <f>IFERROR(__xludf.DUMMYFUNCTION("""COMPUTED_VALUE"""),"BLUE")</f>
        <v>BLUE</v>
      </c>
      <c r="G6374" s="20" t="str">
        <f>IFERROR(__xludf.DUMMYFUNCTION("""COMPUTED_VALUE"""),"Uncle Sams Cider (11/12/2021) (Blue)")</f>
        <v>Uncle Sams Cider (11/12/2021) (Blue)</v>
      </c>
      <c r="H6374" s="19"/>
    </row>
    <row r="6375">
      <c r="A6375" s="9"/>
      <c r="B6375" s="15"/>
      <c r="C6375" s="9">
        <f>IFERROR(__xludf.DUMMYFUNCTION("""COMPUTED_VALUE"""),44538.7047556712)</f>
        <v>44538.70476</v>
      </c>
      <c r="D6375" s="15">
        <f>IFERROR(__xludf.DUMMYFUNCTION("""COMPUTED_VALUE"""),1.02)</f>
        <v>1.02</v>
      </c>
      <c r="E6375" s="16">
        <f>IFERROR(__xludf.DUMMYFUNCTION("""COMPUTED_VALUE"""),63.0)</f>
        <v>63</v>
      </c>
      <c r="F6375" s="19" t="str">
        <f>IFERROR(__xludf.DUMMYFUNCTION("""COMPUTED_VALUE"""),"BLUE")</f>
        <v>BLUE</v>
      </c>
      <c r="G6375" s="20" t="str">
        <f>IFERROR(__xludf.DUMMYFUNCTION("""COMPUTED_VALUE"""),"Uncle Sams Cider (11/12/2021) (Blue)")</f>
        <v>Uncle Sams Cider (11/12/2021) (Blue)</v>
      </c>
      <c r="H6375" s="19"/>
    </row>
    <row r="6376">
      <c r="A6376" s="9"/>
      <c r="B6376" s="15"/>
      <c r="C6376" s="9">
        <f>IFERROR(__xludf.DUMMYFUNCTION("""COMPUTED_VALUE"""),44538.6943361342)</f>
        <v>44538.69434</v>
      </c>
      <c r="D6376" s="15">
        <f>IFERROR(__xludf.DUMMYFUNCTION("""COMPUTED_VALUE"""),1.02)</f>
        <v>1.02</v>
      </c>
      <c r="E6376" s="16">
        <f>IFERROR(__xludf.DUMMYFUNCTION("""COMPUTED_VALUE"""),63.0)</f>
        <v>63</v>
      </c>
      <c r="F6376" s="19" t="str">
        <f>IFERROR(__xludf.DUMMYFUNCTION("""COMPUTED_VALUE"""),"BLUE")</f>
        <v>BLUE</v>
      </c>
      <c r="G6376" s="20" t="str">
        <f>IFERROR(__xludf.DUMMYFUNCTION("""COMPUTED_VALUE"""),"Uncle Sams Cider (11/12/2021) (Blue)")</f>
        <v>Uncle Sams Cider (11/12/2021) (Blue)</v>
      </c>
      <c r="H6376" s="19"/>
    </row>
    <row r="6377">
      <c r="A6377" s="9"/>
      <c r="B6377" s="15"/>
      <c r="C6377" s="9">
        <f>IFERROR(__xludf.DUMMYFUNCTION("""COMPUTED_VALUE"""),44538.6839129398)</f>
        <v>44538.68391</v>
      </c>
      <c r="D6377" s="15">
        <f>IFERROR(__xludf.DUMMYFUNCTION("""COMPUTED_VALUE"""),1.019)</f>
        <v>1.019</v>
      </c>
      <c r="E6377" s="16">
        <f>IFERROR(__xludf.DUMMYFUNCTION("""COMPUTED_VALUE"""),63.0)</f>
        <v>63</v>
      </c>
      <c r="F6377" s="19" t="str">
        <f>IFERROR(__xludf.DUMMYFUNCTION("""COMPUTED_VALUE"""),"BLUE")</f>
        <v>BLUE</v>
      </c>
      <c r="G6377" s="20" t="str">
        <f>IFERROR(__xludf.DUMMYFUNCTION("""COMPUTED_VALUE"""),"Uncle Sams Cider (11/12/2021) (Blue)")</f>
        <v>Uncle Sams Cider (11/12/2021) (Blue)</v>
      </c>
      <c r="H6377" s="19"/>
    </row>
    <row r="6378">
      <c r="A6378" s="9"/>
      <c r="B6378" s="15"/>
      <c r="C6378" s="9">
        <f>IFERROR(__xludf.DUMMYFUNCTION("""COMPUTED_VALUE"""),44538.6734792476)</f>
        <v>44538.67348</v>
      </c>
      <c r="D6378" s="15">
        <f>IFERROR(__xludf.DUMMYFUNCTION("""COMPUTED_VALUE"""),1.02)</f>
        <v>1.02</v>
      </c>
      <c r="E6378" s="16">
        <f>IFERROR(__xludf.DUMMYFUNCTION("""COMPUTED_VALUE"""),63.0)</f>
        <v>63</v>
      </c>
      <c r="F6378" s="19" t="str">
        <f>IFERROR(__xludf.DUMMYFUNCTION("""COMPUTED_VALUE"""),"BLUE")</f>
        <v>BLUE</v>
      </c>
      <c r="G6378" s="20" t="str">
        <f>IFERROR(__xludf.DUMMYFUNCTION("""COMPUTED_VALUE"""),"Uncle Sams Cider (11/12/2021) (Blue)")</f>
        <v>Uncle Sams Cider (11/12/2021) (Blue)</v>
      </c>
      <c r="H6378" s="19"/>
    </row>
    <row r="6379">
      <c r="A6379" s="9"/>
      <c r="B6379" s="15"/>
      <c r="C6379" s="9">
        <f>IFERROR(__xludf.DUMMYFUNCTION("""COMPUTED_VALUE"""),44538.6630586805)</f>
        <v>44538.66306</v>
      </c>
      <c r="D6379" s="15">
        <f>IFERROR(__xludf.DUMMYFUNCTION("""COMPUTED_VALUE"""),1.02)</f>
        <v>1.02</v>
      </c>
      <c r="E6379" s="16">
        <f>IFERROR(__xludf.DUMMYFUNCTION("""COMPUTED_VALUE"""),63.0)</f>
        <v>63</v>
      </c>
      <c r="F6379" s="19" t="str">
        <f>IFERROR(__xludf.DUMMYFUNCTION("""COMPUTED_VALUE"""),"BLUE")</f>
        <v>BLUE</v>
      </c>
      <c r="G6379" s="20" t="str">
        <f>IFERROR(__xludf.DUMMYFUNCTION("""COMPUTED_VALUE"""),"Uncle Sams Cider (11/12/2021) (Blue)")</f>
        <v>Uncle Sams Cider (11/12/2021) (Blue)</v>
      </c>
      <c r="H6379" s="19"/>
    </row>
    <row r="6380">
      <c r="A6380" s="9"/>
      <c r="B6380" s="15"/>
      <c r="C6380" s="9">
        <f>IFERROR(__xludf.DUMMYFUNCTION("""COMPUTED_VALUE"""),44538.6526267245)</f>
        <v>44538.65263</v>
      </c>
      <c r="D6380" s="15">
        <f>IFERROR(__xludf.DUMMYFUNCTION("""COMPUTED_VALUE"""),1.02)</f>
        <v>1.02</v>
      </c>
      <c r="E6380" s="16">
        <f>IFERROR(__xludf.DUMMYFUNCTION("""COMPUTED_VALUE"""),63.0)</f>
        <v>63</v>
      </c>
      <c r="F6380" s="19" t="str">
        <f>IFERROR(__xludf.DUMMYFUNCTION("""COMPUTED_VALUE"""),"BLUE")</f>
        <v>BLUE</v>
      </c>
      <c r="G6380" s="20" t="str">
        <f>IFERROR(__xludf.DUMMYFUNCTION("""COMPUTED_VALUE"""),"Uncle Sams Cider (11/12/2021) (Blue)")</f>
        <v>Uncle Sams Cider (11/12/2021) (Blue)</v>
      </c>
      <c r="H6380" s="19"/>
    </row>
    <row r="6381">
      <c r="A6381" s="9"/>
      <c r="B6381" s="15"/>
      <c r="C6381" s="9">
        <f>IFERROR(__xludf.DUMMYFUNCTION("""COMPUTED_VALUE"""),44538.6422043634)</f>
        <v>44538.6422</v>
      </c>
      <c r="D6381" s="15">
        <f>IFERROR(__xludf.DUMMYFUNCTION("""COMPUTED_VALUE"""),1.02)</f>
        <v>1.02</v>
      </c>
      <c r="E6381" s="16">
        <f>IFERROR(__xludf.DUMMYFUNCTION("""COMPUTED_VALUE"""),63.0)</f>
        <v>63</v>
      </c>
      <c r="F6381" s="19" t="str">
        <f>IFERROR(__xludf.DUMMYFUNCTION("""COMPUTED_VALUE"""),"BLUE")</f>
        <v>BLUE</v>
      </c>
      <c r="G6381" s="20" t="str">
        <f>IFERROR(__xludf.DUMMYFUNCTION("""COMPUTED_VALUE"""),"Uncle Sams Cider (11/12/2021) (Blue)")</f>
        <v>Uncle Sams Cider (11/12/2021) (Blue)</v>
      </c>
      <c r="H6381" s="19"/>
    </row>
    <row r="6382">
      <c r="A6382" s="9"/>
      <c r="B6382" s="15"/>
      <c r="C6382" s="9">
        <f>IFERROR(__xludf.DUMMYFUNCTION("""COMPUTED_VALUE"""),44538.6317720138)</f>
        <v>44538.63177</v>
      </c>
      <c r="D6382" s="15">
        <f>IFERROR(__xludf.DUMMYFUNCTION("""COMPUTED_VALUE"""),1.02)</f>
        <v>1.02</v>
      </c>
      <c r="E6382" s="16">
        <f>IFERROR(__xludf.DUMMYFUNCTION("""COMPUTED_VALUE"""),63.0)</f>
        <v>63</v>
      </c>
      <c r="F6382" s="19" t="str">
        <f>IFERROR(__xludf.DUMMYFUNCTION("""COMPUTED_VALUE"""),"BLUE")</f>
        <v>BLUE</v>
      </c>
      <c r="G6382" s="20" t="str">
        <f>IFERROR(__xludf.DUMMYFUNCTION("""COMPUTED_VALUE"""),"Uncle Sams Cider (11/12/2021) (Blue)")</f>
        <v>Uncle Sams Cider (11/12/2021) (Blue)</v>
      </c>
      <c r="H6382" s="19"/>
    </row>
    <row r="6383">
      <c r="A6383" s="9"/>
      <c r="B6383" s="15"/>
      <c r="C6383" s="9">
        <f>IFERROR(__xludf.DUMMYFUNCTION("""COMPUTED_VALUE"""),44538.6213506828)</f>
        <v>44538.62135</v>
      </c>
      <c r="D6383" s="15">
        <f>IFERROR(__xludf.DUMMYFUNCTION("""COMPUTED_VALUE"""),1.02)</f>
        <v>1.02</v>
      </c>
      <c r="E6383" s="16">
        <f>IFERROR(__xludf.DUMMYFUNCTION("""COMPUTED_VALUE"""),63.0)</f>
        <v>63</v>
      </c>
      <c r="F6383" s="19" t="str">
        <f>IFERROR(__xludf.DUMMYFUNCTION("""COMPUTED_VALUE"""),"BLUE")</f>
        <v>BLUE</v>
      </c>
      <c r="G6383" s="20" t="str">
        <f>IFERROR(__xludf.DUMMYFUNCTION("""COMPUTED_VALUE"""),"Uncle Sams Cider (11/12/2021) (Blue)")</f>
        <v>Uncle Sams Cider (11/12/2021) (Blue)</v>
      </c>
      <c r="H6383" s="19"/>
    </row>
    <row r="6384">
      <c r="A6384" s="9"/>
      <c r="B6384" s="15"/>
      <c r="C6384" s="9">
        <f>IFERROR(__xludf.DUMMYFUNCTION("""COMPUTED_VALUE"""),44538.6109289583)</f>
        <v>44538.61093</v>
      </c>
      <c r="D6384" s="15">
        <f>IFERROR(__xludf.DUMMYFUNCTION("""COMPUTED_VALUE"""),1.02)</f>
        <v>1.02</v>
      </c>
      <c r="E6384" s="16">
        <f>IFERROR(__xludf.DUMMYFUNCTION("""COMPUTED_VALUE"""),63.0)</f>
        <v>63</v>
      </c>
      <c r="F6384" s="19" t="str">
        <f>IFERROR(__xludf.DUMMYFUNCTION("""COMPUTED_VALUE"""),"BLUE")</f>
        <v>BLUE</v>
      </c>
      <c r="G6384" s="20" t="str">
        <f>IFERROR(__xludf.DUMMYFUNCTION("""COMPUTED_VALUE"""),"Uncle Sams Cider (11/12/2021) (Blue)")</f>
        <v>Uncle Sams Cider (11/12/2021) (Blue)</v>
      </c>
      <c r="H6384" s="19"/>
    </row>
    <row r="6385">
      <c r="A6385" s="9"/>
      <c r="B6385" s="15"/>
      <c r="C6385" s="9">
        <f>IFERROR(__xludf.DUMMYFUNCTION("""COMPUTED_VALUE"""),44538.6005069444)</f>
        <v>44538.60051</v>
      </c>
      <c r="D6385" s="15">
        <f>IFERROR(__xludf.DUMMYFUNCTION("""COMPUTED_VALUE"""),1.02)</f>
        <v>1.02</v>
      </c>
      <c r="E6385" s="16">
        <f>IFERROR(__xludf.DUMMYFUNCTION("""COMPUTED_VALUE"""),63.0)</f>
        <v>63</v>
      </c>
      <c r="F6385" s="19" t="str">
        <f>IFERROR(__xludf.DUMMYFUNCTION("""COMPUTED_VALUE"""),"BLUE")</f>
        <v>BLUE</v>
      </c>
      <c r="G6385" s="20" t="str">
        <f>IFERROR(__xludf.DUMMYFUNCTION("""COMPUTED_VALUE"""),"Uncle Sams Cider (11/12/2021) (Blue)")</f>
        <v>Uncle Sams Cider (11/12/2021) (Blue)</v>
      </c>
      <c r="H6385" s="19"/>
    </row>
    <row r="6386">
      <c r="A6386" s="9"/>
      <c r="B6386" s="15"/>
      <c r="C6386" s="9">
        <f>IFERROR(__xludf.DUMMYFUNCTION("""COMPUTED_VALUE"""),44538.5900862152)</f>
        <v>44538.59009</v>
      </c>
      <c r="D6386" s="15">
        <f>IFERROR(__xludf.DUMMYFUNCTION("""COMPUTED_VALUE"""),1.02)</f>
        <v>1.02</v>
      </c>
      <c r="E6386" s="16">
        <f>IFERROR(__xludf.DUMMYFUNCTION("""COMPUTED_VALUE"""),63.0)</f>
        <v>63</v>
      </c>
      <c r="F6386" s="19" t="str">
        <f>IFERROR(__xludf.DUMMYFUNCTION("""COMPUTED_VALUE"""),"BLUE")</f>
        <v>BLUE</v>
      </c>
      <c r="G6386" s="20" t="str">
        <f>IFERROR(__xludf.DUMMYFUNCTION("""COMPUTED_VALUE"""),"Uncle Sams Cider (11/12/2021) (Blue)")</f>
        <v>Uncle Sams Cider (11/12/2021) (Blue)</v>
      </c>
      <c r="H6386" s="19"/>
    </row>
    <row r="6387">
      <c r="A6387" s="9"/>
      <c r="B6387" s="15"/>
      <c r="C6387" s="9">
        <f>IFERROR(__xludf.DUMMYFUNCTION("""COMPUTED_VALUE"""),44538.579665324)</f>
        <v>44538.57967</v>
      </c>
      <c r="D6387" s="15">
        <f>IFERROR(__xludf.DUMMYFUNCTION("""COMPUTED_VALUE"""),1.02)</f>
        <v>1.02</v>
      </c>
      <c r="E6387" s="16">
        <f>IFERROR(__xludf.DUMMYFUNCTION("""COMPUTED_VALUE"""),63.0)</f>
        <v>63</v>
      </c>
      <c r="F6387" s="19" t="str">
        <f>IFERROR(__xludf.DUMMYFUNCTION("""COMPUTED_VALUE"""),"BLUE")</f>
        <v>BLUE</v>
      </c>
      <c r="G6387" s="20" t="str">
        <f>IFERROR(__xludf.DUMMYFUNCTION("""COMPUTED_VALUE"""),"Uncle Sams Cider (11/12/2021) (Blue)")</f>
        <v>Uncle Sams Cider (11/12/2021) (Blue)</v>
      </c>
      <c r="H6387" s="19"/>
    </row>
    <row r="6388">
      <c r="A6388" s="9"/>
      <c r="B6388" s="15"/>
      <c r="C6388" s="9">
        <f>IFERROR(__xludf.DUMMYFUNCTION("""COMPUTED_VALUE"""),44538.5692428819)</f>
        <v>44538.56924</v>
      </c>
      <c r="D6388" s="15">
        <f>IFERROR(__xludf.DUMMYFUNCTION("""COMPUTED_VALUE"""),1.02)</f>
        <v>1.02</v>
      </c>
      <c r="E6388" s="16">
        <f>IFERROR(__xludf.DUMMYFUNCTION("""COMPUTED_VALUE"""),63.0)</f>
        <v>63</v>
      </c>
      <c r="F6388" s="19" t="str">
        <f>IFERROR(__xludf.DUMMYFUNCTION("""COMPUTED_VALUE"""),"BLUE")</f>
        <v>BLUE</v>
      </c>
      <c r="G6388" s="20" t="str">
        <f>IFERROR(__xludf.DUMMYFUNCTION("""COMPUTED_VALUE"""),"Uncle Sams Cider (11/12/2021) (Blue)")</f>
        <v>Uncle Sams Cider (11/12/2021) (Blue)</v>
      </c>
      <c r="H6388" s="19"/>
    </row>
    <row r="6389">
      <c r="A6389" s="9"/>
      <c r="B6389" s="15"/>
      <c r="C6389" s="9">
        <f>IFERROR(__xludf.DUMMYFUNCTION("""COMPUTED_VALUE"""),44538.5588109027)</f>
        <v>44538.55881</v>
      </c>
      <c r="D6389" s="15">
        <f>IFERROR(__xludf.DUMMYFUNCTION("""COMPUTED_VALUE"""),1.02)</f>
        <v>1.02</v>
      </c>
      <c r="E6389" s="16">
        <f>IFERROR(__xludf.DUMMYFUNCTION("""COMPUTED_VALUE"""),63.0)</f>
        <v>63</v>
      </c>
      <c r="F6389" s="19" t="str">
        <f>IFERROR(__xludf.DUMMYFUNCTION("""COMPUTED_VALUE"""),"BLUE")</f>
        <v>BLUE</v>
      </c>
      <c r="G6389" s="20" t="str">
        <f>IFERROR(__xludf.DUMMYFUNCTION("""COMPUTED_VALUE"""),"Uncle Sams Cider (11/12/2021) (Blue)")</f>
        <v>Uncle Sams Cider (11/12/2021) (Blue)</v>
      </c>
      <c r="H6389" s="19"/>
    </row>
    <row r="6390">
      <c r="A6390" s="9"/>
      <c r="B6390" s="15"/>
      <c r="C6390" s="9">
        <f>IFERROR(__xludf.DUMMYFUNCTION("""COMPUTED_VALUE"""),44538.5483887037)</f>
        <v>44538.54839</v>
      </c>
      <c r="D6390" s="15">
        <f>IFERROR(__xludf.DUMMYFUNCTION("""COMPUTED_VALUE"""),1.02)</f>
        <v>1.02</v>
      </c>
      <c r="E6390" s="16">
        <f>IFERROR(__xludf.DUMMYFUNCTION("""COMPUTED_VALUE"""),63.0)</f>
        <v>63</v>
      </c>
      <c r="F6390" s="19" t="str">
        <f>IFERROR(__xludf.DUMMYFUNCTION("""COMPUTED_VALUE"""),"BLUE")</f>
        <v>BLUE</v>
      </c>
      <c r="G6390" s="20" t="str">
        <f>IFERROR(__xludf.DUMMYFUNCTION("""COMPUTED_VALUE"""),"Uncle Sams Cider (11/12/2021) (Blue)")</f>
        <v>Uncle Sams Cider (11/12/2021) (Blue)</v>
      </c>
      <c r="H6390" s="19"/>
    </row>
    <row r="6391">
      <c r="A6391" s="9"/>
      <c r="B6391" s="15"/>
      <c r="C6391" s="9">
        <f>IFERROR(__xludf.DUMMYFUNCTION("""COMPUTED_VALUE"""),44538.5379675347)</f>
        <v>44538.53797</v>
      </c>
      <c r="D6391" s="15">
        <f>IFERROR(__xludf.DUMMYFUNCTION("""COMPUTED_VALUE"""),1.02)</f>
        <v>1.02</v>
      </c>
      <c r="E6391" s="16">
        <f>IFERROR(__xludf.DUMMYFUNCTION("""COMPUTED_VALUE"""),63.0)</f>
        <v>63</v>
      </c>
      <c r="F6391" s="19" t="str">
        <f>IFERROR(__xludf.DUMMYFUNCTION("""COMPUTED_VALUE"""),"BLUE")</f>
        <v>BLUE</v>
      </c>
      <c r="G6391" s="20" t="str">
        <f>IFERROR(__xludf.DUMMYFUNCTION("""COMPUTED_VALUE"""),"Uncle Sams Cider (11/12/2021) (Blue)")</f>
        <v>Uncle Sams Cider (11/12/2021) (Blue)</v>
      </c>
      <c r="H6391" s="19"/>
    </row>
    <row r="6392">
      <c r="A6392" s="9"/>
      <c r="B6392" s="15"/>
      <c r="C6392" s="9">
        <f>IFERROR(__xludf.DUMMYFUNCTION("""COMPUTED_VALUE"""),44538.5275465046)</f>
        <v>44538.52755</v>
      </c>
      <c r="D6392" s="15">
        <f>IFERROR(__xludf.DUMMYFUNCTION("""COMPUTED_VALUE"""),1.02)</f>
        <v>1.02</v>
      </c>
      <c r="E6392" s="16">
        <f>IFERROR(__xludf.DUMMYFUNCTION("""COMPUTED_VALUE"""),63.0)</f>
        <v>63</v>
      </c>
      <c r="F6392" s="19" t="str">
        <f>IFERROR(__xludf.DUMMYFUNCTION("""COMPUTED_VALUE"""),"BLUE")</f>
        <v>BLUE</v>
      </c>
      <c r="G6392" s="20" t="str">
        <f>IFERROR(__xludf.DUMMYFUNCTION("""COMPUTED_VALUE"""),"Uncle Sams Cider (11/12/2021) (Blue)")</f>
        <v>Uncle Sams Cider (11/12/2021) (Blue)</v>
      </c>
      <c r="H6392" s="19"/>
    </row>
    <row r="6393">
      <c r="A6393" s="9"/>
      <c r="B6393" s="15"/>
      <c r="C6393" s="9">
        <f>IFERROR(__xludf.DUMMYFUNCTION("""COMPUTED_VALUE"""),44538.5171247569)</f>
        <v>44538.51712</v>
      </c>
      <c r="D6393" s="15">
        <f>IFERROR(__xludf.DUMMYFUNCTION("""COMPUTED_VALUE"""),1.02)</f>
        <v>1.02</v>
      </c>
      <c r="E6393" s="16">
        <f>IFERROR(__xludf.DUMMYFUNCTION("""COMPUTED_VALUE"""),63.0)</f>
        <v>63</v>
      </c>
      <c r="F6393" s="19" t="str">
        <f>IFERROR(__xludf.DUMMYFUNCTION("""COMPUTED_VALUE"""),"BLUE")</f>
        <v>BLUE</v>
      </c>
      <c r="G6393" s="20" t="str">
        <f>IFERROR(__xludf.DUMMYFUNCTION("""COMPUTED_VALUE"""),"Uncle Sams Cider (11/12/2021) (Blue)")</f>
        <v>Uncle Sams Cider (11/12/2021) (Blue)</v>
      </c>
      <c r="H6393" s="19"/>
    </row>
    <row r="6394">
      <c r="A6394" s="9"/>
      <c r="B6394" s="15"/>
      <c r="C6394" s="9">
        <f>IFERROR(__xludf.DUMMYFUNCTION("""COMPUTED_VALUE"""),44538.5067029629)</f>
        <v>44538.5067</v>
      </c>
      <c r="D6394" s="15">
        <f>IFERROR(__xludf.DUMMYFUNCTION("""COMPUTED_VALUE"""),1.02)</f>
        <v>1.02</v>
      </c>
      <c r="E6394" s="16">
        <f>IFERROR(__xludf.DUMMYFUNCTION("""COMPUTED_VALUE"""),63.0)</f>
        <v>63</v>
      </c>
      <c r="F6394" s="19" t="str">
        <f>IFERROR(__xludf.DUMMYFUNCTION("""COMPUTED_VALUE"""),"BLUE")</f>
        <v>BLUE</v>
      </c>
      <c r="G6394" s="20" t="str">
        <f>IFERROR(__xludf.DUMMYFUNCTION("""COMPUTED_VALUE"""),"Uncle Sams Cider (11/12/2021) (Blue)")</f>
        <v>Uncle Sams Cider (11/12/2021) (Blue)</v>
      </c>
      <c r="H6394" s="19"/>
    </row>
    <row r="6395">
      <c r="A6395" s="9"/>
      <c r="B6395" s="15"/>
      <c r="C6395" s="9">
        <f>IFERROR(__xludf.DUMMYFUNCTION("""COMPUTED_VALUE"""),44538.4962828009)</f>
        <v>44538.49628</v>
      </c>
      <c r="D6395" s="15">
        <f>IFERROR(__xludf.DUMMYFUNCTION("""COMPUTED_VALUE"""),1.02)</f>
        <v>1.02</v>
      </c>
      <c r="E6395" s="16">
        <f>IFERROR(__xludf.DUMMYFUNCTION("""COMPUTED_VALUE"""),63.0)</f>
        <v>63</v>
      </c>
      <c r="F6395" s="19" t="str">
        <f>IFERROR(__xludf.DUMMYFUNCTION("""COMPUTED_VALUE"""),"BLUE")</f>
        <v>BLUE</v>
      </c>
      <c r="G6395" s="20" t="str">
        <f>IFERROR(__xludf.DUMMYFUNCTION("""COMPUTED_VALUE"""),"Uncle Sams Cider (11/12/2021) (Blue)")</f>
        <v>Uncle Sams Cider (11/12/2021) (Blue)</v>
      </c>
      <c r="H6395" s="19"/>
    </row>
    <row r="6396">
      <c r="A6396" s="9"/>
      <c r="B6396" s="15"/>
      <c r="C6396" s="9">
        <f>IFERROR(__xludf.DUMMYFUNCTION("""COMPUTED_VALUE"""),44538.4858377777)</f>
        <v>44538.48584</v>
      </c>
      <c r="D6396" s="15">
        <f>IFERROR(__xludf.DUMMYFUNCTION("""COMPUTED_VALUE"""),1.02)</f>
        <v>1.02</v>
      </c>
      <c r="E6396" s="16">
        <f>IFERROR(__xludf.DUMMYFUNCTION("""COMPUTED_VALUE"""),63.0)</f>
        <v>63</v>
      </c>
      <c r="F6396" s="19" t="str">
        <f>IFERROR(__xludf.DUMMYFUNCTION("""COMPUTED_VALUE"""),"BLUE")</f>
        <v>BLUE</v>
      </c>
      <c r="G6396" s="20" t="str">
        <f>IFERROR(__xludf.DUMMYFUNCTION("""COMPUTED_VALUE"""),"Uncle Sams Cider (11/12/2021) (Blue)")</f>
        <v>Uncle Sams Cider (11/12/2021) (Blue)</v>
      </c>
      <c r="H6396" s="19"/>
    </row>
    <row r="6397">
      <c r="A6397" s="9"/>
      <c r="B6397" s="15"/>
      <c r="C6397" s="9">
        <f>IFERROR(__xludf.DUMMYFUNCTION("""COMPUTED_VALUE"""),44538.4754165046)</f>
        <v>44538.47542</v>
      </c>
      <c r="D6397" s="15">
        <f>IFERROR(__xludf.DUMMYFUNCTION("""COMPUTED_VALUE"""),1.02)</f>
        <v>1.02</v>
      </c>
      <c r="E6397" s="16">
        <f>IFERROR(__xludf.DUMMYFUNCTION("""COMPUTED_VALUE"""),63.0)</f>
        <v>63</v>
      </c>
      <c r="F6397" s="19" t="str">
        <f>IFERROR(__xludf.DUMMYFUNCTION("""COMPUTED_VALUE"""),"BLUE")</f>
        <v>BLUE</v>
      </c>
      <c r="G6397" s="20" t="str">
        <f>IFERROR(__xludf.DUMMYFUNCTION("""COMPUTED_VALUE"""),"Uncle Sams Cider (11/12/2021) (Blue)")</f>
        <v>Uncle Sams Cider (11/12/2021) (Blue)</v>
      </c>
      <c r="H6397" s="19"/>
    </row>
    <row r="6398">
      <c r="A6398" s="9"/>
      <c r="B6398" s="15"/>
      <c r="C6398" s="9">
        <f>IFERROR(__xludf.DUMMYFUNCTION("""COMPUTED_VALUE"""),44538.4649941898)</f>
        <v>44538.46499</v>
      </c>
      <c r="D6398" s="15">
        <f>IFERROR(__xludf.DUMMYFUNCTION("""COMPUTED_VALUE"""),1.02)</f>
        <v>1.02</v>
      </c>
      <c r="E6398" s="16">
        <f>IFERROR(__xludf.DUMMYFUNCTION("""COMPUTED_VALUE"""),63.0)</f>
        <v>63</v>
      </c>
      <c r="F6398" s="19" t="str">
        <f>IFERROR(__xludf.DUMMYFUNCTION("""COMPUTED_VALUE"""),"BLUE")</f>
        <v>BLUE</v>
      </c>
      <c r="G6398" s="20" t="str">
        <f>IFERROR(__xludf.DUMMYFUNCTION("""COMPUTED_VALUE"""),"Uncle Sams Cider (11/12/2021) (Blue)")</f>
        <v>Uncle Sams Cider (11/12/2021) (Blue)</v>
      </c>
      <c r="H6398" s="19"/>
    </row>
    <row r="6399">
      <c r="A6399" s="9"/>
      <c r="B6399" s="15"/>
      <c r="C6399" s="9">
        <f>IFERROR(__xludf.DUMMYFUNCTION("""COMPUTED_VALUE"""),44538.4545744907)</f>
        <v>44538.45457</v>
      </c>
      <c r="D6399" s="15">
        <f>IFERROR(__xludf.DUMMYFUNCTION("""COMPUTED_VALUE"""),1.02)</f>
        <v>1.02</v>
      </c>
      <c r="E6399" s="16">
        <f>IFERROR(__xludf.DUMMYFUNCTION("""COMPUTED_VALUE"""),63.0)</f>
        <v>63</v>
      </c>
      <c r="F6399" s="19" t="str">
        <f>IFERROR(__xludf.DUMMYFUNCTION("""COMPUTED_VALUE"""),"BLUE")</f>
        <v>BLUE</v>
      </c>
      <c r="G6399" s="20" t="str">
        <f>IFERROR(__xludf.DUMMYFUNCTION("""COMPUTED_VALUE"""),"Uncle Sams Cider (11/12/2021) (Blue)")</f>
        <v>Uncle Sams Cider (11/12/2021) (Blue)</v>
      </c>
      <c r="H6399" s="19"/>
    </row>
    <row r="6400">
      <c r="A6400" s="9"/>
      <c r="B6400" s="15"/>
      <c r="C6400" s="9">
        <f>IFERROR(__xludf.DUMMYFUNCTION("""COMPUTED_VALUE"""),44538.4441523379)</f>
        <v>44538.44415</v>
      </c>
      <c r="D6400" s="15">
        <f>IFERROR(__xludf.DUMMYFUNCTION("""COMPUTED_VALUE"""),1.02)</f>
        <v>1.02</v>
      </c>
      <c r="E6400" s="16">
        <f>IFERROR(__xludf.DUMMYFUNCTION("""COMPUTED_VALUE"""),63.0)</f>
        <v>63</v>
      </c>
      <c r="F6400" s="19" t="str">
        <f>IFERROR(__xludf.DUMMYFUNCTION("""COMPUTED_VALUE"""),"BLUE")</f>
        <v>BLUE</v>
      </c>
      <c r="G6400" s="20" t="str">
        <f>IFERROR(__xludf.DUMMYFUNCTION("""COMPUTED_VALUE"""),"Uncle Sams Cider (11/12/2021) (Blue)")</f>
        <v>Uncle Sams Cider (11/12/2021) (Blue)</v>
      </c>
      <c r="H6400" s="19"/>
    </row>
    <row r="6401">
      <c r="A6401" s="9"/>
      <c r="B6401" s="15"/>
      <c r="C6401" s="9">
        <f>IFERROR(__xludf.DUMMYFUNCTION("""COMPUTED_VALUE"""),44538.4337293981)</f>
        <v>44538.43373</v>
      </c>
      <c r="D6401" s="15">
        <f>IFERROR(__xludf.DUMMYFUNCTION("""COMPUTED_VALUE"""),1.02)</f>
        <v>1.02</v>
      </c>
      <c r="E6401" s="16">
        <f>IFERROR(__xludf.DUMMYFUNCTION("""COMPUTED_VALUE"""),63.0)</f>
        <v>63</v>
      </c>
      <c r="F6401" s="19" t="str">
        <f>IFERROR(__xludf.DUMMYFUNCTION("""COMPUTED_VALUE"""),"BLUE")</f>
        <v>BLUE</v>
      </c>
      <c r="G6401" s="20" t="str">
        <f>IFERROR(__xludf.DUMMYFUNCTION("""COMPUTED_VALUE"""),"Uncle Sams Cider (11/12/2021) (Blue)")</f>
        <v>Uncle Sams Cider (11/12/2021) (Blue)</v>
      </c>
      <c r="H6401" s="19"/>
    </row>
    <row r="6402">
      <c r="A6402" s="9"/>
      <c r="B6402" s="15"/>
      <c r="C6402" s="9">
        <f>IFERROR(__xludf.DUMMYFUNCTION("""COMPUTED_VALUE"""),44538.4233077777)</f>
        <v>44538.42331</v>
      </c>
      <c r="D6402" s="15">
        <f>IFERROR(__xludf.DUMMYFUNCTION("""COMPUTED_VALUE"""),1.02)</f>
        <v>1.02</v>
      </c>
      <c r="E6402" s="16">
        <f>IFERROR(__xludf.DUMMYFUNCTION("""COMPUTED_VALUE"""),63.0)</f>
        <v>63</v>
      </c>
      <c r="F6402" s="19" t="str">
        <f>IFERROR(__xludf.DUMMYFUNCTION("""COMPUTED_VALUE"""),"BLUE")</f>
        <v>BLUE</v>
      </c>
      <c r="G6402" s="20" t="str">
        <f>IFERROR(__xludf.DUMMYFUNCTION("""COMPUTED_VALUE"""),"Uncle Sams Cider (11/12/2021) (Blue)")</f>
        <v>Uncle Sams Cider (11/12/2021) (Blue)</v>
      </c>
      <c r="H6402" s="19"/>
    </row>
    <row r="6403">
      <c r="A6403" s="9"/>
      <c r="B6403" s="15"/>
      <c r="C6403" s="9">
        <f>IFERROR(__xludf.DUMMYFUNCTION("""COMPUTED_VALUE"""),44538.412887743)</f>
        <v>44538.41289</v>
      </c>
      <c r="D6403" s="15">
        <f>IFERROR(__xludf.DUMMYFUNCTION("""COMPUTED_VALUE"""),1.02)</f>
        <v>1.02</v>
      </c>
      <c r="E6403" s="16">
        <f>IFERROR(__xludf.DUMMYFUNCTION("""COMPUTED_VALUE"""),63.0)</f>
        <v>63</v>
      </c>
      <c r="F6403" s="19" t="str">
        <f>IFERROR(__xludf.DUMMYFUNCTION("""COMPUTED_VALUE"""),"BLUE")</f>
        <v>BLUE</v>
      </c>
      <c r="G6403" s="20" t="str">
        <f>IFERROR(__xludf.DUMMYFUNCTION("""COMPUTED_VALUE"""),"Uncle Sams Cider (11/12/2021) (Blue)")</f>
        <v>Uncle Sams Cider (11/12/2021) (Blue)</v>
      </c>
      <c r="H6403" s="19"/>
    </row>
    <row r="6404">
      <c r="A6404" s="9"/>
      <c r="B6404" s="15"/>
      <c r="C6404" s="9">
        <f>IFERROR(__xludf.DUMMYFUNCTION("""COMPUTED_VALUE"""),44538.4024683564)</f>
        <v>44538.40247</v>
      </c>
      <c r="D6404" s="15">
        <f>IFERROR(__xludf.DUMMYFUNCTION("""COMPUTED_VALUE"""),1.02)</f>
        <v>1.02</v>
      </c>
      <c r="E6404" s="16">
        <f>IFERROR(__xludf.DUMMYFUNCTION("""COMPUTED_VALUE"""),63.0)</f>
        <v>63</v>
      </c>
      <c r="F6404" s="19" t="str">
        <f>IFERROR(__xludf.DUMMYFUNCTION("""COMPUTED_VALUE"""),"BLUE")</f>
        <v>BLUE</v>
      </c>
      <c r="G6404" s="20" t="str">
        <f>IFERROR(__xludf.DUMMYFUNCTION("""COMPUTED_VALUE"""),"Uncle Sams Cider (11/12/2021) (Blue)")</f>
        <v>Uncle Sams Cider (11/12/2021) (Blue)</v>
      </c>
      <c r="H6404" s="19"/>
    </row>
    <row r="6405">
      <c r="A6405" s="9"/>
      <c r="B6405" s="15"/>
      <c r="C6405" s="9">
        <f>IFERROR(__xludf.DUMMYFUNCTION("""COMPUTED_VALUE"""),44538.3920367013)</f>
        <v>44538.39204</v>
      </c>
      <c r="D6405" s="15">
        <f>IFERROR(__xludf.DUMMYFUNCTION("""COMPUTED_VALUE"""),1.02)</f>
        <v>1.02</v>
      </c>
      <c r="E6405" s="16">
        <f>IFERROR(__xludf.DUMMYFUNCTION("""COMPUTED_VALUE"""),63.0)</f>
        <v>63</v>
      </c>
      <c r="F6405" s="19" t="str">
        <f>IFERROR(__xludf.DUMMYFUNCTION("""COMPUTED_VALUE"""),"BLUE")</f>
        <v>BLUE</v>
      </c>
      <c r="G6405" s="20" t="str">
        <f>IFERROR(__xludf.DUMMYFUNCTION("""COMPUTED_VALUE"""),"Uncle Sams Cider (11/12/2021) (Blue)")</f>
        <v>Uncle Sams Cider (11/12/2021) (Blue)</v>
      </c>
      <c r="H6405" s="19"/>
    </row>
    <row r="6406">
      <c r="A6406" s="9"/>
      <c r="B6406" s="15"/>
      <c r="C6406" s="9">
        <f>IFERROR(__xludf.DUMMYFUNCTION("""COMPUTED_VALUE"""),44538.3815915509)</f>
        <v>44538.38159</v>
      </c>
      <c r="D6406" s="15">
        <f>IFERROR(__xludf.DUMMYFUNCTION("""COMPUTED_VALUE"""),1.02)</f>
        <v>1.02</v>
      </c>
      <c r="E6406" s="16">
        <f>IFERROR(__xludf.DUMMYFUNCTION("""COMPUTED_VALUE"""),64.0)</f>
        <v>64</v>
      </c>
      <c r="F6406" s="19" t="str">
        <f>IFERROR(__xludf.DUMMYFUNCTION("""COMPUTED_VALUE"""),"BLUE")</f>
        <v>BLUE</v>
      </c>
      <c r="G6406" s="20" t="str">
        <f>IFERROR(__xludf.DUMMYFUNCTION("""COMPUTED_VALUE"""),"Uncle Sams Cider (11/12/2021) (Blue)")</f>
        <v>Uncle Sams Cider (11/12/2021) (Blue)</v>
      </c>
      <c r="H6406" s="19"/>
    </row>
    <row r="6407">
      <c r="A6407" s="9"/>
      <c r="B6407" s="15"/>
      <c r="C6407" s="9">
        <f>IFERROR(__xludf.DUMMYFUNCTION("""COMPUTED_VALUE"""),44538.37117103)</f>
        <v>44538.37117</v>
      </c>
      <c r="D6407" s="15">
        <f>IFERROR(__xludf.DUMMYFUNCTION("""COMPUTED_VALUE"""),1.02)</f>
        <v>1.02</v>
      </c>
      <c r="E6407" s="16">
        <f>IFERROR(__xludf.DUMMYFUNCTION("""COMPUTED_VALUE"""),63.0)</f>
        <v>63</v>
      </c>
      <c r="F6407" s="19" t="str">
        <f>IFERROR(__xludf.DUMMYFUNCTION("""COMPUTED_VALUE"""),"BLUE")</f>
        <v>BLUE</v>
      </c>
      <c r="G6407" s="20" t="str">
        <f>IFERROR(__xludf.DUMMYFUNCTION("""COMPUTED_VALUE"""),"Uncle Sams Cider (11/12/2021) (Blue)")</f>
        <v>Uncle Sams Cider (11/12/2021) (Blue)</v>
      </c>
      <c r="H6407" s="19"/>
    </row>
    <row r="6408">
      <c r="A6408" s="9"/>
      <c r="B6408" s="15"/>
      <c r="C6408" s="9">
        <f>IFERROR(__xludf.DUMMYFUNCTION("""COMPUTED_VALUE"""),44538.3607511921)</f>
        <v>44538.36075</v>
      </c>
      <c r="D6408" s="15">
        <f>IFERROR(__xludf.DUMMYFUNCTION("""COMPUTED_VALUE"""),1.02)</f>
        <v>1.02</v>
      </c>
      <c r="E6408" s="16">
        <f>IFERROR(__xludf.DUMMYFUNCTION("""COMPUTED_VALUE"""),63.0)</f>
        <v>63</v>
      </c>
      <c r="F6408" s="19" t="str">
        <f>IFERROR(__xludf.DUMMYFUNCTION("""COMPUTED_VALUE"""),"BLUE")</f>
        <v>BLUE</v>
      </c>
      <c r="G6408" s="20" t="str">
        <f>IFERROR(__xludf.DUMMYFUNCTION("""COMPUTED_VALUE"""),"Uncle Sams Cider (11/12/2021) (Blue)")</f>
        <v>Uncle Sams Cider (11/12/2021) (Blue)</v>
      </c>
      <c r="H6408" s="19"/>
    </row>
    <row r="6409">
      <c r="A6409" s="9"/>
      <c r="B6409" s="15"/>
      <c r="C6409" s="9">
        <f>IFERROR(__xludf.DUMMYFUNCTION("""COMPUTED_VALUE"""),44538.3503293518)</f>
        <v>44538.35033</v>
      </c>
      <c r="D6409" s="15">
        <f>IFERROR(__xludf.DUMMYFUNCTION("""COMPUTED_VALUE"""),1.02)</f>
        <v>1.02</v>
      </c>
      <c r="E6409" s="16">
        <f>IFERROR(__xludf.DUMMYFUNCTION("""COMPUTED_VALUE"""),63.0)</f>
        <v>63</v>
      </c>
      <c r="F6409" s="19" t="str">
        <f>IFERROR(__xludf.DUMMYFUNCTION("""COMPUTED_VALUE"""),"BLUE")</f>
        <v>BLUE</v>
      </c>
      <c r="G6409" s="20" t="str">
        <f>IFERROR(__xludf.DUMMYFUNCTION("""COMPUTED_VALUE"""),"Uncle Sams Cider (11/12/2021) (Blue)")</f>
        <v>Uncle Sams Cider (11/12/2021) (Blue)</v>
      </c>
      <c r="H6409" s="19"/>
    </row>
    <row r="6410">
      <c r="A6410" s="9"/>
      <c r="B6410" s="15"/>
      <c r="C6410" s="9">
        <f>IFERROR(__xludf.DUMMYFUNCTION("""COMPUTED_VALUE"""),44538.3399080092)</f>
        <v>44538.33991</v>
      </c>
      <c r="D6410" s="15">
        <f>IFERROR(__xludf.DUMMYFUNCTION("""COMPUTED_VALUE"""),1.02)</f>
        <v>1.02</v>
      </c>
      <c r="E6410" s="16">
        <f>IFERROR(__xludf.DUMMYFUNCTION("""COMPUTED_VALUE"""),64.0)</f>
        <v>64</v>
      </c>
      <c r="F6410" s="19" t="str">
        <f>IFERROR(__xludf.DUMMYFUNCTION("""COMPUTED_VALUE"""),"BLUE")</f>
        <v>BLUE</v>
      </c>
      <c r="G6410" s="20" t="str">
        <f>IFERROR(__xludf.DUMMYFUNCTION("""COMPUTED_VALUE"""),"Uncle Sams Cider (11/12/2021) (Blue)")</f>
        <v>Uncle Sams Cider (11/12/2021) (Blue)</v>
      </c>
      <c r="H6410" s="19"/>
    </row>
    <row r="6411">
      <c r="A6411" s="9"/>
      <c r="B6411" s="15"/>
      <c r="C6411" s="9">
        <f>IFERROR(__xludf.DUMMYFUNCTION("""COMPUTED_VALUE"""),44538.3294751273)</f>
        <v>44538.32948</v>
      </c>
      <c r="D6411" s="15">
        <f>IFERROR(__xludf.DUMMYFUNCTION("""COMPUTED_VALUE"""),1.02)</f>
        <v>1.02</v>
      </c>
      <c r="E6411" s="16">
        <f>IFERROR(__xludf.DUMMYFUNCTION("""COMPUTED_VALUE"""),63.0)</f>
        <v>63</v>
      </c>
      <c r="F6411" s="19" t="str">
        <f>IFERROR(__xludf.DUMMYFUNCTION("""COMPUTED_VALUE"""),"BLUE")</f>
        <v>BLUE</v>
      </c>
      <c r="G6411" s="20" t="str">
        <f>IFERROR(__xludf.DUMMYFUNCTION("""COMPUTED_VALUE"""),"Uncle Sams Cider (11/12/2021) (Blue)")</f>
        <v>Uncle Sams Cider (11/12/2021) (Blue)</v>
      </c>
      <c r="H6411" s="19"/>
    </row>
    <row r="6412">
      <c r="A6412" s="9"/>
      <c r="B6412" s="15"/>
      <c r="C6412" s="9">
        <f>IFERROR(__xludf.DUMMYFUNCTION("""COMPUTED_VALUE"""),44538.3190523958)</f>
        <v>44538.31905</v>
      </c>
      <c r="D6412" s="15">
        <f>IFERROR(__xludf.DUMMYFUNCTION("""COMPUTED_VALUE"""),1.02)</f>
        <v>1.02</v>
      </c>
      <c r="E6412" s="16">
        <f>IFERROR(__xludf.DUMMYFUNCTION("""COMPUTED_VALUE"""),64.0)</f>
        <v>64</v>
      </c>
      <c r="F6412" s="19" t="str">
        <f>IFERROR(__xludf.DUMMYFUNCTION("""COMPUTED_VALUE"""),"BLUE")</f>
        <v>BLUE</v>
      </c>
      <c r="G6412" s="20" t="str">
        <f>IFERROR(__xludf.DUMMYFUNCTION("""COMPUTED_VALUE"""),"Uncle Sams Cider (11/12/2021) (Blue)")</f>
        <v>Uncle Sams Cider (11/12/2021) (Blue)</v>
      </c>
      <c r="H6412" s="19"/>
    </row>
    <row r="6413">
      <c r="A6413" s="9"/>
      <c r="B6413" s="15"/>
      <c r="C6413" s="9">
        <f>IFERROR(__xludf.DUMMYFUNCTION("""COMPUTED_VALUE"""),44538.3086320023)</f>
        <v>44538.30863</v>
      </c>
      <c r="D6413" s="15">
        <f>IFERROR(__xludf.DUMMYFUNCTION("""COMPUTED_VALUE"""),1.02)</f>
        <v>1.02</v>
      </c>
      <c r="E6413" s="16">
        <f>IFERROR(__xludf.DUMMYFUNCTION("""COMPUTED_VALUE"""),64.0)</f>
        <v>64</v>
      </c>
      <c r="F6413" s="19" t="str">
        <f>IFERROR(__xludf.DUMMYFUNCTION("""COMPUTED_VALUE"""),"BLUE")</f>
        <v>BLUE</v>
      </c>
      <c r="G6413" s="20" t="str">
        <f>IFERROR(__xludf.DUMMYFUNCTION("""COMPUTED_VALUE"""),"Uncle Sams Cider (11/12/2021) (Blue)")</f>
        <v>Uncle Sams Cider (11/12/2021) (Blue)</v>
      </c>
      <c r="H6413" s="19"/>
    </row>
    <row r="6414">
      <c r="A6414" s="9"/>
      <c r="B6414" s="15"/>
      <c r="C6414" s="9">
        <f>IFERROR(__xludf.DUMMYFUNCTION("""COMPUTED_VALUE"""),44538.2982111458)</f>
        <v>44538.29821</v>
      </c>
      <c r="D6414" s="15">
        <f>IFERROR(__xludf.DUMMYFUNCTION("""COMPUTED_VALUE"""),1.02)</f>
        <v>1.02</v>
      </c>
      <c r="E6414" s="16">
        <f>IFERROR(__xludf.DUMMYFUNCTION("""COMPUTED_VALUE"""),63.0)</f>
        <v>63</v>
      </c>
      <c r="F6414" s="19" t="str">
        <f>IFERROR(__xludf.DUMMYFUNCTION("""COMPUTED_VALUE"""),"BLUE")</f>
        <v>BLUE</v>
      </c>
      <c r="G6414" s="20" t="str">
        <f>IFERROR(__xludf.DUMMYFUNCTION("""COMPUTED_VALUE"""),"Uncle Sams Cider (11/12/2021) (Blue)")</f>
        <v>Uncle Sams Cider (11/12/2021) (Blue)</v>
      </c>
      <c r="H6414" s="19"/>
    </row>
    <row r="6415">
      <c r="A6415" s="9"/>
      <c r="B6415" s="15"/>
      <c r="C6415" s="9">
        <f>IFERROR(__xludf.DUMMYFUNCTION("""COMPUTED_VALUE"""),44538.2877778356)</f>
        <v>44538.28778</v>
      </c>
      <c r="D6415" s="15">
        <f>IFERROR(__xludf.DUMMYFUNCTION("""COMPUTED_VALUE"""),1.02)</f>
        <v>1.02</v>
      </c>
      <c r="E6415" s="16">
        <f>IFERROR(__xludf.DUMMYFUNCTION("""COMPUTED_VALUE"""),64.0)</f>
        <v>64</v>
      </c>
      <c r="F6415" s="19" t="str">
        <f>IFERROR(__xludf.DUMMYFUNCTION("""COMPUTED_VALUE"""),"BLUE")</f>
        <v>BLUE</v>
      </c>
      <c r="G6415" s="20" t="str">
        <f>IFERROR(__xludf.DUMMYFUNCTION("""COMPUTED_VALUE"""),"Uncle Sams Cider (11/12/2021) (Blue)")</f>
        <v>Uncle Sams Cider (11/12/2021) (Blue)</v>
      </c>
      <c r="H6415" s="19"/>
    </row>
    <row r="6416">
      <c r="A6416" s="9"/>
      <c r="B6416" s="15"/>
      <c r="C6416" s="9">
        <f>IFERROR(__xludf.DUMMYFUNCTION("""COMPUTED_VALUE"""),44538.2773561458)</f>
        <v>44538.27736</v>
      </c>
      <c r="D6416" s="15">
        <f>IFERROR(__xludf.DUMMYFUNCTION("""COMPUTED_VALUE"""),1.02)</f>
        <v>1.02</v>
      </c>
      <c r="E6416" s="16">
        <f>IFERROR(__xludf.DUMMYFUNCTION("""COMPUTED_VALUE"""),63.0)</f>
        <v>63</v>
      </c>
      <c r="F6416" s="19" t="str">
        <f>IFERROR(__xludf.DUMMYFUNCTION("""COMPUTED_VALUE"""),"BLUE")</f>
        <v>BLUE</v>
      </c>
      <c r="G6416" s="20" t="str">
        <f>IFERROR(__xludf.DUMMYFUNCTION("""COMPUTED_VALUE"""),"Uncle Sams Cider (11/12/2021) (Blue)")</f>
        <v>Uncle Sams Cider (11/12/2021) (Blue)</v>
      </c>
      <c r="H6416" s="19"/>
    </row>
    <row r="6417">
      <c r="A6417" s="9"/>
      <c r="B6417" s="15"/>
      <c r="C6417" s="9">
        <f>IFERROR(__xludf.DUMMYFUNCTION("""COMPUTED_VALUE"""),44538.2669349421)</f>
        <v>44538.26693</v>
      </c>
      <c r="D6417" s="15">
        <f>IFERROR(__xludf.DUMMYFUNCTION("""COMPUTED_VALUE"""),1.02)</f>
        <v>1.02</v>
      </c>
      <c r="E6417" s="16">
        <f>IFERROR(__xludf.DUMMYFUNCTION("""COMPUTED_VALUE"""),63.0)</f>
        <v>63</v>
      </c>
      <c r="F6417" s="19" t="str">
        <f>IFERROR(__xludf.DUMMYFUNCTION("""COMPUTED_VALUE"""),"BLUE")</f>
        <v>BLUE</v>
      </c>
      <c r="G6417" s="20" t="str">
        <f>IFERROR(__xludf.DUMMYFUNCTION("""COMPUTED_VALUE"""),"Uncle Sams Cider (11/12/2021) (Blue)")</f>
        <v>Uncle Sams Cider (11/12/2021) (Blue)</v>
      </c>
      <c r="H6417" s="19"/>
    </row>
    <row r="6418">
      <c r="A6418" s="9"/>
      <c r="B6418" s="15"/>
      <c r="C6418" s="9">
        <f>IFERROR(__xludf.DUMMYFUNCTION("""COMPUTED_VALUE"""),44538.2565124768)</f>
        <v>44538.25651</v>
      </c>
      <c r="D6418" s="15">
        <f>IFERROR(__xludf.DUMMYFUNCTION("""COMPUTED_VALUE"""),1.02)</f>
        <v>1.02</v>
      </c>
      <c r="E6418" s="16">
        <f>IFERROR(__xludf.DUMMYFUNCTION("""COMPUTED_VALUE"""),63.0)</f>
        <v>63</v>
      </c>
      <c r="F6418" s="19" t="str">
        <f>IFERROR(__xludf.DUMMYFUNCTION("""COMPUTED_VALUE"""),"BLUE")</f>
        <v>BLUE</v>
      </c>
      <c r="G6418" s="20" t="str">
        <f>IFERROR(__xludf.DUMMYFUNCTION("""COMPUTED_VALUE"""),"Uncle Sams Cider (11/12/2021) (Blue)")</f>
        <v>Uncle Sams Cider (11/12/2021) (Blue)</v>
      </c>
      <c r="H6418" s="19"/>
    </row>
    <row r="6419">
      <c r="A6419" s="9"/>
      <c r="B6419" s="15"/>
      <c r="C6419" s="9">
        <f>IFERROR(__xludf.DUMMYFUNCTION("""COMPUTED_VALUE"""),44538.2460806481)</f>
        <v>44538.24608</v>
      </c>
      <c r="D6419" s="15">
        <f>IFERROR(__xludf.DUMMYFUNCTION("""COMPUTED_VALUE"""),1.02)</f>
        <v>1.02</v>
      </c>
      <c r="E6419" s="16">
        <f>IFERROR(__xludf.DUMMYFUNCTION("""COMPUTED_VALUE"""),63.0)</f>
        <v>63</v>
      </c>
      <c r="F6419" s="19" t="str">
        <f>IFERROR(__xludf.DUMMYFUNCTION("""COMPUTED_VALUE"""),"BLUE")</f>
        <v>BLUE</v>
      </c>
      <c r="G6419" s="20" t="str">
        <f>IFERROR(__xludf.DUMMYFUNCTION("""COMPUTED_VALUE"""),"Uncle Sams Cider (11/12/2021) (Blue)")</f>
        <v>Uncle Sams Cider (11/12/2021) (Blue)</v>
      </c>
      <c r="H6419" s="19"/>
    </row>
    <row r="6420">
      <c r="A6420" s="9"/>
      <c r="B6420" s="15"/>
      <c r="C6420" s="9">
        <f>IFERROR(__xludf.DUMMYFUNCTION("""COMPUTED_VALUE"""),44538.2356589583)</f>
        <v>44538.23566</v>
      </c>
      <c r="D6420" s="15">
        <f>IFERROR(__xludf.DUMMYFUNCTION("""COMPUTED_VALUE"""),1.02)</f>
        <v>1.02</v>
      </c>
      <c r="E6420" s="16">
        <f>IFERROR(__xludf.DUMMYFUNCTION("""COMPUTED_VALUE"""),64.0)</f>
        <v>64</v>
      </c>
      <c r="F6420" s="19" t="str">
        <f>IFERROR(__xludf.DUMMYFUNCTION("""COMPUTED_VALUE"""),"BLUE")</f>
        <v>BLUE</v>
      </c>
      <c r="G6420" s="20" t="str">
        <f>IFERROR(__xludf.DUMMYFUNCTION("""COMPUTED_VALUE"""),"Uncle Sams Cider (11/12/2021) (Blue)")</f>
        <v>Uncle Sams Cider (11/12/2021) (Blue)</v>
      </c>
      <c r="H6420" s="19"/>
    </row>
    <row r="6421">
      <c r="A6421" s="9"/>
      <c r="B6421" s="15"/>
      <c r="C6421" s="9">
        <f>IFERROR(__xludf.DUMMYFUNCTION("""COMPUTED_VALUE"""),44538.2252378703)</f>
        <v>44538.22524</v>
      </c>
      <c r="D6421" s="15">
        <f>IFERROR(__xludf.DUMMYFUNCTION("""COMPUTED_VALUE"""),1.02)</f>
        <v>1.02</v>
      </c>
      <c r="E6421" s="16">
        <f>IFERROR(__xludf.DUMMYFUNCTION("""COMPUTED_VALUE"""),63.0)</f>
        <v>63</v>
      </c>
      <c r="F6421" s="19" t="str">
        <f>IFERROR(__xludf.DUMMYFUNCTION("""COMPUTED_VALUE"""),"BLUE")</f>
        <v>BLUE</v>
      </c>
      <c r="G6421" s="20" t="str">
        <f>IFERROR(__xludf.DUMMYFUNCTION("""COMPUTED_VALUE"""),"Uncle Sams Cider (11/12/2021) (Blue)")</f>
        <v>Uncle Sams Cider (11/12/2021) (Blue)</v>
      </c>
      <c r="H6421" s="19"/>
    </row>
    <row r="6422">
      <c r="A6422" s="9"/>
      <c r="B6422" s="15"/>
      <c r="C6422" s="9">
        <f>IFERROR(__xludf.DUMMYFUNCTION("""COMPUTED_VALUE"""),44538.2148178703)</f>
        <v>44538.21482</v>
      </c>
      <c r="D6422" s="15">
        <f>IFERROR(__xludf.DUMMYFUNCTION("""COMPUTED_VALUE"""),1.02)</f>
        <v>1.02</v>
      </c>
      <c r="E6422" s="16">
        <f>IFERROR(__xludf.DUMMYFUNCTION("""COMPUTED_VALUE"""),64.0)</f>
        <v>64</v>
      </c>
      <c r="F6422" s="19" t="str">
        <f>IFERROR(__xludf.DUMMYFUNCTION("""COMPUTED_VALUE"""),"BLUE")</f>
        <v>BLUE</v>
      </c>
      <c r="G6422" s="20" t="str">
        <f>IFERROR(__xludf.DUMMYFUNCTION("""COMPUTED_VALUE"""),"Uncle Sams Cider (11/12/2021) (Blue)")</f>
        <v>Uncle Sams Cider (11/12/2021) (Blue)</v>
      </c>
      <c r="H6422" s="19"/>
    </row>
    <row r="6423">
      <c r="A6423" s="9"/>
      <c r="B6423" s="15"/>
      <c r="C6423" s="9">
        <f>IFERROR(__xludf.DUMMYFUNCTION("""COMPUTED_VALUE"""),44538.2043965277)</f>
        <v>44538.2044</v>
      </c>
      <c r="D6423" s="15">
        <f>IFERROR(__xludf.DUMMYFUNCTION("""COMPUTED_VALUE"""),1.02)</f>
        <v>1.02</v>
      </c>
      <c r="E6423" s="16">
        <f>IFERROR(__xludf.DUMMYFUNCTION("""COMPUTED_VALUE"""),64.0)</f>
        <v>64</v>
      </c>
      <c r="F6423" s="19" t="str">
        <f>IFERROR(__xludf.DUMMYFUNCTION("""COMPUTED_VALUE"""),"BLUE")</f>
        <v>BLUE</v>
      </c>
      <c r="G6423" s="20" t="str">
        <f>IFERROR(__xludf.DUMMYFUNCTION("""COMPUTED_VALUE"""),"Uncle Sams Cider (11/12/2021) (Blue)")</f>
        <v>Uncle Sams Cider (11/12/2021) (Blue)</v>
      </c>
      <c r="H6423" s="19"/>
    </row>
    <row r="6424">
      <c r="A6424" s="9"/>
      <c r="B6424" s="15"/>
      <c r="C6424" s="9">
        <f>IFERROR(__xludf.DUMMYFUNCTION("""COMPUTED_VALUE"""),44538.1939647453)</f>
        <v>44538.19396</v>
      </c>
      <c r="D6424" s="15">
        <f>IFERROR(__xludf.DUMMYFUNCTION("""COMPUTED_VALUE"""),1.02)</f>
        <v>1.02</v>
      </c>
      <c r="E6424" s="16">
        <f>IFERROR(__xludf.DUMMYFUNCTION("""COMPUTED_VALUE"""),63.0)</f>
        <v>63</v>
      </c>
      <c r="F6424" s="19" t="str">
        <f>IFERROR(__xludf.DUMMYFUNCTION("""COMPUTED_VALUE"""),"BLUE")</f>
        <v>BLUE</v>
      </c>
      <c r="G6424" s="20" t="str">
        <f>IFERROR(__xludf.DUMMYFUNCTION("""COMPUTED_VALUE"""),"Uncle Sams Cider (11/12/2021) (Blue)")</f>
        <v>Uncle Sams Cider (11/12/2021) (Blue)</v>
      </c>
      <c r="H6424" s="19"/>
    </row>
    <row r="6425">
      <c r="A6425" s="9"/>
      <c r="B6425" s="15"/>
      <c r="C6425" s="9">
        <f>IFERROR(__xludf.DUMMYFUNCTION("""COMPUTED_VALUE"""),44538.1835306944)</f>
        <v>44538.18353</v>
      </c>
      <c r="D6425" s="15">
        <f>IFERROR(__xludf.DUMMYFUNCTION("""COMPUTED_VALUE"""),1.02)</f>
        <v>1.02</v>
      </c>
      <c r="E6425" s="16">
        <f>IFERROR(__xludf.DUMMYFUNCTION("""COMPUTED_VALUE"""),64.0)</f>
        <v>64</v>
      </c>
      <c r="F6425" s="19" t="str">
        <f>IFERROR(__xludf.DUMMYFUNCTION("""COMPUTED_VALUE"""),"BLUE")</f>
        <v>BLUE</v>
      </c>
      <c r="G6425" s="20" t="str">
        <f>IFERROR(__xludf.DUMMYFUNCTION("""COMPUTED_VALUE"""),"Uncle Sams Cider (11/12/2021) (Blue)")</f>
        <v>Uncle Sams Cider (11/12/2021) (Blue)</v>
      </c>
      <c r="H6425" s="19"/>
    </row>
    <row r="6426">
      <c r="A6426" s="9"/>
      <c r="B6426" s="15"/>
      <c r="C6426" s="9">
        <f>IFERROR(__xludf.DUMMYFUNCTION("""COMPUTED_VALUE"""),44538.1731092129)</f>
        <v>44538.17311</v>
      </c>
      <c r="D6426" s="15">
        <f>IFERROR(__xludf.DUMMYFUNCTION("""COMPUTED_VALUE"""),1.02)</f>
        <v>1.02</v>
      </c>
      <c r="E6426" s="16">
        <f>IFERROR(__xludf.DUMMYFUNCTION("""COMPUTED_VALUE"""),64.0)</f>
        <v>64</v>
      </c>
      <c r="F6426" s="19" t="str">
        <f>IFERROR(__xludf.DUMMYFUNCTION("""COMPUTED_VALUE"""),"BLUE")</f>
        <v>BLUE</v>
      </c>
      <c r="G6426" s="20" t="str">
        <f>IFERROR(__xludf.DUMMYFUNCTION("""COMPUTED_VALUE"""),"Uncle Sams Cider (11/12/2021) (Blue)")</f>
        <v>Uncle Sams Cider (11/12/2021) (Blue)</v>
      </c>
      <c r="H6426" s="19"/>
    </row>
    <row r="6427">
      <c r="A6427" s="9"/>
      <c r="B6427" s="15"/>
      <c r="C6427" s="9">
        <f>IFERROR(__xludf.DUMMYFUNCTION("""COMPUTED_VALUE"""),44538.1626881481)</f>
        <v>44538.16269</v>
      </c>
      <c r="D6427" s="15">
        <f>IFERROR(__xludf.DUMMYFUNCTION("""COMPUTED_VALUE"""),1.02)</f>
        <v>1.02</v>
      </c>
      <c r="E6427" s="16">
        <f>IFERROR(__xludf.DUMMYFUNCTION("""COMPUTED_VALUE"""),64.0)</f>
        <v>64</v>
      </c>
      <c r="F6427" s="19" t="str">
        <f>IFERROR(__xludf.DUMMYFUNCTION("""COMPUTED_VALUE"""),"BLUE")</f>
        <v>BLUE</v>
      </c>
      <c r="G6427" s="20" t="str">
        <f>IFERROR(__xludf.DUMMYFUNCTION("""COMPUTED_VALUE"""),"Uncle Sams Cider (11/12/2021) (Blue)")</f>
        <v>Uncle Sams Cider (11/12/2021) (Blue)</v>
      </c>
      <c r="H6427" s="19"/>
    </row>
    <row r="6428">
      <c r="A6428" s="9"/>
      <c r="B6428" s="15"/>
      <c r="C6428" s="9">
        <f>IFERROR(__xludf.DUMMYFUNCTION("""COMPUTED_VALUE"""),44538.1522668518)</f>
        <v>44538.15227</v>
      </c>
      <c r="D6428" s="15">
        <f>IFERROR(__xludf.DUMMYFUNCTION("""COMPUTED_VALUE"""),1.02)</f>
        <v>1.02</v>
      </c>
      <c r="E6428" s="16">
        <f>IFERROR(__xludf.DUMMYFUNCTION("""COMPUTED_VALUE"""),64.0)</f>
        <v>64</v>
      </c>
      <c r="F6428" s="19" t="str">
        <f>IFERROR(__xludf.DUMMYFUNCTION("""COMPUTED_VALUE"""),"BLUE")</f>
        <v>BLUE</v>
      </c>
      <c r="G6428" s="20" t="str">
        <f>IFERROR(__xludf.DUMMYFUNCTION("""COMPUTED_VALUE"""),"Uncle Sams Cider (11/12/2021) (Blue)")</f>
        <v>Uncle Sams Cider (11/12/2021) (Blue)</v>
      </c>
      <c r="H6428" s="19"/>
    </row>
    <row r="6429">
      <c r="A6429" s="9"/>
      <c r="B6429" s="15"/>
      <c r="C6429" s="9">
        <f>IFERROR(__xludf.DUMMYFUNCTION("""COMPUTED_VALUE"""),44538.1418450694)</f>
        <v>44538.14185</v>
      </c>
      <c r="D6429" s="15">
        <f>IFERROR(__xludf.DUMMYFUNCTION("""COMPUTED_VALUE"""),1.02)</f>
        <v>1.02</v>
      </c>
      <c r="E6429" s="16">
        <f>IFERROR(__xludf.DUMMYFUNCTION("""COMPUTED_VALUE"""),64.0)</f>
        <v>64</v>
      </c>
      <c r="F6429" s="19" t="str">
        <f>IFERROR(__xludf.DUMMYFUNCTION("""COMPUTED_VALUE"""),"BLUE")</f>
        <v>BLUE</v>
      </c>
      <c r="G6429" s="20" t="str">
        <f>IFERROR(__xludf.DUMMYFUNCTION("""COMPUTED_VALUE"""),"Uncle Sams Cider (11/12/2021) (Blue)")</f>
        <v>Uncle Sams Cider (11/12/2021) (Blue)</v>
      </c>
      <c r="H6429" s="19"/>
    </row>
    <row r="6430">
      <c r="A6430" s="9"/>
      <c r="B6430" s="15"/>
      <c r="C6430" s="9">
        <f>IFERROR(__xludf.DUMMYFUNCTION("""COMPUTED_VALUE"""),44538.1314230324)</f>
        <v>44538.13142</v>
      </c>
      <c r="D6430" s="15">
        <f>IFERROR(__xludf.DUMMYFUNCTION("""COMPUTED_VALUE"""),1.02)</f>
        <v>1.02</v>
      </c>
      <c r="E6430" s="16">
        <f>IFERROR(__xludf.DUMMYFUNCTION("""COMPUTED_VALUE"""),64.0)</f>
        <v>64</v>
      </c>
      <c r="F6430" s="19" t="str">
        <f>IFERROR(__xludf.DUMMYFUNCTION("""COMPUTED_VALUE"""),"BLUE")</f>
        <v>BLUE</v>
      </c>
      <c r="G6430" s="20" t="str">
        <f>IFERROR(__xludf.DUMMYFUNCTION("""COMPUTED_VALUE"""),"Uncle Sams Cider (11/12/2021) (Blue)")</f>
        <v>Uncle Sams Cider (11/12/2021) (Blue)</v>
      </c>
      <c r="H6430" s="19"/>
    </row>
    <row r="6431">
      <c r="A6431" s="9"/>
      <c r="B6431" s="15"/>
      <c r="C6431" s="9">
        <f>IFERROR(__xludf.DUMMYFUNCTION("""COMPUTED_VALUE"""),44538.1209902893)</f>
        <v>44538.12099</v>
      </c>
      <c r="D6431" s="15">
        <f>IFERROR(__xludf.DUMMYFUNCTION("""COMPUTED_VALUE"""),1.02)</f>
        <v>1.02</v>
      </c>
      <c r="E6431" s="16">
        <f>IFERROR(__xludf.DUMMYFUNCTION("""COMPUTED_VALUE"""),64.0)</f>
        <v>64</v>
      </c>
      <c r="F6431" s="19" t="str">
        <f>IFERROR(__xludf.DUMMYFUNCTION("""COMPUTED_VALUE"""),"BLUE")</f>
        <v>BLUE</v>
      </c>
      <c r="G6431" s="20" t="str">
        <f>IFERROR(__xludf.DUMMYFUNCTION("""COMPUTED_VALUE"""),"Uncle Sams Cider (11/12/2021) (Blue)")</f>
        <v>Uncle Sams Cider (11/12/2021) (Blue)</v>
      </c>
      <c r="H6431" s="19"/>
    </row>
    <row r="6432">
      <c r="A6432" s="9"/>
      <c r="B6432" s="15"/>
      <c r="C6432" s="9">
        <f>IFERROR(__xludf.DUMMYFUNCTION("""COMPUTED_VALUE"""),44538.1105707291)</f>
        <v>44538.11057</v>
      </c>
      <c r="D6432" s="15">
        <f>IFERROR(__xludf.DUMMYFUNCTION("""COMPUTED_VALUE"""),1.02)</f>
        <v>1.02</v>
      </c>
      <c r="E6432" s="16">
        <f>IFERROR(__xludf.DUMMYFUNCTION("""COMPUTED_VALUE"""),64.0)</f>
        <v>64</v>
      </c>
      <c r="F6432" s="19" t="str">
        <f>IFERROR(__xludf.DUMMYFUNCTION("""COMPUTED_VALUE"""),"BLUE")</f>
        <v>BLUE</v>
      </c>
      <c r="G6432" s="20" t="str">
        <f>IFERROR(__xludf.DUMMYFUNCTION("""COMPUTED_VALUE"""),"Uncle Sams Cider (11/12/2021) (Blue)")</f>
        <v>Uncle Sams Cider (11/12/2021) (Blue)</v>
      </c>
      <c r="H6432" s="19"/>
    </row>
    <row r="6433">
      <c r="A6433" s="9"/>
      <c r="B6433" s="15"/>
      <c r="C6433" s="9">
        <f>IFERROR(__xludf.DUMMYFUNCTION("""COMPUTED_VALUE"""),44538.100149456)</f>
        <v>44538.10015</v>
      </c>
      <c r="D6433" s="15">
        <f>IFERROR(__xludf.DUMMYFUNCTION("""COMPUTED_VALUE"""),1.02)</f>
        <v>1.02</v>
      </c>
      <c r="E6433" s="16">
        <f>IFERROR(__xludf.DUMMYFUNCTION("""COMPUTED_VALUE"""),64.0)</f>
        <v>64</v>
      </c>
      <c r="F6433" s="19" t="str">
        <f>IFERROR(__xludf.DUMMYFUNCTION("""COMPUTED_VALUE"""),"BLUE")</f>
        <v>BLUE</v>
      </c>
      <c r="G6433" s="20" t="str">
        <f>IFERROR(__xludf.DUMMYFUNCTION("""COMPUTED_VALUE"""),"Uncle Sams Cider (11/12/2021) (Blue)")</f>
        <v>Uncle Sams Cider (11/12/2021) (Blue)</v>
      </c>
      <c r="H6433" s="19"/>
    </row>
    <row r="6434">
      <c r="A6434" s="9"/>
      <c r="B6434" s="15"/>
      <c r="C6434" s="9">
        <f>IFERROR(__xludf.DUMMYFUNCTION("""COMPUTED_VALUE"""),44538.0897180671)</f>
        <v>44538.08972</v>
      </c>
      <c r="D6434" s="15">
        <f>IFERROR(__xludf.DUMMYFUNCTION("""COMPUTED_VALUE"""),1.02)</f>
        <v>1.02</v>
      </c>
      <c r="E6434" s="16">
        <f>IFERROR(__xludf.DUMMYFUNCTION("""COMPUTED_VALUE"""),64.0)</f>
        <v>64</v>
      </c>
      <c r="F6434" s="19" t="str">
        <f>IFERROR(__xludf.DUMMYFUNCTION("""COMPUTED_VALUE"""),"BLUE")</f>
        <v>BLUE</v>
      </c>
      <c r="G6434" s="20" t="str">
        <f>IFERROR(__xludf.DUMMYFUNCTION("""COMPUTED_VALUE"""),"Uncle Sams Cider (11/12/2021) (Blue)")</f>
        <v>Uncle Sams Cider (11/12/2021) (Blue)</v>
      </c>
      <c r="H6434" s="19"/>
    </row>
    <row r="6435">
      <c r="A6435" s="9"/>
      <c r="B6435" s="15"/>
      <c r="C6435" s="9">
        <f>IFERROR(__xludf.DUMMYFUNCTION("""COMPUTED_VALUE"""),44538.0792965393)</f>
        <v>44538.0793</v>
      </c>
      <c r="D6435" s="15">
        <f>IFERROR(__xludf.DUMMYFUNCTION("""COMPUTED_VALUE"""),1.02)</f>
        <v>1.02</v>
      </c>
      <c r="E6435" s="16">
        <f>IFERROR(__xludf.DUMMYFUNCTION("""COMPUTED_VALUE"""),64.0)</f>
        <v>64</v>
      </c>
      <c r="F6435" s="19" t="str">
        <f>IFERROR(__xludf.DUMMYFUNCTION("""COMPUTED_VALUE"""),"BLUE")</f>
        <v>BLUE</v>
      </c>
      <c r="G6435" s="20" t="str">
        <f>IFERROR(__xludf.DUMMYFUNCTION("""COMPUTED_VALUE"""),"Uncle Sams Cider (11/12/2021) (Blue)")</f>
        <v>Uncle Sams Cider (11/12/2021) (Blue)</v>
      </c>
      <c r="H6435" s="19"/>
    </row>
    <row r="6436">
      <c r="A6436" s="9"/>
      <c r="B6436" s="15"/>
      <c r="C6436" s="9">
        <f>IFERROR(__xludf.DUMMYFUNCTION("""COMPUTED_VALUE"""),44538.0688747106)</f>
        <v>44538.06887</v>
      </c>
      <c r="D6436" s="15">
        <f>IFERROR(__xludf.DUMMYFUNCTION("""COMPUTED_VALUE"""),1.021)</f>
        <v>1.021</v>
      </c>
      <c r="E6436" s="16">
        <f>IFERROR(__xludf.DUMMYFUNCTION("""COMPUTED_VALUE"""),64.0)</f>
        <v>64</v>
      </c>
      <c r="F6436" s="19" t="str">
        <f>IFERROR(__xludf.DUMMYFUNCTION("""COMPUTED_VALUE"""),"BLUE")</f>
        <v>BLUE</v>
      </c>
      <c r="G6436" s="20" t="str">
        <f>IFERROR(__xludf.DUMMYFUNCTION("""COMPUTED_VALUE"""),"Uncle Sams Cider (11/12/2021) (Blue)")</f>
        <v>Uncle Sams Cider (11/12/2021) (Blue)</v>
      </c>
      <c r="H6436" s="19"/>
    </row>
    <row r="6437">
      <c r="A6437" s="9"/>
      <c r="B6437" s="15"/>
      <c r="C6437" s="9">
        <f>IFERROR(__xludf.DUMMYFUNCTION("""COMPUTED_VALUE"""),44538.0584535069)</f>
        <v>44538.05845</v>
      </c>
      <c r="D6437" s="15">
        <f>IFERROR(__xludf.DUMMYFUNCTION("""COMPUTED_VALUE"""),1.021)</f>
        <v>1.021</v>
      </c>
      <c r="E6437" s="16">
        <f>IFERROR(__xludf.DUMMYFUNCTION("""COMPUTED_VALUE"""),64.0)</f>
        <v>64</v>
      </c>
      <c r="F6437" s="19" t="str">
        <f>IFERROR(__xludf.DUMMYFUNCTION("""COMPUTED_VALUE"""),"BLUE")</f>
        <v>BLUE</v>
      </c>
      <c r="G6437" s="20" t="str">
        <f>IFERROR(__xludf.DUMMYFUNCTION("""COMPUTED_VALUE"""),"Uncle Sams Cider (11/12/2021) (Blue)")</f>
        <v>Uncle Sams Cider (11/12/2021) (Blue)</v>
      </c>
      <c r="H6437" s="19"/>
    </row>
    <row r="6438">
      <c r="A6438" s="9"/>
      <c r="B6438" s="15"/>
      <c r="C6438" s="9">
        <f>IFERROR(__xludf.DUMMYFUNCTION("""COMPUTED_VALUE"""),44538.0480324421)</f>
        <v>44538.04803</v>
      </c>
      <c r="D6438" s="15">
        <f>IFERROR(__xludf.DUMMYFUNCTION("""COMPUTED_VALUE"""),1.02)</f>
        <v>1.02</v>
      </c>
      <c r="E6438" s="16">
        <f>IFERROR(__xludf.DUMMYFUNCTION("""COMPUTED_VALUE"""),64.0)</f>
        <v>64</v>
      </c>
      <c r="F6438" s="19" t="str">
        <f>IFERROR(__xludf.DUMMYFUNCTION("""COMPUTED_VALUE"""),"BLUE")</f>
        <v>BLUE</v>
      </c>
      <c r="G6438" s="20" t="str">
        <f>IFERROR(__xludf.DUMMYFUNCTION("""COMPUTED_VALUE"""),"Uncle Sams Cider (11/12/2021) (Blue)")</f>
        <v>Uncle Sams Cider (11/12/2021) (Blue)</v>
      </c>
      <c r="H6438" s="19"/>
    </row>
    <row r="6439">
      <c r="A6439" s="9"/>
      <c r="B6439" s="15"/>
      <c r="C6439" s="9">
        <f>IFERROR(__xludf.DUMMYFUNCTION("""COMPUTED_VALUE"""),44538.0376092592)</f>
        <v>44538.03761</v>
      </c>
      <c r="D6439" s="15">
        <f>IFERROR(__xludf.DUMMYFUNCTION("""COMPUTED_VALUE"""),1.021)</f>
        <v>1.021</v>
      </c>
      <c r="E6439" s="16">
        <f>IFERROR(__xludf.DUMMYFUNCTION("""COMPUTED_VALUE"""),64.0)</f>
        <v>64</v>
      </c>
      <c r="F6439" s="19" t="str">
        <f>IFERROR(__xludf.DUMMYFUNCTION("""COMPUTED_VALUE"""),"BLUE")</f>
        <v>BLUE</v>
      </c>
      <c r="G6439" s="20" t="str">
        <f>IFERROR(__xludf.DUMMYFUNCTION("""COMPUTED_VALUE"""),"Uncle Sams Cider (11/12/2021) (Blue)")</f>
        <v>Uncle Sams Cider (11/12/2021) (Blue)</v>
      </c>
      <c r="H6439" s="19"/>
    </row>
    <row r="6440">
      <c r="A6440" s="9"/>
      <c r="B6440" s="15"/>
      <c r="C6440" s="9">
        <f>IFERROR(__xludf.DUMMYFUNCTION("""COMPUTED_VALUE"""),44538.0271883333)</f>
        <v>44538.02719</v>
      </c>
      <c r="D6440" s="15">
        <f>IFERROR(__xludf.DUMMYFUNCTION("""COMPUTED_VALUE"""),1.02)</f>
        <v>1.02</v>
      </c>
      <c r="E6440" s="16">
        <f>IFERROR(__xludf.DUMMYFUNCTION("""COMPUTED_VALUE"""),64.0)</f>
        <v>64</v>
      </c>
      <c r="F6440" s="19" t="str">
        <f>IFERROR(__xludf.DUMMYFUNCTION("""COMPUTED_VALUE"""),"BLUE")</f>
        <v>BLUE</v>
      </c>
      <c r="G6440" s="20" t="str">
        <f>IFERROR(__xludf.DUMMYFUNCTION("""COMPUTED_VALUE"""),"Uncle Sams Cider (11/12/2021) (Blue)")</f>
        <v>Uncle Sams Cider (11/12/2021) (Blue)</v>
      </c>
      <c r="H6440" s="19"/>
    </row>
    <row r="6441">
      <c r="A6441" s="9"/>
      <c r="B6441" s="15"/>
      <c r="C6441" s="9">
        <f>IFERROR(__xludf.DUMMYFUNCTION("""COMPUTED_VALUE"""),44538.0167679745)</f>
        <v>44538.01677</v>
      </c>
      <c r="D6441" s="15">
        <f>IFERROR(__xludf.DUMMYFUNCTION("""COMPUTED_VALUE"""),1.021)</f>
        <v>1.021</v>
      </c>
      <c r="E6441" s="16">
        <f>IFERROR(__xludf.DUMMYFUNCTION("""COMPUTED_VALUE"""),64.0)</f>
        <v>64</v>
      </c>
      <c r="F6441" s="19" t="str">
        <f>IFERROR(__xludf.DUMMYFUNCTION("""COMPUTED_VALUE"""),"BLUE")</f>
        <v>BLUE</v>
      </c>
      <c r="G6441" s="20" t="str">
        <f>IFERROR(__xludf.DUMMYFUNCTION("""COMPUTED_VALUE"""),"Uncle Sams Cider (11/12/2021) (Blue)")</f>
        <v>Uncle Sams Cider (11/12/2021) (Blue)</v>
      </c>
      <c r="H6441" s="19"/>
    </row>
    <row r="6442">
      <c r="A6442" s="9"/>
      <c r="B6442" s="15"/>
      <c r="C6442" s="9">
        <f>IFERROR(__xludf.DUMMYFUNCTION("""COMPUTED_VALUE"""),44538.0063466782)</f>
        <v>44538.00635</v>
      </c>
      <c r="D6442" s="15">
        <f>IFERROR(__xludf.DUMMYFUNCTION("""COMPUTED_VALUE"""),1.021)</f>
        <v>1.021</v>
      </c>
      <c r="E6442" s="16">
        <f>IFERROR(__xludf.DUMMYFUNCTION("""COMPUTED_VALUE"""),64.0)</f>
        <v>64</v>
      </c>
      <c r="F6442" s="19" t="str">
        <f>IFERROR(__xludf.DUMMYFUNCTION("""COMPUTED_VALUE"""),"BLUE")</f>
        <v>BLUE</v>
      </c>
      <c r="G6442" s="20" t="str">
        <f>IFERROR(__xludf.DUMMYFUNCTION("""COMPUTED_VALUE"""),"Uncle Sams Cider (11/12/2021) (Blue)")</f>
        <v>Uncle Sams Cider (11/12/2021) (Blue)</v>
      </c>
      <c r="H6442" s="19"/>
    </row>
    <row r="6443">
      <c r="A6443" s="9"/>
      <c r="B6443" s="15"/>
      <c r="C6443" s="9">
        <f>IFERROR(__xludf.DUMMYFUNCTION("""COMPUTED_VALUE"""),44537.9959238194)</f>
        <v>44537.99592</v>
      </c>
      <c r="D6443" s="15">
        <f>IFERROR(__xludf.DUMMYFUNCTION("""COMPUTED_VALUE"""),1.02)</f>
        <v>1.02</v>
      </c>
      <c r="E6443" s="16">
        <f>IFERROR(__xludf.DUMMYFUNCTION("""COMPUTED_VALUE"""),64.0)</f>
        <v>64</v>
      </c>
      <c r="F6443" s="19" t="str">
        <f>IFERROR(__xludf.DUMMYFUNCTION("""COMPUTED_VALUE"""),"BLUE")</f>
        <v>BLUE</v>
      </c>
      <c r="G6443" s="20" t="str">
        <f>IFERROR(__xludf.DUMMYFUNCTION("""COMPUTED_VALUE"""),"Uncle Sams Cider (11/12/2021) (Blue)")</f>
        <v>Uncle Sams Cider (11/12/2021) (Blue)</v>
      </c>
      <c r="H6443" s="19"/>
    </row>
    <row r="6444">
      <c r="A6444" s="9"/>
      <c r="B6444" s="15"/>
      <c r="C6444" s="9">
        <f>IFERROR(__xludf.DUMMYFUNCTION("""COMPUTED_VALUE"""),44537.9855008796)</f>
        <v>44537.9855</v>
      </c>
      <c r="D6444" s="15">
        <f>IFERROR(__xludf.DUMMYFUNCTION("""COMPUTED_VALUE"""),1.021)</f>
        <v>1.021</v>
      </c>
      <c r="E6444" s="16">
        <f>IFERROR(__xludf.DUMMYFUNCTION("""COMPUTED_VALUE"""),64.0)</f>
        <v>64</v>
      </c>
      <c r="F6444" s="19" t="str">
        <f>IFERROR(__xludf.DUMMYFUNCTION("""COMPUTED_VALUE"""),"BLUE")</f>
        <v>BLUE</v>
      </c>
      <c r="G6444" s="20" t="str">
        <f>IFERROR(__xludf.DUMMYFUNCTION("""COMPUTED_VALUE"""),"Uncle Sams Cider (11/12/2021) (Blue)")</f>
        <v>Uncle Sams Cider (11/12/2021) (Blue)</v>
      </c>
      <c r="H6444" s="19"/>
    </row>
    <row r="6445">
      <c r="A6445" s="9"/>
      <c r="B6445" s="15"/>
      <c r="C6445" s="9">
        <f>IFERROR(__xludf.DUMMYFUNCTION("""COMPUTED_VALUE"""),44537.9750801967)</f>
        <v>44537.97508</v>
      </c>
      <c r="D6445" s="15">
        <f>IFERROR(__xludf.DUMMYFUNCTION("""COMPUTED_VALUE"""),1.021)</f>
        <v>1.021</v>
      </c>
      <c r="E6445" s="16">
        <f>IFERROR(__xludf.DUMMYFUNCTION("""COMPUTED_VALUE"""),64.0)</f>
        <v>64</v>
      </c>
      <c r="F6445" s="19" t="str">
        <f>IFERROR(__xludf.DUMMYFUNCTION("""COMPUTED_VALUE"""),"BLUE")</f>
        <v>BLUE</v>
      </c>
      <c r="G6445" s="20" t="str">
        <f>IFERROR(__xludf.DUMMYFUNCTION("""COMPUTED_VALUE"""),"Uncle Sams Cider (11/12/2021) (Blue)")</f>
        <v>Uncle Sams Cider (11/12/2021) (Blue)</v>
      </c>
      <c r="H6445" s="19"/>
    </row>
    <row r="6446">
      <c r="A6446" s="9"/>
      <c r="B6446" s="15"/>
      <c r="C6446" s="9">
        <f>IFERROR(__xludf.DUMMYFUNCTION("""COMPUTED_VALUE"""),44537.9646474884)</f>
        <v>44537.96465</v>
      </c>
      <c r="D6446" s="15">
        <f>IFERROR(__xludf.DUMMYFUNCTION("""COMPUTED_VALUE"""),1.02)</f>
        <v>1.02</v>
      </c>
      <c r="E6446" s="16">
        <f>IFERROR(__xludf.DUMMYFUNCTION("""COMPUTED_VALUE"""),64.0)</f>
        <v>64</v>
      </c>
      <c r="F6446" s="19" t="str">
        <f>IFERROR(__xludf.DUMMYFUNCTION("""COMPUTED_VALUE"""),"BLUE")</f>
        <v>BLUE</v>
      </c>
      <c r="G6446" s="20" t="str">
        <f>IFERROR(__xludf.DUMMYFUNCTION("""COMPUTED_VALUE"""),"Uncle Sams Cider (11/12/2021) (Blue)")</f>
        <v>Uncle Sams Cider (11/12/2021) (Blue)</v>
      </c>
      <c r="H6446" s="19"/>
    </row>
    <row r="6447">
      <c r="A6447" s="9"/>
      <c r="B6447" s="15"/>
      <c r="C6447" s="9">
        <f>IFERROR(__xludf.DUMMYFUNCTION("""COMPUTED_VALUE"""),44537.9542156134)</f>
        <v>44537.95422</v>
      </c>
      <c r="D6447" s="15">
        <f>IFERROR(__xludf.DUMMYFUNCTION("""COMPUTED_VALUE"""),1.021)</f>
        <v>1.021</v>
      </c>
      <c r="E6447" s="16">
        <f>IFERROR(__xludf.DUMMYFUNCTION("""COMPUTED_VALUE"""),64.0)</f>
        <v>64</v>
      </c>
      <c r="F6447" s="19" t="str">
        <f>IFERROR(__xludf.DUMMYFUNCTION("""COMPUTED_VALUE"""),"BLUE")</f>
        <v>BLUE</v>
      </c>
      <c r="G6447" s="20" t="str">
        <f>IFERROR(__xludf.DUMMYFUNCTION("""COMPUTED_VALUE"""),"Uncle Sams Cider (11/12/2021) (Blue)")</f>
        <v>Uncle Sams Cider (11/12/2021) (Blue)</v>
      </c>
      <c r="H6447" s="19"/>
    </row>
    <row r="6448">
      <c r="A6448" s="9"/>
      <c r="B6448" s="15"/>
      <c r="C6448" s="9">
        <f>IFERROR(__xludf.DUMMYFUNCTION("""COMPUTED_VALUE"""),44537.9437942592)</f>
        <v>44537.94379</v>
      </c>
      <c r="D6448" s="15">
        <f>IFERROR(__xludf.DUMMYFUNCTION("""COMPUTED_VALUE"""),1.02)</f>
        <v>1.02</v>
      </c>
      <c r="E6448" s="16">
        <f>IFERROR(__xludf.DUMMYFUNCTION("""COMPUTED_VALUE"""),64.0)</f>
        <v>64</v>
      </c>
      <c r="F6448" s="19" t="str">
        <f>IFERROR(__xludf.DUMMYFUNCTION("""COMPUTED_VALUE"""),"BLUE")</f>
        <v>BLUE</v>
      </c>
      <c r="G6448" s="20" t="str">
        <f>IFERROR(__xludf.DUMMYFUNCTION("""COMPUTED_VALUE"""),"Uncle Sams Cider (11/12/2021) (Blue)")</f>
        <v>Uncle Sams Cider (11/12/2021) (Blue)</v>
      </c>
      <c r="H6448" s="19"/>
    </row>
    <row r="6449">
      <c r="A6449" s="9"/>
      <c r="B6449" s="15"/>
      <c r="C6449" s="9">
        <f>IFERROR(__xludf.DUMMYFUNCTION("""COMPUTED_VALUE"""),44537.9333492592)</f>
        <v>44537.93335</v>
      </c>
      <c r="D6449" s="15">
        <f>IFERROR(__xludf.DUMMYFUNCTION("""COMPUTED_VALUE"""),1.021)</f>
        <v>1.021</v>
      </c>
      <c r="E6449" s="16">
        <f>IFERROR(__xludf.DUMMYFUNCTION("""COMPUTED_VALUE"""),64.0)</f>
        <v>64</v>
      </c>
      <c r="F6449" s="19" t="str">
        <f>IFERROR(__xludf.DUMMYFUNCTION("""COMPUTED_VALUE"""),"BLUE")</f>
        <v>BLUE</v>
      </c>
      <c r="G6449" s="20" t="str">
        <f>IFERROR(__xludf.DUMMYFUNCTION("""COMPUTED_VALUE"""),"Uncle Sams Cider (11/12/2021) (Blue)")</f>
        <v>Uncle Sams Cider (11/12/2021) (Blue)</v>
      </c>
      <c r="H6449" s="19"/>
    </row>
    <row r="6450">
      <c r="A6450" s="9"/>
      <c r="B6450" s="15"/>
      <c r="C6450" s="9">
        <f>IFERROR(__xludf.DUMMYFUNCTION("""COMPUTED_VALUE"""),44537.9229278356)</f>
        <v>44537.92293</v>
      </c>
      <c r="D6450" s="15">
        <f>IFERROR(__xludf.DUMMYFUNCTION("""COMPUTED_VALUE"""),1.021)</f>
        <v>1.021</v>
      </c>
      <c r="E6450" s="16">
        <f>IFERROR(__xludf.DUMMYFUNCTION("""COMPUTED_VALUE"""),64.0)</f>
        <v>64</v>
      </c>
      <c r="F6450" s="19" t="str">
        <f>IFERROR(__xludf.DUMMYFUNCTION("""COMPUTED_VALUE"""),"BLUE")</f>
        <v>BLUE</v>
      </c>
      <c r="G6450" s="20" t="str">
        <f>IFERROR(__xludf.DUMMYFUNCTION("""COMPUTED_VALUE"""),"Uncle Sams Cider (11/12/2021) (Blue)")</f>
        <v>Uncle Sams Cider (11/12/2021) (Blue)</v>
      </c>
      <c r="H6450" s="19"/>
    </row>
    <row r="6451">
      <c r="A6451" s="9"/>
      <c r="B6451" s="15"/>
      <c r="C6451" s="9">
        <f>IFERROR(__xludf.DUMMYFUNCTION("""COMPUTED_VALUE"""),44537.912495243)</f>
        <v>44537.9125</v>
      </c>
      <c r="D6451" s="15">
        <f>IFERROR(__xludf.DUMMYFUNCTION("""COMPUTED_VALUE"""),1.02)</f>
        <v>1.02</v>
      </c>
      <c r="E6451" s="16">
        <f>IFERROR(__xludf.DUMMYFUNCTION("""COMPUTED_VALUE"""),64.0)</f>
        <v>64</v>
      </c>
      <c r="F6451" s="19" t="str">
        <f>IFERROR(__xludf.DUMMYFUNCTION("""COMPUTED_VALUE"""),"BLUE")</f>
        <v>BLUE</v>
      </c>
      <c r="G6451" s="20" t="str">
        <f>IFERROR(__xludf.DUMMYFUNCTION("""COMPUTED_VALUE"""),"Uncle Sams Cider (11/12/2021) (Blue)")</f>
        <v>Uncle Sams Cider (11/12/2021) (Blue)</v>
      </c>
      <c r="H6451" s="19"/>
    </row>
    <row r="6452">
      <c r="A6452" s="9"/>
      <c r="B6452" s="15"/>
      <c r="C6452" s="9">
        <f>IFERROR(__xludf.DUMMYFUNCTION("""COMPUTED_VALUE"""),44537.9020744097)</f>
        <v>44537.90207</v>
      </c>
      <c r="D6452" s="15">
        <f>IFERROR(__xludf.DUMMYFUNCTION("""COMPUTED_VALUE"""),1.021)</f>
        <v>1.021</v>
      </c>
      <c r="E6452" s="16">
        <f>IFERROR(__xludf.DUMMYFUNCTION("""COMPUTED_VALUE"""),64.0)</f>
        <v>64</v>
      </c>
      <c r="F6452" s="19" t="str">
        <f>IFERROR(__xludf.DUMMYFUNCTION("""COMPUTED_VALUE"""),"BLUE")</f>
        <v>BLUE</v>
      </c>
      <c r="G6452" s="20" t="str">
        <f>IFERROR(__xludf.DUMMYFUNCTION("""COMPUTED_VALUE"""),"Uncle Sams Cider (11/12/2021) (Blue)")</f>
        <v>Uncle Sams Cider (11/12/2021) (Blue)</v>
      </c>
      <c r="H6452" s="19"/>
    </row>
    <row r="6453">
      <c r="A6453" s="9"/>
      <c r="B6453" s="15"/>
      <c r="C6453" s="9">
        <f>IFERROR(__xludf.DUMMYFUNCTION("""COMPUTED_VALUE"""),44537.8916539351)</f>
        <v>44537.89165</v>
      </c>
      <c r="D6453" s="15">
        <f>IFERROR(__xludf.DUMMYFUNCTION("""COMPUTED_VALUE"""),1.02)</f>
        <v>1.02</v>
      </c>
      <c r="E6453" s="16">
        <f>IFERROR(__xludf.DUMMYFUNCTION("""COMPUTED_VALUE"""),64.0)</f>
        <v>64</v>
      </c>
      <c r="F6453" s="19" t="str">
        <f>IFERROR(__xludf.DUMMYFUNCTION("""COMPUTED_VALUE"""),"BLUE")</f>
        <v>BLUE</v>
      </c>
      <c r="G6453" s="20" t="str">
        <f>IFERROR(__xludf.DUMMYFUNCTION("""COMPUTED_VALUE"""),"Uncle Sams Cider (11/12/2021) (Blue)")</f>
        <v>Uncle Sams Cider (11/12/2021) (Blue)</v>
      </c>
      <c r="H6453" s="19"/>
    </row>
    <row r="6454">
      <c r="A6454" s="9"/>
      <c r="B6454" s="15"/>
      <c r="C6454" s="9">
        <f>IFERROR(__xludf.DUMMYFUNCTION("""COMPUTED_VALUE"""),44537.8812327199)</f>
        <v>44537.88123</v>
      </c>
      <c r="D6454" s="15">
        <f>IFERROR(__xludf.DUMMYFUNCTION("""COMPUTED_VALUE"""),1.021)</f>
        <v>1.021</v>
      </c>
      <c r="E6454" s="16">
        <f>IFERROR(__xludf.DUMMYFUNCTION("""COMPUTED_VALUE"""),64.0)</f>
        <v>64</v>
      </c>
      <c r="F6454" s="19" t="str">
        <f>IFERROR(__xludf.DUMMYFUNCTION("""COMPUTED_VALUE"""),"BLUE")</f>
        <v>BLUE</v>
      </c>
      <c r="G6454" s="20" t="str">
        <f>IFERROR(__xludf.DUMMYFUNCTION("""COMPUTED_VALUE"""),"Uncle Sams Cider (11/12/2021) (Blue)")</f>
        <v>Uncle Sams Cider (11/12/2021) (Blue)</v>
      </c>
      <c r="H6454" s="19"/>
    </row>
    <row r="6455">
      <c r="A6455" s="9"/>
      <c r="B6455" s="15"/>
      <c r="C6455" s="9">
        <f>IFERROR(__xludf.DUMMYFUNCTION("""COMPUTED_VALUE"""),44537.8708129282)</f>
        <v>44537.87081</v>
      </c>
      <c r="D6455" s="15">
        <f>IFERROR(__xludf.DUMMYFUNCTION("""COMPUTED_VALUE"""),1.02)</f>
        <v>1.02</v>
      </c>
      <c r="E6455" s="16">
        <f>IFERROR(__xludf.DUMMYFUNCTION("""COMPUTED_VALUE"""),64.0)</f>
        <v>64</v>
      </c>
      <c r="F6455" s="19" t="str">
        <f>IFERROR(__xludf.DUMMYFUNCTION("""COMPUTED_VALUE"""),"BLUE")</f>
        <v>BLUE</v>
      </c>
      <c r="G6455" s="20" t="str">
        <f>IFERROR(__xludf.DUMMYFUNCTION("""COMPUTED_VALUE"""),"Uncle Sams Cider (11/12/2021) (Blue)")</f>
        <v>Uncle Sams Cider (11/12/2021) (Blue)</v>
      </c>
      <c r="H6455" s="19"/>
    </row>
    <row r="6456">
      <c r="A6456" s="9"/>
      <c r="B6456" s="15"/>
      <c r="C6456" s="9">
        <f>IFERROR(__xludf.DUMMYFUNCTION("""COMPUTED_VALUE"""),44537.8603910763)</f>
        <v>44537.86039</v>
      </c>
      <c r="D6456" s="15">
        <f>IFERROR(__xludf.DUMMYFUNCTION("""COMPUTED_VALUE"""),1.021)</f>
        <v>1.021</v>
      </c>
      <c r="E6456" s="16">
        <f>IFERROR(__xludf.DUMMYFUNCTION("""COMPUTED_VALUE"""),64.0)</f>
        <v>64</v>
      </c>
      <c r="F6456" s="19" t="str">
        <f>IFERROR(__xludf.DUMMYFUNCTION("""COMPUTED_VALUE"""),"BLUE")</f>
        <v>BLUE</v>
      </c>
      <c r="G6456" s="20" t="str">
        <f>IFERROR(__xludf.DUMMYFUNCTION("""COMPUTED_VALUE"""),"Uncle Sams Cider (11/12/2021) (Blue)")</f>
        <v>Uncle Sams Cider (11/12/2021) (Blue)</v>
      </c>
      <c r="H6456" s="19"/>
    </row>
    <row r="6457">
      <c r="A6457" s="9"/>
      <c r="B6457" s="15"/>
      <c r="C6457" s="9">
        <f>IFERROR(__xludf.DUMMYFUNCTION("""COMPUTED_VALUE"""),44537.8499340856)</f>
        <v>44537.84993</v>
      </c>
      <c r="D6457" s="15">
        <f>IFERROR(__xludf.DUMMYFUNCTION("""COMPUTED_VALUE"""),1.021)</f>
        <v>1.021</v>
      </c>
      <c r="E6457" s="16">
        <f>IFERROR(__xludf.DUMMYFUNCTION("""COMPUTED_VALUE"""),64.0)</f>
        <v>64</v>
      </c>
      <c r="F6457" s="19" t="str">
        <f>IFERROR(__xludf.DUMMYFUNCTION("""COMPUTED_VALUE"""),"BLUE")</f>
        <v>BLUE</v>
      </c>
      <c r="G6457" s="20" t="str">
        <f>IFERROR(__xludf.DUMMYFUNCTION("""COMPUTED_VALUE"""),"Uncle Sams Cider (11/12/2021) (Blue)")</f>
        <v>Uncle Sams Cider (11/12/2021) (Blue)</v>
      </c>
      <c r="H6457" s="19"/>
    </row>
    <row r="6458">
      <c r="A6458" s="9"/>
      <c r="B6458" s="15"/>
      <c r="C6458" s="9">
        <f>IFERROR(__xludf.DUMMYFUNCTION("""COMPUTED_VALUE"""),44537.8395148263)</f>
        <v>44537.83951</v>
      </c>
      <c r="D6458" s="15">
        <f>IFERROR(__xludf.DUMMYFUNCTION("""COMPUTED_VALUE"""),1.021)</f>
        <v>1.021</v>
      </c>
      <c r="E6458" s="16">
        <f>IFERROR(__xludf.DUMMYFUNCTION("""COMPUTED_VALUE"""),64.0)</f>
        <v>64</v>
      </c>
      <c r="F6458" s="19" t="str">
        <f>IFERROR(__xludf.DUMMYFUNCTION("""COMPUTED_VALUE"""),"BLUE")</f>
        <v>BLUE</v>
      </c>
      <c r="G6458" s="20" t="str">
        <f>IFERROR(__xludf.DUMMYFUNCTION("""COMPUTED_VALUE"""),"Uncle Sams Cider (11/12/2021) (Blue)")</f>
        <v>Uncle Sams Cider (11/12/2021) (Blue)</v>
      </c>
      <c r="H6458" s="19"/>
    </row>
    <row r="6459">
      <c r="A6459" s="9"/>
      <c r="B6459" s="15"/>
      <c r="C6459" s="9">
        <f>IFERROR(__xludf.DUMMYFUNCTION("""COMPUTED_VALUE"""),44537.8290946643)</f>
        <v>44537.82909</v>
      </c>
      <c r="D6459" s="15">
        <f>IFERROR(__xludf.DUMMYFUNCTION("""COMPUTED_VALUE"""),1.021)</f>
        <v>1.021</v>
      </c>
      <c r="E6459" s="16">
        <f>IFERROR(__xludf.DUMMYFUNCTION("""COMPUTED_VALUE"""),64.0)</f>
        <v>64</v>
      </c>
      <c r="F6459" s="19" t="str">
        <f>IFERROR(__xludf.DUMMYFUNCTION("""COMPUTED_VALUE"""),"BLUE")</f>
        <v>BLUE</v>
      </c>
      <c r="G6459" s="20" t="str">
        <f>IFERROR(__xludf.DUMMYFUNCTION("""COMPUTED_VALUE"""),"Uncle Sams Cider (11/12/2021) (Blue)")</f>
        <v>Uncle Sams Cider (11/12/2021) (Blue)</v>
      </c>
      <c r="H6459" s="19"/>
    </row>
    <row r="6460">
      <c r="A6460" s="9"/>
      <c r="B6460" s="15"/>
      <c r="C6460" s="9">
        <f>IFERROR(__xludf.DUMMYFUNCTION("""COMPUTED_VALUE"""),44537.8186734259)</f>
        <v>44537.81867</v>
      </c>
      <c r="D6460" s="15">
        <f>IFERROR(__xludf.DUMMYFUNCTION("""COMPUTED_VALUE"""),1.021)</f>
        <v>1.021</v>
      </c>
      <c r="E6460" s="16">
        <f>IFERROR(__xludf.DUMMYFUNCTION("""COMPUTED_VALUE"""),64.0)</f>
        <v>64</v>
      </c>
      <c r="F6460" s="19" t="str">
        <f>IFERROR(__xludf.DUMMYFUNCTION("""COMPUTED_VALUE"""),"BLUE")</f>
        <v>BLUE</v>
      </c>
      <c r="G6460" s="20" t="str">
        <f>IFERROR(__xludf.DUMMYFUNCTION("""COMPUTED_VALUE"""),"Uncle Sams Cider (11/12/2021) (Blue)")</f>
        <v>Uncle Sams Cider (11/12/2021) (Blue)</v>
      </c>
      <c r="H6460" s="19"/>
    </row>
    <row r="6461">
      <c r="A6461" s="9"/>
      <c r="B6461" s="15"/>
      <c r="C6461" s="9">
        <f>IFERROR(__xludf.DUMMYFUNCTION("""COMPUTED_VALUE"""),44537.808252905)</f>
        <v>44537.80825</v>
      </c>
      <c r="D6461" s="15">
        <f>IFERROR(__xludf.DUMMYFUNCTION("""COMPUTED_VALUE"""),1.021)</f>
        <v>1.021</v>
      </c>
      <c r="E6461" s="16">
        <f>IFERROR(__xludf.DUMMYFUNCTION("""COMPUTED_VALUE"""),64.0)</f>
        <v>64</v>
      </c>
      <c r="F6461" s="19" t="str">
        <f>IFERROR(__xludf.DUMMYFUNCTION("""COMPUTED_VALUE"""),"BLUE")</f>
        <v>BLUE</v>
      </c>
      <c r="G6461" s="20" t="str">
        <f>IFERROR(__xludf.DUMMYFUNCTION("""COMPUTED_VALUE"""),"Uncle Sams Cider (11/12/2021) (Blue)")</f>
        <v>Uncle Sams Cider (11/12/2021) (Blue)</v>
      </c>
      <c r="H6461" s="19"/>
    </row>
    <row r="6462">
      <c r="A6462" s="9"/>
      <c r="B6462" s="15"/>
      <c r="C6462" s="9">
        <f>IFERROR(__xludf.DUMMYFUNCTION("""COMPUTED_VALUE"""),44537.7978323263)</f>
        <v>44537.79783</v>
      </c>
      <c r="D6462" s="15">
        <f>IFERROR(__xludf.DUMMYFUNCTION("""COMPUTED_VALUE"""),1.021)</f>
        <v>1.021</v>
      </c>
      <c r="E6462" s="16">
        <f>IFERROR(__xludf.DUMMYFUNCTION("""COMPUTED_VALUE"""),64.0)</f>
        <v>64</v>
      </c>
      <c r="F6462" s="19" t="str">
        <f>IFERROR(__xludf.DUMMYFUNCTION("""COMPUTED_VALUE"""),"BLUE")</f>
        <v>BLUE</v>
      </c>
      <c r="G6462" s="20" t="str">
        <f>IFERROR(__xludf.DUMMYFUNCTION("""COMPUTED_VALUE"""),"Uncle Sams Cider (11/12/2021) (Blue)")</f>
        <v>Uncle Sams Cider (11/12/2021) (Blue)</v>
      </c>
      <c r="H6462" s="19"/>
    </row>
    <row r="6463">
      <c r="A6463" s="9"/>
      <c r="B6463" s="15"/>
      <c r="C6463" s="9">
        <f>IFERROR(__xludf.DUMMYFUNCTION("""COMPUTED_VALUE"""),44537.7874100694)</f>
        <v>44537.78741</v>
      </c>
      <c r="D6463" s="15">
        <f>IFERROR(__xludf.DUMMYFUNCTION("""COMPUTED_VALUE"""),1.021)</f>
        <v>1.021</v>
      </c>
      <c r="E6463" s="16">
        <f>IFERROR(__xludf.DUMMYFUNCTION("""COMPUTED_VALUE"""),64.0)</f>
        <v>64</v>
      </c>
      <c r="F6463" s="19" t="str">
        <f>IFERROR(__xludf.DUMMYFUNCTION("""COMPUTED_VALUE"""),"BLUE")</f>
        <v>BLUE</v>
      </c>
      <c r="G6463" s="20" t="str">
        <f>IFERROR(__xludf.DUMMYFUNCTION("""COMPUTED_VALUE"""),"Uncle Sams Cider (11/12/2021) (Blue)")</f>
        <v>Uncle Sams Cider (11/12/2021) (Blue)</v>
      </c>
      <c r="H6463" s="19"/>
    </row>
    <row r="6464">
      <c r="A6464" s="9"/>
      <c r="B6464" s="15"/>
      <c r="C6464" s="9">
        <f>IFERROR(__xludf.DUMMYFUNCTION("""COMPUTED_VALUE"""),44537.7769894097)</f>
        <v>44537.77699</v>
      </c>
      <c r="D6464" s="15">
        <f>IFERROR(__xludf.DUMMYFUNCTION("""COMPUTED_VALUE"""),1.021)</f>
        <v>1.021</v>
      </c>
      <c r="E6464" s="16">
        <f>IFERROR(__xludf.DUMMYFUNCTION("""COMPUTED_VALUE"""),64.0)</f>
        <v>64</v>
      </c>
      <c r="F6464" s="19" t="str">
        <f>IFERROR(__xludf.DUMMYFUNCTION("""COMPUTED_VALUE"""),"BLUE")</f>
        <v>BLUE</v>
      </c>
      <c r="G6464" s="20" t="str">
        <f>IFERROR(__xludf.DUMMYFUNCTION("""COMPUTED_VALUE"""),"Uncle Sams Cider (11/12/2021) (Blue)")</f>
        <v>Uncle Sams Cider (11/12/2021) (Blue)</v>
      </c>
      <c r="H6464" s="19"/>
    </row>
    <row r="6465">
      <c r="A6465" s="9"/>
      <c r="B6465" s="15"/>
      <c r="C6465" s="9">
        <f>IFERROR(__xludf.DUMMYFUNCTION("""COMPUTED_VALUE"""),44537.7665698495)</f>
        <v>44537.76657</v>
      </c>
      <c r="D6465" s="15">
        <f>IFERROR(__xludf.DUMMYFUNCTION("""COMPUTED_VALUE"""),1.021)</f>
        <v>1.021</v>
      </c>
      <c r="E6465" s="16">
        <f>IFERROR(__xludf.DUMMYFUNCTION("""COMPUTED_VALUE"""),64.0)</f>
        <v>64</v>
      </c>
      <c r="F6465" s="19" t="str">
        <f>IFERROR(__xludf.DUMMYFUNCTION("""COMPUTED_VALUE"""),"BLUE")</f>
        <v>BLUE</v>
      </c>
      <c r="G6465" s="20" t="str">
        <f>IFERROR(__xludf.DUMMYFUNCTION("""COMPUTED_VALUE"""),"Uncle Sams Cider (11/12/2021) (Blue)")</f>
        <v>Uncle Sams Cider (11/12/2021) (Blue)</v>
      </c>
      <c r="H6465" s="19"/>
    </row>
    <row r="6466">
      <c r="A6466" s="9"/>
      <c r="B6466" s="15"/>
      <c r="C6466" s="9">
        <f>IFERROR(__xludf.DUMMYFUNCTION("""COMPUTED_VALUE"""),44537.7561374652)</f>
        <v>44537.75614</v>
      </c>
      <c r="D6466" s="15">
        <f>IFERROR(__xludf.DUMMYFUNCTION("""COMPUTED_VALUE"""),1.02)</f>
        <v>1.02</v>
      </c>
      <c r="E6466" s="16">
        <f>IFERROR(__xludf.DUMMYFUNCTION("""COMPUTED_VALUE"""),64.0)</f>
        <v>64</v>
      </c>
      <c r="F6466" s="19" t="str">
        <f>IFERROR(__xludf.DUMMYFUNCTION("""COMPUTED_VALUE"""),"BLUE")</f>
        <v>BLUE</v>
      </c>
      <c r="G6466" s="20" t="str">
        <f>IFERROR(__xludf.DUMMYFUNCTION("""COMPUTED_VALUE"""),"Uncle Sams Cider (11/12/2021) (Blue)")</f>
        <v>Uncle Sams Cider (11/12/2021) (Blue)</v>
      </c>
      <c r="H6466" s="19"/>
    </row>
    <row r="6467">
      <c r="A6467" s="9"/>
      <c r="B6467" s="15"/>
      <c r="C6467" s="9">
        <f>IFERROR(__xludf.DUMMYFUNCTION("""COMPUTED_VALUE"""),44537.7456944328)</f>
        <v>44537.74569</v>
      </c>
      <c r="D6467" s="15">
        <f>IFERROR(__xludf.DUMMYFUNCTION("""COMPUTED_VALUE"""),1.021)</f>
        <v>1.021</v>
      </c>
      <c r="E6467" s="16">
        <f>IFERROR(__xludf.DUMMYFUNCTION("""COMPUTED_VALUE"""),64.0)</f>
        <v>64</v>
      </c>
      <c r="F6467" s="19" t="str">
        <f>IFERROR(__xludf.DUMMYFUNCTION("""COMPUTED_VALUE"""),"BLUE")</f>
        <v>BLUE</v>
      </c>
      <c r="G6467" s="20" t="str">
        <f>IFERROR(__xludf.DUMMYFUNCTION("""COMPUTED_VALUE"""),"Uncle Sams Cider (11/12/2021) (Blue)")</f>
        <v>Uncle Sams Cider (11/12/2021) (Blue)</v>
      </c>
      <c r="H6467" s="19"/>
    </row>
    <row r="6468">
      <c r="A6468" s="9"/>
      <c r="B6468" s="15"/>
      <c r="C6468" s="9">
        <f>IFERROR(__xludf.DUMMYFUNCTION("""COMPUTED_VALUE"""),44537.7352721412)</f>
        <v>44537.73527</v>
      </c>
      <c r="D6468" s="15">
        <f>IFERROR(__xludf.DUMMYFUNCTION("""COMPUTED_VALUE"""),1.021)</f>
        <v>1.021</v>
      </c>
      <c r="E6468" s="16">
        <f>IFERROR(__xludf.DUMMYFUNCTION("""COMPUTED_VALUE"""),64.0)</f>
        <v>64</v>
      </c>
      <c r="F6468" s="19" t="str">
        <f>IFERROR(__xludf.DUMMYFUNCTION("""COMPUTED_VALUE"""),"BLUE")</f>
        <v>BLUE</v>
      </c>
      <c r="G6468" s="20" t="str">
        <f>IFERROR(__xludf.DUMMYFUNCTION("""COMPUTED_VALUE"""),"Uncle Sams Cider (11/12/2021) (Blue)")</f>
        <v>Uncle Sams Cider (11/12/2021) (Blue)</v>
      </c>
      <c r="H6468" s="19"/>
    </row>
    <row r="6469">
      <c r="A6469" s="9"/>
      <c r="B6469" s="15"/>
      <c r="C6469" s="9">
        <f>IFERROR(__xludf.DUMMYFUNCTION("""COMPUTED_VALUE"""),44537.7248524537)</f>
        <v>44537.72485</v>
      </c>
      <c r="D6469" s="15">
        <f>IFERROR(__xludf.DUMMYFUNCTION("""COMPUTED_VALUE"""),1.021)</f>
        <v>1.021</v>
      </c>
      <c r="E6469" s="16">
        <f>IFERROR(__xludf.DUMMYFUNCTION("""COMPUTED_VALUE"""),64.0)</f>
        <v>64</v>
      </c>
      <c r="F6469" s="19" t="str">
        <f>IFERROR(__xludf.DUMMYFUNCTION("""COMPUTED_VALUE"""),"BLUE")</f>
        <v>BLUE</v>
      </c>
      <c r="G6469" s="20" t="str">
        <f>IFERROR(__xludf.DUMMYFUNCTION("""COMPUTED_VALUE"""),"Uncle Sams Cider (11/12/2021) (Blue)")</f>
        <v>Uncle Sams Cider (11/12/2021) (Blue)</v>
      </c>
      <c r="H6469" s="19"/>
    </row>
    <row r="6470">
      <c r="A6470" s="9"/>
      <c r="B6470" s="15"/>
      <c r="C6470" s="9">
        <f>IFERROR(__xludf.DUMMYFUNCTION("""COMPUTED_VALUE"""),44537.7144316203)</f>
        <v>44537.71443</v>
      </c>
      <c r="D6470" s="15">
        <f>IFERROR(__xludf.DUMMYFUNCTION("""COMPUTED_VALUE"""),1.021)</f>
        <v>1.021</v>
      </c>
      <c r="E6470" s="16">
        <f>IFERROR(__xludf.DUMMYFUNCTION("""COMPUTED_VALUE"""),64.0)</f>
        <v>64</v>
      </c>
      <c r="F6470" s="19" t="str">
        <f>IFERROR(__xludf.DUMMYFUNCTION("""COMPUTED_VALUE"""),"BLUE")</f>
        <v>BLUE</v>
      </c>
      <c r="G6470" s="20" t="str">
        <f>IFERROR(__xludf.DUMMYFUNCTION("""COMPUTED_VALUE"""),"Uncle Sams Cider (11/12/2021) (Blue)")</f>
        <v>Uncle Sams Cider (11/12/2021) (Blue)</v>
      </c>
      <c r="H6470" s="19"/>
    </row>
    <row r="6471">
      <c r="A6471" s="9"/>
      <c r="B6471" s="15"/>
      <c r="C6471" s="9">
        <f>IFERROR(__xludf.DUMMYFUNCTION("""COMPUTED_VALUE"""),44537.7040103356)</f>
        <v>44537.70401</v>
      </c>
      <c r="D6471" s="15">
        <f>IFERROR(__xludf.DUMMYFUNCTION("""COMPUTED_VALUE"""),1.02)</f>
        <v>1.02</v>
      </c>
      <c r="E6471" s="16">
        <f>IFERROR(__xludf.DUMMYFUNCTION("""COMPUTED_VALUE"""),64.0)</f>
        <v>64</v>
      </c>
      <c r="F6471" s="19" t="str">
        <f>IFERROR(__xludf.DUMMYFUNCTION("""COMPUTED_VALUE"""),"BLUE")</f>
        <v>BLUE</v>
      </c>
      <c r="G6471" s="20" t="str">
        <f>IFERROR(__xludf.DUMMYFUNCTION("""COMPUTED_VALUE"""),"Uncle Sams Cider (11/12/2021) (Blue)")</f>
        <v>Uncle Sams Cider (11/12/2021) (Blue)</v>
      </c>
      <c r="H6471" s="19"/>
    </row>
    <row r="6472">
      <c r="A6472" s="9"/>
      <c r="B6472" s="15"/>
      <c r="C6472" s="9">
        <f>IFERROR(__xludf.DUMMYFUNCTION("""COMPUTED_VALUE"""),44537.6935878935)</f>
        <v>44537.69359</v>
      </c>
      <c r="D6472" s="15">
        <f>IFERROR(__xludf.DUMMYFUNCTION("""COMPUTED_VALUE"""),1.021)</f>
        <v>1.021</v>
      </c>
      <c r="E6472" s="16">
        <f>IFERROR(__xludf.DUMMYFUNCTION("""COMPUTED_VALUE"""),64.0)</f>
        <v>64</v>
      </c>
      <c r="F6472" s="19" t="str">
        <f>IFERROR(__xludf.DUMMYFUNCTION("""COMPUTED_VALUE"""),"BLUE")</f>
        <v>BLUE</v>
      </c>
      <c r="G6472" s="20" t="str">
        <f>IFERROR(__xludf.DUMMYFUNCTION("""COMPUTED_VALUE"""),"Uncle Sams Cider (11/12/2021) (Blue)")</f>
        <v>Uncle Sams Cider (11/12/2021) (Blue)</v>
      </c>
      <c r="H6472" s="19"/>
    </row>
    <row r="6473">
      <c r="A6473" s="9"/>
      <c r="B6473" s="15"/>
      <c r="C6473" s="9">
        <f>IFERROR(__xludf.DUMMYFUNCTION("""COMPUTED_VALUE"""),44537.6831671527)</f>
        <v>44537.68317</v>
      </c>
      <c r="D6473" s="15">
        <f>IFERROR(__xludf.DUMMYFUNCTION("""COMPUTED_VALUE"""),1.02)</f>
        <v>1.02</v>
      </c>
      <c r="E6473" s="16">
        <f>IFERROR(__xludf.DUMMYFUNCTION("""COMPUTED_VALUE"""),64.0)</f>
        <v>64</v>
      </c>
      <c r="F6473" s="19" t="str">
        <f>IFERROR(__xludf.DUMMYFUNCTION("""COMPUTED_VALUE"""),"BLUE")</f>
        <v>BLUE</v>
      </c>
      <c r="G6473" s="20" t="str">
        <f>IFERROR(__xludf.DUMMYFUNCTION("""COMPUTED_VALUE"""),"Uncle Sams Cider (11/12/2021) (Blue)")</f>
        <v>Uncle Sams Cider (11/12/2021) (Blue)</v>
      </c>
      <c r="H6473" s="19"/>
    </row>
    <row r="6474">
      <c r="A6474" s="9"/>
      <c r="B6474" s="15"/>
      <c r="C6474" s="9">
        <f>IFERROR(__xludf.DUMMYFUNCTION("""COMPUTED_VALUE"""),44537.6727478009)</f>
        <v>44537.67275</v>
      </c>
      <c r="D6474" s="15">
        <f>IFERROR(__xludf.DUMMYFUNCTION("""COMPUTED_VALUE"""),1.021)</f>
        <v>1.021</v>
      </c>
      <c r="E6474" s="16">
        <f>IFERROR(__xludf.DUMMYFUNCTION("""COMPUTED_VALUE"""),64.0)</f>
        <v>64</v>
      </c>
      <c r="F6474" s="19" t="str">
        <f>IFERROR(__xludf.DUMMYFUNCTION("""COMPUTED_VALUE"""),"BLUE")</f>
        <v>BLUE</v>
      </c>
      <c r="G6474" s="20" t="str">
        <f>IFERROR(__xludf.DUMMYFUNCTION("""COMPUTED_VALUE"""),"Uncle Sams Cider (11/12/2021) (Blue)")</f>
        <v>Uncle Sams Cider (11/12/2021) (Blue)</v>
      </c>
      <c r="H6474" s="19"/>
    </row>
    <row r="6475">
      <c r="A6475" s="9"/>
      <c r="B6475" s="15"/>
      <c r="C6475" s="9">
        <f>IFERROR(__xludf.DUMMYFUNCTION("""COMPUTED_VALUE"""),44537.6623265856)</f>
        <v>44537.66233</v>
      </c>
      <c r="D6475" s="15">
        <f>IFERROR(__xludf.DUMMYFUNCTION("""COMPUTED_VALUE"""),1.021)</f>
        <v>1.021</v>
      </c>
      <c r="E6475" s="16">
        <f>IFERROR(__xludf.DUMMYFUNCTION("""COMPUTED_VALUE"""),64.0)</f>
        <v>64</v>
      </c>
      <c r="F6475" s="19" t="str">
        <f>IFERROR(__xludf.DUMMYFUNCTION("""COMPUTED_VALUE"""),"BLUE")</f>
        <v>BLUE</v>
      </c>
      <c r="G6475" s="20" t="str">
        <f>IFERROR(__xludf.DUMMYFUNCTION("""COMPUTED_VALUE"""),"Uncle Sams Cider (11/12/2021) (Blue)")</f>
        <v>Uncle Sams Cider (11/12/2021) (Blue)</v>
      </c>
      <c r="H6475" s="19"/>
    </row>
    <row r="6476">
      <c r="A6476" s="9"/>
      <c r="B6476" s="15"/>
      <c r="C6476" s="9">
        <f>IFERROR(__xludf.DUMMYFUNCTION("""COMPUTED_VALUE"""),44537.6518949768)</f>
        <v>44537.65189</v>
      </c>
      <c r="D6476" s="15">
        <f>IFERROR(__xludf.DUMMYFUNCTION("""COMPUTED_VALUE"""),1.021)</f>
        <v>1.021</v>
      </c>
      <c r="E6476" s="16">
        <f>IFERROR(__xludf.DUMMYFUNCTION("""COMPUTED_VALUE"""),64.0)</f>
        <v>64</v>
      </c>
      <c r="F6476" s="19" t="str">
        <f>IFERROR(__xludf.DUMMYFUNCTION("""COMPUTED_VALUE"""),"BLUE")</f>
        <v>BLUE</v>
      </c>
      <c r="G6476" s="20" t="str">
        <f>IFERROR(__xludf.DUMMYFUNCTION("""COMPUTED_VALUE"""),"Uncle Sams Cider (11/12/2021) (Blue)")</f>
        <v>Uncle Sams Cider (11/12/2021) (Blue)</v>
      </c>
      <c r="H6476" s="19"/>
    </row>
    <row r="6477">
      <c r="A6477" s="9"/>
      <c r="B6477" s="15"/>
      <c r="C6477" s="9">
        <f>IFERROR(__xludf.DUMMYFUNCTION("""COMPUTED_VALUE"""),44537.641474699)</f>
        <v>44537.64147</v>
      </c>
      <c r="D6477" s="15">
        <f>IFERROR(__xludf.DUMMYFUNCTION("""COMPUTED_VALUE"""),1.021)</f>
        <v>1.021</v>
      </c>
      <c r="E6477" s="16">
        <f>IFERROR(__xludf.DUMMYFUNCTION("""COMPUTED_VALUE"""),64.0)</f>
        <v>64</v>
      </c>
      <c r="F6477" s="19" t="str">
        <f>IFERROR(__xludf.DUMMYFUNCTION("""COMPUTED_VALUE"""),"BLUE")</f>
        <v>BLUE</v>
      </c>
      <c r="G6477" s="20" t="str">
        <f>IFERROR(__xludf.DUMMYFUNCTION("""COMPUTED_VALUE"""),"Uncle Sams Cider (11/12/2021) (Blue)")</f>
        <v>Uncle Sams Cider (11/12/2021) (Blue)</v>
      </c>
      <c r="H6477" s="19"/>
    </row>
    <row r="6478">
      <c r="A6478" s="9"/>
      <c r="B6478" s="15"/>
      <c r="C6478" s="9">
        <f>IFERROR(__xludf.DUMMYFUNCTION("""COMPUTED_VALUE"""),44537.6310552314)</f>
        <v>44537.63106</v>
      </c>
      <c r="D6478" s="15">
        <f>IFERROR(__xludf.DUMMYFUNCTION("""COMPUTED_VALUE"""),1.021)</f>
        <v>1.021</v>
      </c>
      <c r="E6478" s="16">
        <f>IFERROR(__xludf.DUMMYFUNCTION("""COMPUTED_VALUE"""),64.0)</f>
        <v>64</v>
      </c>
      <c r="F6478" s="19" t="str">
        <f>IFERROR(__xludf.DUMMYFUNCTION("""COMPUTED_VALUE"""),"BLUE")</f>
        <v>BLUE</v>
      </c>
      <c r="G6478" s="20" t="str">
        <f>IFERROR(__xludf.DUMMYFUNCTION("""COMPUTED_VALUE"""),"Uncle Sams Cider (11/12/2021) (Blue)")</f>
        <v>Uncle Sams Cider (11/12/2021) (Blue)</v>
      </c>
      <c r="H6478" s="19"/>
    </row>
    <row r="6479">
      <c r="A6479" s="9"/>
      <c r="B6479" s="15"/>
      <c r="C6479" s="9">
        <f>IFERROR(__xludf.DUMMYFUNCTION("""COMPUTED_VALUE"""),44537.620635081)</f>
        <v>44537.62064</v>
      </c>
      <c r="D6479" s="15">
        <f>IFERROR(__xludf.DUMMYFUNCTION("""COMPUTED_VALUE"""),1.021)</f>
        <v>1.021</v>
      </c>
      <c r="E6479" s="16">
        <f>IFERROR(__xludf.DUMMYFUNCTION("""COMPUTED_VALUE"""),64.0)</f>
        <v>64</v>
      </c>
      <c r="F6479" s="19" t="str">
        <f>IFERROR(__xludf.DUMMYFUNCTION("""COMPUTED_VALUE"""),"BLUE")</f>
        <v>BLUE</v>
      </c>
      <c r="G6479" s="20" t="str">
        <f>IFERROR(__xludf.DUMMYFUNCTION("""COMPUTED_VALUE"""),"Uncle Sams Cider (11/12/2021) (Blue)")</f>
        <v>Uncle Sams Cider (11/12/2021) (Blue)</v>
      </c>
      <c r="H6479" s="19"/>
    </row>
    <row r="6480">
      <c r="A6480" s="9"/>
      <c r="B6480" s="15"/>
      <c r="C6480" s="9">
        <f>IFERROR(__xludf.DUMMYFUNCTION("""COMPUTED_VALUE"""),44537.6102138425)</f>
        <v>44537.61021</v>
      </c>
      <c r="D6480" s="15">
        <f>IFERROR(__xludf.DUMMYFUNCTION("""COMPUTED_VALUE"""),1.021)</f>
        <v>1.021</v>
      </c>
      <c r="E6480" s="16">
        <f>IFERROR(__xludf.DUMMYFUNCTION("""COMPUTED_VALUE"""),64.0)</f>
        <v>64</v>
      </c>
      <c r="F6480" s="19" t="str">
        <f>IFERROR(__xludf.DUMMYFUNCTION("""COMPUTED_VALUE"""),"BLUE")</f>
        <v>BLUE</v>
      </c>
      <c r="G6480" s="20" t="str">
        <f>IFERROR(__xludf.DUMMYFUNCTION("""COMPUTED_VALUE"""),"Uncle Sams Cider (11/12/2021) (Blue)")</f>
        <v>Uncle Sams Cider (11/12/2021) (Blue)</v>
      </c>
      <c r="H6480" s="19"/>
    </row>
    <row r="6481">
      <c r="A6481" s="9"/>
      <c r="B6481" s="15"/>
      <c r="C6481" s="9">
        <f>IFERROR(__xludf.DUMMYFUNCTION("""COMPUTED_VALUE"""),44537.5997923263)</f>
        <v>44537.59979</v>
      </c>
      <c r="D6481" s="15">
        <f>IFERROR(__xludf.DUMMYFUNCTION("""COMPUTED_VALUE"""),1.021)</f>
        <v>1.021</v>
      </c>
      <c r="E6481" s="16">
        <f>IFERROR(__xludf.DUMMYFUNCTION("""COMPUTED_VALUE"""),64.0)</f>
        <v>64</v>
      </c>
      <c r="F6481" s="19" t="str">
        <f>IFERROR(__xludf.DUMMYFUNCTION("""COMPUTED_VALUE"""),"BLUE")</f>
        <v>BLUE</v>
      </c>
      <c r="G6481" s="20" t="str">
        <f>IFERROR(__xludf.DUMMYFUNCTION("""COMPUTED_VALUE"""),"Uncle Sams Cider (11/12/2021) (Blue)")</f>
        <v>Uncle Sams Cider (11/12/2021) (Blue)</v>
      </c>
      <c r="H6481" s="19"/>
    </row>
    <row r="6482">
      <c r="A6482" s="9"/>
      <c r="B6482" s="15"/>
      <c r="C6482" s="9">
        <f>IFERROR(__xludf.DUMMYFUNCTION("""COMPUTED_VALUE"""),44537.5893700347)</f>
        <v>44537.58937</v>
      </c>
      <c r="D6482" s="15">
        <f>IFERROR(__xludf.DUMMYFUNCTION("""COMPUTED_VALUE"""),1.021)</f>
        <v>1.021</v>
      </c>
      <c r="E6482" s="16">
        <f>IFERROR(__xludf.DUMMYFUNCTION("""COMPUTED_VALUE"""),64.0)</f>
        <v>64</v>
      </c>
      <c r="F6482" s="19" t="str">
        <f>IFERROR(__xludf.DUMMYFUNCTION("""COMPUTED_VALUE"""),"BLUE")</f>
        <v>BLUE</v>
      </c>
      <c r="G6482" s="20" t="str">
        <f>IFERROR(__xludf.DUMMYFUNCTION("""COMPUTED_VALUE"""),"Uncle Sams Cider (11/12/2021) (Blue)")</f>
        <v>Uncle Sams Cider (11/12/2021) (Blue)</v>
      </c>
      <c r="H6482" s="19"/>
    </row>
    <row r="6483">
      <c r="A6483" s="9"/>
      <c r="B6483" s="15"/>
      <c r="C6483" s="9">
        <f>IFERROR(__xludf.DUMMYFUNCTION("""COMPUTED_VALUE"""),44537.5789132175)</f>
        <v>44537.57891</v>
      </c>
      <c r="D6483" s="15">
        <f>IFERROR(__xludf.DUMMYFUNCTION("""COMPUTED_VALUE"""),1.021)</f>
        <v>1.021</v>
      </c>
      <c r="E6483" s="16">
        <f>IFERROR(__xludf.DUMMYFUNCTION("""COMPUTED_VALUE"""),64.0)</f>
        <v>64</v>
      </c>
      <c r="F6483" s="19" t="str">
        <f>IFERROR(__xludf.DUMMYFUNCTION("""COMPUTED_VALUE"""),"BLUE")</f>
        <v>BLUE</v>
      </c>
      <c r="G6483" s="20" t="str">
        <f>IFERROR(__xludf.DUMMYFUNCTION("""COMPUTED_VALUE"""),"Uncle Sams Cider (11/12/2021) (Blue)")</f>
        <v>Uncle Sams Cider (11/12/2021) (Blue)</v>
      </c>
      <c r="H6483" s="19"/>
    </row>
    <row r="6484">
      <c r="A6484" s="9"/>
      <c r="B6484" s="15"/>
      <c r="C6484" s="9">
        <f>IFERROR(__xludf.DUMMYFUNCTION("""COMPUTED_VALUE"""),44537.5684921527)</f>
        <v>44537.56849</v>
      </c>
      <c r="D6484" s="15">
        <f>IFERROR(__xludf.DUMMYFUNCTION("""COMPUTED_VALUE"""),1.021)</f>
        <v>1.021</v>
      </c>
      <c r="E6484" s="16">
        <f>IFERROR(__xludf.DUMMYFUNCTION("""COMPUTED_VALUE"""),64.0)</f>
        <v>64</v>
      </c>
      <c r="F6484" s="19" t="str">
        <f>IFERROR(__xludf.DUMMYFUNCTION("""COMPUTED_VALUE"""),"BLUE")</f>
        <v>BLUE</v>
      </c>
      <c r="G6484" s="20" t="str">
        <f>IFERROR(__xludf.DUMMYFUNCTION("""COMPUTED_VALUE"""),"Uncle Sams Cider (11/12/2021) (Blue)")</f>
        <v>Uncle Sams Cider (11/12/2021) (Blue)</v>
      </c>
      <c r="H6484" s="19"/>
    </row>
    <row r="6485">
      <c r="A6485" s="9"/>
      <c r="B6485" s="15"/>
      <c r="C6485" s="9">
        <f>IFERROR(__xludf.DUMMYFUNCTION("""COMPUTED_VALUE"""),44537.5580707407)</f>
        <v>44537.55807</v>
      </c>
      <c r="D6485" s="15">
        <f>IFERROR(__xludf.DUMMYFUNCTION("""COMPUTED_VALUE"""),1.021)</f>
        <v>1.021</v>
      </c>
      <c r="E6485" s="16">
        <f>IFERROR(__xludf.DUMMYFUNCTION("""COMPUTED_VALUE"""),64.0)</f>
        <v>64</v>
      </c>
      <c r="F6485" s="19" t="str">
        <f>IFERROR(__xludf.DUMMYFUNCTION("""COMPUTED_VALUE"""),"BLUE")</f>
        <v>BLUE</v>
      </c>
      <c r="G6485" s="20" t="str">
        <f>IFERROR(__xludf.DUMMYFUNCTION("""COMPUTED_VALUE"""),"Uncle Sams Cider (11/12/2021) (Blue)")</f>
        <v>Uncle Sams Cider (11/12/2021) (Blue)</v>
      </c>
      <c r="H6485" s="19"/>
    </row>
    <row r="6486">
      <c r="A6486" s="9"/>
      <c r="B6486" s="15"/>
      <c r="C6486" s="9">
        <f>IFERROR(__xludf.DUMMYFUNCTION("""COMPUTED_VALUE"""),44537.5476478935)</f>
        <v>44537.54765</v>
      </c>
      <c r="D6486" s="15">
        <f>IFERROR(__xludf.DUMMYFUNCTION("""COMPUTED_VALUE"""),1.021)</f>
        <v>1.021</v>
      </c>
      <c r="E6486" s="16">
        <f>IFERROR(__xludf.DUMMYFUNCTION("""COMPUTED_VALUE"""),64.0)</f>
        <v>64</v>
      </c>
      <c r="F6486" s="19" t="str">
        <f>IFERROR(__xludf.DUMMYFUNCTION("""COMPUTED_VALUE"""),"BLUE")</f>
        <v>BLUE</v>
      </c>
      <c r="G6486" s="20" t="str">
        <f>IFERROR(__xludf.DUMMYFUNCTION("""COMPUTED_VALUE"""),"Uncle Sams Cider (11/12/2021) (Blue)")</f>
        <v>Uncle Sams Cider (11/12/2021) (Blue)</v>
      </c>
      <c r="H6486" s="19"/>
    </row>
    <row r="6487">
      <c r="A6487" s="9"/>
      <c r="B6487" s="15"/>
      <c r="C6487" s="9">
        <f>IFERROR(__xludf.DUMMYFUNCTION("""COMPUTED_VALUE"""),44537.5372272453)</f>
        <v>44537.53723</v>
      </c>
      <c r="D6487" s="15">
        <f>IFERROR(__xludf.DUMMYFUNCTION("""COMPUTED_VALUE"""),1.021)</f>
        <v>1.021</v>
      </c>
      <c r="E6487" s="16">
        <f>IFERROR(__xludf.DUMMYFUNCTION("""COMPUTED_VALUE"""),64.0)</f>
        <v>64</v>
      </c>
      <c r="F6487" s="19" t="str">
        <f>IFERROR(__xludf.DUMMYFUNCTION("""COMPUTED_VALUE"""),"BLUE")</f>
        <v>BLUE</v>
      </c>
      <c r="G6487" s="20" t="str">
        <f>IFERROR(__xludf.DUMMYFUNCTION("""COMPUTED_VALUE"""),"Uncle Sams Cider (11/12/2021) (Blue)")</f>
        <v>Uncle Sams Cider (11/12/2021) (Blue)</v>
      </c>
      <c r="H6487" s="19"/>
    </row>
    <row r="6488">
      <c r="A6488" s="9"/>
      <c r="B6488" s="15"/>
      <c r="C6488" s="9">
        <f>IFERROR(__xludf.DUMMYFUNCTION("""COMPUTED_VALUE"""),44537.5268065972)</f>
        <v>44537.52681</v>
      </c>
      <c r="D6488" s="15">
        <f>IFERROR(__xludf.DUMMYFUNCTION("""COMPUTED_VALUE"""),1.021)</f>
        <v>1.021</v>
      </c>
      <c r="E6488" s="16">
        <f>IFERROR(__xludf.DUMMYFUNCTION("""COMPUTED_VALUE"""),64.0)</f>
        <v>64</v>
      </c>
      <c r="F6488" s="19" t="str">
        <f>IFERROR(__xludf.DUMMYFUNCTION("""COMPUTED_VALUE"""),"BLUE")</f>
        <v>BLUE</v>
      </c>
      <c r="G6488" s="20" t="str">
        <f>IFERROR(__xludf.DUMMYFUNCTION("""COMPUTED_VALUE"""),"Uncle Sams Cider (11/12/2021) (Blue)")</f>
        <v>Uncle Sams Cider (11/12/2021) (Blue)</v>
      </c>
      <c r="H6488" s="19"/>
    </row>
    <row r="6489">
      <c r="A6489" s="9"/>
      <c r="B6489" s="15"/>
      <c r="C6489" s="9">
        <f>IFERROR(__xludf.DUMMYFUNCTION("""COMPUTED_VALUE"""),44537.5163877083)</f>
        <v>44537.51639</v>
      </c>
      <c r="D6489" s="15">
        <f>IFERROR(__xludf.DUMMYFUNCTION("""COMPUTED_VALUE"""),1.021)</f>
        <v>1.021</v>
      </c>
      <c r="E6489" s="16">
        <f>IFERROR(__xludf.DUMMYFUNCTION("""COMPUTED_VALUE"""),64.0)</f>
        <v>64</v>
      </c>
      <c r="F6489" s="19" t="str">
        <f>IFERROR(__xludf.DUMMYFUNCTION("""COMPUTED_VALUE"""),"BLUE")</f>
        <v>BLUE</v>
      </c>
      <c r="G6489" s="20" t="str">
        <f>IFERROR(__xludf.DUMMYFUNCTION("""COMPUTED_VALUE"""),"Uncle Sams Cider (11/12/2021) (Blue)")</f>
        <v>Uncle Sams Cider (11/12/2021) (Blue)</v>
      </c>
      <c r="H6489" s="19"/>
    </row>
    <row r="6490">
      <c r="A6490" s="9"/>
      <c r="B6490" s="15"/>
      <c r="C6490" s="9">
        <f>IFERROR(__xludf.DUMMYFUNCTION("""COMPUTED_VALUE"""),44537.505966875)</f>
        <v>44537.50597</v>
      </c>
      <c r="D6490" s="15">
        <f>IFERROR(__xludf.DUMMYFUNCTION("""COMPUTED_VALUE"""),1.021)</f>
        <v>1.021</v>
      </c>
      <c r="E6490" s="16">
        <f>IFERROR(__xludf.DUMMYFUNCTION("""COMPUTED_VALUE"""),64.0)</f>
        <v>64</v>
      </c>
      <c r="F6490" s="19" t="str">
        <f>IFERROR(__xludf.DUMMYFUNCTION("""COMPUTED_VALUE"""),"BLUE")</f>
        <v>BLUE</v>
      </c>
      <c r="G6490" s="20" t="str">
        <f>IFERROR(__xludf.DUMMYFUNCTION("""COMPUTED_VALUE"""),"Uncle Sams Cider (11/12/2021) (Blue)")</f>
        <v>Uncle Sams Cider (11/12/2021) (Blue)</v>
      </c>
      <c r="H6490" s="19"/>
    </row>
    <row r="6491">
      <c r="A6491" s="9"/>
      <c r="B6491" s="15"/>
      <c r="C6491" s="9">
        <f>IFERROR(__xludf.DUMMYFUNCTION("""COMPUTED_VALUE"""),44537.4955454976)</f>
        <v>44537.49555</v>
      </c>
      <c r="D6491" s="15">
        <f>IFERROR(__xludf.DUMMYFUNCTION("""COMPUTED_VALUE"""),1.021)</f>
        <v>1.021</v>
      </c>
      <c r="E6491" s="16">
        <f>IFERROR(__xludf.DUMMYFUNCTION("""COMPUTED_VALUE"""),64.0)</f>
        <v>64</v>
      </c>
      <c r="F6491" s="19" t="str">
        <f>IFERROR(__xludf.DUMMYFUNCTION("""COMPUTED_VALUE"""),"BLUE")</f>
        <v>BLUE</v>
      </c>
      <c r="G6491" s="20" t="str">
        <f>IFERROR(__xludf.DUMMYFUNCTION("""COMPUTED_VALUE"""),"Uncle Sams Cider (11/12/2021) (Blue)")</f>
        <v>Uncle Sams Cider (11/12/2021) (Blue)</v>
      </c>
      <c r="H6491" s="19"/>
    </row>
    <row r="6492">
      <c r="A6492" s="9"/>
      <c r="B6492" s="15"/>
      <c r="C6492" s="9">
        <f>IFERROR(__xludf.DUMMYFUNCTION("""COMPUTED_VALUE"""),44537.4851243055)</f>
        <v>44537.48512</v>
      </c>
      <c r="D6492" s="15">
        <f>IFERROR(__xludf.DUMMYFUNCTION("""COMPUTED_VALUE"""),1.021)</f>
        <v>1.021</v>
      </c>
      <c r="E6492" s="16">
        <f>IFERROR(__xludf.DUMMYFUNCTION("""COMPUTED_VALUE"""),64.0)</f>
        <v>64</v>
      </c>
      <c r="F6492" s="19" t="str">
        <f>IFERROR(__xludf.DUMMYFUNCTION("""COMPUTED_VALUE"""),"BLUE")</f>
        <v>BLUE</v>
      </c>
      <c r="G6492" s="20" t="str">
        <f>IFERROR(__xludf.DUMMYFUNCTION("""COMPUTED_VALUE"""),"Uncle Sams Cider (11/12/2021) (Blue)")</f>
        <v>Uncle Sams Cider (11/12/2021) (Blue)</v>
      </c>
      <c r="H6492" s="19"/>
    </row>
    <row r="6493">
      <c r="A6493" s="9"/>
      <c r="B6493" s="15"/>
      <c r="C6493" s="9">
        <f>IFERROR(__xludf.DUMMYFUNCTION("""COMPUTED_VALUE"""),44537.474702581)</f>
        <v>44537.4747</v>
      </c>
      <c r="D6493" s="15">
        <f>IFERROR(__xludf.DUMMYFUNCTION("""COMPUTED_VALUE"""),1.021)</f>
        <v>1.021</v>
      </c>
      <c r="E6493" s="16">
        <f>IFERROR(__xludf.DUMMYFUNCTION("""COMPUTED_VALUE"""),64.0)</f>
        <v>64</v>
      </c>
      <c r="F6493" s="19" t="str">
        <f>IFERROR(__xludf.DUMMYFUNCTION("""COMPUTED_VALUE"""),"BLUE")</f>
        <v>BLUE</v>
      </c>
      <c r="G6493" s="20" t="str">
        <f>IFERROR(__xludf.DUMMYFUNCTION("""COMPUTED_VALUE"""),"Uncle Sams Cider (11/12/2021) (Blue)")</f>
        <v>Uncle Sams Cider (11/12/2021) (Blue)</v>
      </c>
      <c r="H6493" s="19"/>
    </row>
    <row r="6494">
      <c r="A6494" s="9"/>
      <c r="B6494" s="15"/>
      <c r="C6494" s="9">
        <f>IFERROR(__xludf.DUMMYFUNCTION("""COMPUTED_VALUE"""),44537.4642830324)</f>
        <v>44537.46428</v>
      </c>
      <c r="D6494" s="15">
        <f>IFERROR(__xludf.DUMMYFUNCTION("""COMPUTED_VALUE"""),1.021)</f>
        <v>1.021</v>
      </c>
      <c r="E6494" s="16">
        <f>IFERROR(__xludf.DUMMYFUNCTION("""COMPUTED_VALUE"""),64.0)</f>
        <v>64</v>
      </c>
      <c r="F6494" s="19" t="str">
        <f>IFERROR(__xludf.DUMMYFUNCTION("""COMPUTED_VALUE"""),"BLUE")</f>
        <v>BLUE</v>
      </c>
      <c r="G6494" s="20" t="str">
        <f>IFERROR(__xludf.DUMMYFUNCTION("""COMPUTED_VALUE"""),"Uncle Sams Cider (11/12/2021) (Blue)")</f>
        <v>Uncle Sams Cider (11/12/2021) (Blue)</v>
      </c>
      <c r="H6494" s="19"/>
    </row>
    <row r="6495">
      <c r="A6495" s="9"/>
      <c r="B6495" s="15"/>
      <c r="C6495" s="9">
        <f>IFERROR(__xludf.DUMMYFUNCTION("""COMPUTED_VALUE"""),44537.453858912)</f>
        <v>44537.45386</v>
      </c>
      <c r="D6495" s="15">
        <f>IFERROR(__xludf.DUMMYFUNCTION("""COMPUTED_VALUE"""),1.021)</f>
        <v>1.021</v>
      </c>
      <c r="E6495" s="16">
        <f>IFERROR(__xludf.DUMMYFUNCTION("""COMPUTED_VALUE"""),64.0)</f>
        <v>64</v>
      </c>
      <c r="F6495" s="19" t="str">
        <f>IFERROR(__xludf.DUMMYFUNCTION("""COMPUTED_VALUE"""),"BLUE")</f>
        <v>BLUE</v>
      </c>
      <c r="G6495" s="20" t="str">
        <f>IFERROR(__xludf.DUMMYFUNCTION("""COMPUTED_VALUE"""),"Uncle Sams Cider (11/12/2021) (Blue)")</f>
        <v>Uncle Sams Cider (11/12/2021) (Blue)</v>
      </c>
      <c r="H6495" s="19"/>
    </row>
    <row r="6496">
      <c r="A6496" s="9"/>
      <c r="B6496" s="15"/>
      <c r="C6496" s="9">
        <f>IFERROR(__xludf.DUMMYFUNCTION("""COMPUTED_VALUE"""),44537.4434272337)</f>
        <v>44537.44343</v>
      </c>
      <c r="D6496" s="15">
        <f>IFERROR(__xludf.DUMMYFUNCTION("""COMPUTED_VALUE"""),1.021)</f>
        <v>1.021</v>
      </c>
      <c r="E6496" s="16">
        <f>IFERROR(__xludf.DUMMYFUNCTION("""COMPUTED_VALUE"""),64.0)</f>
        <v>64</v>
      </c>
      <c r="F6496" s="19" t="str">
        <f>IFERROR(__xludf.DUMMYFUNCTION("""COMPUTED_VALUE"""),"BLUE")</f>
        <v>BLUE</v>
      </c>
      <c r="G6496" s="20" t="str">
        <f>IFERROR(__xludf.DUMMYFUNCTION("""COMPUTED_VALUE"""),"Uncle Sams Cider (11/12/2021) (Blue)")</f>
        <v>Uncle Sams Cider (11/12/2021) (Blue)</v>
      </c>
      <c r="H6496" s="19"/>
    </row>
    <row r="6497">
      <c r="A6497" s="9"/>
      <c r="B6497" s="15"/>
      <c r="C6497" s="9">
        <f>IFERROR(__xludf.DUMMYFUNCTION("""COMPUTED_VALUE"""),44537.4330069791)</f>
        <v>44537.43301</v>
      </c>
      <c r="D6497" s="15">
        <f>IFERROR(__xludf.DUMMYFUNCTION("""COMPUTED_VALUE"""),1.021)</f>
        <v>1.021</v>
      </c>
      <c r="E6497" s="16">
        <f>IFERROR(__xludf.DUMMYFUNCTION("""COMPUTED_VALUE"""),64.0)</f>
        <v>64</v>
      </c>
      <c r="F6497" s="19" t="str">
        <f>IFERROR(__xludf.DUMMYFUNCTION("""COMPUTED_VALUE"""),"BLUE")</f>
        <v>BLUE</v>
      </c>
      <c r="G6497" s="20" t="str">
        <f>IFERROR(__xludf.DUMMYFUNCTION("""COMPUTED_VALUE"""),"Uncle Sams Cider (11/12/2021) (Blue)")</f>
        <v>Uncle Sams Cider (11/12/2021) (Blue)</v>
      </c>
      <c r="H6497" s="19"/>
    </row>
    <row r="6498">
      <c r="A6498" s="9"/>
      <c r="B6498" s="15"/>
      <c r="C6498" s="9">
        <f>IFERROR(__xludf.DUMMYFUNCTION("""COMPUTED_VALUE"""),44537.4225852546)</f>
        <v>44537.42259</v>
      </c>
      <c r="D6498" s="15">
        <f>IFERROR(__xludf.DUMMYFUNCTION("""COMPUTED_VALUE"""),1.021)</f>
        <v>1.021</v>
      </c>
      <c r="E6498" s="16">
        <f>IFERROR(__xludf.DUMMYFUNCTION("""COMPUTED_VALUE"""),64.0)</f>
        <v>64</v>
      </c>
      <c r="F6498" s="19" t="str">
        <f>IFERROR(__xludf.DUMMYFUNCTION("""COMPUTED_VALUE"""),"BLUE")</f>
        <v>BLUE</v>
      </c>
      <c r="G6498" s="20" t="str">
        <f>IFERROR(__xludf.DUMMYFUNCTION("""COMPUTED_VALUE"""),"Uncle Sams Cider (11/12/2021) (Blue)")</f>
        <v>Uncle Sams Cider (11/12/2021) (Blue)</v>
      </c>
      <c r="H6498" s="19"/>
    </row>
    <row r="6499">
      <c r="A6499" s="9"/>
      <c r="B6499" s="15"/>
      <c r="C6499" s="9">
        <f>IFERROR(__xludf.DUMMYFUNCTION("""COMPUTED_VALUE"""),44537.4121657754)</f>
        <v>44537.41217</v>
      </c>
      <c r="D6499" s="15">
        <f>IFERROR(__xludf.DUMMYFUNCTION("""COMPUTED_VALUE"""),1.021)</f>
        <v>1.021</v>
      </c>
      <c r="E6499" s="16">
        <f>IFERROR(__xludf.DUMMYFUNCTION("""COMPUTED_VALUE"""),64.0)</f>
        <v>64</v>
      </c>
      <c r="F6499" s="19" t="str">
        <f>IFERROR(__xludf.DUMMYFUNCTION("""COMPUTED_VALUE"""),"BLUE")</f>
        <v>BLUE</v>
      </c>
      <c r="G6499" s="20" t="str">
        <f>IFERROR(__xludf.DUMMYFUNCTION("""COMPUTED_VALUE"""),"Uncle Sams Cider (11/12/2021) (Blue)")</f>
        <v>Uncle Sams Cider (11/12/2021) (Blue)</v>
      </c>
      <c r="H6499" s="19"/>
    </row>
    <row r="6500">
      <c r="A6500" s="9"/>
      <c r="B6500" s="15"/>
      <c r="C6500" s="9">
        <f>IFERROR(__xludf.DUMMYFUNCTION("""COMPUTED_VALUE"""),44537.4017442939)</f>
        <v>44537.40174</v>
      </c>
      <c r="D6500" s="15">
        <f>IFERROR(__xludf.DUMMYFUNCTION("""COMPUTED_VALUE"""),1.021)</f>
        <v>1.021</v>
      </c>
      <c r="E6500" s="16">
        <f>IFERROR(__xludf.DUMMYFUNCTION("""COMPUTED_VALUE"""),64.0)</f>
        <v>64</v>
      </c>
      <c r="F6500" s="19" t="str">
        <f>IFERROR(__xludf.DUMMYFUNCTION("""COMPUTED_VALUE"""),"BLUE")</f>
        <v>BLUE</v>
      </c>
      <c r="G6500" s="20" t="str">
        <f>IFERROR(__xludf.DUMMYFUNCTION("""COMPUTED_VALUE"""),"Uncle Sams Cider (11/12/2021) (Blue)")</f>
        <v>Uncle Sams Cider (11/12/2021) (Blue)</v>
      </c>
      <c r="H6500" s="19"/>
    </row>
    <row r="6501">
      <c r="A6501" s="9"/>
      <c r="B6501" s="15"/>
      <c r="C6501" s="9">
        <f>IFERROR(__xludf.DUMMYFUNCTION("""COMPUTED_VALUE"""),44537.3913244675)</f>
        <v>44537.39132</v>
      </c>
      <c r="D6501" s="15">
        <f>IFERROR(__xludf.DUMMYFUNCTION("""COMPUTED_VALUE"""),1.021)</f>
        <v>1.021</v>
      </c>
      <c r="E6501" s="16">
        <f>IFERROR(__xludf.DUMMYFUNCTION("""COMPUTED_VALUE"""),64.0)</f>
        <v>64</v>
      </c>
      <c r="F6501" s="19" t="str">
        <f>IFERROR(__xludf.DUMMYFUNCTION("""COMPUTED_VALUE"""),"BLUE")</f>
        <v>BLUE</v>
      </c>
      <c r="G6501" s="20" t="str">
        <f>IFERROR(__xludf.DUMMYFUNCTION("""COMPUTED_VALUE"""),"Uncle Sams Cider (11/12/2021) (Blue)")</f>
        <v>Uncle Sams Cider (11/12/2021) (Blue)</v>
      </c>
      <c r="H6501" s="19"/>
    </row>
    <row r="6502">
      <c r="A6502" s="9"/>
      <c r="B6502" s="15"/>
      <c r="C6502" s="9">
        <f>IFERROR(__xludf.DUMMYFUNCTION("""COMPUTED_VALUE"""),44537.3809043171)</f>
        <v>44537.3809</v>
      </c>
      <c r="D6502" s="15">
        <f>IFERROR(__xludf.DUMMYFUNCTION("""COMPUTED_VALUE"""),1.021)</f>
        <v>1.021</v>
      </c>
      <c r="E6502" s="16">
        <f>IFERROR(__xludf.DUMMYFUNCTION("""COMPUTED_VALUE"""),64.0)</f>
        <v>64</v>
      </c>
      <c r="F6502" s="19" t="str">
        <f>IFERROR(__xludf.DUMMYFUNCTION("""COMPUTED_VALUE"""),"BLUE")</f>
        <v>BLUE</v>
      </c>
      <c r="G6502" s="20" t="str">
        <f>IFERROR(__xludf.DUMMYFUNCTION("""COMPUTED_VALUE"""),"Uncle Sams Cider (11/12/2021) (Blue)")</f>
        <v>Uncle Sams Cider (11/12/2021) (Blue)</v>
      </c>
      <c r="H6502" s="19"/>
    </row>
    <row r="6503">
      <c r="A6503" s="9"/>
      <c r="B6503" s="15"/>
      <c r="C6503" s="9">
        <f>IFERROR(__xludf.DUMMYFUNCTION("""COMPUTED_VALUE"""),44537.3704814699)</f>
        <v>44537.37048</v>
      </c>
      <c r="D6503" s="15">
        <f>IFERROR(__xludf.DUMMYFUNCTION("""COMPUTED_VALUE"""),1.021)</f>
        <v>1.021</v>
      </c>
      <c r="E6503" s="16">
        <f>IFERROR(__xludf.DUMMYFUNCTION("""COMPUTED_VALUE"""),64.0)</f>
        <v>64</v>
      </c>
      <c r="F6503" s="19" t="str">
        <f>IFERROR(__xludf.DUMMYFUNCTION("""COMPUTED_VALUE"""),"BLUE")</f>
        <v>BLUE</v>
      </c>
      <c r="G6503" s="20" t="str">
        <f>IFERROR(__xludf.DUMMYFUNCTION("""COMPUTED_VALUE"""),"Uncle Sams Cider (11/12/2021) (Blue)")</f>
        <v>Uncle Sams Cider (11/12/2021) (Blue)</v>
      </c>
      <c r="H6503" s="19"/>
    </row>
    <row r="6504">
      <c r="A6504" s="9"/>
      <c r="B6504" s="15"/>
      <c r="C6504" s="9">
        <f>IFERROR(__xludf.DUMMYFUNCTION("""COMPUTED_VALUE"""),44537.3600589351)</f>
        <v>44537.36006</v>
      </c>
      <c r="D6504" s="15">
        <f>IFERROR(__xludf.DUMMYFUNCTION("""COMPUTED_VALUE"""),1.021)</f>
        <v>1.021</v>
      </c>
      <c r="E6504" s="16">
        <f>IFERROR(__xludf.DUMMYFUNCTION("""COMPUTED_VALUE"""),64.0)</f>
        <v>64</v>
      </c>
      <c r="F6504" s="19" t="str">
        <f>IFERROR(__xludf.DUMMYFUNCTION("""COMPUTED_VALUE"""),"BLUE")</f>
        <v>BLUE</v>
      </c>
      <c r="G6504" s="20" t="str">
        <f>IFERROR(__xludf.DUMMYFUNCTION("""COMPUTED_VALUE"""),"Uncle Sams Cider (11/12/2021) (Blue)")</f>
        <v>Uncle Sams Cider (11/12/2021) (Blue)</v>
      </c>
      <c r="H6504" s="19"/>
    </row>
    <row r="6505">
      <c r="A6505" s="9"/>
      <c r="B6505" s="15"/>
      <c r="C6505" s="9">
        <f>IFERROR(__xludf.DUMMYFUNCTION("""COMPUTED_VALUE"""),44537.3496379629)</f>
        <v>44537.34964</v>
      </c>
      <c r="D6505" s="15">
        <f>IFERROR(__xludf.DUMMYFUNCTION("""COMPUTED_VALUE"""),1.021)</f>
        <v>1.021</v>
      </c>
      <c r="E6505" s="16">
        <f>IFERROR(__xludf.DUMMYFUNCTION("""COMPUTED_VALUE"""),64.0)</f>
        <v>64</v>
      </c>
      <c r="F6505" s="19" t="str">
        <f>IFERROR(__xludf.DUMMYFUNCTION("""COMPUTED_VALUE"""),"BLUE")</f>
        <v>BLUE</v>
      </c>
      <c r="G6505" s="20" t="str">
        <f>IFERROR(__xludf.DUMMYFUNCTION("""COMPUTED_VALUE"""),"Uncle Sams Cider (11/12/2021) (Blue)")</f>
        <v>Uncle Sams Cider (11/12/2021) (Blue)</v>
      </c>
      <c r="H6505" s="19"/>
    </row>
    <row r="6506">
      <c r="A6506" s="9"/>
      <c r="B6506" s="15"/>
      <c r="C6506" s="9">
        <f>IFERROR(__xludf.DUMMYFUNCTION("""COMPUTED_VALUE"""),44537.3392166666)</f>
        <v>44537.33922</v>
      </c>
      <c r="D6506" s="15">
        <f>IFERROR(__xludf.DUMMYFUNCTION("""COMPUTED_VALUE"""),1.021)</f>
        <v>1.021</v>
      </c>
      <c r="E6506" s="16">
        <f>IFERROR(__xludf.DUMMYFUNCTION("""COMPUTED_VALUE"""),64.0)</f>
        <v>64</v>
      </c>
      <c r="F6506" s="19" t="str">
        <f>IFERROR(__xludf.DUMMYFUNCTION("""COMPUTED_VALUE"""),"BLUE")</f>
        <v>BLUE</v>
      </c>
      <c r="G6506" s="20" t="str">
        <f>IFERROR(__xludf.DUMMYFUNCTION("""COMPUTED_VALUE"""),"Uncle Sams Cider (11/12/2021) (Blue)")</f>
        <v>Uncle Sams Cider (11/12/2021) (Blue)</v>
      </c>
      <c r="H6506" s="19"/>
    </row>
    <row r="6507">
      <c r="A6507" s="9"/>
      <c r="B6507" s="15"/>
      <c r="C6507" s="9">
        <f>IFERROR(__xludf.DUMMYFUNCTION("""COMPUTED_VALUE"""),44537.3287836921)</f>
        <v>44537.32878</v>
      </c>
      <c r="D6507" s="15">
        <f>IFERROR(__xludf.DUMMYFUNCTION("""COMPUTED_VALUE"""),1.021)</f>
        <v>1.021</v>
      </c>
      <c r="E6507" s="16">
        <f>IFERROR(__xludf.DUMMYFUNCTION("""COMPUTED_VALUE"""),64.0)</f>
        <v>64</v>
      </c>
      <c r="F6507" s="19" t="str">
        <f>IFERROR(__xludf.DUMMYFUNCTION("""COMPUTED_VALUE"""),"BLUE")</f>
        <v>BLUE</v>
      </c>
      <c r="G6507" s="20" t="str">
        <f>IFERROR(__xludf.DUMMYFUNCTION("""COMPUTED_VALUE"""),"Uncle Sams Cider (11/12/2021) (Blue)")</f>
        <v>Uncle Sams Cider (11/12/2021) (Blue)</v>
      </c>
      <c r="H6507" s="19"/>
    </row>
    <row r="6508">
      <c r="A6508" s="9"/>
      <c r="B6508" s="15"/>
      <c r="C6508" s="9">
        <f>IFERROR(__xludf.DUMMYFUNCTION("""COMPUTED_VALUE"""),44537.3183611921)</f>
        <v>44537.31836</v>
      </c>
      <c r="D6508" s="15">
        <f>IFERROR(__xludf.DUMMYFUNCTION("""COMPUTED_VALUE"""),1.021)</f>
        <v>1.021</v>
      </c>
      <c r="E6508" s="16">
        <f>IFERROR(__xludf.DUMMYFUNCTION("""COMPUTED_VALUE"""),64.0)</f>
        <v>64</v>
      </c>
      <c r="F6508" s="19" t="str">
        <f>IFERROR(__xludf.DUMMYFUNCTION("""COMPUTED_VALUE"""),"BLUE")</f>
        <v>BLUE</v>
      </c>
      <c r="G6508" s="20" t="str">
        <f>IFERROR(__xludf.DUMMYFUNCTION("""COMPUTED_VALUE"""),"Uncle Sams Cider (11/12/2021) (Blue)")</f>
        <v>Uncle Sams Cider (11/12/2021) (Blue)</v>
      </c>
      <c r="H6508" s="19"/>
    </row>
    <row r="6509">
      <c r="A6509" s="9"/>
      <c r="B6509" s="15"/>
      <c r="C6509" s="9">
        <f>IFERROR(__xludf.DUMMYFUNCTION("""COMPUTED_VALUE"""),44537.3079392129)</f>
        <v>44537.30794</v>
      </c>
      <c r="D6509" s="15">
        <f>IFERROR(__xludf.DUMMYFUNCTION("""COMPUTED_VALUE"""),1.021)</f>
        <v>1.021</v>
      </c>
      <c r="E6509" s="16">
        <f>IFERROR(__xludf.DUMMYFUNCTION("""COMPUTED_VALUE"""),64.0)</f>
        <v>64</v>
      </c>
      <c r="F6509" s="19" t="str">
        <f>IFERROR(__xludf.DUMMYFUNCTION("""COMPUTED_VALUE"""),"BLUE")</f>
        <v>BLUE</v>
      </c>
      <c r="G6509" s="20" t="str">
        <f>IFERROR(__xludf.DUMMYFUNCTION("""COMPUTED_VALUE"""),"Uncle Sams Cider (11/12/2021) (Blue)")</f>
        <v>Uncle Sams Cider (11/12/2021) (Blue)</v>
      </c>
      <c r="H6509" s="19"/>
    </row>
    <row r="6510">
      <c r="A6510" s="9"/>
      <c r="B6510" s="15"/>
      <c r="C6510" s="9">
        <f>IFERROR(__xludf.DUMMYFUNCTION("""COMPUTED_VALUE"""),44537.2975173263)</f>
        <v>44537.29752</v>
      </c>
      <c r="D6510" s="15">
        <f>IFERROR(__xludf.DUMMYFUNCTION("""COMPUTED_VALUE"""),1.021)</f>
        <v>1.021</v>
      </c>
      <c r="E6510" s="16">
        <f>IFERROR(__xludf.DUMMYFUNCTION("""COMPUTED_VALUE"""),64.0)</f>
        <v>64</v>
      </c>
      <c r="F6510" s="19" t="str">
        <f>IFERROR(__xludf.DUMMYFUNCTION("""COMPUTED_VALUE"""),"BLUE")</f>
        <v>BLUE</v>
      </c>
      <c r="G6510" s="20" t="str">
        <f>IFERROR(__xludf.DUMMYFUNCTION("""COMPUTED_VALUE"""),"Uncle Sams Cider (11/12/2021) (Blue)")</f>
        <v>Uncle Sams Cider (11/12/2021) (Blue)</v>
      </c>
      <c r="H6510" s="19"/>
    </row>
    <row r="6511">
      <c r="A6511" s="9"/>
      <c r="B6511" s="15"/>
      <c r="C6511" s="9">
        <f>IFERROR(__xludf.DUMMYFUNCTION("""COMPUTED_VALUE"""),44537.2870958796)</f>
        <v>44537.2871</v>
      </c>
      <c r="D6511" s="15">
        <f>IFERROR(__xludf.DUMMYFUNCTION("""COMPUTED_VALUE"""),1.021)</f>
        <v>1.021</v>
      </c>
      <c r="E6511" s="16">
        <f>IFERROR(__xludf.DUMMYFUNCTION("""COMPUTED_VALUE"""),64.0)</f>
        <v>64</v>
      </c>
      <c r="F6511" s="19" t="str">
        <f>IFERROR(__xludf.DUMMYFUNCTION("""COMPUTED_VALUE"""),"BLUE")</f>
        <v>BLUE</v>
      </c>
      <c r="G6511" s="20" t="str">
        <f>IFERROR(__xludf.DUMMYFUNCTION("""COMPUTED_VALUE"""),"Uncle Sams Cider (11/12/2021) (Blue)")</f>
        <v>Uncle Sams Cider (11/12/2021) (Blue)</v>
      </c>
      <c r="H6511" s="19"/>
    </row>
    <row r="6512">
      <c r="A6512" s="9"/>
      <c r="B6512" s="15"/>
      <c r="C6512" s="9">
        <f>IFERROR(__xludf.DUMMYFUNCTION("""COMPUTED_VALUE"""),44537.2766650347)</f>
        <v>44537.27667</v>
      </c>
      <c r="D6512" s="15">
        <f>IFERROR(__xludf.DUMMYFUNCTION("""COMPUTED_VALUE"""),1.021)</f>
        <v>1.021</v>
      </c>
      <c r="E6512" s="16">
        <f>IFERROR(__xludf.DUMMYFUNCTION("""COMPUTED_VALUE"""),64.0)</f>
        <v>64</v>
      </c>
      <c r="F6512" s="19" t="str">
        <f>IFERROR(__xludf.DUMMYFUNCTION("""COMPUTED_VALUE"""),"BLUE")</f>
        <v>BLUE</v>
      </c>
      <c r="G6512" s="20" t="str">
        <f>IFERROR(__xludf.DUMMYFUNCTION("""COMPUTED_VALUE"""),"Uncle Sams Cider (11/12/2021) (Blue)")</f>
        <v>Uncle Sams Cider (11/12/2021) (Blue)</v>
      </c>
      <c r="H6512" s="19"/>
    </row>
    <row r="6513">
      <c r="A6513" s="9"/>
      <c r="B6513" s="15"/>
      <c r="C6513" s="9">
        <f>IFERROR(__xludf.DUMMYFUNCTION("""COMPUTED_VALUE"""),44537.2662433796)</f>
        <v>44537.26624</v>
      </c>
      <c r="D6513" s="15">
        <f>IFERROR(__xludf.DUMMYFUNCTION("""COMPUTED_VALUE"""),1.021)</f>
        <v>1.021</v>
      </c>
      <c r="E6513" s="16">
        <f>IFERROR(__xludf.DUMMYFUNCTION("""COMPUTED_VALUE"""),64.0)</f>
        <v>64</v>
      </c>
      <c r="F6513" s="19" t="str">
        <f>IFERROR(__xludf.DUMMYFUNCTION("""COMPUTED_VALUE"""),"BLUE")</f>
        <v>BLUE</v>
      </c>
      <c r="G6513" s="20" t="str">
        <f>IFERROR(__xludf.DUMMYFUNCTION("""COMPUTED_VALUE"""),"Uncle Sams Cider (11/12/2021) (Blue)")</f>
        <v>Uncle Sams Cider (11/12/2021) (Blue)</v>
      </c>
      <c r="H6513" s="19"/>
    </row>
    <row r="6514">
      <c r="A6514" s="9"/>
      <c r="B6514" s="15"/>
      <c r="C6514" s="9">
        <f>IFERROR(__xludf.DUMMYFUNCTION("""COMPUTED_VALUE"""),44537.2558216203)</f>
        <v>44537.25582</v>
      </c>
      <c r="D6514" s="15">
        <f>IFERROR(__xludf.DUMMYFUNCTION("""COMPUTED_VALUE"""),1.021)</f>
        <v>1.021</v>
      </c>
      <c r="E6514" s="16">
        <f>IFERROR(__xludf.DUMMYFUNCTION("""COMPUTED_VALUE"""),64.0)</f>
        <v>64</v>
      </c>
      <c r="F6514" s="19" t="str">
        <f>IFERROR(__xludf.DUMMYFUNCTION("""COMPUTED_VALUE"""),"BLUE")</f>
        <v>BLUE</v>
      </c>
      <c r="G6514" s="20" t="str">
        <f>IFERROR(__xludf.DUMMYFUNCTION("""COMPUTED_VALUE"""),"Uncle Sams Cider (11/12/2021) (Blue)")</f>
        <v>Uncle Sams Cider (11/12/2021) (Blue)</v>
      </c>
      <c r="H6514" s="19"/>
    </row>
    <row r="6515">
      <c r="A6515" s="9"/>
      <c r="B6515" s="15"/>
      <c r="C6515" s="9">
        <f>IFERROR(__xludf.DUMMYFUNCTION("""COMPUTED_VALUE"""),44537.2453887963)</f>
        <v>44537.24539</v>
      </c>
      <c r="D6515" s="15">
        <f>IFERROR(__xludf.DUMMYFUNCTION("""COMPUTED_VALUE"""),1.021)</f>
        <v>1.021</v>
      </c>
      <c r="E6515" s="16">
        <f>IFERROR(__xludf.DUMMYFUNCTION("""COMPUTED_VALUE"""),64.0)</f>
        <v>64</v>
      </c>
      <c r="F6515" s="19" t="str">
        <f>IFERROR(__xludf.DUMMYFUNCTION("""COMPUTED_VALUE"""),"BLUE")</f>
        <v>BLUE</v>
      </c>
      <c r="G6515" s="20" t="str">
        <f>IFERROR(__xludf.DUMMYFUNCTION("""COMPUTED_VALUE"""),"Uncle Sams Cider (11/12/2021) (Blue)")</f>
        <v>Uncle Sams Cider (11/12/2021) (Blue)</v>
      </c>
      <c r="H6515" s="19"/>
    </row>
    <row r="6516">
      <c r="A6516" s="9"/>
      <c r="B6516" s="15"/>
      <c r="C6516" s="9">
        <f>IFERROR(__xludf.DUMMYFUNCTION("""COMPUTED_VALUE"""),44537.2349566319)</f>
        <v>44537.23496</v>
      </c>
      <c r="D6516" s="15">
        <f>IFERROR(__xludf.DUMMYFUNCTION("""COMPUTED_VALUE"""),1.021)</f>
        <v>1.021</v>
      </c>
      <c r="E6516" s="16">
        <f>IFERROR(__xludf.DUMMYFUNCTION("""COMPUTED_VALUE"""),64.0)</f>
        <v>64</v>
      </c>
      <c r="F6516" s="19" t="str">
        <f>IFERROR(__xludf.DUMMYFUNCTION("""COMPUTED_VALUE"""),"BLUE")</f>
        <v>BLUE</v>
      </c>
      <c r="G6516" s="20" t="str">
        <f>IFERROR(__xludf.DUMMYFUNCTION("""COMPUTED_VALUE"""),"Uncle Sams Cider (11/12/2021) (Blue)")</f>
        <v>Uncle Sams Cider (11/12/2021) (Blue)</v>
      </c>
      <c r="H6516" s="19"/>
    </row>
    <row r="6517">
      <c r="A6517" s="9"/>
      <c r="B6517" s="15"/>
      <c r="C6517" s="9">
        <f>IFERROR(__xludf.DUMMYFUNCTION("""COMPUTED_VALUE"""),44537.22453478)</f>
        <v>44537.22453</v>
      </c>
      <c r="D6517" s="15">
        <f>IFERROR(__xludf.DUMMYFUNCTION("""COMPUTED_VALUE"""),1.021)</f>
        <v>1.021</v>
      </c>
      <c r="E6517" s="16">
        <f>IFERROR(__xludf.DUMMYFUNCTION("""COMPUTED_VALUE"""),64.0)</f>
        <v>64</v>
      </c>
      <c r="F6517" s="19" t="str">
        <f>IFERROR(__xludf.DUMMYFUNCTION("""COMPUTED_VALUE"""),"BLUE")</f>
        <v>BLUE</v>
      </c>
      <c r="G6517" s="20" t="str">
        <f>IFERROR(__xludf.DUMMYFUNCTION("""COMPUTED_VALUE"""),"Uncle Sams Cider (11/12/2021) (Blue)")</f>
        <v>Uncle Sams Cider (11/12/2021) (Blue)</v>
      </c>
      <c r="H6517" s="19"/>
    </row>
    <row r="6518">
      <c r="A6518" s="9"/>
      <c r="B6518" s="15"/>
      <c r="C6518" s="9">
        <f>IFERROR(__xludf.DUMMYFUNCTION("""COMPUTED_VALUE"""),44537.2141130671)</f>
        <v>44537.21411</v>
      </c>
      <c r="D6518" s="15">
        <f>IFERROR(__xludf.DUMMYFUNCTION("""COMPUTED_VALUE"""),1.021)</f>
        <v>1.021</v>
      </c>
      <c r="E6518" s="16">
        <f>IFERROR(__xludf.DUMMYFUNCTION("""COMPUTED_VALUE"""),64.0)</f>
        <v>64</v>
      </c>
      <c r="F6518" s="19" t="str">
        <f>IFERROR(__xludf.DUMMYFUNCTION("""COMPUTED_VALUE"""),"BLUE")</f>
        <v>BLUE</v>
      </c>
      <c r="G6518" s="20" t="str">
        <f>IFERROR(__xludf.DUMMYFUNCTION("""COMPUTED_VALUE"""),"Uncle Sams Cider (11/12/2021) (Blue)")</f>
        <v>Uncle Sams Cider (11/12/2021) (Blue)</v>
      </c>
      <c r="H6518" s="19"/>
    </row>
    <row r="6519">
      <c r="A6519" s="9"/>
      <c r="B6519" s="15"/>
      <c r="C6519" s="9">
        <f>IFERROR(__xludf.DUMMYFUNCTION("""COMPUTED_VALUE"""),44537.2036925462)</f>
        <v>44537.20369</v>
      </c>
      <c r="D6519" s="15">
        <f>IFERROR(__xludf.DUMMYFUNCTION("""COMPUTED_VALUE"""),1.021)</f>
        <v>1.021</v>
      </c>
      <c r="E6519" s="16">
        <f>IFERROR(__xludf.DUMMYFUNCTION("""COMPUTED_VALUE"""),64.0)</f>
        <v>64</v>
      </c>
      <c r="F6519" s="19" t="str">
        <f>IFERROR(__xludf.DUMMYFUNCTION("""COMPUTED_VALUE"""),"BLUE")</f>
        <v>BLUE</v>
      </c>
      <c r="G6519" s="20" t="str">
        <f>IFERROR(__xludf.DUMMYFUNCTION("""COMPUTED_VALUE"""),"Uncle Sams Cider (11/12/2021) (Blue)")</f>
        <v>Uncle Sams Cider (11/12/2021) (Blue)</v>
      </c>
      <c r="H6519" s="19"/>
    </row>
    <row r="6520">
      <c r="A6520" s="9"/>
      <c r="B6520" s="15"/>
      <c r="C6520" s="9">
        <f>IFERROR(__xludf.DUMMYFUNCTION("""COMPUTED_VALUE"""),44536.7450529976)</f>
        <v>44536.74505</v>
      </c>
      <c r="D6520" s="15">
        <f>IFERROR(__xludf.DUMMYFUNCTION("""COMPUTED_VALUE"""),1.022)</f>
        <v>1.022</v>
      </c>
      <c r="E6520" s="16">
        <f>IFERROR(__xludf.DUMMYFUNCTION("""COMPUTED_VALUE"""),64.0)</f>
        <v>64</v>
      </c>
      <c r="F6520" s="19" t="str">
        <f>IFERROR(__xludf.DUMMYFUNCTION("""COMPUTED_VALUE"""),"BLUE")</f>
        <v>BLUE</v>
      </c>
      <c r="G6520" s="20" t="str">
        <f>IFERROR(__xludf.DUMMYFUNCTION("""COMPUTED_VALUE"""),"Uncle Sams Cider (11/12/2021) (Blue)")</f>
        <v>Uncle Sams Cider (11/12/2021) (Blue)</v>
      </c>
      <c r="H6520" s="19"/>
    </row>
    <row r="6521">
      <c r="A6521" s="9"/>
      <c r="B6521" s="15"/>
      <c r="C6521" s="9">
        <f>IFERROR(__xludf.DUMMYFUNCTION("""COMPUTED_VALUE"""),44536.7346307291)</f>
        <v>44536.73463</v>
      </c>
      <c r="D6521" s="15">
        <f>IFERROR(__xludf.DUMMYFUNCTION("""COMPUTED_VALUE"""),1.022)</f>
        <v>1.022</v>
      </c>
      <c r="E6521" s="16">
        <f>IFERROR(__xludf.DUMMYFUNCTION("""COMPUTED_VALUE"""),64.0)</f>
        <v>64</v>
      </c>
      <c r="F6521" s="19" t="str">
        <f>IFERROR(__xludf.DUMMYFUNCTION("""COMPUTED_VALUE"""),"BLUE")</f>
        <v>BLUE</v>
      </c>
      <c r="G6521" s="20" t="str">
        <f>IFERROR(__xludf.DUMMYFUNCTION("""COMPUTED_VALUE"""),"Uncle Sams Cider (11/12/2021) (Blue)")</f>
        <v>Uncle Sams Cider (11/12/2021) (Blue)</v>
      </c>
      <c r="H6521" s="19"/>
    </row>
    <row r="6522">
      <c r="A6522" s="9"/>
      <c r="B6522" s="15"/>
      <c r="C6522" s="9">
        <f>IFERROR(__xludf.DUMMYFUNCTION("""COMPUTED_VALUE"""),44536.7242107638)</f>
        <v>44536.72421</v>
      </c>
      <c r="D6522" s="15">
        <f>IFERROR(__xludf.DUMMYFUNCTION("""COMPUTED_VALUE"""),1.022)</f>
        <v>1.022</v>
      </c>
      <c r="E6522" s="16">
        <f>IFERROR(__xludf.DUMMYFUNCTION("""COMPUTED_VALUE"""),64.0)</f>
        <v>64</v>
      </c>
      <c r="F6522" s="19" t="str">
        <f>IFERROR(__xludf.DUMMYFUNCTION("""COMPUTED_VALUE"""),"BLUE")</f>
        <v>BLUE</v>
      </c>
      <c r="G6522" s="20" t="str">
        <f>IFERROR(__xludf.DUMMYFUNCTION("""COMPUTED_VALUE"""),"Uncle Sams Cider (11/12/2021) (Blue)")</f>
        <v>Uncle Sams Cider (11/12/2021) (Blue)</v>
      </c>
      <c r="H6522" s="19"/>
    </row>
    <row r="6523">
      <c r="A6523" s="9"/>
      <c r="B6523" s="15"/>
      <c r="C6523" s="9">
        <f>IFERROR(__xludf.DUMMYFUNCTION("""COMPUTED_VALUE"""),44536.7137896064)</f>
        <v>44536.71379</v>
      </c>
      <c r="D6523" s="15">
        <f>IFERROR(__xludf.DUMMYFUNCTION("""COMPUTED_VALUE"""),1.022)</f>
        <v>1.022</v>
      </c>
      <c r="E6523" s="16">
        <f>IFERROR(__xludf.DUMMYFUNCTION("""COMPUTED_VALUE"""),64.0)</f>
        <v>64</v>
      </c>
      <c r="F6523" s="19" t="str">
        <f>IFERROR(__xludf.DUMMYFUNCTION("""COMPUTED_VALUE"""),"BLUE")</f>
        <v>BLUE</v>
      </c>
      <c r="G6523" s="20" t="str">
        <f>IFERROR(__xludf.DUMMYFUNCTION("""COMPUTED_VALUE"""),"Uncle Sams Cider (11/12/2021) (Blue)")</f>
        <v>Uncle Sams Cider (11/12/2021) (Blue)</v>
      </c>
      <c r="H6523" s="19"/>
    </row>
    <row r="6524">
      <c r="A6524" s="9"/>
      <c r="B6524" s="15"/>
      <c r="C6524" s="9">
        <f>IFERROR(__xludf.DUMMYFUNCTION("""COMPUTED_VALUE"""),44536.7033682291)</f>
        <v>44536.70337</v>
      </c>
      <c r="D6524" s="15">
        <f>IFERROR(__xludf.DUMMYFUNCTION("""COMPUTED_VALUE"""),1.022)</f>
        <v>1.022</v>
      </c>
      <c r="E6524" s="16">
        <f>IFERROR(__xludf.DUMMYFUNCTION("""COMPUTED_VALUE"""),64.0)</f>
        <v>64</v>
      </c>
      <c r="F6524" s="19" t="str">
        <f>IFERROR(__xludf.DUMMYFUNCTION("""COMPUTED_VALUE"""),"BLUE")</f>
        <v>BLUE</v>
      </c>
      <c r="G6524" s="20" t="str">
        <f>IFERROR(__xludf.DUMMYFUNCTION("""COMPUTED_VALUE"""),"Uncle Sams Cider (11/12/2021) (Blue)")</f>
        <v>Uncle Sams Cider (11/12/2021) (Blue)</v>
      </c>
      <c r="H6524" s="19"/>
    </row>
    <row r="6525">
      <c r="A6525" s="9"/>
      <c r="B6525" s="15"/>
      <c r="C6525" s="9">
        <f>IFERROR(__xludf.DUMMYFUNCTION("""COMPUTED_VALUE"""),44536.6929472685)</f>
        <v>44536.69295</v>
      </c>
      <c r="D6525" s="15">
        <f>IFERROR(__xludf.DUMMYFUNCTION("""COMPUTED_VALUE"""),1.022)</f>
        <v>1.022</v>
      </c>
      <c r="E6525" s="16">
        <f>IFERROR(__xludf.DUMMYFUNCTION("""COMPUTED_VALUE"""),64.0)</f>
        <v>64</v>
      </c>
      <c r="F6525" s="19" t="str">
        <f>IFERROR(__xludf.DUMMYFUNCTION("""COMPUTED_VALUE"""),"BLUE")</f>
        <v>BLUE</v>
      </c>
      <c r="G6525" s="20" t="str">
        <f>IFERROR(__xludf.DUMMYFUNCTION("""COMPUTED_VALUE"""),"Uncle Sams Cider (11/12/2021) (Blue)")</f>
        <v>Uncle Sams Cider (11/12/2021) (Blue)</v>
      </c>
      <c r="H6525" s="19"/>
    </row>
    <row r="6526">
      <c r="A6526" s="9"/>
      <c r="B6526" s="15"/>
      <c r="C6526" s="9">
        <f>IFERROR(__xludf.DUMMYFUNCTION("""COMPUTED_VALUE"""),44536.682525324)</f>
        <v>44536.68253</v>
      </c>
      <c r="D6526" s="15">
        <f>IFERROR(__xludf.DUMMYFUNCTION("""COMPUTED_VALUE"""),1.022)</f>
        <v>1.022</v>
      </c>
      <c r="E6526" s="16">
        <f>IFERROR(__xludf.DUMMYFUNCTION("""COMPUTED_VALUE"""),64.0)</f>
        <v>64</v>
      </c>
      <c r="F6526" s="19" t="str">
        <f>IFERROR(__xludf.DUMMYFUNCTION("""COMPUTED_VALUE"""),"BLUE")</f>
        <v>BLUE</v>
      </c>
      <c r="G6526" s="20" t="str">
        <f>IFERROR(__xludf.DUMMYFUNCTION("""COMPUTED_VALUE"""),"Uncle Sams Cider (11/12/2021) (Blue)")</f>
        <v>Uncle Sams Cider (11/12/2021) (Blue)</v>
      </c>
      <c r="H6526" s="19"/>
    </row>
    <row r="6527">
      <c r="A6527" s="9"/>
      <c r="B6527" s="15"/>
      <c r="C6527" s="9">
        <f>IFERROR(__xludf.DUMMYFUNCTION("""COMPUTED_VALUE"""),44536.672092905)</f>
        <v>44536.67209</v>
      </c>
      <c r="D6527" s="15">
        <f>IFERROR(__xludf.DUMMYFUNCTION("""COMPUTED_VALUE"""),1.022)</f>
        <v>1.022</v>
      </c>
      <c r="E6527" s="16">
        <f>IFERROR(__xludf.DUMMYFUNCTION("""COMPUTED_VALUE"""),64.0)</f>
        <v>64</v>
      </c>
      <c r="F6527" s="19" t="str">
        <f>IFERROR(__xludf.DUMMYFUNCTION("""COMPUTED_VALUE"""),"BLUE")</f>
        <v>BLUE</v>
      </c>
      <c r="G6527" s="20" t="str">
        <f>IFERROR(__xludf.DUMMYFUNCTION("""COMPUTED_VALUE"""),"Uncle Sams Cider (11/12/2021) (Blue)")</f>
        <v>Uncle Sams Cider (11/12/2021) (Blue)</v>
      </c>
      <c r="H6527" s="19"/>
    </row>
    <row r="6528">
      <c r="A6528" s="9"/>
      <c r="B6528" s="15"/>
      <c r="C6528" s="9">
        <f>IFERROR(__xludf.DUMMYFUNCTION("""COMPUTED_VALUE"""),44536.6616602314)</f>
        <v>44536.66166</v>
      </c>
      <c r="D6528" s="15">
        <f>IFERROR(__xludf.DUMMYFUNCTION("""COMPUTED_VALUE"""),1.022)</f>
        <v>1.022</v>
      </c>
      <c r="E6528" s="16">
        <f>IFERROR(__xludf.DUMMYFUNCTION("""COMPUTED_VALUE"""),64.0)</f>
        <v>64</v>
      </c>
      <c r="F6528" s="19" t="str">
        <f>IFERROR(__xludf.DUMMYFUNCTION("""COMPUTED_VALUE"""),"BLUE")</f>
        <v>BLUE</v>
      </c>
      <c r="G6528" s="20" t="str">
        <f>IFERROR(__xludf.DUMMYFUNCTION("""COMPUTED_VALUE"""),"Uncle Sams Cider (11/12/2021) (Blue)")</f>
        <v>Uncle Sams Cider (11/12/2021) (Blue)</v>
      </c>
      <c r="H6528" s="19"/>
    </row>
    <row r="6529">
      <c r="A6529" s="9"/>
      <c r="B6529" s="15"/>
      <c r="C6529" s="9">
        <f>IFERROR(__xludf.DUMMYFUNCTION("""COMPUTED_VALUE"""),44536.6512396527)</f>
        <v>44536.65124</v>
      </c>
      <c r="D6529" s="15">
        <f>IFERROR(__xludf.DUMMYFUNCTION("""COMPUTED_VALUE"""),1.022)</f>
        <v>1.022</v>
      </c>
      <c r="E6529" s="16">
        <f>IFERROR(__xludf.DUMMYFUNCTION("""COMPUTED_VALUE"""),64.0)</f>
        <v>64</v>
      </c>
      <c r="F6529" s="19" t="str">
        <f>IFERROR(__xludf.DUMMYFUNCTION("""COMPUTED_VALUE"""),"BLUE")</f>
        <v>BLUE</v>
      </c>
      <c r="G6529" s="20" t="str">
        <f>IFERROR(__xludf.DUMMYFUNCTION("""COMPUTED_VALUE"""),"Uncle Sams Cider (11/12/2021) (Blue)")</f>
        <v>Uncle Sams Cider (11/12/2021) (Blue)</v>
      </c>
      <c r="H6529" s="19"/>
    </row>
    <row r="6530">
      <c r="A6530" s="9"/>
      <c r="B6530" s="15"/>
      <c r="C6530" s="9">
        <f>IFERROR(__xludf.DUMMYFUNCTION("""COMPUTED_VALUE"""),44536.6408172569)</f>
        <v>44536.64082</v>
      </c>
      <c r="D6530" s="15">
        <f>IFERROR(__xludf.DUMMYFUNCTION("""COMPUTED_VALUE"""),1.022)</f>
        <v>1.022</v>
      </c>
      <c r="E6530" s="16">
        <f>IFERROR(__xludf.DUMMYFUNCTION("""COMPUTED_VALUE"""),64.0)</f>
        <v>64</v>
      </c>
      <c r="F6530" s="19" t="str">
        <f>IFERROR(__xludf.DUMMYFUNCTION("""COMPUTED_VALUE"""),"BLUE")</f>
        <v>BLUE</v>
      </c>
      <c r="G6530" s="20" t="str">
        <f>IFERROR(__xludf.DUMMYFUNCTION("""COMPUTED_VALUE"""),"Uncle Sams Cider (11/12/2021) (Blue)")</f>
        <v>Uncle Sams Cider (11/12/2021) (Blue)</v>
      </c>
      <c r="H6530" s="19"/>
    </row>
    <row r="6531">
      <c r="A6531" s="9"/>
      <c r="B6531" s="15"/>
      <c r="C6531" s="9">
        <f>IFERROR(__xludf.DUMMYFUNCTION("""COMPUTED_VALUE"""),44536.6303953819)</f>
        <v>44536.6304</v>
      </c>
      <c r="D6531" s="15">
        <f>IFERROR(__xludf.DUMMYFUNCTION("""COMPUTED_VALUE"""),1.022)</f>
        <v>1.022</v>
      </c>
      <c r="E6531" s="16">
        <f>IFERROR(__xludf.DUMMYFUNCTION("""COMPUTED_VALUE"""),64.0)</f>
        <v>64</v>
      </c>
      <c r="F6531" s="19" t="str">
        <f>IFERROR(__xludf.DUMMYFUNCTION("""COMPUTED_VALUE"""),"BLUE")</f>
        <v>BLUE</v>
      </c>
      <c r="G6531" s="20" t="str">
        <f>IFERROR(__xludf.DUMMYFUNCTION("""COMPUTED_VALUE"""),"Uncle Sams Cider (11/12/2021) (Blue)")</f>
        <v>Uncle Sams Cider (11/12/2021) (Blue)</v>
      </c>
      <c r="H6531" s="19"/>
    </row>
    <row r="6532">
      <c r="A6532" s="9"/>
      <c r="B6532" s="15"/>
      <c r="C6532" s="9">
        <f>IFERROR(__xludf.DUMMYFUNCTION("""COMPUTED_VALUE"""),44536.6199751967)</f>
        <v>44536.61998</v>
      </c>
      <c r="D6532" s="15">
        <f>IFERROR(__xludf.DUMMYFUNCTION("""COMPUTED_VALUE"""),1.022)</f>
        <v>1.022</v>
      </c>
      <c r="E6532" s="16">
        <f>IFERROR(__xludf.DUMMYFUNCTION("""COMPUTED_VALUE"""),64.0)</f>
        <v>64</v>
      </c>
      <c r="F6532" s="19" t="str">
        <f>IFERROR(__xludf.DUMMYFUNCTION("""COMPUTED_VALUE"""),"BLUE")</f>
        <v>BLUE</v>
      </c>
      <c r="G6532" s="20" t="str">
        <f>IFERROR(__xludf.DUMMYFUNCTION("""COMPUTED_VALUE"""),"Uncle Sams Cider (11/12/2021) (Blue)")</f>
        <v>Uncle Sams Cider (11/12/2021) (Blue)</v>
      </c>
      <c r="H6532" s="19"/>
    </row>
    <row r="6533">
      <c r="A6533" s="9"/>
      <c r="B6533" s="15"/>
      <c r="C6533" s="9">
        <f>IFERROR(__xludf.DUMMYFUNCTION("""COMPUTED_VALUE"""),44536.609555787)</f>
        <v>44536.60956</v>
      </c>
      <c r="D6533" s="15">
        <f>IFERROR(__xludf.DUMMYFUNCTION("""COMPUTED_VALUE"""),1.022)</f>
        <v>1.022</v>
      </c>
      <c r="E6533" s="16">
        <f>IFERROR(__xludf.DUMMYFUNCTION("""COMPUTED_VALUE"""),64.0)</f>
        <v>64</v>
      </c>
      <c r="F6533" s="19" t="str">
        <f>IFERROR(__xludf.DUMMYFUNCTION("""COMPUTED_VALUE"""),"BLUE")</f>
        <v>BLUE</v>
      </c>
      <c r="G6533" s="20" t="str">
        <f>IFERROR(__xludf.DUMMYFUNCTION("""COMPUTED_VALUE"""),"Uncle Sams Cider (11/12/2021) (Blue)")</f>
        <v>Uncle Sams Cider (11/12/2021) (Blue)</v>
      </c>
      <c r="H6533" s="19"/>
    </row>
    <row r="6534">
      <c r="A6534" s="9"/>
      <c r="B6534" s="15"/>
      <c r="C6534" s="9">
        <f>IFERROR(__xludf.DUMMYFUNCTION("""COMPUTED_VALUE"""),44536.5991344212)</f>
        <v>44536.59913</v>
      </c>
      <c r="D6534" s="15">
        <f>IFERROR(__xludf.DUMMYFUNCTION("""COMPUTED_VALUE"""),1.022)</f>
        <v>1.022</v>
      </c>
      <c r="E6534" s="16">
        <f>IFERROR(__xludf.DUMMYFUNCTION("""COMPUTED_VALUE"""),64.0)</f>
        <v>64</v>
      </c>
      <c r="F6534" s="19" t="str">
        <f>IFERROR(__xludf.DUMMYFUNCTION("""COMPUTED_VALUE"""),"BLUE")</f>
        <v>BLUE</v>
      </c>
      <c r="G6534" s="20" t="str">
        <f>IFERROR(__xludf.DUMMYFUNCTION("""COMPUTED_VALUE"""),"Uncle Sams Cider (11/12/2021) (Blue)")</f>
        <v>Uncle Sams Cider (11/12/2021) (Blue)</v>
      </c>
      <c r="H6534" s="19"/>
    </row>
    <row r="6535">
      <c r="A6535" s="9"/>
      <c r="B6535" s="15"/>
      <c r="C6535" s="9">
        <f>IFERROR(__xludf.DUMMYFUNCTION("""COMPUTED_VALUE"""),44536.5887133796)</f>
        <v>44536.58871</v>
      </c>
      <c r="D6535" s="15">
        <f>IFERROR(__xludf.DUMMYFUNCTION("""COMPUTED_VALUE"""),1.022)</f>
        <v>1.022</v>
      </c>
      <c r="E6535" s="16">
        <f>IFERROR(__xludf.DUMMYFUNCTION("""COMPUTED_VALUE"""),64.0)</f>
        <v>64</v>
      </c>
      <c r="F6535" s="19" t="str">
        <f>IFERROR(__xludf.DUMMYFUNCTION("""COMPUTED_VALUE"""),"BLUE")</f>
        <v>BLUE</v>
      </c>
      <c r="G6535" s="20" t="str">
        <f>IFERROR(__xludf.DUMMYFUNCTION("""COMPUTED_VALUE"""),"Uncle Sams Cider (11/12/2021) (Blue)")</f>
        <v>Uncle Sams Cider (11/12/2021) (Blue)</v>
      </c>
      <c r="H6535" s="19"/>
    </row>
    <row r="6536">
      <c r="A6536" s="9"/>
      <c r="B6536" s="15"/>
      <c r="C6536" s="9">
        <f>IFERROR(__xludf.DUMMYFUNCTION("""COMPUTED_VALUE"""),44536.5782936226)</f>
        <v>44536.57829</v>
      </c>
      <c r="D6536" s="15">
        <f>IFERROR(__xludf.DUMMYFUNCTION("""COMPUTED_VALUE"""),1.022)</f>
        <v>1.022</v>
      </c>
      <c r="E6536" s="16">
        <f>IFERROR(__xludf.DUMMYFUNCTION("""COMPUTED_VALUE"""),64.0)</f>
        <v>64</v>
      </c>
      <c r="F6536" s="19" t="str">
        <f>IFERROR(__xludf.DUMMYFUNCTION("""COMPUTED_VALUE"""),"BLUE")</f>
        <v>BLUE</v>
      </c>
      <c r="G6536" s="20" t="str">
        <f>IFERROR(__xludf.DUMMYFUNCTION("""COMPUTED_VALUE"""),"Uncle Sams Cider (11/12/2021) (Blue)")</f>
        <v>Uncle Sams Cider (11/12/2021) (Blue)</v>
      </c>
      <c r="H6536" s="19"/>
    </row>
    <row r="6537">
      <c r="A6537" s="9"/>
      <c r="B6537" s="15"/>
      <c r="C6537" s="9">
        <f>IFERROR(__xludf.DUMMYFUNCTION("""COMPUTED_VALUE"""),44536.5678730324)</f>
        <v>44536.56787</v>
      </c>
      <c r="D6537" s="15">
        <f>IFERROR(__xludf.DUMMYFUNCTION("""COMPUTED_VALUE"""),1.022)</f>
        <v>1.022</v>
      </c>
      <c r="E6537" s="16">
        <f>IFERROR(__xludf.DUMMYFUNCTION("""COMPUTED_VALUE"""),64.0)</f>
        <v>64</v>
      </c>
      <c r="F6537" s="19" t="str">
        <f>IFERROR(__xludf.DUMMYFUNCTION("""COMPUTED_VALUE"""),"BLUE")</f>
        <v>BLUE</v>
      </c>
      <c r="G6537" s="20" t="str">
        <f>IFERROR(__xludf.DUMMYFUNCTION("""COMPUTED_VALUE"""),"Uncle Sams Cider (11/12/2021) (Blue)")</f>
        <v>Uncle Sams Cider (11/12/2021) (Blue)</v>
      </c>
      <c r="H6537" s="19"/>
    </row>
    <row r="6538">
      <c r="A6538" s="9"/>
      <c r="B6538" s="15"/>
      <c r="C6538" s="9">
        <f>IFERROR(__xludf.DUMMYFUNCTION("""COMPUTED_VALUE"""),44536.5574509259)</f>
        <v>44536.55745</v>
      </c>
      <c r="D6538" s="15">
        <f>IFERROR(__xludf.DUMMYFUNCTION("""COMPUTED_VALUE"""),1.022)</f>
        <v>1.022</v>
      </c>
      <c r="E6538" s="16">
        <f>IFERROR(__xludf.DUMMYFUNCTION("""COMPUTED_VALUE"""),64.0)</f>
        <v>64</v>
      </c>
      <c r="F6538" s="19" t="str">
        <f>IFERROR(__xludf.DUMMYFUNCTION("""COMPUTED_VALUE"""),"BLUE")</f>
        <v>BLUE</v>
      </c>
      <c r="G6538" s="20" t="str">
        <f>IFERROR(__xludf.DUMMYFUNCTION("""COMPUTED_VALUE"""),"Uncle Sams Cider (11/12/2021) (Blue)")</f>
        <v>Uncle Sams Cider (11/12/2021) (Blue)</v>
      </c>
      <c r="H6538" s="19"/>
    </row>
    <row r="6539">
      <c r="A6539" s="9"/>
      <c r="B6539" s="15"/>
      <c r="C6539" s="9">
        <f>IFERROR(__xludf.DUMMYFUNCTION("""COMPUTED_VALUE"""),44536.5470174537)</f>
        <v>44536.54702</v>
      </c>
      <c r="D6539" s="15">
        <f>IFERROR(__xludf.DUMMYFUNCTION("""COMPUTED_VALUE"""),1.022)</f>
        <v>1.022</v>
      </c>
      <c r="E6539" s="16">
        <f>IFERROR(__xludf.DUMMYFUNCTION("""COMPUTED_VALUE"""),64.0)</f>
        <v>64</v>
      </c>
      <c r="F6539" s="19" t="str">
        <f>IFERROR(__xludf.DUMMYFUNCTION("""COMPUTED_VALUE"""),"BLUE")</f>
        <v>BLUE</v>
      </c>
      <c r="G6539" s="20" t="str">
        <f>IFERROR(__xludf.DUMMYFUNCTION("""COMPUTED_VALUE"""),"Uncle Sams Cider (11/12/2021) (Blue)")</f>
        <v>Uncle Sams Cider (11/12/2021) (Blue)</v>
      </c>
      <c r="H6539" s="19"/>
    </row>
    <row r="6540">
      <c r="A6540" s="9"/>
      <c r="B6540" s="15"/>
      <c r="C6540" s="9">
        <f>IFERROR(__xludf.DUMMYFUNCTION("""COMPUTED_VALUE"""),44536.536596493)</f>
        <v>44536.5366</v>
      </c>
      <c r="D6540" s="15">
        <f>IFERROR(__xludf.DUMMYFUNCTION("""COMPUTED_VALUE"""),1.022)</f>
        <v>1.022</v>
      </c>
      <c r="E6540" s="16">
        <f>IFERROR(__xludf.DUMMYFUNCTION("""COMPUTED_VALUE"""),64.0)</f>
        <v>64</v>
      </c>
      <c r="F6540" s="19" t="str">
        <f>IFERROR(__xludf.DUMMYFUNCTION("""COMPUTED_VALUE"""),"BLUE")</f>
        <v>BLUE</v>
      </c>
      <c r="G6540" s="20" t="str">
        <f>IFERROR(__xludf.DUMMYFUNCTION("""COMPUTED_VALUE"""),"Uncle Sams Cider (11/12/2021) (Blue)")</f>
        <v>Uncle Sams Cider (11/12/2021) (Blue)</v>
      </c>
      <c r="H6540" s="19"/>
    </row>
    <row r="6541">
      <c r="A6541" s="9"/>
      <c r="B6541" s="15"/>
      <c r="C6541" s="9">
        <f>IFERROR(__xludf.DUMMYFUNCTION("""COMPUTED_VALUE"""),44536.526174074)</f>
        <v>44536.52617</v>
      </c>
      <c r="D6541" s="15">
        <f>IFERROR(__xludf.DUMMYFUNCTION("""COMPUTED_VALUE"""),1.022)</f>
        <v>1.022</v>
      </c>
      <c r="E6541" s="16">
        <f>IFERROR(__xludf.DUMMYFUNCTION("""COMPUTED_VALUE"""),64.0)</f>
        <v>64</v>
      </c>
      <c r="F6541" s="19" t="str">
        <f>IFERROR(__xludf.DUMMYFUNCTION("""COMPUTED_VALUE"""),"BLUE")</f>
        <v>BLUE</v>
      </c>
      <c r="G6541" s="20" t="str">
        <f>IFERROR(__xludf.DUMMYFUNCTION("""COMPUTED_VALUE"""),"Uncle Sams Cider (11/12/2021) (Blue)")</f>
        <v>Uncle Sams Cider (11/12/2021) (Blue)</v>
      </c>
      <c r="H6541" s="19"/>
    </row>
    <row r="6542">
      <c r="A6542" s="9"/>
      <c r="B6542" s="15"/>
      <c r="C6542" s="9">
        <f>IFERROR(__xludf.DUMMYFUNCTION("""COMPUTED_VALUE"""),44536.5157529398)</f>
        <v>44536.51575</v>
      </c>
      <c r="D6542" s="15">
        <f>IFERROR(__xludf.DUMMYFUNCTION("""COMPUTED_VALUE"""),1.022)</f>
        <v>1.022</v>
      </c>
      <c r="E6542" s="16">
        <f>IFERROR(__xludf.DUMMYFUNCTION("""COMPUTED_VALUE"""),64.0)</f>
        <v>64</v>
      </c>
      <c r="F6542" s="19" t="str">
        <f>IFERROR(__xludf.DUMMYFUNCTION("""COMPUTED_VALUE"""),"BLUE")</f>
        <v>BLUE</v>
      </c>
      <c r="G6542" s="20" t="str">
        <f>IFERROR(__xludf.DUMMYFUNCTION("""COMPUTED_VALUE"""),"Uncle Sams Cider (11/12/2021) (Blue)")</f>
        <v>Uncle Sams Cider (11/12/2021) (Blue)</v>
      </c>
      <c r="H6542" s="19"/>
    </row>
    <row r="6543">
      <c r="A6543" s="9"/>
      <c r="B6543" s="15"/>
      <c r="C6543" s="9">
        <f>IFERROR(__xludf.DUMMYFUNCTION("""COMPUTED_VALUE"""),44536.5053311458)</f>
        <v>44536.50533</v>
      </c>
      <c r="D6543" s="15">
        <f>IFERROR(__xludf.DUMMYFUNCTION("""COMPUTED_VALUE"""),1.022)</f>
        <v>1.022</v>
      </c>
      <c r="E6543" s="16">
        <f>IFERROR(__xludf.DUMMYFUNCTION("""COMPUTED_VALUE"""),64.0)</f>
        <v>64</v>
      </c>
      <c r="F6543" s="19" t="str">
        <f>IFERROR(__xludf.DUMMYFUNCTION("""COMPUTED_VALUE"""),"BLUE")</f>
        <v>BLUE</v>
      </c>
      <c r="G6543" s="20" t="str">
        <f>IFERROR(__xludf.DUMMYFUNCTION("""COMPUTED_VALUE"""),"Uncle Sams Cider (11/12/2021) (Blue)")</f>
        <v>Uncle Sams Cider (11/12/2021) (Blue)</v>
      </c>
      <c r="H6543" s="19"/>
    </row>
    <row r="6544">
      <c r="A6544" s="9"/>
      <c r="B6544" s="15"/>
      <c r="C6544" s="9">
        <f>IFERROR(__xludf.DUMMYFUNCTION("""COMPUTED_VALUE"""),44536.4949075462)</f>
        <v>44536.49491</v>
      </c>
      <c r="D6544" s="15">
        <f>IFERROR(__xludf.DUMMYFUNCTION("""COMPUTED_VALUE"""),1.022)</f>
        <v>1.022</v>
      </c>
      <c r="E6544" s="16">
        <f>IFERROR(__xludf.DUMMYFUNCTION("""COMPUTED_VALUE"""),64.0)</f>
        <v>64</v>
      </c>
      <c r="F6544" s="19" t="str">
        <f>IFERROR(__xludf.DUMMYFUNCTION("""COMPUTED_VALUE"""),"BLUE")</f>
        <v>BLUE</v>
      </c>
      <c r="G6544" s="20" t="str">
        <f>IFERROR(__xludf.DUMMYFUNCTION("""COMPUTED_VALUE"""),"Uncle Sams Cider (11/12/2021) (Blue)")</f>
        <v>Uncle Sams Cider (11/12/2021) (Blue)</v>
      </c>
      <c r="H6544" s="19"/>
    </row>
    <row r="6545">
      <c r="A6545" s="9"/>
      <c r="B6545" s="15"/>
      <c r="C6545" s="9">
        <f>IFERROR(__xludf.DUMMYFUNCTION("""COMPUTED_VALUE"""),44536.484484155)</f>
        <v>44536.48448</v>
      </c>
      <c r="D6545" s="15">
        <f>IFERROR(__xludf.DUMMYFUNCTION("""COMPUTED_VALUE"""),1.022)</f>
        <v>1.022</v>
      </c>
      <c r="E6545" s="16">
        <f>IFERROR(__xludf.DUMMYFUNCTION("""COMPUTED_VALUE"""),64.0)</f>
        <v>64</v>
      </c>
      <c r="F6545" s="19" t="str">
        <f>IFERROR(__xludf.DUMMYFUNCTION("""COMPUTED_VALUE"""),"BLUE")</f>
        <v>BLUE</v>
      </c>
      <c r="G6545" s="20" t="str">
        <f>IFERROR(__xludf.DUMMYFUNCTION("""COMPUTED_VALUE"""),"Uncle Sams Cider (11/12/2021) (Blue)")</f>
        <v>Uncle Sams Cider (11/12/2021) (Blue)</v>
      </c>
      <c r="H6545" s="19"/>
    </row>
    <row r="6546">
      <c r="A6546" s="9"/>
      <c r="B6546" s="15"/>
      <c r="C6546" s="9">
        <f>IFERROR(__xludf.DUMMYFUNCTION("""COMPUTED_VALUE"""),44536.4740615277)</f>
        <v>44536.47406</v>
      </c>
      <c r="D6546" s="15">
        <f>IFERROR(__xludf.DUMMYFUNCTION("""COMPUTED_VALUE"""),1.022)</f>
        <v>1.022</v>
      </c>
      <c r="E6546" s="16">
        <f>IFERROR(__xludf.DUMMYFUNCTION("""COMPUTED_VALUE"""),64.0)</f>
        <v>64</v>
      </c>
      <c r="F6546" s="19" t="str">
        <f>IFERROR(__xludf.DUMMYFUNCTION("""COMPUTED_VALUE"""),"BLUE")</f>
        <v>BLUE</v>
      </c>
      <c r="G6546" s="20" t="str">
        <f>IFERROR(__xludf.DUMMYFUNCTION("""COMPUTED_VALUE"""),"Uncle Sams Cider (11/12/2021) (Blue)")</f>
        <v>Uncle Sams Cider (11/12/2021) (Blue)</v>
      </c>
      <c r="H6546" s="19"/>
    </row>
    <row r="6547">
      <c r="A6547" s="9"/>
      <c r="B6547" s="15"/>
      <c r="C6547" s="9">
        <f>IFERROR(__xludf.DUMMYFUNCTION("""COMPUTED_VALUE"""),44536.4636401273)</f>
        <v>44536.46364</v>
      </c>
      <c r="D6547" s="15">
        <f>IFERROR(__xludf.DUMMYFUNCTION("""COMPUTED_VALUE"""),1.022)</f>
        <v>1.022</v>
      </c>
      <c r="E6547" s="16">
        <f>IFERROR(__xludf.DUMMYFUNCTION("""COMPUTED_VALUE"""),64.0)</f>
        <v>64</v>
      </c>
      <c r="F6547" s="19" t="str">
        <f>IFERROR(__xludf.DUMMYFUNCTION("""COMPUTED_VALUE"""),"BLUE")</f>
        <v>BLUE</v>
      </c>
      <c r="G6547" s="20" t="str">
        <f>IFERROR(__xludf.DUMMYFUNCTION("""COMPUTED_VALUE"""),"Uncle Sams Cider (11/12/2021) (Blue)")</f>
        <v>Uncle Sams Cider (11/12/2021) (Blue)</v>
      </c>
      <c r="H6547" s="19"/>
    </row>
    <row r="6548">
      <c r="A6548" s="9"/>
      <c r="B6548" s="15"/>
      <c r="C6548" s="9">
        <f>IFERROR(__xludf.DUMMYFUNCTION("""COMPUTED_VALUE"""),44536.45321978)</f>
        <v>44536.45322</v>
      </c>
      <c r="D6548" s="15">
        <f>IFERROR(__xludf.DUMMYFUNCTION("""COMPUTED_VALUE"""),1.022)</f>
        <v>1.022</v>
      </c>
      <c r="E6548" s="16">
        <f>IFERROR(__xludf.DUMMYFUNCTION("""COMPUTED_VALUE"""),64.0)</f>
        <v>64</v>
      </c>
      <c r="F6548" s="19" t="str">
        <f>IFERROR(__xludf.DUMMYFUNCTION("""COMPUTED_VALUE"""),"BLUE")</f>
        <v>BLUE</v>
      </c>
      <c r="G6548" s="20" t="str">
        <f>IFERROR(__xludf.DUMMYFUNCTION("""COMPUTED_VALUE"""),"Uncle Sams Cider (11/12/2021) (Blue)")</f>
        <v>Uncle Sams Cider (11/12/2021) (Blue)</v>
      </c>
      <c r="H6548" s="19"/>
    </row>
    <row r="6549">
      <c r="A6549" s="9"/>
      <c r="B6549" s="15"/>
      <c r="C6549" s="9">
        <f>IFERROR(__xludf.DUMMYFUNCTION("""COMPUTED_VALUE"""),44536.4427980671)</f>
        <v>44536.4428</v>
      </c>
      <c r="D6549" s="15">
        <f>IFERROR(__xludf.DUMMYFUNCTION("""COMPUTED_VALUE"""),1.022)</f>
        <v>1.022</v>
      </c>
      <c r="E6549" s="16">
        <f>IFERROR(__xludf.DUMMYFUNCTION("""COMPUTED_VALUE"""),64.0)</f>
        <v>64</v>
      </c>
      <c r="F6549" s="19" t="str">
        <f>IFERROR(__xludf.DUMMYFUNCTION("""COMPUTED_VALUE"""),"BLUE")</f>
        <v>BLUE</v>
      </c>
      <c r="G6549" s="20" t="str">
        <f>IFERROR(__xludf.DUMMYFUNCTION("""COMPUTED_VALUE"""),"Uncle Sams Cider (11/12/2021) (Blue)")</f>
        <v>Uncle Sams Cider (11/12/2021) (Blue)</v>
      </c>
      <c r="H6549" s="19"/>
    </row>
    <row r="6550">
      <c r="A6550" s="9"/>
      <c r="B6550" s="15"/>
      <c r="C6550" s="9">
        <f>IFERROR(__xludf.DUMMYFUNCTION("""COMPUTED_VALUE"""),44536.432377118)</f>
        <v>44536.43238</v>
      </c>
      <c r="D6550" s="15">
        <f>IFERROR(__xludf.DUMMYFUNCTION("""COMPUTED_VALUE"""),1.022)</f>
        <v>1.022</v>
      </c>
      <c r="E6550" s="16">
        <f>IFERROR(__xludf.DUMMYFUNCTION("""COMPUTED_VALUE"""),64.0)</f>
        <v>64</v>
      </c>
      <c r="F6550" s="19" t="str">
        <f>IFERROR(__xludf.DUMMYFUNCTION("""COMPUTED_VALUE"""),"BLUE")</f>
        <v>BLUE</v>
      </c>
      <c r="G6550" s="20" t="str">
        <f>IFERROR(__xludf.DUMMYFUNCTION("""COMPUTED_VALUE"""),"Uncle Sams Cider (11/12/2021) (Blue)")</f>
        <v>Uncle Sams Cider (11/12/2021) (Blue)</v>
      </c>
      <c r="H6550" s="19"/>
    </row>
    <row r="6551">
      <c r="A6551" s="9"/>
      <c r="B6551" s="15"/>
      <c r="C6551" s="9">
        <f>IFERROR(__xludf.DUMMYFUNCTION("""COMPUTED_VALUE"""),44536.4219549652)</f>
        <v>44536.42195</v>
      </c>
      <c r="D6551" s="15">
        <f>IFERROR(__xludf.DUMMYFUNCTION("""COMPUTED_VALUE"""),1.022)</f>
        <v>1.022</v>
      </c>
      <c r="E6551" s="16">
        <f>IFERROR(__xludf.DUMMYFUNCTION("""COMPUTED_VALUE"""),64.0)</f>
        <v>64</v>
      </c>
      <c r="F6551" s="19" t="str">
        <f>IFERROR(__xludf.DUMMYFUNCTION("""COMPUTED_VALUE"""),"BLUE")</f>
        <v>BLUE</v>
      </c>
      <c r="G6551" s="20" t="str">
        <f>IFERROR(__xludf.DUMMYFUNCTION("""COMPUTED_VALUE"""),"Uncle Sams Cider (11/12/2021) (Blue)")</f>
        <v>Uncle Sams Cider (11/12/2021) (Blue)</v>
      </c>
      <c r="H6551" s="19"/>
    </row>
    <row r="6552">
      <c r="A6552" s="9"/>
      <c r="B6552" s="15"/>
      <c r="C6552" s="9">
        <f>IFERROR(__xludf.DUMMYFUNCTION("""COMPUTED_VALUE"""),44536.4115335763)</f>
        <v>44536.41153</v>
      </c>
      <c r="D6552" s="15">
        <f>IFERROR(__xludf.DUMMYFUNCTION("""COMPUTED_VALUE"""),1.022)</f>
        <v>1.022</v>
      </c>
      <c r="E6552" s="16">
        <f>IFERROR(__xludf.DUMMYFUNCTION("""COMPUTED_VALUE"""),64.0)</f>
        <v>64</v>
      </c>
      <c r="F6552" s="19" t="str">
        <f>IFERROR(__xludf.DUMMYFUNCTION("""COMPUTED_VALUE"""),"BLUE")</f>
        <v>BLUE</v>
      </c>
      <c r="G6552" s="20" t="str">
        <f>IFERROR(__xludf.DUMMYFUNCTION("""COMPUTED_VALUE"""),"Uncle Sams Cider (11/12/2021) (Blue)")</f>
        <v>Uncle Sams Cider (11/12/2021) (Blue)</v>
      </c>
      <c r="H6552" s="19"/>
    </row>
    <row r="6553">
      <c r="A6553" s="9"/>
      <c r="B6553" s="15"/>
      <c r="C6553" s="9">
        <f>IFERROR(__xludf.DUMMYFUNCTION("""COMPUTED_VALUE"""),44536.4011113541)</f>
        <v>44536.40111</v>
      </c>
      <c r="D6553" s="15">
        <f>IFERROR(__xludf.DUMMYFUNCTION("""COMPUTED_VALUE"""),1.022)</f>
        <v>1.022</v>
      </c>
      <c r="E6553" s="16">
        <f>IFERROR(__xludf.DUMMYFUNCTION("""COMPUTED_VALUE"""),64.0)</f>
        <v>64</v>
      </c>
      <c r="F6553" s="19" t="str">
        <f>IFERROR(__xludf.DUMMYFUNCTION("""COMPUTED_VALUE"""),"BLUE")</f>
        <v>BLUE</v>
      </c>
      <c r="G6553" s="20" t="str">
        <f>IFERROR(__xludf.DUMMYFUNCTION("""COMPUTED_VALUE"""),"Uncle Sams Cider (11/12/2021) (Blue)")</f>
        <v>Uncle Sams Cider (11/12/2021) (Blue)</v>
      </c>
      <c r="H6553" s="19"/>
    </row>
    <row r="6554">
      <c r="A6554" s="9"/>
      <c r="B6554" s="15"/>
      <c r="C6554" s="9">
        <f>IFERROR(__xludf.DUMMYFUNCTION("""COMPUTED_VALUE"""),44536.3906900463)</f>
        <v>44536.39069</v>
      </c>
      <c r="D6554" s="15">
        <f>IFERROR(__xludf.DUMMYFUNCTION("""COMPUTED_VALUE"""),1.022)</f>
        <v>1.022</v>
      </c>
      <c r="E6554" s="16">
        <f>IFERROR(__xludf.DUMMYFUNCTION("""COMPUTED_VALUE"""),64.0)</f>
        <v>64</v>
      </c>
      <c r="F6554" s="19" t="str">
        <f>IFERROR(__xludf.DUMMYFUNCTION("""COMPUTED_VALUE"""),"BLUE")</f>
        <v>BLUE</v>
      </c>
      <c r="G6554" s="20" t="str">
        <f>IFERROR(__xludf.DUMMYFUNCTION("""COMPUTED_VALUE"""),"Uncle Sams Cider (11/12/2021) (Blue)")</f>
        <v>Uncle Sams Cider (11/12/2021) (Blue)</v>
      </c>
      <c r="H6554" s="19"/>
    </row>
    <row r="6555">
      <c r="A6555" s="9"/>
      <c r="B6555" s="15"/>
      <c r="C6555" s="9">
        <f>IFERROR(__xludf.DUMMYFUNCTION("""COMPUTED_VALUE"""),44536.3802561574)</f>
        <v>44536.38026</v>
      </c>
      <c r="D6555" s="15">
        <f>IFERROR(__xludf.DUMMYFUNCTION("""COMPUTED_VALUE"""),1.022)</f>
        <v>1.022</v>
      </c>
      <c r="E6555" s="16">
        <f>IFERROR(__xludf.DUMMYFUNCTION("""COMPUTED_VALUE"""),64.0)</f>
        <v>64</v>
      </c>
      <c r="F6555" s="19" t="str">
        <f>IFERROR(__xludf.DUMMYFUNCTION("""COMPUTED_VALUE"""),"BLUE")</f>
        <v>BLUE</v>
      </c>
      <c r="G6555" s="20" t="str">
        <f>IFERROR(__xludf.DUMMYFUNCTION("""COMPUTED_VALUE"""),"Uncle Sams Cider (11/12/2021) (Blue)")</f>
        <v>Uncle Sams Cider (11/12/2021) (Blue)</v>
      </c>
      <c r="H6555" s="19"/>
    </row>
    <row r="6556">
      <c r="A6556" s="9"/>
      <c r="B6556" s="15"/>
      <c r="C6556" s="9">
        <f>IFERROR(__xludf.DUMMYFUNCTION("""COMPUTED_VALUE"""),44536.3698118749)</f>
        <v>44536.36981</v>
      </c>
      <c r="D6556" s="15">
        <f>IFERROR(__xludf.DUMMYFUNCTION("""COMPUTED_VALUE"""),1.022)</f>
        <v>1.022</v>
      </c>
      <c r="E6556" s="16">
        <f>IFERROR(__xludf.DUMMYFUNCTION("""COMPUTED_VALUE"""),64.0)</f>
        <v>64</v>
      </c>
      <c r="F6556" s="19" t="str">
        <f>IFERROR(__xludf.DUMMYFUNCTION("""COMPUTED_VALUE"""),"BLUE")</f>
        <v>BLUE</v>
      </c>
      <c r="G6556" s="20" t="str">
        <f>IFERROR(__xludf.DUMMYFUNCTION("""COMPUTED_VALUE"""),"Uncle Sams Cider (11/12/2021) (Blue)")</f>
        <v>Uncle Sams Cider (11/12/2021) (Blue)</v>
      </c>
      <c r="H6556" s="19"/>
    </row>
    <row r="6557">
      <c r="A6557" s="9"/>
      <c r="B6557" s="15"/>
      <c r="C6557" s="9">
        <f>IFERROR(__xludf.DUMMYFUNCTION("""COMPUTED_VALUE"""),44536.359388993)</f>
        <v>44536.35939</v>
      </c>
      <c r="D6557" s="15">
        <f>IFERROR(__xludf.DUMMYFUNCTION("""COMPUTED_VALUE"""),1.022)</f>
        <v>1.022</v>
      </c>
      <c r="E6557" s="16">
        <f>IFERROR(__xludf.DUMMYFUNCTION("""COMPUTED_VALUE"""),64.0)</f>
        <v>64</v>
      </c>
      <c r="F6557" s="19" t="str">
        <f>IFERROR(__xludf.DUMMYFUNCTION("""COMPUTED_VALUE"""),"BLUE")</f>
        <v>BLUE</v>
      </c>
      <c r="G6557" s="20" t="str">
        <f>IFERROR(__xludf.DUMMYFUNCTION("""COMPUTED_VALUE"""),"Uncle Sams Cider (11/12/2021) (Blue)")</f>
        <v>Uncle Sams Cider (11/12/2021) (Blue)</v>
      </c>
      <c r="H6557" s="19"/>
    </row>
    <row r="6558">
      <c r="A6558" s="9"/>
      <c r="B6558" s="15"/>
      <c r="C6558" s="9">
        <f>IFERROR(__xludf.DUMMYFUNCTION("""COMPUTED_VALUE"""),44536.3489664351)</f>
        <v>44536.34897</v>
      </c>
      <c r="D6558" s="15">
        <f>IFERROR(__xludf.DUMMYFUNCTION("""COMPUTED_VALUE"""),1.022)</f>
        <v>1.022</v>
      </c>
      <c r="E6558" s="16">
        <f>IFERROR(__xludf.DUMMYFUNCTION("""COMPUTED_VALUE"""),64.0)</f>
        <v>64</v>
      </c>
      <c r="F6558" s="19" t="str">
        <f>IFERROR(__xludf.DUMMYFUNCTION("""COMPUTED_VALUE"""),"BLUE")</f>
        <v>BLUE</v>
      </c>
      <c r="G6558" s="20" t="str">
        <f>IFERROR(__xludf.DUMMYFUNCTION("""COMPUTED_VALUE"""),"Uncle Sams Cider (11/12/2021) (Blue)")</f>
        <v>Uncle Sams Cider (11/12/2021) (Blue)</v>
      </c>
      <c r="H6558" s="19"/>
    </row>
    <row r="6559">
      <c r="A6559" s="9"/>
      <c r="B6559" s="15"/>
      <c r="C6559" s="9">
        <f>IFERROR(__xludf.DUMMYFUNCTION("""COMPUTED_VALUE"""),44536.3385459375)</f>
        <v>44536.33855</v>
      </c>
      <c r="D6559" s="15">
        <f>IFERROR(__xludf.DUMMYFUNCTION("""COMPUTED_VALUE"""),1.022)</f>
        <v>1.022</v>
      </c>
      <c r="E6559" s="16">
        <f>IFERROR(__xludf.DUMMYFUNCTION("""COMPUTED_VALUE"""),64.0)</f>
        <v>64</v>
      </c>
      <c r="F6559" s="19" t="str">
        <f>IFERROR(__xludf.DUMMYFUNCTION("""COMPUTED_VALUE"""),"BLUE")</f>
        <v>BLUE</v>
      </c>
      <c r="G6559" s="20" t="str">
        <f>IFERROR(__xludf.DUMMYFUNCTION("""COMPUTED_VALUE"""),"Uncle Sams Cider (11/12/2021) (Blue)")</f>
        <v>Uncle Sams Cider (11/12/2021) (Blue)</v>
      </c>
      <c r="H6559" s="19"/>
    </row>
    <row r="6560">
      <c r="A6560" s="9"/>
      <c r="B6560" s="15"/>
      <c r="C6560" s="9">
        <f>IFERROR(__xludf.DUMMYFUNCTION("""COMPUTED_VALUE"""),44536.3281252199)</f>
        <v>44536.32813</v>
      </c>
      <c r="D6560" s="15">
        <f>IFERROR(__xludf.DUMMYFUNCTION("""COMPUTED_VALUE"""),1.022)</f>
        <v>1.022</v>
      </c>
      <c r="E6560" s="16">
        <f>IFERROR(__xludf.DUMMYFUNCTION("""COMPUTED_VALUE"""),64.0)</f>
        <v>64</v>
      </c>
      <c r="F6560" s="19" t="str">
        <f>IFERROR(__xludf.DUMMYFUNCTION("""COMPUTED_VALUE"""),"BLUE")</f>
        <v>BLUE</v>
      </c>
      <c r="G6560" s="20" t="str">
        <f>IFERROR(__xludf.DUMMYFUNCTION("""COMPUTED_VALUE"""),"Uncle Sams Cider (11/12/2021) (Blue)")</f>
        <v>Uncle Sams Cider (11/12/2021) (Blue)</v>
      </c>
      <c r="H6560" s="19"/>
    </row>
    <row r="6561">
      <c r="A6561" s="9"/>
      <c r="B6561" s="15"/>
      <c r="C6561" s="9">
        <f>IFERROR(__xludf.DUMMYFUNCTION("""COMPUTED_VALUE"""),44536.3177040277)</f>
        <v>44536.3177</v>
      </c>
      <c r="D6561" s="15">
        <f>IFERROR(__xludf.DUMMYFUNCTION("""COMPUTED_VALUE"""),1.022)</f>
        <v>1.022</v>
      </c>
      <c r="E6561" s="16">
        <f>IFERROR(__xludf.DUMMYFUNCTION("""COMPUTED_VALUE"""),64.0)</f>
        <v>64</v>
      </c>
      <c r="F6561" s="19" t="str">
        <f>IFERROR(__xludf.DUMMYFUNCTION("""COMPUTED_VALUE"""),"BLUE")</f>
        <v>BLUE</v>
      </c>
      <c r="G6561" s="20" t="str">
        <f>IFERROR(__xludf.DUMMYFUNCTION("""COMPUTED_VALUE"""),"Uncle Sams Cider (11/12/2021) (Blue)")</f>
        <v>Uncle Sams Cider (11/12/2021) (Blue)</v>
      </c>
      <c r="H6561" s="19"/>
    </row>
    <row r="6562">
      <c r="A6562" s="9"/>
      <c r="B6562" s="15"/>
      <c r="C6562" s="9">
        <f>IFERROR(__xludf.DUMMYFUNCTION("""COMPUTED_VALUE"""),44536.3072834953)</f>
        <v>44536.30728</v>
      </c>
      <c r="D6562" s="15">
        <f>IFERROR(__xludf.DUMMYFUNCTION("""COMPUTED_VALUE"""),1.022)</f>
        <v>1.022</v>
      </c>
      <c r="E6562" s="16">
        <f>IFERROR(__xludf.DUMMYFUNCTION("""COMPUTED_VALUE"""),64.0)</f>
        <v>64</v>
      </c>
      <c r="F6562" s="19" t="str">
        <f>IFERROR(__xludf.DUMMYFUNCTION("""COMPUTED_VALUE"""),"BLUE")</f>
        <v>BLUE</v>
      </c>
      <c r="G6562" s="20" t="str">
        <f>IFERROR(__xludf.DUMMYFUNCTION("""COMPUTED_VALUE"""),"Uncle Sams Cider (11/12/2021) (Blue)")</f>
        <v>Uncle Sams Cider (11/12/2021) (Blue)</v>
      </c>
      <c r="H6562" s="19"/>
    </row>
    <row r="6563">
      <c r="A6563" s="9"/>
      <c r="B6563" s="15"/>
      <c r="C6563" s="9">
        <f>IFERROR(__xludf.DUMMYFUNCTION("""COMPUTED_VALUE"""),44536.2968629745)</f>
        <v>44536.29686</v>
      </c>
      <c r="D6563" s="15">
        <f>IFERROR(__xludf.DUMMYFUNCTION("""COMPUTED_VALUE"""),1.022)</f>
        <v>1.022</v>
      </c>
      <c r="E6563" s="16">
        <f>IFERROR(__xludf.DUMMYFUNCTION("""COMPUTED_VALUE"""),64.0)</f>
        <v>64</v>
      </c>
      <c r="F6563" s="19" t="str">
        <f>IFERROR(__xludf.DUMMYFUNCTION("""COMPUTED_VALUE"""),"BLUE")</f>
        <v>BLUE</v>
      </c>
      <c r="G6563" s="20" t="str">
        <f>IFERROR(__xludf.DUMMYFUNCTION("""COMPUTED_VALUE"""),"Uncle Sams Cider (11/12/2021) (Blue)")</f>
        <v>Uncle Sams Cider (11/12/2021) (Blue)</v>
      </c>
      <c r="H6563" s="19"/>
    </row>
    <row r="6564">
      <c r="A6564" s="9"/>
      <c r="B6564" s="15"/>
      <c r="C6564" s="9">
        <f>IFERROR(__xludf.DUMMYFUNCTION("""COMPUTED_VALUE"""),44536.286428831)</f>
        <v>44536.28643</v>
      </c>
      <c r="D6564" s="15">
        <f>IFERROR(__xludf.DUMMYFUNCTION("""COMPUTED_VALUE"""),1.022)</f>
        <v>1.022</v>
      </c>
      <c r="E6564" s="16">
        <f>IFERROR(__xludf.DUMMYFUNCTION("""COMPUTED_VALUE"""),64.0)</f>
        <v>64</v>
      </c>
      <c r="F6564" s="19" t="str">
        <f>IFERROR(__xludf.DUMMYFUNCTION("""COMPUTED_VALUE"""),"BLUE")</f>
        <v>BLUE</v>
      </c>
      <c r="G6564" s="20" t="str">
        <f>IFERROR(__xludf.DUMMYFUNCTION("""COMPUTED_VALUE"""),"Uncle Sams Cider (11/12/2021) (Blue)")</f>
        <v>Uncle Sams Cider (11/12/2021) (Blue)</v>
      </c>
      <c r="H6564" s="19"/>
    </row>
    <row r="6565">
      <c r="A6565" s="9"/>
      <c r="B6565" s="15"/>
      <c r="C6565" s="9">
        <f>IFERROR(__xludf.DUMMYFUNCTION("""COMPUTED_VALUE"""),44536.2760062731)</f>
        <v>44536.27601</v>
      </c>
      <c r="D6565" s="15">
        <f>IFERROR(__xludf.DUMMYFUNCTION("""COMPUTED_VALUE"""),1.022)</f>
        <v>1.022</v>
      </c>
      <c r="E6565" s="16">
        <f>IFERROR(__xludf.DUMMYFUNCTION("""COMPUTED_VALUE"""),64.0)</f>
        <v>64</v>
      </c>
      <c r="F6565" s="19" t="str">
        <f>IFERROR(__xludf.DUMMYFUNCTION("""COMPUTED_VALUE"""),"BLUE")</f>
        <v>BLUE</v>
      </c>
      <c r="G6565" s="20" t="str">
        <f>IFERROR(__xludf.DUMMYFUNCTION("""COMPUTED_VALUE"""),"Uncle Sams Cider (11/12/2021) (Blue)")</f>
        <v>Uncle Sams Cider (11/12/2021) (Blue)</v>
      </c>
      <c r="H6565" s="19"/>
    </row>
    <row r="6566">
      <c r="A6566" s="9"/>
      <c r="B6566" s="15"/>
      <c r="C6566" s="9">
        <f>IFERROR(__xludf.DUMMYFUNCTION("""COMPUTED_VALUE"""),44536.2655735416)</f>
        <v>44536.26557</v>
      </c>
      <c r="D6566" s="15">
        <f>IFERROR(__xludf.DUMMYFUNCTION("""COMPUTED_VALUE"""),1.022)</f>
        <v>1.022</v>
      </c>
      <c r="E6566" s="16">
        <f>IFERROR(__xludf.DUMMYFUNCTION("""COMPUTED_VALUE"""),64.0)</f>
        <v>64</v>
      </c>
      <c r="F6566" s="19" t="str">
        <f>IFERROR(__xludf.DUMMYFUNCTION("""COMPUTED_VALUE"""),"BLUE")</f>
        <v>BLUE</v>
      </c>
      <c r="G6566" s="20" t="str">
        <f>IFERROR(__xludf.DUMMYFUNCTION("""COMPUTED_VALUE"""),"Uncle Sams Cider (11/12/2021) (Blue)")</f>
        <v>Uncle Sams Cider (11/12/2021) (Blue)</v>
      </c>
      <c r="H6566" s="19"/>
    </row>
    <row r="6567">
      <c r="A6567" s="9"/>
      <c r="B6567" s="15"/>
      <c r="C6567" s="9">
        <f>IFERROR(__xludf.DUMMYFUNCTION("""COMPUTED_VALUE"""),44536.255142037)</f>
        <v>44536.25514</v>
      </c>
      <c r="D6567" s="15">
        <f>IFERROR(__xludf.DUMMYFUNCTION("""COMPUTED_VALUE"""),1.022)</f>
        <v>1.022</v>
      </c>
      <c r="E6567" s="16">
        <f>IFERROR(__xludf.DUMMYFUNCTION("""COMPUTED_VALUE"""),64.0)</f>
        <v>64</v>
      </c>
      <c r="F6567" s="19" t="str">
        <f>IFERROR(__xludf.DUMMYFUNCTION("""COMPUTED_VALUE"""),"BLUE")</f>
        <v>BLUE</v>
      </c>
      <c r="G6567" s="20" t="str">
        <f>IFERROR(__xludf.DUMMYFUNCTION("""COMPUTED_VALUE"""),"Uncle Sams Cider (11/12/2021) (Blue)")</f>
        <v>Uncle Sams Cider (11/12/2021) (Blue)</v>
      </c>
      <c r="H6567" s="19"/>
    </row>
    <row r="6568">
      <c r="A6568" s="9"/>
      <c r="B6568" s="15"/>
      <c r="C6568" s="9">
        <f>IFERROR(__xludf.DUMMYFUNCTION("""COMPUTED_VALUE"""),44536.2447210879)</f>
        <v>44536.24472</v>
      </c>
      <c r="D6568" s="15">
        <f>IFERROR(__xludf.DUMMYFUNCTION("""COMPUTED_VALUE"""),1.022)</f>
        <v>1.022</v>
      </c>
      <c r="E6568" s="16">
        <f>IFERROR(__xludf.DUMMYFUNCTION("""COMPUTED_VALUE"""),64.0)</f>
        <v>64</v>
      </c>
      <c r="F6568" s="19" t="str">
        <f>IFERROR(__xludf.DUMMYFUNCTION("""COMPUTED_VALUE"""),"BLUE")</f>
        <v>BLUE</v>
      </c>
      <c r="G6568" s="20" t="str">
        <f>IFERROR(__xludf.DUMMYFUNCTION("""COMPUTED_VALUE"""),"Uncle Sams Cider (11/12/2021) (Blue)")</f>
        <v>Uncle Sams Cider (11/12/2021) (Blue)</v>
      </c>
      <c r="H6568" s="19"/>
    </row>
    <row r="6569">
      <c r="A6569" s="9"/>
      <c r="B6569" s="15"/>
      <c r="C6569" s="9">
        <f>IFERROR(__xludf.DUMMYFUNCTION("""COMPUTED_VALUE"""),44536.234299375)</f>
        <v>44536.2343</v>
      </c>
      <c r="D6569" s="15">
        <f>IFERROR(__xludf.DUMMYFUNCTION("""COMPUTED_VALUE"""),1.022)</f>
        <v>1.022</v>
      </c>
      <c r="E6569" s="16">
        <f>IFERROR(__xludf.DUMMYFUNCTION("""COMPUTED_VALUE"""),64.0)</f>
        <v>64</v>
      </c>
      <c r="F6569" s="19" t="str">
        <f>IFERROR(__xludf.DUMMYFUNCTION("""COMPUTED_VALUE"""),"BLUE")</f>
        <v>BLUE</v>
      </c>
      <c r="G6569" s="20" t="str">
        <f>IFERROR(__xludf.DUMMYFUNCTION("""COMPUTED_VALUE"""),"Uncle Sams Cider (11/12/2021) (Blue)")</f>
        <v>Uncle Sams Cider (11/12/2021) (Blue)</v>
      </c>
      <c r="H6569" s="19"/>
    </row>
    <row r="6570">
      <c r="A6570" s="9"/>
      <c r="B6570" s="15"/>
      <c r="C6570" s="9">
        <f>IFERROR(__xludf.DUMMYFUNCTION("""COMPUTED_VALUE"""),44536.2238785416)</f>
        <v>44536.22388</v>
      </c>
      <c r="D6570" s="15">
        <f>IFERROR(__xludf.DUMMYFUNCTION("""COMPUTED_VALUE"""),1.022)</f>
        <v>1.022</v>
      </c>
      <c r="E6570" s="16">
        <f>IFERROR(__xludf.DUMMYFUNCTION("""COMPUTED_VALUE"""),64.0)</f>
        <v>64</v>
      </c>
      <c r="F6570" s="19" t="str">
        <f>IFERROR(__xludf.DUMMYFUNCTION("""COMPUTED_VALUE"""),"BLUE")</f>
        <v>BLUE</v>
      </c>
      <c r="G6570" s="20" t="str">
        <f>IFERROR(__xludf.DUMMYFUNCTION("""COMPUTED_VALUE"""),"Uncle Sams Cider (11/12/2021) (Blue)")</f>
        <v>Uncle Sams Cider (11/12/2021) (Blue)</v>
      </c>
      <c r="H6570" s="19"/>
    </row>
    <row r="6571">
      <c r="A6571" s="9"/>
      <c r="B6571" s="15"/>
      <c r="C6571" s="9">
        <f>IFERROR(__xludf.DUMMYFUNCTION("""COMPUTED_VALUE"""),44536.2134564699)</f>
        <v>44536.21346</v>
      </c>
      <c r="D6571" s="15">
        <f>IFERROR(__xludf.DUMMYFUNCTION("""COMPUTED_VALUE"""),1.022)</f>
        <v>1.022</v>
      </c>
      <c r="E6571" s="16">
        <f>IFERROR(__xludf.DUMMYFUNCTION("""COMPUTED_VALUE"""),64.0)</f>
        <v>64</v>
      </c>
      <c r="F6571" s="19" t="str">
        <f>IFERROR(__xludf.DUMMYFUNCTION("""COMPUTED_VALUE"""),"BLUE")</f>
        <v>BLUE</v>
      </c>
      <c r="G6571" s="20" t="str">
        <f>IFERROR(__xludf.DUMMYFUNCTION("""COMPUTED_VALUE"""),"Uncle Sams Cider (11/12/2021) (Blue)")</f>
        <v>Uncle Sams Cider (11/12/2021) (Blue)</v>
      </c>
      <c r="H6571" s="19"/>
    </row>
    <row r="6572">
      <c r="A6572" s="9"/>
      <c r="B6572" s="15"/>
      <c r="C6572" s="9">
        <f>IFERROR(__xludf.DUMMYFUNCTION("""COMPUTED_VALUE"""),44536.2030349421)</f>
        <v>44536.20303</v>
      </c>
      <c r="D6572" s="15">
        <f>IFERROR(__xludf.DUMMYFUNCTION("""COMPUTED_VALUE"""),1.022)</f>
        <v>1.022</v>
      </c>
      <c r="E6572" s="16">
        <f>IFERROR(__xludf.DUMMYFUNCTION("""COMPUTED_VALUE"""),64.0)</f>
        <v>64</v>
      </c>
      <c r="F6572" s="19" t="str">
        <f>IFERROR(__xludf.DUMMYFUNCTION("""COMPUTED_VALUE"""),"BLUE")</f>
        <v>BLUE</v>
      </c>
      <c r="G6572" s="20" t="str">
        <f>IFERROR(__xludf.DUMMYFUNCTION("""COMPUTED_VALUE"""),"Uncle Sams Cider (11/12/2021) (Blue)")</f>
        <v>Uncle Sams Cider (11/12/2021) (Blue)</v>
      </c>
      <c r="H6572" s="19"/>
    </row>
    <row r="6573">
      <c r="A6573" s="9"/>
      <c r="B6573" s="15"/>
      <c r="C6573" s="9">
        <f>IFERROR(__xludf.DUMMYFUNCTION("""COMPUTED_VALUE"""),44536.1926136342)</f>
        <v>44536.19261</v>
      </c>
      <c r="D6573" s="15">
        <f>IFERROR(__xludf.DUMMYFUNCTION("""COMPUTED_VALUE"""),1.022)</f>
        <v>1.022</v>
      </c>
      <c r="E6573" s="16">
        <f>IFERROR(__xludf.DUMMYFUNCTION("""COMPUTED_VALUE"""),64.0)</f>
        <v>64</v>
      </c>
      <c r="F6573" s="19" t="str">
        <f>IFERROR(__xludf.DUMMYFUNCTION("""COMPUTED_VALUE"""),"BLUE")</f>
        <v>BLUE</v>
      </c>
      <c r="G6573" s="20" t="str">
        <f>IFERROR(__xludf.DUMMYFUNCTION("""COMPUTED_VALUE"""),"Uncle Sams Cider (11/12/2021) (Blue)")</f>
        <v>Uncle Sams Cider (11/12/2021) (Blue)</v>
      </c>
      <c r="H6573" s="19"/>
    </row>
    <row r="6574">
      <c r="A6574" s="9"/>
      <c r="B6574" s="15"/>
      <c r="C6574" s="9">
        <f>IFERROR(__xludf.DUMMYFUNCTION("""COMPUTED_VALUE"""),44536.1821926388)</f>
        <v>44536.18219</v>
      </c>
      <c r="D6574" s="15">
        <f>IFERROR(__xludf.DUMMYFUNCTION("""COMPUTED_VALUE"""),1.022)</f>
        <v>1.022</v>
      </c>
      <c r="E6574" s="16">
        <f>IFERROR(__xludf.DUMMYFUNCTION("""COMPUTED_VALUE"""),64.0)</f>
        <v>64</v>
      </c>
      <c r="F6574" s="19" t="str">
        <f>IFERROR(__xludf.DUMMYFUNCTION("""COMPUTED_VALUE"""),"BLUE")</f>
        <v>BLUE</v>
      </c>
      <c r="G6574" s="20" t="str">
        <f>IFERROR(__xludf.DUMMYFUNCTION("""COMPUTED_VALUE"""),"Uncle Sams Cider (11/12/2021) (Blue)")</f>
        <v>Uncle Sams Cider (11/12/2021) (Blue)</v>
      </c>
      <c r="H6574" s="19"/>
    </row>
    <row r="6575">
      <c r="A6575" s="9"/>
      <c r="B6575" s="15"/>
      <c r="C6575" s="9">
        <f>IFERROR(__xludf.DUMMYFUNCTION("""COMPUTED_VALUE"""),44536.1717714004)</f>
        <v>44536.17177</v>
      </c>
      <c r="D6575" s="15">
        <f>IFERROR(__xludf.DUMMYFUNCTION("""COMPUTED_VALUE"""),1.022)</f>
        <v>1.022</v>
      </c>
      <c r="E6575" s="16">
        <f>IFERROR(__xludf.DUMMYFUNCTION("""COMPUTED_VALUE"""),64.0)</f>
        <v>64</v>
      </c>
      <c r="F6575" s="19" t="str">
        <f>IFERROR(__xludf.DUMMYFUNCTION("""COMPUTED_VALUE"""),"BLUE")</f>
        <v>BLUE</v>
      </c>
      <c r="G6575" s="20" t="str">
        <f>IFERROR(__xludf.DUMMYFUNCTION("""COMPUTED_VALUE"""),"Uncle Sams Cider (11/12/2021) (Blue)")</f>
        <v>Uncle Sams Cider (11/12/2021) (Blue)</v>
      </c>
      <c r="H6575" s="19"/>
    </row>
    <row r="6576">
      <c r="A6576" s="9"/>
      <c r="B6576" s="15"/>
      <c r="C6576" s="9">
        <f>IFERROR(__xludf.DUMMYFUNCTION("""COMPUTED_VALUE"""),44536.1613499884)</f>
        <v>44536.16135</v>
      </c>
      <c r="D6576" s="15">
        <f>IFERROR(__xludf.DUMMYFUNCTION("""COMPUTED_VALUE"""),1.022)</f>
        <v>1.022</v>
      </c>
      <c r="E6576" s="16">
        <f>IFERROR(__xludf.DUMMYFUNCTION("""COMPUTED_VALUE"""),64.0)</f>
        <v>64</v>
      </c>
      <c r="F6576" s="19" t="str">
        <f>IFERROR(__xludf.DUMMYFUNCTION("""COMPUTED_VALUE"""),"BLUE")</f>
        <v>BLUE</v>
      </c>
      <c r="G6576" s="20" t="str">
        <f>IFERROR(__xludf.DUMMYFUNCTION("""COMPUTED_VALUE"""),"Uncle Sams Cider (11/12/2021) (Blue)")</f>
        <v>Uncle Sams Cider (11/12/2021) (Blue)</v>
      </c>
      <c r="H6576" s="19"/>
    </row>
    <row r="6577">
      <c r="A6577" s="9"/>
      <c r="B6577" s="15"/>
      <c r="C6577" s="9">
        <f>IFERROR(__xludf.DUMMYFUNCTION("""COMPUTED_VALUE"""),44536.1509295717)</f>
        <v>44536.15093</v>
      </c>
      <c r="D6577" s="15">
        <f>IFERROR(__xludf.DUMMYFUNCTION("""COMPUTED_VALUE"""),1.022)</f>
        <v>1.022</v>
      </c>
      <c r="E6577" s="16">
        <f>IFERROR(__xludf.DUMMYFUNCTION("""COMPUTED_VALUE"""),64.0)</f>
        <v>64</v>
      </c>
      <c r="F6577" s="19" t="str">
        <f>IFERROR(__xludf.DUMMYFUNCTION("""COMPUTED_VALUE"""),"BLUE")</f>
        <v>BLUE</v>
      </c>
      <c r="G6577" s="20" t="str">
        <f>IFERROR(__xludf.DUMMYFUNCTION("""COMPUTED_VALUE"""),"Uncle Sams Cider (11/12/2021) (Blue)")</f>
        <v>Uncle Sams Cider (11/12/2021) (Blue)</v>
      </c>
      <c r="H6577" s="19"/>
    </row>
    <row r="6578">
      <c r="A6578" s="9"/>
      <c r="B6578" s="15"/>
      <c r="C6578" s="9">
        <f>IFERROR(__xludf.DUMMYFUNCTION("""COMPUTED_VALUE"""),44536.1405073958)</f>
        <v>44536.14051</v>
      </c>
      <c r="D6578" s="15">
        <f>IFERROR(__xludf.DUMMYFUNCTION("""COMPUTED_VALUE"""),1.022)</f>
        <v>1.022</v>
      </c>
      <c r="E6578" s="16">
        <f>IFERROR(__xludf.DUMMYFUNCTION("""COMPUTED_VALUE"""),64.0)</f>
        <v>64</v>
      </c>
      <c r="F6578" s="19" t="str">
        <f>IFERROR(__xludf.DUMMYFUNCTION("""COMPUTED_VALUE"""),"BLUE")</f>
        <v>BLUE</v>
      </c>
      <c r="G6578" s="20" t="str">
        <f>IFERROR(__xludf.DUMMYFUNCTION("""COMPUTED_VALUE"""),"Uncle Sams Cider (11/12/2021) (Blue)")</f>
        <v>Uncle Sams Cider (11/12/2021) (Blue)</v>
      </c>
      <c r="H6578" s="19"/>
    </row>
    <row r="6579">
      <c r="A6579" s="9"/>
      <c r="B6579" s="15"/>
      <c r="C6579" s="9">
        <f>IFERROR(__xludf.DUMMYFUNCTION("""COMPUTED_VALUE"""),44536.1300871527)</f>
        <v>44536.13009</v>
      </c>
      <c r="D6579" s="15">
        <f>IFERROR(__xludf.DUMMYFUNCTION("""COMPUTED_VALUE"""),1.022)</f>
        <v>1.022</v>
      </c>
      <c r="E6579" s="16">
        <f>IFERROR(__xludf.DUMMYFUNCTION("""COMPUTED_VALUE"""),64.0)</f>
        <v>64</v>
      </c>
      <c r="F6579" s="19" t="str">
        <f>IFERROR(__xludf.DUMMYFUNCTION("""COMPUTED_VALUE"""),"BLUE")</f>
        <v>BLUE</v>
      </c>
      <c r="G6579" s="20" t="str">
        <f>IFERROR(__xludf.DUMMYFUNCTION("""COMPUTED_VALUE"""),"Uncle Sams Cider (11/12/2021) (Blue)")</f>
        <v>Uncle Sams Cider (11/12/2021) (Blue)</v>
      </c>
      <c r="H6579" s="19"/>
    </row>
    <row r="6580">
      <c r="A6580" s="9"/>
      <c r="B6580" s="15"/>
      <c r="C6580" s="9">
        <f>IFERROR(__xludf.DUMMYFUNCTION("""COMPUTED_VALUE"""),44536.1196668287)</f>
        <v>44536.11967</v>
      </c>
      <c r="D6580" s="15">
        <f>IFERROR(__xludf.DUMMYFUNCTION("""COMPUTED_VALUE"""),1.022)</f>
        <v>1.022</v>
      </c>
      <c r="E6580" s="16">
        <f>IFERROR(__xludf.DUMMYFUNCTION("""COMPUTED_VALUE"""),64.0)</f>
        <v>64</v>
      </c>
      <c r="F6580" s="19" t="str">
        <f>IFERROR(__xludf.DUMMYFUNCTION("""COMPUTED_VALUE"""),"BLUE")</f>
        <v>BLUE</v>
      </c>
      <c r="G6580" s="20" t="str">
        <f>IFERROR(__xludf.DUMMYFUNCTION("""COMPUTED_VALUE"""),"Uncle Sams Cider (11/12/2021) (Blue)")</f>
        <v>Uncle Sams Cider (11/12/2021) (Blue)</v>
      </c>
      <c r="H6580" s="19"/>
    </row>
    <row r="6581">
      <c r="A6581" s="9"/>
      <c r="B6581" s="15"/>
      <c r="C6581" s="9">
        <f>IFERROR(__xludf.DUMMYFUNCTION("""COMPUTED_VALUE"""),44536.109245405)</f>
        <v>44536.10925</v>
      </c>
      <c r="D6581" s="15">
        <f>IFERROR(__xludf.DUMMYFUNCTION("""COMPUTED_VALUE"""),1.022)</f>
        <v>1.022</v>
      </c>
      <c r="E6581" s="16">
        <f>IFERROR(__xludf.DUMMYFUNCTION("""COMPUTED_VALUE"""),64.0)</f>
        <v>64</v>
      </c>
      <c r="F6581" s="19" t="str">
        <f>IFERROR(__xludf.DUMMYFUNCTION("""COMPUTED_VALUE"""),"BLUE")</f>
        <v>BLUE</v>
      </c>
      <c r="G6581" s="20" t="str">
        <f>IFERROR(__xludf.DUMMYFUNCTION("""COMPUTED_VALUE"""),"Uncle Sams Cider (11/12/2021) (Blue)")</f>
        <v>Uncle Sams Cider (11/12/2021) (Blue)</v>
      </c>
      <c r="H6581" s="19"/>
    </row>
    <row r="6582">
      <c r="A6582" s="9"/>
      <c r="B6582" s="15"/>
      <c r="C6582" s="9">
        <f>IFERROR(__xludf.DUMMYFUNCTION("""COMPUTED_VALUE"""),44536.0988244328)</f>
        <v>44536.09882</v>
      </c>
      <c r="D6582" s="15">
        <f>IFERROR(__xludf.DUMMYFUNCTION("""COMPUTED_VALUE"""),1.022)</f>
        <v>1.022</v>
      </c>
      <c r="E6582" s="16">
        <f>IFERROR(__xludf.DUMMYFUNCTION("""COMPUTED_VALUE"""),64.0)</f>
        <v>64</v>
      </c>
      <c r="F6582" s="19" t="str">
        <f>IFERROR(__xludf.DUMMYFUNCTION("""COMPUTED_VALUE"""),"BLUE")</f>
        <v>BLUE</v>
      </c>
      <c r="G6582" s="20" t="str">
        <f>IFERROR(__xludf.DUMMYFUNCTION("""COMPUTED_VALUE"""),"Uncle Sams Cider (11/12/2021) (Blue)")</f>
        <v>Uncle Sams Cider (11/12/2021) (Blue)</v>
      </c>
      <c r="H6582" s="19"/>
    </row>
    <row r="6583">
      <c r="A6583" s="9"/>
      <c r="B6583" s="15"/>
      <c r="C6583" s="9">
        <f>IFERROR(__xludf.DUMMYFUNCTION("""COMPUTED_VALUE"""),44536.0884028588)</f>
        <v>44536.0884</v>
      </c>
      <c r="D6583" s="15">
        <f>IFERROR(__xludf.DUMMYFUNCTION("""COMPUTED_VALUE"""),1.022)</f>
        <v>1.022</v>
      </c>
      <c r="E6583" s="16">
        <f>IFERROR(__xludf.DUMMYFUNCTION("""COMPUTED_VALUE"""),64.0)</f>
        <v>64</v>
      </c>
      <c r="F6583" s="19" t="str">
        <f>IFERROR(__xludf.DUMMYFUNCTION("""COMPUTED_VALUE"""),"BLUE")</f>
        <v>BLUE</v>
      </c>
      <c r="G6583" s="20" t="str">
        <f>IFERROR(__xludf.DUMMYFUNCTION("""COMPUTED_VALUE"""),"Uncle Sams Cider (11/12/2021) (Blue)")</f>
        <v>Uncle Sams Cider (11/12/2021) (Blue)</v>
      </c>
      <c r="H6583" s="19"/>
    </row>
    <row r="6584">
      <c r="A6584" s="9"/>
      <c r="B6584" s="15"/>
      <c r="C6584" s="9">
        <f>IFERROR(__xludf.DUMMYFUNCTION("""COMPUTED_VALUE"""),44536.077981331)</f>
        <v>44536.07798</v>
      </c>
      <c r="D6584" s="15">
        <f>IFERROR(__xludf.DUMMYFUNCTION("""COMPUTED_VALUE"""),1.022)</f>
        <v>1.022</v>
      </c>
      <c r="E6584" s="16">
        <f>IFERROR(__xludf.DUMMYFUNCTION("""COMPUTED_VALUE"""),64.0)</f>
        <v>64</v>
      </c>
      <c r="F6584" s="19" t="str">
        <f>IFERROR(__xludf.DUMMYFUNCTION("""COMPUTED_VALUE"""),"BLUE")</f>
        <v>BLUE</v>
      </c>
      <c r="G6584" s="20" t="str">
        <f>IFERROR(__xludf.DUMMYFUNCTION("""COMPUTED_VALUE"""),"Uncle Sams Cider (11/12/2021) (Blue)")</f>
        <v>Uncle Sams Cider (11/12/2021) (Blue)</v>
      </c>
      <c r="H6584" s="19"/>
    </row>
    <row r="6585">
      <c r="A6585" s="9"/>
      <c r="B6585" s="15"/>
      <c r="C6585" s="9">
        <f>IFERROR(__xludf.DUMMYFUNCTION("""COMPUTED_VALUE"""),44536.0675613541)</f>
        <v>44536.06756</v>
      </c>
      <c r="D6585" s="15">
        <f>IFERROR(__xludf.DUMMYFUNCTION("""COMPUTED_VALUE"""),1.022)</f>
        <v>1.022</v>
      </c>
      <c r="E6585" s="16">
        <f>IFERROR(__xludf.DUMMYFUNCTION("""COMPUTED_VALUE"""),64.0)</f>
        <v>64</v>
      </c>
      <c r="F6585" s="19" t="str">
        <f>IFERROR(__xludf.DUMMYFUNCTION("""COMPUTED_VALUE"""),"BLUE")</f>
        <v>BLUE</v>
      </c>
      <c r="G6585" s="20" t="str">
        <f>IFERROR(__xludf.DUMMYFUNCTION("""COMPUTED_VALUE"""),"Uncle Sams Cider (11/12/2021) (Blue)")</f>
        <v>Uncle Sams Cider (11/12/2021) (Blue)</v>
      </c>
      <c r="H6585" s="19"/>
    </row>
    <row r="6586">
      <c r="A6586" s="9"/>
      <c r="B6586" s="15"/>
      <c r="C6586" s="9">
        <f>IFERROR(__xludf.DUMMYFUNCTION("""COMPUTED_VALUE"""),44536.0571390393)</f>
        <v>44536.05714</v>
      </c>
      <c r="D6586" s="15">
        <f>IFERROR(__xludf.DUMMYFUNCTION("""COMPUTED_VALUE"""),1.022)</f>
        <v>1.022</v>
      </c>
      <c r="E6586" s="16">
        <f>IFERROR(__xludf.DUMMYFUNCTION("""COMPUTED_VALUE"""),64.0)</f>
        <v>64</v>
      </c>
      <c r="F6586" s="19" t="str">
        <f>IFERROR(__xludf.DUMMYFUNCTION("""COMPUTED_VALUE"""),"BLUE")</f>
        <v>BLUE</v>
      </c>
      <c r="G6586" s="20" t="str">
        <f>IFERROR(__xludf.DUMMYFUNCTION("""COMPUTED_VALUE"""),"Uncle Sams Cider (11/12/2021) (Blue)")</f>
        <v>Uncle Sams Cider (11/12/2021) (Blue)</v>
      </c>
      <c r="H6586" s="19"/>
    </row>
    <row r="6587">
      <c r="A6587" s="9"/>
      <c r="B6587" s="15"/>
      <c r="C6587" s="9">
        <f>IFERROR(__xludf.DUMMYFUNCTION("""COMPUTED_VALUE"""),44536.0467178703)</f>
        <v>44536.04672</v>
      </c>
      <c r="D6587" s="15">
        <f>IFERROR(__xludf.DUMMYFUNCTION("""COMPUTED_VALUE"""),1.022)</f>
        <v>1.022</v>
      </c>
      <c r="E6587" s="16">
        <f>IFERROR(__xludf.DUMMYFUNCTION("""COMPUTED_VALUE"""),64.0)</f>
        <v>64</v>
      </c>
      <c r="F6587" s="19" t="str">
        <f>IFERROR(__xludf.DUMMYFUNCTION("""COMPUTED_VALUE"""),"BLUE")</f>
        <v>BLUE</v>
      </c>
      <c r="G6587" s="20" t="str">
        <f>IFERROR(__xludf.DUMMYFUNCTION("""COMPUTED_VALUE"""),"Uncle Sams Cider (11/12/2021) (Blue)")</f>
        <v>Uncle Sams Cider (11/12/2021) (Blue)</v>
      </c>
      <c r="H6587" s="19"/>
    </row>
    <row r="6588">
      <c r="A6588" s="9"/>
      <c r="B6588" s="15"/>
      <c r="C6588" s="9">
        <f>IFERROR(__xludf.DUMMYFUNCTION("""COMPUTED_VALUE"""),44536.0362867013)</f>
        <v>44536.03629</v>
      </c>
      <c r="D6588" s="15">
        <f>IFERROR(__xludf.DUMMYFUNCTION("""COMPUTED_VALUE"""),1.023)</f>
        <v>1.023</v>
      </c>
      <c r="E6588" s="16">
        <f>IFERROR(__xludf.DUMMYFUNCTION("""COMPUTED_VALUE"""),64.0)</f>
        <v>64</v>
      </c>
      <c r="F6588" s="19" t="str">
        <f>IFERROR(__xludf.DUMMYFUNCTION("""COMPUTED_VALUE"""),"BLUE")</f>
        <v>BLUE</v>
      </c>
      <c r="G6588" s="20" t="str">
        <f>IFERROR(__xludf.DUMMYFUNCTION("""COMPUTED_VALUE"""),"Uncle Sams Cider (11/12/2021) (Blue)")</f>
        <v>Uncle Sams Cider (11/12/2021) (Blue)</v>
      </c>
      <c r="H6588" s="19"/>
    </row>
    <row r="6589">
      <c r="A6589" s="9"/>
      <c r="B6589" s="15"/>
      <c r="C6589" s="9">
        <f>IFERROR(__xludf.DUMMYFUNCTION("""COMPUTED_VALUE"""),44536.0258639699)</f>
        <v>44536.02586</v>
      </c>
      <c r="D6589" s="15">
        <f>IFERROR(__xludf.DUMMYFUNCTION("""COMPUTED_VALUE"""),1.022)</f>
        <v>1.022</v>
      </c>
      <c r="E6589" s="16">
        <f>IFERROR(__xludf.DUMMYFUNCTION("""COMPUTED_VALUE"""),64.0)</f>
        <v>64</v>
      </c>
      <c r="F6589" s="19" t="str">
        <f>IFERROR(__xludf.DUMMYFUNCTION("""COMPUTED_VALUE"""),"BLUE")</f>
        <v>BLUE</v>
      </c>
      <c r="G6589" s="20" t="str">
        <f>IFERROR(__xludf.DUMMYFUNCTION("""COMPUTED_VALUE"""),"Uncle Sams Cider (11/12/2021) (Blue)")</f>
        <v>Uncle Sams Cider (11/12/2021) (Blue)</v>
      </c>
      <c r="H6589" s="19"/>
    </row>
    <row r="6590">
      <c r="A6590" s="9"/>
      <c r="B6590" s="15"/>
      <c r="C6590" s="9">
        <f>IFERROR(__xludf.DUMMYFUNCTION("""COMPUTED_VALUE"""),44536.0154427083)</f>
        <v>44536.01544</v>
      </c>
      <c r="D6590" s="15">
        <f>IFERROR(__xludf.DUMMYFUNCTION("""COMPUTED_VALUE"""),1.023)</f>
        <v>1.023</v>
      </c>
      <c r="E6590" s="16">
        <f>IFERROR(__xludf.DUMMYFUNCTION("""COMPUTED_VALUE"""),64.0)</f>
        <v>64</v>
      </c>
      <c r="F6590" s="19" t="str">
        <f>IFERROR(__xludf.DUMMYFUNCTION("""COMPUTED_VALUE"""),"BLUE")</f>
        <v>BLUE</v>
      </c>
      <c r="G6590" s="20" t="str">
        <f>IFERROR(__xludf.DUMMYFUNCTION("""COMPUTED_VALUE"""),"Uncle Sams Cider (11/12/2021) (Blue)")</f>
        <v>Uncle Sams Cider (11/12/2021) (Blue)</v>
      </c>
      <c r="H6590" s="19"/>
    </row>
    <row r="6591">
      <c r="A6591" s="9"/>
      <c r="B6591" s="15"/>
      <c r="C6591" s="9">
        <f>IFERROR(__xludf.DUMMYFUNCTION("""COMPUTED_VALUE"""),44536.0050215625)</f>
        <v>44536.00502</v>
      </c>
      <c r="D6591" s="15">
        <f>IFERROR(__xludf.DUMMYFUNCTION("""COMPUTED_VALUE"""),1.022)</f>
        <v>1.022</v>
      </c>
      <c r="E6591" s="16">
        <f>IFERROR(__xludf.DUMMYFUNCTION("""COMPUTED_VALUE"""),64.0)</f>
        <v>64</v>
      </c>
      <c r="F6591" s="19" t="str">
        <f>IFERROR(__xludf.DUMMYFUNCTION("""COMPUTED_VALUE"""),"BLUE")</f>
        <v>BLUE</v>
      </c>
      <c r="G6591" s="20" t="str">
        <f>IFERROR(__xludf.DUMMYFUNCTION("""COMPUTED_VALUE"""),"Uncle Sams Cider (11/12/2021) (Blue)")</f>
        <v>Uncle Sams Cider (11/12/2021) (Blue)</v>
      </c>
      <c r="H6591" s="19"/>
    </row>
    <row r="6592">
      <c r="A6592" s="9"/>
      <c r="B6592" s="15"/>
      <c r="C6592" s="9">
        <f>IFERROR(__xludf.DUMMYFUNCTION("""COMPUTED_VALUE"""),44535.9946006481)</f>
        <v>44535.9946</v>
      </c>
      <c r="D6592" s="15">
        <f>IFERROR(__xludf.DUMMYFUNCTION("""COMPUTED_VALUE"""),1.022)</f>
        <v>1.022</v>
      </c>
      <c r="E6592" s="16">
        <f>IFERROR(__xludf.DUMMYFUNCTION("""COMPUTED_VALUE"""),64.0)</f>
        <v>64</v>
      </c>
      <c r="F6592" s="19" t="str">
        <f>IFERROR(__xludf.DUMMYFUNCTION("""COMPUTED_VALUE"""),"BLUE")</f>
        <v>BLUE</v>
      </c>
      <c r="G6592" s="20" t="str">
        <f>IFERROR(__xludf.DUMMYFUNCTION("""COMPUTED_VALUE"""),"Uncle Sams Cider (11/12/2021) (Blue)")</f>
        <v>Uncle Sams Cider (11/12/2021) (Blue)</v>
      </c>
      <c r="H6592" s="19"/>
    </row>
    <row r="6593">
      <c r="A6593" s="9"/>
      <c r="B6593" s="15"/>
      <c r="C6593" s="9">
        <f>IFERROR(__xludf.DUMMYFUNCTION("""COMPUTED_VALUE"""),44535.9841816666)</f>
        <v>44535.98418</v>
      </c>
      <c r="D6593" s="15">
        <f>IFERROR(__xludf.DUMMYFUNCTION("""COMPUTED_VALUE"""),1.022)</f>
        <v>1.022</v>
      </c>
      <c r="E6593" s="16">
        <f>IFERROR(__xludf.DUMMYFUNCTION("""COMPUTED_VALUE"""),64.0)</f>
        <v>64</v>
      </c>
      <c r="F6593" s="19" t="str">
        <f>IFERROR(__xludf.DUMMYFUNCTION("""COMPUTED_VALUE"""),"BLUE")</f>
        <v>BLUE</v>
      </c>
      <c r="G6593" s="20" t="str">
        <f>IFERROR(__xludf.DUMMYFUNCTION("""COMPUTED_VALUE"""),"Uncle Sams Cider (11/12/2021) (Blue)")</f>
        <v>Uncle Sams Cider (11/12/2021) (Blue)</v>
      </c>
      <c r="H6593" s="19"/>
    </row>
    <row r="6594">
      <c r="A6594" s="9"/>
      <c r="B6594" s="15"/>
      <c r="C6594" s="9">
        <f>IFERROR(__xludf.DUMMYFUNCTION("""COMPUTED_VALUE"""),44535.973748287)</f>
        <v>44535.97375</v>
      </c>
      <c r="D6594" s="15">
        <f>IFERROR(__xludf.DUMMYFUNCTION("""COMPUTED_VALUE"""),1.023)</f>
        <v>1.023</v>
      </c>
      <c r="E6594" s="16">
        <f>IFERROR(__xludf.DUMMYFUNCTION("""COMPUTED_VALUE"""),64.0)</f>
        <v>64</v>
      </c>
      <c r="F6594" s="19" t="str">
        <f>IFERROR(__xludf.DUMMYFUNCTION("""COMPUTED_VALUE"""),"BLUE")</f>
        <v>BLUE</v>
      </c>
      <c r="G6594" s="20" t="str">
        <f>IFERROR(__xludf.DUMMYFUNCTION("""COMPUTED_VALUE"""),"Uncle Sams Cider (11/12/2021) (Blue)")</f>
        <v>Uncle Sams Cider (11/12/2021) (Blue)</v>
      </c>
      <c r="H6594" s="19"/>
    </row>
    <row r="6595">
      <c r="A6595" s="9"/>
      <c r="B6595" s="15"/>
      <c r="C6595" s="9">
        <f>IFERROR(__xludf.DUMMYFUNCTION("""COMPUTED_VALUE"""),44535.9633275347)</f>
        <v>44535.96333</v>
      </c>
      <c r="D6595" s="15">
        <f>IFERROR(__xludf.DUMMYFUNCTION("""COMPUTED_VALUE"""),1.023)</f>
        <v>1.023</v>
      </c>
      <c r="E6595" s="16">
        <f>IFERROR(__xludf.DUMMYFUNCTION("""COMPUTED_VALUE"""),64.0)</f>
        <v>64</v>
      </c>
      <c r="F6595" s="19" t="str">
        <f>IFERROR(__xludf.DUMMYFUNCTION("""COMPUTED_VALUE"""),"BLUE")</f>
        <v>BLUE</v>
      </c>
      <c r="G6595" s="20" t="str">
        <f>IFERROR(__xludf.DUMMYFUNCTION("""COMPUTED_VALUE"""),"Uncle Sams Cider (11/12/2021) (Blue)")</f>
        <v>Uncle Sams Cider (11/12/2021) (Blue)</v>
      </c>
      <c r="H6595" s="19"/>
    </row>
    <row r="6596">
      <c r="A6596" s="9"/>
      <c r="B6596" s="15"/>
      <c r="C6596" s="9">
        <f>IFERROR(__xludf.DUMMYFUNCTION("""COMPUTED_VALUE"""),44535.9529067939)</f>
        <v>44535.95291</v>
      </c>
      <c r="D6596" s="15">
        <f>IFERROR(__xludf.DUMMYFUNCTION("""COMPUTED_VALUE"""),1.023)</f>
        <v>1.023</v>
      </c>
      <c r="E6596" s="16">
        <f>IFERROR(__xludf.DUMMYFUNCTION("""COMPUTED_VALUE"""),64.0)</f>
        <v>64</v>
      </c>
      <c r="F6596" s="19" t="str">
        <f>IFERROR(__xludf.DUMMYFUNCTION("""COMPUTED_VALUE"""),"BLUE")</f>
        <v>BLUE</v>
      </c>
      <c r="G6596" s="20" t="str">
        <f>IFERROR(__xludf.DUMMYFUNCTION("""COMPUTED_VALUE"""),"Uncle Sams Cider (11/12/2021) (Blue)")</f>
        <v>Uncle Sams Cider (11/12/2021) (Blue)</v>
      </c>
      <c r="H6596" s="19"/>
    </row>
    <row r="6597">
      <c r="A6597" s="9"/>
      <c r="B6597" s="15"/>
      <c r="C6597" s="9">
        <f>IFERROR(__xludf.DUMMYFUNCTION("""COMPUTED_VALUE"""),44535.9424878124)</f>
        <v>44535.94249</v>
      </c>
      <c r="D6597" s="15">
        <f>IFERROR(__xludf.DUMMYFUNCTION("""COMPUTED_VALUE"""),1.023)</f>
        <v>1.023</v>
      </c>
      <c r="E6597" s="16">
        <f>IFERROR(__xludf.DUMMYFUNCTION("""COMPUTED_VALUE"""),64.0)</f>
        <v>64</v>
      </c>
      <c r="F6597" s="19" t="str">
        <f>IFERROR(__xludf.DUMMYFUNCTION("""COMPUTED_VALUE"""),"BLUE")</f>
        <v>BLUE</v>
      </c>
      <c r="G6597" s="20" t="str">
        <f>IFERROR(__xludf.DUMMYFUNCTION("""COMPUTED_VALUE"""),"Uncle Sams Cider (11/12/2021) (Blue)")</f>
        <v>Uncle Sams Cider (11/12/2021) (Blue)</v>
      </c>
      <c r="H6597" s="19"/>
    </row>
    <row r="6598">
      <c r="A6598" s="9"/>
      <c r="B6598" s="15"/>
      <c r="C6598" s="9">
        <f>IFERROR(__xludf.DUMMYFUNCTION("""COMPUTED_VALUE"""),44535.9320669328)</f>
        <v>44535.93207</v>
      </c>
      <c r="D6598" s="15">
        <f>IFERROR(__xludf.DUMMYFUNCTION("""COMPUTED_VALUE"""),1.023)</f>
        <v>1.023</v>
      </c>
      <c r="E6598" s="16">
        <f>IFERROR(__xludf.DUMMYFUNCTION("""COMPUTED_VALUE"""),64.0)</f>
        <v>64</v>
      </c>
      <c r="F6598" s="19" t="str">
        <f>IFERROR(__xludf.DUMMYFUNCTION("""COMPUTED_VALUE"""),"BLUE")</f>
        <v>BLUE</v>
      </c>
      <c r="G6598" s="20" t="str">
        <f>IFERROR(__xludf.DUMMYFUNCTION("""COMPUTED_VALUE"""),"Uncle Sams Cider (11/12/2021) (Blue)")</f>
        <v>Uncle Sams Cider (11/12/2021) (Blue)</v>
      </c>
      <c r="H6598" s="19"/>
    </row>
    <row r="6599">
      <c r="A6599" s="9"/>
      <c r="B6599" s="15"/>
      <c r="C6599" s="9">
        <f>IFERROR(__xludf.DUMMYFUNCTION("""COMPUTED_VALUE"""),44535.9216461805)</f>
        <v>44535.92165</v>
      </c>
      <c r="D6599" s="15">
        <f>IFERROR(__xludf.DUMMYFUNCTION("""COMPUTED_VALUE"""),1.023)</f>
        <v>1.023</v>
      </c>
      <c r="E6599" s="16">
        <f>IFERROR(__xludf.DUMMYFUNCTION("""COMPUTED_VALUE"""),64.0)</f>
        <v>64</v>
      </c>
      <c r="F6599" s="19" t="str">
        <f>IFERROR(__xludf.DUMMYFUNCTION("""COMPUTED_VALUE"""),"BLUE")</f>
        <v>BLUE</v>
      </c>
      <c r="G6599" s="20" t="str">
        <f>IFERROR(__xludf.DUMMYFUNCTION("""COMPUTED_VALUE"""),"Uncle Sams Cider (11/12/2021) (Blue)")</f>
        <v>Uncle Sams Cider (11/12/2021) (Blue)</v>
      </c>
      <c r="H6599" s="19"/>
    </row>
    <row r="6600">
      <c r="A6600" s="9"/>
      <c r="B6600" s="15"/>
      <c r="C6600" s="9">
        <f>IFERROR(__xludf.DUMMYFUNCTION("""COMPUTED_VALUE"""),44535.9112245023)</f>
        <v>44535.91122</v>
      </c>
      <c r="D6600" s="15">
        <f>IFERROR(__xludf.DUMMYFUNCTION("""COMPUTED_VALUE"""),1.023)</f>
        <v>1.023</v>
      </c>
      <c r="E6600" s="16">
        <f>IFERROR(__xludf.DUMMYFUNCTION("""COMPUTED_VALUE"""),64.0)</f>
        <v>64</v>
      </c>
      <c r="F6600" s="19" t="str">
        <f>IFERROR(__xludf.DUMMYFUNCTION("""COMPUTED_VALUE"""),"BLUE")</f>
        <v>BLUE</v>
      </c>
      <c r="G6600" s="20" t="str">
        <f>IFERROR(__xludf.DUMMYFUNCTION("""COMPUTED_VALUE"""),"Uncle Sams Cider (11/12/2021) (Blue)")</f>
        <v>Uncle Sams Cider (11/12/2021) (Blue)</v>
      </c>
      <c r="H6600" s="19"/>
    </row>
    <row r="6601">
      <c r="A6601" s="9"/>
      <c r="B6601" s="15"/>
      <c r="C6601" s="9">
        <f>IFERROR(__xludf.DUMMYFUNCTION("""COMPUTED_VALUE"""),44535.9007923032)</f>
        <v>44535.90079</v>
      </c>
      <c r="D6601" s="15">
        <f>IFERROR(__xludf.DUMMYFUNCTION("""COMPUTED_VALUE"""),1.023)</f>
        <v>1.023</v>
      </c>
      <c r="E6601" s="16">
        <f>IFERROR(__xludf.DUMMYFUNCTION("""COMPUTED_VALUE"""),64.0)</f>
        <v>64</v>
      </c>
      <c r="F6601" s="19" t="str">
        <f>IFERROR(__xludf.DUMMYFUNCTION("""COMPUTED_VALUE"""),"BLUE")</f>
        <v>BLUE</v>
      </c>
      <c r="G6601" s="20" t="str">
        <f>IFERROR(__xludf.DUMMYFUNCTION("""COMPUTED_VALUE"""),"Uncle Sams Cider (11/12/2021) (Blue)")</f>
        <v>Uncle Sams Cider (11/12/2021) (Blue)</v>
      </c>
      <c r="H6601" s="19"/>
    </row>
    <row r="6602">
      <c r="A6602" s="9"/>
      <c r="B6602" s="15"/>
      <c r="C6602" s="9">
        <f>IFERROR(__xludf.DUMMYFUNCTION("""COMPUTED_VALUE"""),44535.8903715972)</f>
        <v>44535.89037</v>
      </c>
      <c r="D6602" s="15">
        <f>IFERROR(__xludf.DUMMYFUNCTION("""COMPUTED_VALUE"""),1.023)</f>
        <v>1.023</v>
      </c>
      <c r="E6602" s="16">
        <f>IFERROR(__xludf.DUMMYFUNCTION("""COMPUTED_VALUE"""),64.0)</f>
        <v>64</v>
      </c>
      <c r="F6602" s="19" t="str">
        <f>IFERROR(__xludf.DUMMYFUNCTION("""COMPUTED_VALUE"""),"BLUE")</f>
        <v>BLUE</v>
      </c>
      <c r="G6602" s="20" t="str">
        <f>IFERROR(__xludf.DUMMYFUNCTION("""COMPUTED_VALUE"""),"Uncle Sams Cider (11/12/2021) (Blue)")</f>
        <v>Uncle Sams Cider (11/12/2021) (Blue)</v>
      </c>
      <c r="H6602" s="19"/>
    </row>
    <row r="6603">
      <c r="A6603" s="9"/>
      <c r="B6603" s="15"/>
      <c r="C6603" s="9">
        <f>IFERROR(__xludf.DUMMYFUNCTION("""COMPUTED_VALUE"""),44535.879937662)</f>
        <v>44535.87994</v>
      </c>
      <c r="D6603" s="15">
        <f>IFERROR(__xludf.DUMMYFUNCTION("""COMPUTED_VALUE"""),1.023)</f>
        <v>1.023</v>
      </c>
      <c r="E6603" s="16">
        <f>IFERROR(__xludf.DUMMYFUNCTION("""COMPUTED_VALUE"""),64.0)</f>
        <v>64</v>
      </c>
      <c r="F6603" s="19" t="str">
        <f>IFERROR(__xludf.DUMMYFUNCTION("""COMPUTED_VALUE"""),"BLUE")</f>
        <v>BLUE</v>
      </c>
      <c r="G6603" s="20" t="str">
        <f>IFERROR(__xludf.DUMMYFUNCTION("""COMPUTED_VALUE"""),"Uncle Sams Cider (11/12/2021) (Blue)")</f>
        <v>Uncle Sams Cider (11/12/2021) (Blue)</v>
      </c>
      <c r="H6603" s="19"/>
    </row>
    <row r="6604">
      <c r="A6604" s="9"/>
      <c r="B6604" s="15"/>
      <c r="C6604" s="9">
        <f>IFERROR(__xludf.DUMMYFUNCTION("""COMPUTED_VALUE"""),44535.8695183101)</f>
        <v>44535.86952</v>
      </c>
      <c r="D6604" s="15">
        <f>IFERROR(__xludf.DUMMYFUNCTION("""COMPUTED_VALUE"""),1.023)</f>
        <v>1.023</v>
      </c>
      <c r="E6604" s="16">
        <f>IFERROR(__xludf.DUMMYFUNCTION("""COMPUTED_VALUE"""),64.0)</f>
        <v>64</v>
      </c>
      <c r="F6604" s="19" t="str">
        <f>IFERROR(__xludf.DUMMYFUNCTION("""COMPUTED_VALUE"""),"BLUE")</f>
        <v>BLUE</v>
      </c>
      <c r="G6604" s="20" t="str">
        <f>IFERROR(__xludf.DUMMYFUNCTION("""COMPUTED_VALUE"""),"Uncle Sams Cider (11/12/2021) (Blue)")</f>
        <v>Uncle Sams Cider (11/12/2021) (Blue)</v>
      </c>
      <c r="H6604" s="19"/>
    </row>
    <row r="6605">
      <c r="A6605" s="9"/>
      <c r="B6605" s="15"/>
      <c r="C6605" s="9">
        <f>IFERROR(__xludf.DUMMYFUNCTION("""COMPUTED_VALUE"""),44535.859097662)</f>
        <v>44535.8591</v>
      </c>
      <c r="D6605" s="15">
        <f>IFERROR(__xludf.DUMMYFUNCTION("""COMPUTED_VALUE"""),1.023)</f>
        <v>1.023</v>
      </c>
      <c r="E6605" s="16">
        <f>IFERROR(__xludf.DUMMYFUNCTION("""COMPUTED_VALUE"""),64.0)</f>
        <v>64</v>
      </c>
      <c r="F6605" s="19" t="str">
        <f>IFERROR(__xludf.DUMMYFUNCTION("""COMPUTED_VALUE"""),"BLUE")</f>
        <v>BLUE</v>
      </c>
      <c r="G6605" s="20" t="str">
        <f>IFERROR(__xludf.DUMMYFUNCTION("""COMPUTED_VALUE"""),"Uncle Sams Cider (11/12/2021) (Blue)")</f>
        <v>Uncle Sams Cider (11/12/2021) (Blue)</v>
      </c>
      <c r="H6605" s="19"/>
    </row>
    <row r="6606">
      <c r="A6606" s="9"/>
      <c r="B6606" s="15"/>
      <c r="C6606" s="9">
        <f>IFERROR(__xludf.DUMMYFUNCTION("""COMPUTED_VALUE"""),44535.8486756134)</f>
        <v>44535.84868</v>
      </c>
      <c r="D6606" s="15">
        <f>IFERROR(__xludf.DUMMYFUNCTION("""COMPUTED_VALUE"""),1.023)</f>
        <v>1.023</v>
      </c>
      <c r="E6606" s="16">
        <f>IFERROR(__xludf.DUMMYFUNCTION("""COMPUTED_VALUE"""),64.0)</f>
        <v>64</v>
      </c>
      <c r="F6606" s="19" t="str">
        <f>IFERROR(__xludf.DUMMYFUNCTION("""COMPUTED_VALUE"""),"BLUE")</f>
        <v>BLUE</v>
      </c>
      <c r="G6606" s="20" t="str">
        <f>IFERROR(__xludf.DUMMYFUNCTION("""COMPUTED_VALUE"""),"Uncle Sams Cider (11/12/2021) (Blue)")</f>
        <v>Uncle Sams Cider (11/12/2021) (Blue)</v>
      </c>
      <c r="H6606" s="19"/>
    </row>
    <row r="6607">
      <c r="A6607" s="9"/>
      <c r="B6607" s="15"/>
      <c r="C6607" s="9">
        <f>IFERROR(__xludf.DUMMYFUNCTION("""COMPUTED_VALUE"""),44535.8382543402)</f>
        <v>44535.83825</v>
      </c>
      <c r="D6607" s="15">
        <f>IFERROR(__xludf.DUMMYFUNCTION("""COMPUTED_VALUE"""),1.023)</f>
        <v>1.023</v>
      </c>
      <c r="E6607" s="16">
        <f>IFERROR(__xludf.DUMMYFUNCTION("""COMPUTED_VALUE"""),64.0)</f>
        <v>64</v>
      </c>
      <c r="F6607" s="19" t="str">
        <f>IFERROR(__xludf.DUMMYFUNCTION("""COMPUTED_VALUE"""),"BLUE")</f>
        <v>BLUE</v>
      </c>
      <c r="G6607" s="20" t="str">
        <f>IFERROR(__xludf.DUMMYFUNCTION("""COMPUTED_VALUE"""),"Uncle Sams Cider (11/12/2021) (Blue)")</f>
        <v>Uncle Sams Cider (11/12/2021) (Blue)</v>
      </c>
      <c r="H6607" s="19"/>
    </row>
    <row r="6608">
      <c r="A6608" s="9"/>
      <c r="B6608" s="15"/>
      <c r="C6608" s="9">
        <f>IFERROR(__xludf.DUMMYFUNCTION("""COMPUTED_VALUE"""),44535.8278330439)</f>
        <v>44535.82783</v>
      </c>
      <c r="D6608" s="15">
        <f>IFERROR(__xludf.DUMMYFUNCTION("""COMPUTED_VALUE"""),1.023)</f>
        <v>1.023</v>
      </c>
      <c r="E6608" s="16">
        <f>IFERROR(__xludf.DUMMYFUNCTION("""COMPUTED_VALUE"""),64.0)</f>
        <v>64</v>
      </c>
      <c r="F6608" s="19" t="str">
        <f>IFERROR(__xludf.DUMMYFUNCTION("""COMPUTED_VALUE"""),"BLUE")</f>
        <v>BLUE</v>
      </c>
      <c r="G6608" s="20" t="str">
        <f>IFERROR(__xludf.DUMMYFUNCTION("""COMPUTED_VALUE"""),"Uncle Sams Cider (11/12/2021) (Blue)")</f>
        <v>Uncle Sams Cider (11/12/2021) (Blue)</v>
      </c>
      <c r="H6608" s="19"/>
    </row>
    <row r="6609">
      <c r="A6609" s="9"/>
      <c r="B6609" s="15"/>
      <c r="C6609" s="9">
        <f>IFERROR(__xludf.DUMMYFUNCTION("""COMPUTED_VALUE"""),44535.8174118865)</f>
        <v>44535.81741</v>
      </c>
      <c r="D6609" s="15">
        <f>IFERROR(__xludf.DUMMYFUNCTION("""COMPUTED_VALUE"""),1.023)</f>
        <v>1.023</v>
      </c>
      <c r="E6609" s="16">
        <f>IFERROR(__xludf.DUMMYFUNCTION("""COMPUTED_VALUE"""),64.0)</f>
        <v>64</v>
      </c>
      <c r="F6609" s="19" t="str">
        <f>IFERROR(__xludf.DUMMYFUNCTION("""COMPUTED_VALUE"""),"BLUE")</f>
        <v>BLUE</v>
      </c>
      <c r="G6609" s="20" t="str">
        <f>IFERROR(__xludf.DUMMYFUNCTION("""COMPUTED_VALUE"""),"Uncle Sams Cider (11/12/2021) (Blue)")</f>
        <v>Uncle Sams Cider (11/12/2021) (Blue)</v>
      </c>
      <c r="H6609" s="19"/>
    </row>
    <row r="6610">
      <c r="A6610" s="9"/>
      <c r="B6610" s="15"/>
      <c r="C6610" s="9">
        <f>IFERROR(__xludf.DUMMYFUNCTION("""COMPUTED_VALUE"""),44535.8069905092)</f>
        <v>44535.80699</v>
      </c>
      <c r="D6610" s="15">
        <f>IFERROR(__xludf.DUMMYFUNCTION("""COMPUTED_VALUE"""),1.023)</f>
        <v>1.023</v>
      </c>
      <c r="E6610" s="16">
        <f>IFERROR(__xludf.DUMMYFUNCTION("""COMPUTED_VALUE"""),64.0)</f>
        <v>64</v>
      </c>
      <c r="F6610" s="19" t="str">
        <f>IFERROR(__xludf.DUMMYFUNCTION("""COMPUTED_VALUE"""),"BLUE")</f>
        <v>BLUE</v>
      </c>
      <c r="G6610" s="20" t="str">
        <f>IFERROR(__xludf.DUMMYFUNCTION("""COMPUTED_VALUE"""),"Uncle Sams Cider (11/12/2021) (Blue)")</f>
        <v>Uncle Sams Cider (11/12/2021) (Blue)</v>
      </c>
      <c r="H6610" s="19"/>
    </row>
    <row r="6611">
      <c r="A6611" s="9"/>
      <c r="B6611" s="15"/>
      <c r="C6611" s="9">
        <f>IFERROR(__xludf.DUMMYFUNCTION("""COMPUTED_VALUE"""),44535.7965703356)</f>
        <v>44535.79657</v>
      </c>
      <c r="D6611" s="15">
        <f>IFERROR(__xludf.DUMMYFUNCTION("""COMPUTED_VALUE"""),1.023)</f>
        <v>1.023</v>
      </c>
      <c r="E6611" s="16">
        <f>IFERROR(__xludf.DUMMYFUNCTION("""COMPUTED_VALUE"""),64.0)</f>
        <v>64</v>
      </c>
      <c r="F6611" s="19" t="str">
        <f>IFERROR(__xludf.DUMMYFUNCTION("""COMPUTED_VALUE"""),"BLUE")</f>
        <v>BLUE</v>
      </c>
      <c r="G6611" s="20" t="str">
        <f>IFERROR(__xludf.DUMMYFUNCTION("""COMPUTED_VALUE"""),"Uncle Sams Cider (11/12/2021) (Blue)")</f>
        <v>Uncle Sams Cider (11/12/2021) (Blue)</v>
      </c>
      <c r="H6611" s="19"/>
    </row>
    <row r="6612">
      <c r="A6612" s="9"/>
      <c r="B6612" s="15"/>
      <c r="C6612" s="9">
        <f>IFERROR(__xludf.DUMMYFUNCTION("""COMPUTED_VALUE"""),44535.786149074)</f>
        <v>44535.78615</v>
      </c>
      <c r="D6612" s="15">
        <f>IFERROR(__xludf.DUMMYFUNCTION("""COMPUTED_VALUE"""),1.023)</f>
        <v>1.023</v>
      </c>
      <c r="E6612" s="16">
        <f>IFERROR(__xludf.DUMMYFUNCTION("""COMPUTED_VALUE"""),64.0)</f>
        <v>64</v>
      </c>
      <c r="F6612" s="19" t="str">
        <f>IFERROR(__xludf.DUMMYFUNCTION("""COMPUTED_VALUE"""),"BLUE")</f>
        <v>BLUE</v>
      </c>
      <c r="G6612" s="20" t="str">
        <f>IFERROR(__xludf.DUMMYFUNCTION("""COMPUTED_VALUE"""),"Uncle Sams Cider (11/12/2021) (Blue)")</f>
        <v>Uncle Sams Cider (11/12/2021) (Blue)</v>
      </c>
      <c r="H6612" s="19"/>
    </row>
    <row r="6613">
      <c r="A6613" s="9"/>
      <c r="B6613" s="15"/>
      <c r="C6613" s="9">
        <f>IFERROR(__xludf.DUMMYFUNCTION("""COMPUTED_VALUE"""),44535.775715243)</f>
        <v>44535.77572</v>
      </c>
      <c r="D6613" s="15">
        <f>IFERROR(__xludf.DUMMYFUNCTION("""COMPUTED_VALUE"""),1.023)</f>
        <v>1.023</v>
      </c>
      <c r="E6613" s="16">
        <f>IFERROR(__xludf.DUMMYFUNCTION("""COMPUTED_VALUE"""),64.0)</f>
        <v>64</v>
      </c>
      <c r="F6613" s="19" t="str">
        <f>IFERROR(__xludf.DUMMYFUNCTION("""COMPUTED_VALUE"""),"BLUE")</f>
        <v>BLUE</v>
      </c>
      <c r="G6613" s="20" t="str">
        <f>IFERROR(__xludf.DUMMYFUNCTION("""COMPUTED_VALUE"""),"Uncle Sams Cider (11/12/2021) (Blue)")</f>
        <v>Uncle Sams Cider (11/12/2021) (Blue)</v>
      </c>
      <c r="H6613" s="19"/>
    </row>
    <row r="6614">
      <c r="A6614" s="9"/>
      <c r="B6614" s="15"/>
      <c r="C6614" s="9">
        <f>IFERROR(__xludf.DUMMYFUNCTION("""COMPUTED_VALUE"""),44535.7652927314)</f>
        <v>44535.76529</v>
      </c>
      <c r="D6614" s="15">
        <f>IFERROR(__xludf.DUMMYFUNCTION("""COMPUTED_VALUE"""),1.023)</f>
        <v>1.023</v>
      </c>
      <c r="E6614" s="16">
        <f>IFERROR(__xludf.DUMMYFUNCTION("""COMPUTED_VALUE"""),64.0)</f>
        <v>64</v>
      </c>
      <c r="F6614" s="19" t="str">
        <f>IFERROR(__xludf.DUMMYFUNCTION("""COMPUTED_VALUE"""),"BLUE")</f>
        <v>BLUE</v>
      </c>
      <c r="G6614" s="20" t="str">
        <f>IFERROR(__xludf.DUMMYFUNCTION("""COMPUTED_VALUE"""),"Uncle Sams Cider (11/12/2021) (Blue)")</f>
        <v>Uncle Sams Cider (11/12/2021) (Blue)</v>
      </c>
      <c r="H6614" s="19"/>
    </row>
    <row r="6615">
      <c r="A6615" s="9"/>
      <c r="B6615" s="15"/>
      <c r="C6615" s="9">
        <f>IFERROR(__xludf.DUMMYFUNCTION("""COMPUTED_VALUE"""),44535.7548576388)</f>
        <v>44535.75486</v>
      </c>
      <c r="D6615" s="15">
        <f>IFERROR(__xludf.DUMMYFUNCTION("""COMPUTED_VALUE"""),1.023)</f>
        <v>1.023</v>
      </c>
      <c r="E6615" s="16">
        <f>IFERROR(__xludf.DUMMYFUNCTION("""COMPUTED_VALUE"""),64.0)</f>
        <v>64</v>
      </c>
      <c r="F6615" s="19" t="str">
        <f>IFERROR(__xludf.DUMMYFUNCTION("""COMPUTED_VALUE"""),"BLUE")</f>
        <v>BLUE</v>
      </c>
      <c r="G6615" s="20" t="str">
        <f>IFERROR(__xludf.DUMMYFUNCTION("""COMPUTED_VALUE"""),"Uncle Sams Cider (11/12/2021) (Blue)")</f>
        <v>Uncle Sams Cider (11/12/2021) (Blue)</v>
      </c>
      <c r="H6615" s="19"/>
    </row>
    <row r="6616">
      <c r="A6616" s="9"/>
      <c r="B6616" s="15"/>
      <c r="C6616" s="9">
        <f>IFERROR(__xludf.DUMMYFUNCTION("""COMPUTED_VALUE"""),44535.7444351157)</f>
        <v>44535.74444</v>
      </c>
      <c r="D6616" s="15">
        <f>IFERROR(__xludf.DUMMYFUNCTION("""COMPUTED_VALUE"""),1.023)</f>
        <v>1.023</v>
      </c>
      <c r="E6616" s="16">
        <f>IFERROR(__xludf.DUMMYFUNCTION("""COMPUTED_VALUE"""),64.0)</f>
        <v>64</v>
      </c>
      <c r="F6616" s="19" t="str">
        <f>IFERROR(__xludf.DUMMYFUNCTION("""COMPUTED_VALUE"""),"BLUE")</f>
        <v>BLUE</v>
      </c>
      <c r="G6616" s="20" t="str">
        <f>IFERROR(__xludf.DUMMYFUNCTION("""COMPUTED_VALUE"""),"Uncle Sams Cider (11/12/2021) (Blue)")</f>
        <v>Uncle Sams Cider (11/12/2021) (Blue)</v>
      </c>
      <c r="H6616" s="19"/>
    </row>
    <row r="6617">
      <c r="A6617" s="9"/>
      <c r="B6617" s="15"/>
      <c r="C6617" s="9">
        <f>IFERROR(__xludf.DUMMYFUNCTION("""COMPUTED_VALUE"""),44535.7340141435)</f>
        <v>44535.73401</v>
      </c>
      <c r="D6617" s="15">
        <f>IFERROR(__xludf.DUMMYFUNCTION("""COMPUTED_VALUE"""),1.023)</f>
        <v>1.023</v>
      </c>
      <c r="E6617" s="16">
        <f>IFERROR(__xludf.DUMMYFUNCTION("""COMPUTED_VALUE"""),64.0)</f>
        <v>64</v>
      </c>
      <c r="F6617" s="19" t="str">
        <f>IFERROR(__xludf.DUMMYFUNCTION("""COMPUTED_VALUE"""),"BLUE")</f>
        <v>BLUE</v>
      </c>
      <c r="G6617" s="20" t="str">
        <f>IFERROR(__xludf.DUMMYFUNCTION("""COMPUTED_VALUE"""),"Uncle Sams Cider (11/12/2021) (Blue)")</f>
        <v>Uncle Sams Cider (11/12/2021) (Blue)</v>
      </c>
      <c r="H6617" s="19"/>
    </row>
    <row r="6618">
      <c r="A6618" s="9"/>
      <c r="B6618" s="15"/>
      <c r="C6618" s="9">
        <f>IFERROR(__xludf.DUMMYFUNCTION("""COMPUTED_VALUE"""),44535.7235949074)</f>
        <v>44535.72359</v>
      </c>
      <c r="D6618" s="15">
        <f>IFERROR(__xludf.DUMMYFUNCTION("""COMPUTED_VALUE"""),1.023)</f>
        <v>1.023</v>
      </c>
      <c r="E6618" s="16">
        <f>IFERROR(__xludf.DUMMYFUNCTION("""COMPUTED_VALUE"""),64.0)</f>
        <v>64</v>
      </c>
      <c r="F6618" s="19" t="str">
        <f>IFERROR(__xludf.DUMMYFUNCTION("""COMPUTED_VALUE"""),"BLUE")</f>
        <v>BLUE</v>
      </c>
      <c r="G6618" s="20" t="str">
        <f>IFERROR(__xludf.DUMMYFUNCTION("""COMPUTED_VALUE"""),"Uncle Sams Cider (11/12/2021) (Blue)")</f>
        <v>Uncle Sams Cider (11/12/2021) (Blue)</v>
      </c>
      <c r="H6618" s="19"/>
    </row>
    <row r="6619">
      <c r="A6619" s="9"/>
      <c r="B6619" s="15"/>
      <c r="C6619" s="9">
        <f>IFERROR(__xludf.DUMMYFUNCTION("""COMPUTED_VALUE"""),44535.713172118)</f>
        <v>44535.71317</v>
      </c>
      <c r="D6619" s="15">
        <f>IFERROR(__xludf.DUMMYFUNCTION("""COMPUTED_VALUE"""),1.023)</f>
        <v>1.023</v>
      </c>
      <c r="E6619" s="16">
        <f>IFERROR(__xludf.DUMMYFUNCTION("""COMPUTED_VALUE"""),64.0)</f>
        <v>64</v>
      </c>
      <c r="F6619" s="19" t="str">
        <f>IFERROR(__xludf.DUMMYFUNCTION("""COMPUTED_VALUE"""),"BLUE")</f>
        <v>BLUE</v>
      </c>
      <c r="G6619" s="20" t="str">
        <f>IFERROR(__xludf.DUMMYFUNCTION("""COMPUTED_VALUE"""),"Uncle Sams Cider (11/12/2021) (Blue)")</f>
        <v>Uncle Sams Cider (11/12/2021) (Blue)</v>
      </c>
      <c r="H6619" s="19"/>
    </row>
    <row r="6620">
      <c r="A6620" s="9"/>
      <c r="B6620" s="15"/>
      <c r="C6620" s="9">
        <f>IFERROR(__xludf.DUMMYFUNCTION("""COMPUTED_VALUE"""),44535.7027395254)</f>
        <v>44535.70274</v>
      </c>
      <c r="D6620" s="15">
        <f>IFERROR(__xludf.DUMMYFUNCTION("""COMPUTED_VALUE"""),1.023)</f>
        <v>1.023</v>
      </c>
      <c r="E6620" s="16">
        <f>IFERROR(__xludf.DUMMYFUNCTION("""COMPUTED_VALUE"""),64.0)</f>
        <v>64</v>
      </c>
      <c r="F6620" s="19" t="str">
        <f>IFERROR(__xludf.DUMMYFUNCTION("""COMPUTED_VALUE"""),"BLUE")</f>
        <v>BLUE</v>
      </c>
      <c r="G6620" s="20" t="str">
        <f>IFERROR(__xludf.DUMMYFUNCTION("""COMPUTED_VALUE"""),"Uncle Sams Cider (11/12/2021) (Blue)")</f>
        <v>Uncle Sams Cider (11/12/2021) (Blue)</v>
      </c>
      <c r="H6620" s="19"/>
    </row>
    <row r="6621">
      <c r="A6621" s="9"/>
      <c r="B6621" s="15"/>
      <c r="C6621" s="9">
        <f>IFERROR(__xludf.DUMMYFUNCTION("""COMPUTED_VALUE"""),44535.6923186111)</f>
        <v>44535.69232</v>
      </c>
      <c r="D6621" s="15">
        <f>IFERROR(__xludf.DUMMYFUNCTION("""COMPUTED_VALUE"""),1.023)</f>
        <v>1.023</v>
      </c>
      <c r="E6621" s="16">
        <f>IFERROR(__xludf.DUMMYFUNCTION("""COMPUTED_VALUE"""),64.0)</f>
        <v>64</v>
      </c>
      <c r="F6621" s="19" t="str">
        <f>IFERROR(__xludf.DUMMYFUNCTION("""COMPUTED_VALUE"""),"BLUE")</f>
        <v>BLUE</v>
      </c>
      <c r="G6621" s="20" t="str">
        <f>IFERROR(__xludf.DUMMYFUNCTION("""COMPUTED_VALUE"""),"Uncle Sams Cider (11/12/2021) (Blue)")</f>
        <v>Uncle Sams Cider (11/12/2021) (Blue)</v>
      </c>
      <c r="H6621" s="19"/>
    </row>
    <row r="6622">
      <c r="A6622" s="9"/>
      <c r="B6622" s="15"/>
      <c r="C6622" s="9">
        <f>IFERROR(__xludf.DUMMYFUNCTION("""COMPUTED_VALUE"""),44535.6818971874)</f>
        <v>44535.6819</v>
      </c>
      <c r="D6622" s="15">
        <f>IFERROR(__xludf.DUMMYFUNCTION("""COMPUTED_VALUE"""),1.023)</f>
        <v>1.023</v>
      </c>
      <c r="E6622" s="16">
        <f>IFERROR(__xludf.DUMMYFUNCTION("""COMPUTED_VALUE"""),64.0)</f>
        <v>64</v>
      </c>
      <c r="F6622" s="19" t="str">
        <f>IFERROR(__xludf.DUMMYFUNCTION("""COMPUTED_VALUE"""),"BLUE")</f>
        <v>BLUE</v>
      </c>
      <c r="G6622" s="20" t="str">
        <f>IFERROR(__xludf.DUMMYFUNCTION("""COMPUTED_VALUE"""),"Uncle Sams Cider (11/12/2021) (Blue)")</f>
        <v>Uncle Sams Cider (11/12/2021) (Blue)</v>
      </c>
      <c r="H6622" s="19"/>
    </row>
    <row r="6623">
      <c r="A6623" s="9"/>
      <c r="B6623" s="15"/>
      <c r="C6623" s="9">
        <f>IFERROR(__xludf.DUMMYFUNCTION("""COMPUTED_VALUE"""),44535.6714759259)</f>
        <v>44535.67148</v>
      </c>
      <c r="D6623" s="15">
        <f>IFERROR(__xludf.DUMMYFUNCTION("""COMPUTED_VALUE"""),1.023)</f>
        <v>1.023</v>
      </c>
      <c r="E6623" s="16">
        <f>IFERROR(__xludf.DUMMYFUNCTION("""COMPUTED_VALUE"""),64.0)</f>
        <v>64</v>
      </c>
      <c r="F6623" s="19" t="str">
        <f>IFERROR(__xludf.DUMMYFUNCTION("""COMPUTED_VALUE"""),"BLUE")</f>
        <v>BLUE</v>
      </c>
      <c r="G6623" s="20" t="str">
        <f>IFERROR(__xludf.DUMMYFUNCTION("""COMPUTED_VALUE"""),"Uncle Sams Cider (11/12/2021) (Blue)")</f>
        <v>Uncle Sams Cider (11/12/2021) (Blue)</v>
      </c>
      <c r="H6623" s="19"/>
    </row>
    <row r="6624">
      <c r="A6624" s="9"/>
      <c r="B6624" s="15"/>
      <c r="C6624" s="9">
        <f>IFERROR(__xludf.DUMMYFUNCTION("""COMPUTED_VALUE"""),44535.6610551273)</f>
        <v>44535.66106</v>
      </c>
      <c r="D6624" s="15">
        <f>IFERROR(__xludf.DUMMYFUNCTION("""COMPUTED_VALUE"""),1.023)</f>
        <v>1.023</v>
      </c>
      <c r="E6624" s="16">
        <f>IFERROR(__xludf.DUMMYFUNCTION("""COMPUTED_VALUE"""),64.0)</f>
        <v>64</v>
      </c>
      <c r="F6624" s="19" t="str">
        <f>IFERROR(__xludf.DUMMYFUNCTION("""COMPUTED_VALUE"""),"BLUE")</f>
        <v>BLUE</v>
      </c>
      <c r="G6624" s="20" t="str">
        <f>IFERROR(__xludf.DUMMYFUNCTION("""COMPUTED_VALUE"""),"Uncle Sams Cider (11/12/2021) (Blue)")</f>
        <v>Uncle Sams Cider (11/12/2021) (Blue)</v>
      </c>
      <c r="H6624" s="19"/>
    </row>
    <row r="6625">
      <c r="A6625" s="9"/>
      <c r="B6625" s="15"/>
      <c r="C6625" s="9">
        <f>IFERROR(__xludf.DUMMYFUNCTION("""COMPUTED_VALUE"""),44535.6506355671)</f>
        <v>44535.65064</v>
      </c>
      <c r="D6625" s="15">
        <f>IFERROR(__xludf.DUMMYFUNCTION("""COMPUTED_VALUE"""),1.023)</f>
        <v>1.023</v>
      </c>
      <c r="E6625" s="16">
        <f>IFERROR(__xludf.DUMMYFUNCTION("""COMPUTED_VALUE"""),64.0)</f>
        <v>64</v>
      </c>
      <c r="F6625" s="19" t="str">
        <f>IFERROR(__xludf.DUMMYFUNCTION("""COMPUTED_VALUE"""),"BLUE")</f>
        <v>BLUE</v>
      </c>
      <c r="G6625" s="20" t="str">
        <f>IFERROR(__xludf.DUMMYFUNCTION("""COMPUTED_VALUE"""),"Uncle Sams Cider (11/12/2021) (Blue)")</f>
        <v>Uncle Sams Cider (11/12/2021) (Blue)</v>
      </c>
      <c r="H6625" s="19"/>
    </row>
    <row r="6626">
      <c r="A6626" s="9"/>
      <c r="B6626" s="15"/>
      <c r="C6626" s="9">
        <f>IFERROR(__xludf.DUMMYFUNCTION("""COMPUTED_VALUE"""),44535.6402152777)</f>
        <v>44535.64022</v>
      </c>
      <c r="D6626" s="15">
        <f>IFERROR(__xludf.DUMMYFUNCTION("""COMPUTED_VALUE"""),1.023)</f>
        <v>1.023</v>
      </c>
      <c r="E6626" s="16">
        <f>IFERROR(__xludf.DUMMYFUNCTION("""COMPUTED_VALUE"""),64.0)</f>
        <v>64</v>
      </c>
      <c r="F6626" s="19" t="str">
        <f>IFERROR(__xludf.DUMMYFUNCTION("""COMPUTED_VALUE"""),"BLUE")</f>
        <v>BLUE</v>
      </c>
      <c r="G6626" s="20" t="str">
        <f>IFERROR(__xludf.DUMMYFUNCTION("""COMPUTED_VALUE"""),"Uncle Sams Cider (11/12/2021) (Blue)")</f>
        <v>Uncle Sams Cider (11/12/2021) (Blue)</v>
      </c>
      <c r="H6626" s="19"/>
    </row>
    <row r="6627">
      <c r="A6627" s="9"/>
      <c r="B6627" s="15"/>
      <c r="C6627" s="9">
        <f>IFERROR(__xludf.DUMMYFUNCTION("""COMPUTED_VALUE"""),44535.6297954398)</f>
        <v>44535.6298</v>
      </c>
      <c r="D6627" s="15">
        <f>IFERROR(__xludf.DUMMYFUNCTION("""COMPUTED_VALUE"""),1.023)</f>
        <v>1.023</v>
      </c>
      <c r="E6627" s="16">
        <f>IFERROR(__xludf.DUMMYFUNCTION("""COMPUTED_VALUE"""),64.0)</f>
        <v>64</v>
      </c>
      <c r="F6627" s="19" t="str">
        <f>IFERROR(__xludf.DUMMYFUNCTION("""COMPUTED_VALUE"""),"BLUE")</f>
        <v>BLUE</v>
      </c>
      <c r="G6627" s="20" t="str">
        <f>IFERROR(__xludf.DUMMYFUNCTION("""COMPUTED_VALUE"""),"Uncle Sams Cider (11/12/2021) (Blue)")</f>
        <v>Uncle Sams Cider (11/12/2021) (Blue)</v>
      </c>
      <c r="H6627" s="19"/>
    </row>
    <row r="6628">
      <c r="A6628" s="9"/>
      <c r="B6628" s="15"/>
      <c r="C6628" s="9">
        <f>IFERROR(__xludf.DUMMYFUNCTION("""COMPUTED_VALUE"""),44535.6193729513)</f>
        <v>44535.61937</v>
      </c>
      <c r="D6628" s="15">
        <f>IFERROR(__xludf.DUMMYFUNCTION("""COMPUTED_VALUE"""),1.023)</f>
        <v>1.023</v>
      </c>
      <c r="E6628" s="16">
        <f>IFERROR(__xludf.DUMMYFUNCTION("""COMPUTED_VALUE"""),64.0)</f>
        <v>64</v>
      </c>
      <c r="F6628" s="19" t="str">
        <f>IFERROR(__xludf.DUMMYFUNCTION("""COMPUTED_VALUE"""),"BLUE")</f>
        <v>BLUE</v>
      </c>
      <c r="G6628" s="20" t="str">
        <f>IFERROR(__xludf.DUMMYFUNCTION("""COMPUTED_VALUE"""),"Uncle Sams Cider (11/12/2021) (Blue)")</f>
        <v>Uncle Sams Cider (11/12/2021) (Blue)</v>
      </c>
      <c r="H6628" s="19"/>
    </row>
    <row r="6629">
      <c r="A6629" s="9"/>
      <c r="B6629" s="15"/>
      <c r="C6629" s="9">
        <f>IFERROR(__xludf.DUMMYFUNCTION("""COMPUTED_VALUE"""),44535.6089511458)</f>
        <v>44535.60895</v>
      </c>
      <c r="D6629" s="15">
        <f>IFERROR(__xludf.DUMMYFUNCTION("""COMPUTED_VALUE"""),1.023)</f>
        <v>1.023</v>
      </c>
      <c r="E6629" s="16">
        <f>IFERROR(__xludf.DUMMYFUNCTION("""COMPUTED_VALUE"""),64.0)</f>
        <v>64</v>
      </c>
      <c r="F6629" s="19" t="str">
        <f>IFERROR(__xludf.DUMMYFUNCTION("""COMPUTED_VALUE"""),"BLUE")</f>
        <v>BLUE</v>
      </c>
      <c r="G6629" s="20" t="str">
        <f>IFERROR(__xludf.DUMMYFUNCTION("""COMPUTED_VALUE"""),"Uncle Sams Cider (11/12/2021) (Blue)")</f>
        <v>Uncle Sams Cider (11/12/2021) (Blue)</v>
      </c>
      <c r="H6629" s="19"/>
    </row>
    <row r="6630">
      <c r="A6630" s="9"/>
      <c r="B6630" s="15"/>
      <c r="C6630" s="9">
        <f>IFERROR(__xludf.DUMMYFUNCTION("""COMPUTED_VALUE"""),44535.5985290277)</f>
        <v>44535.59853</v>
      </c>
      <c r="D6630" s="15">
        <f>IFERROR(__xludf.DUMMYFUNCTION("""COMPUTED_VALUE"""),1.023)</f>
        <v>1.023</v>
      </c>
      <c r="E6630" s="16">
        <f>IFERROR(__xludf.DUMMYFUNCTION("""COMPUTED_VALUE"""),64.0)</f>
        <v>64</v>
      </c>
      <c r="F6630" s="19" t="str">
        <f>IFERROR(__xludf.DUMMYFUNCTION("""COMPUTED_VALUE"""),"BLUE")</f>
        <v>BLUE</v>
      </c>
      <c r="G6630" s="20" t="str">
        <f>IFERROR(__xludf.DUMMYFUNCTION("""COMPUTED_VALUE"""),"Uncle Sams Cider (11/12/2021) (Blue)")</f>
        <v>Uncle Sams Cider (11/12/2021) (Blue)</v>
      </c>
      <c r="H6630" s="19"/>
    </row>
    <row r="6631">
      <c r="A6631" s="9"/>
      <c r="B6631" s="15"/>
      <c r="C6631" s="9">
        <f>IFERROR(__xludf.DUMMYFUNCTION("""COMPUTED_VALUE"""),44535.5880959027)</f>
        <v>44535.5881</v>
      </c>
      <c r="D6631" s="15">
        <f>IFERROR(__xludf.DUMMYFUNCTION("""COMPUTED_VALUE"""),1.023)</f>
        <v>1.023</v>
      </c>
      <c r="E6631" s="16">
        <f>IFERROR(__xludf.DUMMYFUNCTION("""COMPUTED_VALUE"""),64.0)</f>
        <v>64</v>
      </c>
      <c r="F6631" s="19" t="str">
        <f>IFERROR(__xludf.DUMMYFUNCTION("""COMPUTED_VALUE"""),"BLUE")</f>
        <v>BLUE</v>
      </c>
      <c r="G6631" s="20" t="str">
        <f>IFERROR(__xludf.DUMMYFUNCTION("""COMPUTED_VALUE"""),"Uncle Sams Cider (11/12/2021) (Blue)")</f>
        <v>Uncle Sams Cider (11/12/2021) (Blue)</v>
      </c>
      <c r="H6631" s="19"/>
    </row>
    <row r="6632">
      <c r="A6632" s="9"/>
      <c r="B6632" s="15"/>
      <c r="C6632" s="9">
        <f>IFERROR(__xludf.DUMMYFUNCTION("""COMPUTED_VALUE"""),44535.577675405)</f>
        <v>44535.57768</v>
      </c>
      <c r="D6632" s="15">
        <f>IFERROR(__xludf.DUMMYFUNCTION("""COMPUTED_VALUE"""),1.023)</f>
        <v>1.023</v>
      </c>
      <c r="E6632" s="16">
        <f>IFERROR(__xludf.DUMMYFUNCTION("""COMPUTED_VALUE"""),64.0)</f>
        <v>64</v>
      </c>
      <c r="F6632" s="19" t="str">
        <f>IFERROR(__xludf.DUMMYFUNCTION("""COMPUTED_VALUE"""),"BLUE")</f>
        <v>BLUE</v>
      </c>
      <c r="G6632" s="20" t="str">
        <f>IFERROR(__xludf.DUMMYFUNCTION("""COMPUTED_VALUE"""),"Uncle Sams Cider (11/12/2021) (Blue)")</f>
        <v>Uncle Sams Cider (11/12/2021) (Blue)</v>
      </c>
      <c r="H6632" s="19"/>
    </row>
    <row r="6633">
      <c r="A6633" s="9"/>
      <c r="B6633" s="15"/>
      <c r="C6633" s="9">
        <f>IFERROR(__xludf.DUMMYFUNCTION("""COMPUTED_VALUE"""),44535.5672540162)</f>
        <v>44535.56725</v>
      </c>
      <c r="D6633" s="15">
        <f>IFERROR(__xludf.DUMMYFUNCTION("""COMPUTED_VALUE"""),1.023)</f>
        <v>1.023</v>
      </c>
      <c r="E6633" s="16">
        <f>IFERROR(__xludf.DUMMYFUNCTION("""COMPUTED_VALUE"""),64.0)</f>
        <v>64</v>
      </c>
      <c r="F6633" s="19" t="str">
        <f>IFERROR(__xludf.DUMMYFUNCTION("""COMPUTED_VALUE"""),"BLUE")</f>
        <v>BLUE</v>
      </c>
      <c r="G6633" s="20" t="str">
        <f>IFERROR(__xludf.DUMMYFUNCTION("""COMPUTED_VALUE"""),"Uncle Sams Cider (11/12/2021) (Blue)")</f>
        <v>Uncle Sams Cider (11/12/2021) (Blue)</v>
      </c>
      <c r="H6633" s="19"/>
    </row>
    <row r="6634">
      <c r="A6634" s="9"/>
      <c r="B6634" s="15"/>
      <c r="C6634" s="9">
        <f>IFERROR(__xludf.DUMMYFUNCTION("""COMPUTED_VALUE"""),44535.5568204745)</f>
        <v>44535.55682</v>
      </c>
      <c r="D6634" s="15">
        <f>IFERROR(__xludf.DUMMYFUNCTION("""COMPUTED_VALUE"""),1.023)</f>
        <v>1.023</v>
      </c>
      <c r="E6634" s="16">
        <f>IFERROR(__xludf.DUMMYFUNCTION("""COMPUTED_VALUE"""),64.0)</f>
        <v>64</v>
      </c>
      <c r="F6634" s="19" t="str">
        <f>IFERROR(__xludf.DUMMYFUNCTION("""COMPUTED_VALUE"""),"BLUE")</f>
        <v>BLUE</v>
      </c>
      <c r="G6634" s="20" t="str">
        <f>IFERROR(__xludf.DUMMYFUNCTION("""COMPUTED_VALUE"""),"Uncle Sams Cider (11/12/2021) (Blue)")</f>
        <v>Uncle Sams Cider (11/12/2021) (Blue)</v>
      </c>
      <c r="H6634" s="19"/>
    </row>
    <row r="6635">
      <c r="A6635" s="9"/>
      <c r="B6635" s="15"/>
      <c r="C6635" s="9">
        <f>IFERROR(__xludf.DUMMYFUNCTION("""COMPUTED_VALUE"""),44535.5463993865)</f>
        <v>44535.5464</v>
      </c>
      <c r="D6635" s="15">
        <f>IFERROR(__xludf.DUMMYFUNCTION("""COMPUTED_VALUE"""),1.023)</f>
        <v>1.023</v>
      </c>
      <c r="E6635" s="16">
        <f>IFERROR(__xludf.DUMMYFUNCTION("""COMPUTED_VALUE"""),64.0)</f>
        <v>64</v>
      </c>
      <c r="F6635" s="19" t="str">
        <f>IFERROR(__xludf.DUMMYFUNCTION("""COMPUTED_VALUE"""),"BLUE")</f>
        <v>BLUE</v>
      </c>
      <c r="G6635" s="20" t="str">
        <f>IFERROR(__xludf.DUMMYFUNCTION("""COMPUTED_VALUE"""),"Uncle Sams Cider (11/12/2021) (Blue)")</f>
        <v>Uncle Sams Cider (11/12/2021) (Blue)</v>
      </c>
      <c r="H6635" s="19"/>
    </row>
    <row r="6636">
      <c r="A6636" s="9"/>
      <c r="B6636" s="15"/>
      <c r="C6636" s="9">
        <f>IFERROR(__xludf.DUMMYFUNCTION("""COMPUTED_VALUE"""),44535.5359760648)</f>
        <v>44535.53598</v>
      </c>
      <c r="D6636" s="15">
        <f>IFERROR(__xludf.DUMMYFUNCTION("""COMPUTED_VALUE"""),1.023)</f>
        <v>1.023</v>
      </c>
      <c r="E6636" s="16">
        <f>IFERROR(__xludf.DUMMYFUNCTION("""COMPUTED_VALUE"""),64.0)</f>
        <v>64</v>
      </c>
      <c r="F6636" s="19" t="str">
        <f>IFERROR(__xludf.DUMMYFUNCTION("""COMPUTED_VALUE"""),"BLUE")</f>
        <v>BLUE</v>
      </c>
      <c r="G6636" s="20" t="str">
        <f>IFERROR(__xludf.DUMMYFUNCTION("""COMPUTED_VALUE"""),"Uncle Sams Cider (11/12/2021) (Blue)")</f>
        <v>Uncle Sams Cider (11/12/2021) (Blue)</v>
      </c>
      <c r="H6636" s="19"/>
    </row>
    <row r="6637">
      <c r="A6637" s="9"/>
      <c r="B6637" s="15"/>
      <c r="C6637" s="9">
        <f>IFERROR(__xludf.DUMMYFUNCTION("""COMPUTED_VALUE"""),44535.5255546643)</f>
        <v>44535.52555</v>
      </c>
      <c r="D6637" s="15">
        <f>IFERROR(__xludf.DUMMYFUNCTION("""COMPUTED_VALUE"""),1.023)</f>
        <v>1.023</v>
      </c>
      <c r="E6637" s="16">
        <f>IFERROR(__xludf.DUMMYFUNCTION("""COMPUTED_VALUE"""),64.0)</f>
        <v>64</v>
      </c>
      <c r="F6637" s="19" t="str">
        <f>IFERROR(__xludf.DUMMYFUNCTION("""COMPUTED_VALUE"""),"BLUE")</f>
        <v>BLUE</v>
      </c>
      <c r="G6637" s="20" t="str">
        <f>IFERROR(__xludf.DUMMYFUNCTION("""COMPUTED_VALUE"""),"Uncle Sams Cider (11/12/2021) (Blue)")</f>
        <v>Uncle Sams Cider (11/12/2021) (Blue)</v>
      </c>
      <c r="H6637" s="19"/>
    </row>
    <row r="6638">
      <c r="A6638" s="9"/>
      <c r="B6638" s="15"/>
      <c r="C6638" s="9">
        <f>IFERROR(__xludf.DUMMYFUNCTION("""COMPUTED_VALUE"""),44535.5151202662)</f>
        <v>44535.51512</v>
      </c>
      <c r="D6638" s="15">
        <f>IFERROR(__xludf.DUMMYFUNCTION("""COMPUTED_VALUE"""),1.023)</f>
        <v>1.023</v>
      </c>
      <c r="E6638" s="16">
        <f>IFERROR(__xludf.DUMMYFUNCTION("""COMPUTED_VALUE"""),64.0)</f>
        <v>64</v>
      </c>
      <c r="F6638" s="19" t="str">
        <f>IFERROR(__xludf.DUMMYFUNCTION("""COMPUTED_VALUE"""),"BLUE")</f>
        <v>BLUE</v>
      </c>
      <c r="G6638" s="20" t="str">
        <f>IFERROR(__xludf.DUMMYFUNCTION("""COMPUTED_VALUE"""),"Uncle Sams Cider (11/12/2021) (Blue)")</f>
        <v>Uncle Sams Cider (11/12/2021) (Blue)</v>
      </c>
      <c r="H6638" s="19"/>
    </row>
    <row r="6639">
      <c r="A6639" s="9"/>
      <c r="B6639" s="15"/>
      <c r="C6639" s="9">
        <f>IFERROR(__xludf.DUMMYFUNCTION("""COMPUTED_VALUE"""),44535.5046991898)</f>
        <v>44535.5047</v>
      </c>
      <c r="D6639" s="15">
        <f>IFERROR(__xludf.DUMMYFUNCTION("""COMPUTED_VALUE"""),1.023)</f>
        <v>1.023</v>
      </c>
      <c r="E6639" s="16">
        <f>IFERROR(__xludf.DUMMYFUNCTION("""COMPUTED_VALUE"""),64.0)</f>
        <v>64</v>
      </c>
      <c r="F6639" s="19" t="str">
        <f>IFERROR(__xludf.DUMMYFUNCTION("""COMPUTED_VALUE"""),"BLUE")</f>
        <v>BLUE</v>
      </c>
      <c r="G6639" s="20" t="str">
        <f>IFERROR(__xludf.DUMMYFUNCTION("""COMPUTED_VALUE"""),"Uncle Sams Cider (11/12/2021) (Blue)")</f>
        <v>Uncle Sams Cider (11/12/2021) (Blue)</v>
      </c>
      <c r="H6639" s="19"/>
    </row>
    <row r="6640">
      <c r="A6640" s="9"/>
      <c r="B6640" s="15"/>
      <c r="C6640" s="9">
        <f>IFERROR(__xludf.DUMMYFUNCTION("""COMPUTED_VALUE"""),44535.4942779861)</f>
        <v>44535.49428</v>
      </c>
      <c r="D6640" s="15">
        <f>IFERROR(__xludf.DUMMYFUNCTION("""COMPUTED_VALUE"""),1.023)</f>
        <v>1.023</v>
      </c>
      <c r="E6640" s="16">
        <f>IFERROR(__xludf.DUMMYFUNCTION("""COMPUTED_VALUE"""),64.0)</f>
        <v>64</v>
      </c>
      <c r="F6640" s="19" t="str">
        <f>IFERROR(__xludf.DUMMYFUNCTION("""COMPUTED_VALUE"""),"BLUE")</f>
        <v>BLUE</v>
      </c>
      <c r="G6640" s="20" t="str">
        <f>IFERROR(__xludf.DUMMYFUNCTION("""COMPUTED_VALUE"""),"Uncle Sams Cider (11/12/2021) (Blue)")</f>
        <v>Uncle Sams Cider (11/12/2021) (Blue)</v>
      </c>
      <c r="H6640" s="19"/>
    </row>
    <row r="6641">
      <c r="A6641" s="9"/>
      <c r="B6641" s="15"/>
      <c r="C6641" s="9">
        <f>IFERROR(__xludf.DUMMYFUNCTION("""COMPUTED_VALUE"""),44535.4838463541)</f>
        <v>44535.48385</v>
      </c>
      <c r="D6641" s="15">
        <f>IFERROR(__xludf.DUMMYFUNCTION("""COMPUTED_VALUE"""),1.023)</f>
        <v>1.023</v>
      </c>
      <c r="E6641" s="16">
        <f>IFERROR(__xludf.DUMMYFUNCTION("""COMPUTED_VALUE"""),64.0)</f>
        <v>64</v>
      </c>
      <c r="F6641" s="19" t="str">
        <f>IFERROR(__xludf.DUMMYFUNCTION("""COMPUTED_VALUE"""),"BLUE")</f>
        <v>BLUE</v>
      </c>
      <c r="G6641" s="20" t="str">
        <f>IFERROR(__xludf.DUMMYFUNCTION("""COMPUTED_VALUE"""),"Uncle Sams Cider (11/12/2021) (Blue)")</f>
        <v>Uncle Sams Cider (11/12/2021) (Blue)</v>
      </c>
      <c r="H6641" s="19"/>
    </row>
    <row r="6642">
      <c r="A6642" s="9"/>
      <c r="B6642" s="15"/>
      <c r="C6642" s="9">
        <f>IFERROR(__xludf.DUMMYFUNCTION("""COMPUTED_VALUE"""),44535.4734268634)</f>
        <v>44535.47343</v>
      </c>
      <c r="D6642" s="15">
        <f>IFERROR(__xludf.DUMMYFUNCTION("""COMPUTED_VALUE"""),1.023)</f>
        <v>1.023</v>
      </c>
      <c r="E6642" s="16">
        <f>IFERROR(__xludf.DUMMYFUNCTION("""COMPUTED_VALUE"""),64.0)</f>
        <v>64</v>
      </c>
      <c r="F6642" s="19" t="str">
        <f>IFERROR(__xludf.DUMMYFUNCTION("""COMPUTED_VALUE"""),"BLUE")</f>
        <v>BLUE</v>
      </c>
      <c r="G6642" s="20" t="str">
        <f>IFERROR(__xludf.DUMMYFUNCTION("""COMPUTED_VALUE"""),"Uncle Sams Cider (11/12/2021) (Blue)")</f>
        <v>Uncle Sams Cider (11/12/2021) (Blue)</v>
      </c>
      <c r="H6642" s="19"/>
    </row>
    <row r="6643">
      <c r="A6643" s="9"/>
      <c r="B6643" s="15"/>
      <c r="C6643" s="9">
        <f>IFERROR(__xludf.DUMMYFUNCTION("""COMPUTED_VALUE"""),44535.4629816435)</f>
        <v>44535.46298</v>
      </c>
      <c r="D6643" s="15">
        <f>IFERROR(__xludf.DUMMYFUNCTION("""COMPUTED_VALUE"""),1.023)</f>
        <v>1.023</v>
      </c>
      <c r="E6643" s="16">
        <f>IFERROR(__xludf.DUMMYFUNCTION("""COMPUTED_VALUE"""),64.0)</f>
        <v>64</v>
      </c>
      <c r="F6643" s="19" t="str">
        <f>IFERROR(__xludf.DUMMYFUNCTION("""COMPUTED_VALUE"""),"BLUE")</f>
        <v>BLUE</v>
      </c>
      <c r="G6643" s="20" t="str">
        <f>IFERROR(__xludf.DUMMYFUNCTION("""COMPUTED_VALUE"""),"Uncle Sams Cider (11/12/2021) (Blue)")</f>
        <v>Uncle Sams Cider (11/12/2021) (Blue)</v>
      </c>
      <c r="H6643" s="19"/>
    </row>
    <row r="6644">
      <c r="A6644" s="9"/>
      <c r="B6644" s="15"/>
      <c r="C6644" s="9">
        <f>IFERROR(__xludf.DUMMYFUNCTION("""COMPUTED_VALUE"""),44535.4525480787)</f>
        <v>44535.45255</v>
      </c>
      <c r="D6644" s="15">
        <f>IFERROR(__xludf.DUMMYFUNCTION("""COMPUTED_VALUE"""),1.023)</f>
        <v>1.023</v>
      </c>
      <c r="E6644" s="16">
        <f>IFERROR(__xludf.DUMMYFUNCTION("""COMPUTED_VALUE"""),64.0)</f>
        <v>64</v>
      </c>
      <c r="F6644" s="19" t="str">
        <f>IFERROR(__xludf.DUMMYFUNCTION("""COMPUTED_VALUE"""),"BLUE")</f>
        <v>BLUE</v>
      </c>
      <c r="G6644" s="20" t="str">
        <f>IFERROR(__xludf.DUMMYFUNCTION("""COMPUTED_VALUE"""),"Uncle Sams Cider (11/12/2021) (Blue)")</f>
        <v>Uncle Sams Cider (11/12/2021) (Blue)</v>
      </c>
      <c r="H6644" s="19"/>
    </row>
    <row r="6645">
      <c r="A6645" s="9"/>
      <c r="B6645" s="15"/>
      <c r="C6645" s="9">
        <f>IFERROR(__xludf.DUMMYFUNCTION("""COMPUTED_VALUE"""),44535.4421160763)</f>
        <v>44535.44212</v>
      </c>
      <c r="D6645" s="15">
        <f>IFERROR(__xludf.DUMMYFUNCTION("""COMPUTED_VALUE"""),1.023)</f>
        <v>1.023</v>
      </c>
      <c r="E6645" s="16">
        <f>IFERROR(__xludf.DUMMYFUNCTION("""COMPUTED_VALUE"""),64.0)</f>
        <v>64</v>
      </c>
      <c r="F6645" s="19" t="str">
        <f>IFERROR(__xludf.DUMMYFUNCTION("""COMPUTED_VALUE"""),"BLUE")</f>
        <v>BLUE</v>
      </c>
      <c r="G6645" s="20" t="str">
        <f>IFERROR(__xludf.DUMMYFUNCTION("""COMPUTED_VALUE"""),"Uncle Sams Cider (11/12/2021) (Blue)")</f>
        <v>Uncle Sams Cider (11/12/2021) (Blue)</v>
      </c>
      <c r="H6645" s="19"/>
    </row>
    <row r="6646">
      <c r="A6646" s="9"/>
      <c r="B6646" s="15"/>
      <c r="C6646" s="9">
        <f>IFERROR(__xludf.DUMMYFUNCTION("""COMPUTED_VALUE"""),44535.4316944328)</f>
        <v>44535.43169</v>
      </c>
      <c r="D6646" s="15">
        <f>IFERROR(__xludf.DUMMYFUNCTION("""COMPUTED_VALUE"""),1.023)</f>
        <v>1.023</v>
      </c>
      <c r="E6646" s="16">
        <f>IFERROR(__xludf.DUMMYFUNCTION("""COMPUTED_VALUE"""),64.0)</f>
        <v>64</v>
      </c>
      <c r="F6646" s="19" t="str">
        <f>IFERROR(__xludf.DUMMYFUNCTION("""COMPUTED_VALUE"""),"BLUE")</f>
        <v>BLUE</v>
      </c>
      <c r="G6646" s="20" t="str">
        <f>IFERROR(__xludf.DUMMYFUNCTION("""COMPUTED_VALUE"""),"Uncle Sams Cider (11/12/2021) (Blue)")</f>
        <v>Uncle Sams Cider (11/12/2021) (Blue)</v>
      </c>
      <c r="H6646" s="19"/>
    </row>
    <row r="6647">
      <c r="A6647" s="9"/>
      <c r="B6647" s="15"/>
      <c r="C6647" s="9">
        <f>IFERROR(__xludf.DUMMYFUNCTION("""COMPUTED_VALUE"""),44535.4212608101)</f>
        <v>44535.42126</v>
      </c>
      <c r="D6647" s="15">
        <f>IFERROR(__xludf.DUMMYFUNCTION("""COMPUTED_VALUE"""),1.023)</f>
        <v>1.023</v>
      </c>
      <c r="E6647" s="16">
        <f>IFERROR(__xludf.DUMMYFUNCTION("""COMPUTED_VALUE"""),64.0)</f>
        <v>64</v>
      </c>
      <c r="F6647" s="19" t="str">
        <f>IFERROR(__xludf.DUMMYFUNCTION("""COMPUTED_VALUE"""),"BLUE")</f>
        <v>BLUE</v>
      </c>
      <c r="G6647" s="20" t="str">
        <f>IFERROR(__xludf.DUMMYFUNCTION("""COMPUTED_VALUE"""),"Uncle Sams Cider (11/12/2021) (Blue)")</f>
        <v>Uncle Sams Cider (11/12/2021) (Blue)</v>
      </c>
      <c r="H6647" s="19"/>
    </row>
    <row r="6648">
      <c r="A6648" s="9"/>
      <c r="B6648" s="15"/>
      <c r="C6648" s="9">
        <f>IFERROR(__xludf.DUMMYFUNCTION("""COMPUTED_VALUE"""),44535.4108406944)</f>
        <v>44535.41084</v>
      </c>
      <c r="D6648" s="15">
        <f>IFERROR(__xludf.DUMMYFUNCTION("""COMPUTED_VALUE"""),1.023)</f>
        <v>1.023</v>
      </c>
      <c r="E6648" s="16">
        <f>IFERROR(__xludf.DUMMYFUNCTION("""COMPUTED_VALUE"""),64.0)</f>
        <v>64</v>
      </c>
      <c r="F6648" s="19" t="str">
        <f>IFERROR(__xludf.DUMMYFUNCTION("""COMPUTED_VALUE"""),"BLUE")</f>
        <v>BLUE</v>
      </c>
      <c r="G6648" s="20" t="str">
        <f>IFERROR(__xludf.DUMMYFUNCTION("""COMPUTED_VALUE"""),"Uncle Sams Cider (11/12/2021) (Blue)")</f>
        <v>Uncle Sams Cider (11/12/2021) (Blue)</v>
      </c>
      <c r="H6648" s="19"/>
    </row>
    <row r="6649">
      <c r="A6649" s="9"/>
      <c r="B6649" s="15"/>
      <c r="C6649" s="9">
        <f>IFERROR(__xludf.DUMMYFUNCTION("""COMPUTED_VALUE"""),44535.4004073842)</f>
        <v>44535.40041</v>
      </c>
      <c r="D6649" s="15">
        <f>IFERROR(__xludf.DUMMYFUNCTION("""COMPUTED_VALUE"""),1.023)</f>
        <v>1.023</v>
      </c>
      <c r="E6649" s="16">
        <f>IFERROR(__xludf.DUMMYFUNCTION("""COMPUTED_VALUE"""),64.0)</f>
        <v>64</v>
      </c>
      <c r="F6649" s="19" t="str">
        <f>IFERROR(__xludf.DUMMYFUNCTION("""COMPUTED_VALUE"""),"BLUE")</f>
        <v>BLUE</v>
      </c>
      <c r="G6649" s="20" t="str">
        <f>IFERROR(__xludf.DUMMYFUNCTION("""COMPUTED_VALUE"""),"Uncle Sams Cider (11/12/2021) (Blue)")</f>
        <v>Uncle Sams Cider (11/12/2021) (Blue)</v>
      </c>
      <c r="H6649" s="19"/>
    </row>
    <row r="6650">
      <c r="A6650" s="9"/>
      <c r="B6650" s="15"/>
      <c r="C6650" s="9">
        <f>IFERROR(__xludf.DUMMYFUNCTION("""COMPUTED_VALUE"""),44535.3899891666)</f>
        <v>44535.38999</v>
      </c>
      <c r="D6650" s="15">
        <f>IFERROR(__xludf.DUMMYFUNCTION("""COMPUTED_VALUE"""),1.023)</f>
        <v>1.023</v>
      </c>
      <c r="E6650" s="16">
        <f>IFERROR(__xludf.DUMMYFUNCTION("""COMPUTED_VALUE"""),64.0)</f>
        <v>64</v>
      </c>
      <c r="F6650" s="19" t="str">
        <f>IFERROR(__xludf.DUMMYFUNCTION("""COMPUTED_VALUE"""),"BLUE")</f>
        <v>BLUE</v>
      </c>
      <c r="G6650" s="20" t="str">
        <f>IFERROR(__xludf.DUMMYFUNCTION("""COMPUTED_VALUE"""),"Uncle Sams Cider (11/12/2021) (Blue)")</f>
        <v>Uncle Sams Cider (11/12/2021) (Blue)</v>
      </c>
      <c r="H6650" s="19"/>
    </row>
    <row r="6651">
      <c r="A6651" s="9"/>
      <c r="B6651" s="15"/>
      <c r="C6651" s="9">
        <f>IFERROR(__xludf.DUMMYFUNCTION("""COMPUTED_VALUE"""),44535.3795668171)</f>
        <v>44535.37957</v>
      </c>
      <c r="D6651" s="15">
        <f>IFERROR(__xludf.DUMMYFUNCTION("""COMPUTED_VALUE"""),1.023)</f>
        <v>1.023</v>
      </c>
      <c r="E6651" s="16">
        <f>IFERROR(__xludf.DUMMYFUNCTION("""COMPUTED_VALUE"""),64.0)</f>
        <v>64</v>
      </c>
      <c r="F6651" s="19" t="str">
        <f>IFERROR(__xludf.DUMMYFUNCTION("""COMPUTED_VALUE"""),"BLUE")</f>
        <v>BLUE</v>
      </c>
      <c r="G6651" s="20" t="str">
        <f>IFERROR(__xludf.DUMMYFUNCTION("""COMPUTED_VALUE"""),"Uncle Sams Cider (11/12/2021) (Blue)")</f>
        <v>Uncle Sams Cider (11/12/2021) (Blue)</v>
      </c>
      <c r="H6651" s="19"/>
    </row>
    <row r="6652">
      <c r="A6652" s="9"/>
      <c r="B6652" s="15"/>
      <c r="C6652" s="9">
        <f>IFERROR(__xludf.DUMMYFUNCTION("""COMPUTED_VALUE"""),44535.3691463078)</f>
        <v>44535.36915</v>
      </c>
      <c r="D6652" s="15">
        <f>IFERROR(__xludf.DUMMYFUNCTION("""COMPUTED_VALUE"""),1.023)</f>
        <v>1.023</v>
      </c>
      <c r="E6652" s="16">
        <f>IFERROR(__xludf.DUMMYFUNCTION("""COMPUTED_VALUE"""),64.0)</f>
        <v>64</v>
      </c>
      <c r="F6652" s="19" t="str">
        <f>IFERROR(__xludf.DUMMYFUNCTION("""COMPUTED_VALUE"""),"BLUE")</f>
        <v>BLUE</v>
      </c>
      <c r="G6652" s="20" t="str">
        <f>IFERROR(__xludf.DUMMYFUNCTION("""COMPUTED_VALUE"""),"Uncle Sams Cider (11/12/2021) (Blue)")</f>
        <v>Uncle Sams Cider (11/12/2021) (Blue)</v>
      </c>
      <c r="H6652" s="19"/>
    </row>
    <row r="6653">
      <c r="A6653" s="9"/>
      <c r="B6653" s="15"/>
      <c r="C6653" s="9">
        <f>IFERROR(__xludf.DUMMYFUNCTION("""COMPUTED_VALUE"""),44535.358725949)</f>
        <v>44535.35873</v>
      </c>
      <c r="D6653" s="15">
        <f>IFERROR(__xludf.DUMMYFUNCTION("""COMPUTED_VALUE"""),1.023)</f>
        <v>1.023</v>
      </c>
      <c r="E6653" s="16">
        <f>IFERROR(__xludf.DUMMYFUNCTION("""COMPUTED_VALUE"""),64.0)</f>
        <v>64</v>
      </c>
      <c r="F6653" s="19" t="str">
        <f>IFERROR(__xludf.DUMMYFUNCTION("""COMPUTED_VALUE"""),"BLUE")</f>
        <v>BLUE</v>
      </c>
      <c r="G6653" s="20" t="str">
        <f>IFERROR(__xludf.DUMMYFUNCTION("""COMPUTED_VALUE"""),"Uncle Sams Cider (11/12/2021) (Blue)")</f>
        <v>Uncle Sams Cider (11/12/2021) (Blue)</v>
      </c>
      <c r="H6653" s="19"/>
    </row>
    <row r="6654">
      <c r="A6654" s="9"/>
      <c r="B6654" s="15"/>
      <c r="C6654" s="9">
        <f>IFERROR(__xludf.DUMMYFUNCTION("""COMPUTED_VALUE"""),44535.3482939351)</f>
        <v>44535.34829</v>
      </c>
      <c r="D6654" s="15">
        <f>IFERROR(__xludf.DUMMYFUNCTION("""COMPUTED_VALUE"""),1.023)</f>
        <v>1.023</v>
      </c>
      <c r="E6654" s="16">
        <f>IFERROR(__xludf.DUMMYFUNCTION("""COMPUTED_VALUE"""),64.0)</f>
        <v>64</v>
      </c>
      <c r="F6654" s="19" t="str">
        <f>IFERROR(__xludf.DUMMYFUNCTION("""COMPUTED_VALUE"""),"BLUE")</f>
        <v>BLUE</v>
      </c>
      <c r="G6654" s="20" t="str">
        <f>IFERROR(__xludf.DUMMYFUNCTION("""COMPUTED_VALUE"""),"Uncle Sams Cider (11/12/2021) (Blue)")</f>
        <v>Uncle Sams Cider (11/12/2021) (Blue)</v>
      </c>
      <c r="H6654" s="19"/>
    </row>
    <row r="6655">
      <c r="A6655" s="9"/>
      <c r="B6655" s="15"/>
      <c r="C6655" s="9">
        <f>IFERROR(__xludf.DUMMYFUNCTION("""COMPUTED_VALUE"""),44535.3378734027)</f>
        <v>44535.33787</v>
      </c>
      <c r="D6655" s="15">
        <f>IFERROR(__xludf.DUMMYFUNCTION("""COMPUTED_VALUE"""),1.023)</f>
        <v>1.023</v>
      </c>
      <c r="E6655" s="16">
        <f>IFERROR(__xludf.DUMMYFUNCTION("""COMPUTED_VALUE"""),64.0)</f>
        <v>64</v>
      </c>
      <c r="F6655" s="19" t="str">
        <f>IFERROR(__xludf.DUMMYFUNCTION("""COMPUTED_VALUE"""),"BLUE")</f>
        <v>BLUE</v>
      </c>
      <c r="G6655" s="20" t="str">
        <f>IFERROR(__xludf.DUMMYFUNCTION("""COMPUTED_VALUE"""),"Uncle Sams Cider (11/12/2021) (Blue)")</f>
        <v>Uncle Sams Cider (11/12/2021) (Blue)</v>
      </c>
      <c r="H6655" s="19"/>
    </row>
    <row r="6656">
      <c r="A6656" s="9"/>
      <c r="B6656" s="15"/>
      <c r="C6656" s="9">
        <f>IFERROR(__xludf.DUMMYFUNCTION("""COMPUTED_VALUE"""),44535.3274390856)</f>
        <v>44535.32744</v>
      </c>
      <c r="D6656" s="15">
        <f>IFERROR(__xludf.DUMMYFUNCTION("""COMPUTED_VALUE"""),1.023)</f>
        <v>1.023</v>
      </c>
      <c r="E6656" s="16">
        <f>IFERROR(__xludf.DUMMYFUNCTION("""COMPUTED_VALUE"""),64.0)</f>
        <v>64</v>
      </c>
      <c r="F6656" s="19" t="str">
        <f>IFERROR(__xludf.DUMMYFUNCTION("""COMPUTED_VALUE"""),"BLUE")</f>
        <v>BLUE</v>
      </c>
      <c r="G6656" s="20" t="str">
        <f>IFERROR(__xludf.DUMMYFUNCTION("""COMPUTED_VALUE"""),"Uncle Sams Cider (11/12/2021) (Blue)")</f>
        <v>Uncle Sams Cider (11/12/2021) (Blue)</v>
      </c>
      <c r="H6656" s="19"/>
    </row>
    <row r="6657">
      <c r="A6657" s="9"/>
      <c r="B6657" s="15"/>
      <c r="C6657" s="9">
        <f>IFERROR(__xludf.DUMMYFUNCTION("""COMPUTED_VALUE"""),44535.3170179398)</f>
        <v>44535.31702</v>
      </c>
      <c r="D6657" s="15">
        <f>IFERROR(__xludf.DUMMYFUNCTION("""COMPUTED_VALUE"""),1.023)</f>
        <v>1.023</v>
      </c>
      <c r="E6657" s="16">
        <f>IFERROR(__xludf.DUMMYFUNCTION("""COMPUTED_VALUE"""),64.0)</f>
        <v>64</v>
      </c>
      <c r="F6657" s="19" t="str">
        <f>IFERROR(__xludf.DUMMYFUNCTION("""COMPUTED_VALUE"""),"BLUE")</f>
        <v>BLUE</v>
      </c>
      <c r="G6657" s="20" t="str">
        <f>IFERROR(__xludf.DUMMYFUNCTION("""COMPUTED_VALUE"""),"Uncle Sams Cider (11/12/2021) (Blue)")</f>
        <v>Uncle Sams Cider (11/12/2021) (Blue)</v>
      </c>
      <c r="H6657" s="19"/>
    </row>
    <row r="6658">
      <c r="A6658" s="9"/>
      <c r="B6658" s="15"/>
      <c r="C6658" s="9">
        <f>IFERROR(__xludf.DUMMYFUNCTION("""COMPUTED_VALUE"""),44535.3065970601)</f>
        <v>44535.3066</v>
      </c>
      <c r="D6658" s="15">
        <f>IFERROR(__xludf.DUMMYFUNCTION("""COMPUTED_VALUE"""),1.023)</f>
        <v>1.023</v>
      </c>
      <c r="E6658" s="16">
        <f>IFERROR(__xludf.DUMMYFUNCTION("""COMPUTED_VALUE"""),64.0)</f>
        <v>64</v>
      </c>
      <c r="F6658" s="19" t="str">
        <f>IFERROR(__xludf.DUMMYFUNCTION("""COMPUTED_VALUE"""),"BLUE")</f>
        <v>BLUE</v>
      </c>
      <c r="G6658" s="20" t="str">
        <f>IFERROR(__xludf.DUMMYFUNCTION("""COMPUTED_VALUE"""),"Uncle Sams Cider (11/12/2021) (Blue)")</f>
        <v>Uncle Sams Cider (11/12/2021) (Blue)</v>
      </c>
      <c r="H6658" s="19"/>
    </row>
    <row r="6659">
      <c r="A6659" s="9"/>
      <c r="B6659" s="15"/>
      <c r="C6659" s="9">
        <f>IFERROR(__xludf.DUMMYFUNCTION("""COMPUTED_VALUE"""),44535.2961772106)</f>
        <v>44535.29618</v>
      </c>
      <c r="D6659" s="15">
        <f>IFERROR(__xludf.DUMMYFUNCTION("""COMPUTED_VALUE"""),1.023)</f>
        <v>1.023</v>
      </c>
      <c r="E6659" s="16">
        <f>IFERROR(__xludf.DUMMYFUNCTION("""COMPUTED_VALUE"""),64.0)</f>
        <v>64</v>
      </c>
      <c r="F6659" s="19" t="str">
        <f>IFERROR(__xludf.DUMMYFUNCTION("""COMPUTED_VALUE"""),"BLUE")</f>
        <v>BLUE</v>
      </c>
      <c r="G6659" s="20" t="str">
        <f>IFERROR(__xludf.DUMMYFUNCTION("""COMPUTED_VALUE"""),"Uncle Sams Cider (11/12/2021) (Blue)")</f>
        <v>Uncle Sams Cider (11/12/2021) (Blue)</v>
      </c>
      <c r="H6659" s="19"/>
    </row>
    <row r="6660">
      <c r="A6660" s="9"/>
      <c r="B6660" s="15"/>
      <c r="C6660" s="9">
        <f>IFERROR(__xludf.DUMMYFUNCTION("""COMPUTED_VALUE"""),44535.2857325462)</f>
        <v>44535.28573</v>
      </c>
      <c r="D6660" s="15">
        <f>IFERROR(__xludf.DUMMYFUNCTION("""COMPUTED_VALUE"""),1.023)</f>
        <v>1.023</v>
      </c>
      <c r="E6660" s="16">
        <f>IFERROR(__xludf.DUMMYFUNCTION("""COMPUTED_VALUE"""),64.0)</f>
        <v>64</v>
      </c>
      <c r="F6660" s="19" t="str">
        <f>IFERROR(__xludf.DUMMYFUNCTION("""COMPUTED_VALUE"""),"BLUE")</f>
        <v>BLUE</v>
      </c>
      <c r="G6660" s="20" t="str">
        <f>IFERROR(__xludf.DUMMYFUNCTION("""COMPUTED_VALUE"""),"Uncle Sams Cider (11/12/2021) (Blue)")</f>
        <v>Uncle Sams Cider (11/12/2021) (Blue)</v>
      </c>
      <c r="H6660" s="19"/>
    </row>
    <row r="6661">
      <c r="A6661" s="9"/>
      <c r="B6661" s="15"/>
      <c r="C6661" s="9">
        <f>IFERROR(__xludf.DUMMYFUNCTION("""COMPUTED_VALUE"""),44535.2753099768)</f>
        <v>44535.27531</v>
      </c>
      <c r="D6661" s="15">
        <f>IFERROR(__xludf.DUMMYFUNCTION("""COMPUTED_VALUE"""),1.023)</f>
        <v>1.023</v>
      </c>
      <c r="E6661" s="16">
        <f>IFERROR(__xludf.DUMMYFUNCTION("""COMPUTED_VALUE"""),64.0)</f>
        <v>64</v>
      </c>
      <c r="F6661" s="19" t="str">
        <f>IFERROR(__xludf.DUMMYFUNCTION("""COMPUTED_VALUE"""),"BLUE")</f>
        <v>BLUE</v>
      </c>
      <c r="G6661" s="20" t="str">
        <f>IFERROR(__xludf.DUMMYFUNCTION("""COMPUTED_VALUE"""),"Uncle Sams Cider (11/12/2021) (Blue)")</f>
        <v>Uncle Sams Cider (11/12/2021) (Blue)</v>
      </c>
      <c r="H6661" s="19"/>
    </row>
    <row r="6662">
      <c r="A6662" s="9"/>
      <c r="B6662" s="15"/>
      <c r="C6662" s="9">
        <f>IFERROR(__xludf.DUMMYFUNCTION("""COMPUTED_VALUE"""),44535.264887905)</f>
        <v>44535.26489</v>
      </c>
      <c r="D6662" s="15">
        <f>IFERROR(__xludf.DUMMYFUNCTION("""COMPUTED_VALUE"""),1.023)</f>
        <v>1.023</v>
      </c>
      <c r="E6662" s="16">
        <f>IFERROR(__xludf.DUMMYFUNCTION("""COMPUTED_VALUE"""),64.0)</f>
        <v>64</v>
      </c>
      <c r="F6662" s="19" t="str">
        <f>IFERROR(__xludf.DUMMYFUNCTION("""COMPUTED_VALUE"""),"BLUE")</f>
        <v>BLUE</v>
      </c>
      <c r="G6662" s="20" t="str">
        <f>IFERROR(__xludf.DUMMYFUNCTION("""COMPUTED_VALUE"""),"Uncle Sams Cider (11/12/2021) (Blue)")</f>
        <v>Uncle Sams Cider (11/12/2021) (Blue)</v>
      </c>
      <c r="H6662" s="19"/>
    </row>
    <row r="6663">
      <c r="A6663" s="9"/>
      <c r="B6663" s="15"/>
      <c r="C6663" s="9">
        <f>IFERROR(__xludf.DUMMYFUNCTION("""COMPUTED_VALUE"""),44535.2544668981)</f>
        <v>44535.25447</v>
      </c>
      <c r="D6663" s="15">
        <f>IFERROR(__xludf.DUMMYFUNCTION("""COMPUTED_VALUE"""),1.023)</f>
        <v>1.023</v>
      </c>
      <c r="E6663" s="16">
        <f>IFERROR(__xludf.DUMMYFUNCTION("""COMPUTED_VALUE"""),64.0)</f>
        <v>64</v>
      </c>
      <c r="F6663" s="19" t="str">
        <f>IFERROR(__xludf.DUMMYFUNCTION("""COMPUTED_VALUE"""),"BLUE")</f>
        <v>BLUE</v>
      </c>
      <c r="G6663" s="20" t="str">
        <f>IFERROR(__xludf.DUMMYFUNCTION("""COMPUTED_VALUE"""),"Uncle Sams Cider (11/12/2021) (Blue)")</f>
        <v>Uncle Sams Cider (11/12/2021) (Blue)</v>
      </c>
      <c r="H6663" s="19"/>
    </row>
    <row r="6664">
      <c r="A6664" s="9"/>
      <c r="B6664" s="15"/>
      <c r="C6664" s="9">
        <f>IFERROR(__xludf.DUMMYFUNCTION("""COMPUTED_VALUE"""),44535.2440468055)</f>
        <v>44535.24405</v>
      </c>
      <c r="D6664" s="15">
        <f>IFERROR(__xludf.DUMMYFUNCTION("""COMPUTED_VALUE"""),1.023)</f>
        <v>1.023</v>
      </c>
      <c r="E6664" s="16">
        <f>IFERROR(__xludf.DUMMYFUNCTION("""COMPUTED_VALUE"""),64.0)</f>
        <v>64</v>
      </c>
      <c r="F6664" s="19" t="str">
        <f>IFERROR(__xludf.DUMMYFUNCTION("""COMPUTED_VALUE"""),"BLUE")</f>
        <v>BLUE</v>
      </c>
      <c r="G6664" s="20" t="str">
        <f>IFERROR(__xludf.DUMMYFUNCTION("""COMPUTED_VALUE"""),"Uncle Sams Cider (11/12/2021) (Blue)")</f>
        <v>Uncle Sams Cider (11/12/2021) (Blue)</v>
      </c>
      <c r="H6664" s="19"/>
    </row>
    <row r="6665">
      <c r="A6665" s="9"/>
      <c r="B6665" s="15"/>
      <c r="C6665" s="9">
        <f>IFERROR(__xludf.DUMMYFUNCTION("""COMPUTED_VALUE"""),44535.2336271759)</f>
        <v>44535.23363</v>
      </c>
      <c r="D6665" s="15">
        <f>IFERROR(__xludf.DUMMYFUNCTION("""COMPUTED_VALUE"""),1.023)</f>
        <v>1.023</v>
      </c>
      <c r="E6665" s="16">
        <f>IFERROR(__xludf.DUMMYFUNCTION("""COMPUTED_VALUE"""),64.0)</f>
        <v>64</v>
      </c>
      <c r="F6665" s="19" t="str">
        <f>IFERROR(__xludf.DUMMYFUNCTION("""COMPUTED_VALUE"""),"BLUE")</f>
        <v>BLUE</v>
      </c>
      <c r="G6665" s="20" t="str">
        <f>IFERROR(__xludf.DUMMYFUNCTION("""COMPUTED_VALUE"""),"Uncle Sams Cider (11/12/2021) (Blue)")</f>
        <v>Uncle Sams Cider (11/12/2021) (Blue)</v>
      </c>
      <c r="H6665" s="19"/>
    </row>
    <row r="6666">
      <c r="A6666" s="9"/>
      <c r="B6666" s="15"/>
      <c r="C6666" s="9">
        <f>IFERROR(__xludf.DUMMYFUNCTION("""COMPUTED_VALUE"""),44535.2232059027)</f>
        <v>44535.22321</v>
      </c>
      <c r="D6666" s="15">
        <f>IFERROR(__xludf.DUMMYFUNCTION("""COMPUTED_VALUE"""),1.023)</f>
        <v>1.023</v>
      </c>
      <c r="E6666" s="16">
        <f>IFERROR(__xludf.DUMMYFUNCTION("""COMPUTED_VALUE"""),64.0)</f>
        <v>64</v>
      </c>
      <c r="F6666" s="19" t="str">
        <f>IFERROR(__xludf.DUMMYFUNCTION("""COMPUTED_VALUE"""),"BLUE")</f>
        <v>BLUE</v>
      </c>
      <c r="G6666" s="20" t="str">
        <f>IFERROR(__xludf.DUMMYFUNCTION("""COMPUTED_VALUE"""),"Uncle Sams Cider (11/12/2021) (Blue)")</f>
        <v>Uncle Sams Cider (11/12/2021) (Blue)</v>
      </c>
      <c r="H6666" s="19"/>
    </row>
    <row r="6667">
      <c r="A6667" s="9"/>
      <c r="B6667" s="15"/>
      <c r="C6667" s="9">
        <f>IFERROR(__xludf.DUMMYFUNCTION("""COMPUTED_VALUE"""),44535.2127839583)</f>
        <v>44535.21278</v>
      </c>
      <c r="D6667" s="15">
        <f>IFERROR(__xludf.DUMMYFUNCTION("""COMPUTED_VALUE"""),1.023)</f>
        <v>1.023</v>
      </c>
      <c r="E6667" s="16">
        <f>IFERROR(__xludf.DUMMYFUNCTION("""COMPUTED_VALUE"""),64.0)</f>
        <v>64</v>
      </c>
      <c r="F6667" s="19" t="str">
        <f>IFERROR(__xludf.DUMMYFUNCTION("""COMPUTED_VALUE"""),"BLUE")</f>
        <v>BLUE</v>
      </c>
      <c r="G6667" s="20" t="str">
        <f>IFERROR(__xludf.DUMMYFUNCTION("""COMPUTED_VALUE"""),"Uncle Sams Cider (11/12/2021) (Blue)")</f>
        <v>Uncle Sams Cider (11/12/2021) (Blue)</v>
      </c>
      <c r="H6667" s="19"/>
    </row>
    <row r="6668">
      <c r="A6668" s="9"/>
      <c r="B6668" s="15"/>
      <c r="C6668" s="9">
        <f>IFERROR(__xludf.DUMMYFUNCTION("""COMPUTED_VALUE"""),44535.2023605555)</f>
        <v>44535.20236</v>
      </c>
      <c r="D6668" s="15">
        <f>IFERROR(__xludf.DUMMYFUNCTION("""COMPUTED_VALUE"""),1.023)</f>
        <v>1.023</v>
      </c>
      <c r="E6668" s="16">
        <f>IFERROR(__xludf.DUMMYFUNCTION("""COMPUTED_VALUE"""),64.0)</f>
        <v>64</v>
      </c>
      <c r="F6668" s="19" t="str">
        <f>IFERROR(__xludf.DUMMYFUNCTION("""COMPUTED_VALUE"""),"BLUE")</f>
        <v>BLUE</v>
      </c>
      <c r="G6668" s="20" t="str">
        <f>IFERROR(__xludf.DUMMYFUNCTION("""COMPUTED_VALUE"""),"Uncle Sams Cider (11/12/2021) (Blue)")</f>
        <v>Uncle Sams Cider (11/12/2021) (Blue)</v>
      </c>
      <c r="H6668" s="19"/>
    </row>
    <row r="6669">
      <c r="A6669" s="9"/>
      <c r="B6669" s="15"/>
      <c r="C6669" s="9">
        <f>IFERROR(__xludf.DUMMYFUNCTION("""COMPUTED_VALUE"""),44535.1919275462)</f>
        <v>44535.19193</v>
      </c>
      <c r="D6669" s="15">
        <f>IFERROR(__xludf.DUMMYFUNCTION("""COMPUTED_VALUE"""),1.023)</f>
        <v>1.023</v>
      </c>
      <c r="E6669" s="16">
        <f>IFERROR(__xludf.DUMMYFUNCTION("""COMPUTED_VALUE"""),64.0)</f>
        <v>64</v>
      </c>
      <c r="F6669" s="19" t="str">
        <f>IFERROR(__xludf.DUMMYFUNCTION("""COMPUTED_VALUE"""),"BLUE")</f>
        <v>BLUE</v>
      </c>
      <c r="G6669" s="20" t="str">
        <f>IFERROR(__xludf.DUMMYFUNCTION("""COMPUTED_VALUE"""),"Uncle Sams Cider (11/12/2021) (Blue)")</f>
        <v>Uncle Sams Cider (11/12/2021) (Blue)</v>
      </c>
      <c r="H6669" s="19"/>
    </row>
    <row r="6670">
      <c r="A6670" s="9"/>
      <c r="B6670" s="15"/>
      <c r="C6670" s="9">
        <f>IFERROR(__xludf.DUMMYFUNCTION("""COMPUTED_VALUE"""),44535.1815063194)</f>
        <v>44535.18151</v>
      </c>
      <c r="D6670" s="15">
        <f>IFERROR(__xludf.DUMMYFUNCTION("""COMPUTED_VALUE"""),1.023)</f>
        <v>1.023</v>
      </c>
      <c r="E6670" s="16">
        <f>IFERROR(__xludf.DUMMYFUNCTION("""COMPUTED_VALUE"""),64.0)</f>
        <v>64</v>
      </c>
      <c r="F6670" s="19" t="str">
        <f>IFERROR(__xludf.DUMMYFUNCTION("""COMPUTED_VALUE"""),"BLUE")</f>
        <v>BLUE</v>
      </c>
      <c r="G6670" s="20" t="str">
        <f>IFERROR(__xludf.DUMMYFUNCTION("""COMPUTED_VALUE"""),"Uncle Sams Cider (11/12/2021) (Blue)")</f>
        <v>Uncle Sams Cider (11/12/2021) (Blue)</v>
      </c>
      <c r="H6670" s="19"/>
    </row>
    <row r="6671">
      <c r="A6671" s="9"/>
      <c r="B6671" s="15"/>
      <c r="C6671" s="9">
        <f>IFERROR(__xludf.DUMMYFUNCTION("""COMPUTED_VALUE"""),44535.1710737037)</f>
        <v>44535.17107</v>
      </c>
      <c r="D6671" s="15">
        <f>IFERROR(__xludf.DUMMYFUNCTION("""COMPUTED_VALUE"""),1.023)</f>
        <v>1.023</v>
      </c>
      <c r="E6671" s="16">
        <f>IFERROR(__xludf.DUMMYFUNCTION("""COMPUTED_VALUE"""),64.0)</f>
        <v>64</v>
      </c>
      <c r="F6671" s="19" t="str">
        <f>IFERROR(__xludf.DUMMYFUNCTION("""COMPUTED_VALUE"""),"BLUE")</f>
        <v>BLUE</v>
      </c>
      <c r="G6671" s="20" t="str">
        <f>IFERROR(__xludf.DUMMYFUNCTION("""COMPUTED_VALUE"""),"Uncle Sams Cider (11/12/2021) (Blue)")</f>
        <v>Uncle Sams Cider (11/12/2021) (Blue)</v>
      </c>
      <c r="H6671" s="19"/>
    </row>
    <row r="6672">
      <c r="A6672" s="9"/>
      <c r="B6672" s="15"/>
      <c r="C6672" s="9">
        <f>IFERROR(__xludf.DUMMYFUNCTION("""COMPUTED_VALUE"""),44535.1606533912)</f>
        <v>44535.16065</v>
      </c>
      <c r="D6672" s="15">
        <f>IFERROR(__xludf.DUMMYFUNCTION("""COMPUTED_VALUE"""),1.023)</f>
        <v>1.023</v>
      </c>
      <c r="E6672" s="16">
        <f>IFERROR(__xludf.DUMMYFUNCTION("""COMPUTED_VALUE"""),64.0)</f>
        <v>64</v>
      </c>
      <c r="F6672" s="19" t="str">
        <f>IFERROR(__xludf.DUMMYFUNCTION("""COMPUTED_VALUE"""),"BLUE")</f>
        <v>BLUE</v>
      </c>
      <c r="G6672" s="20" t="str">
        <f>IFERROR(__xludf.DUMMYFUNCTION("""COMPUTED_VALUE"""),"Uncle Sams Cider (11/12/2021) (Blue)")</f>
        <v>Uncle Sams Cider (11/12/2021) (Blue)</v>
      </c>
      <c r="H6672" s="19"/>
    </row>
    <row r="6673">
      <c r="A6673" s="9"/>
      <c r="B6673" s="15"/>
      <c r="C6673" s="9">
        <f>IFERROR(__xludf.DUMMYFUNCTION("""COMPUTED_VALUE"""),44535.1502295601)</f>
        <v>44535.15023</v>
      </c>
      <c r="D6673" s="15">
        <f>IFERROR(__xludf.DUMMYFUNCTION("""COMPUTED_VALUE"""),1.023)</f>
        <v>1.023</v>
      </c>
      <c r="E6673" s="16">
        <f>IFERROR(__xludf.DUMMYFUNCTION("""COMPUTED_VALUE"""),64.0)</f>
        <v>64</v>
      </c>
      <c r="F6673" s="19" t="str">
        <f>IFERROR(__xludf.DUMMYFUNCTION("""COMPUTED_VALUE"""),"BLUE")</f>
        <v>BLUE</v>
      </c>
      <c r="G6673" s="20" t="str">
        <f>IFERROR(__xludf.DUMMYFUNCTION("""COMPUTED_VALUE"""),"Uncle Sams Cider (11/12/2021) (Blue)")</f>
        <v>Uncle Sams Cider (11/12/2021) (Blue)</v>
      </c>
      <c r="H6673" s="19"/>
    </row>
    <row r="6674">
      <c r="A6674" s="9"/>
      <c r="B6674" s="15"/>
      <c r="C6674" s="9">
        <f>IFERROR(__xludf.DUMMYFUNCTION("""COMPUTED_VALUE"""),44535.139795)</f>
        <v>44535.1398</v>
      </c>
      <c r="D6674" s="15">
        <f>IFERROR(__xludf.DUMMYFUNCTION("""COMPUTED_VALUE"""),1.023)</f>
        <v>1.023</v>
      </c>
      <c r="E6674" s="16">
        <f>IFERROR(__xludf.DUMMYFUNCTION("""COMPUTED_VALUE"""),64.0)</f>
        <v>64</v>
      </c>
      <c r="F6674" s="19" t="str">
        <f>IFERROR(__xludf.DUMMYFUNCTION("""COMPUTED_VALUE"""),"BLUE")</f>
        <v>BLUE</v>
      </c>
      <c r="G6674" s="20" t="str">
        <f>IFERROR(__xludf.DUMMYFUNCTION("""COMPUTED_VALUE"""),"Uncle Sams Cider (11/12/2021) (Blue)")</f>
        <v>Uncle Sams Cider (11/12/2021) (Blue)</v>
      </c>
      <c r="H6674" s="19"/>
    </row>
    <row r="6675">
      <c r="A6675" s="9"/>
      <c r="B6675" s="15"/>
      <c r="C6675" s="9">
        <f>IFERROR(__xludf.DUMMYFUNCTION("""COMPUTED_VALUE"""),44535.1293747685)</f>
        <v>44535.12937</v>
      </c>
      <c r="D6675" s="15">
        <f>IFERROR(__xludf.DUMMYFUNCTION("""COMPUTED_VALUE"""),1.023)</f>
        <v>1.023</v>
      </c>
      <c r="E6675" s="16">
        <f>IFERROR(__xludf.DUMMYFUNCTION("""COMPUTED_VALUE"""),64.0)</f>
        <v>64</v>
      </c>
      <c r="F6675" s="19" t="str">
        <f>IFERROR(__xludf.DUMMYFUNCTION("""COMPUTED_VALUE"""),"BLUE")</f>
        <v>BLUE</v>
      </c>
      <c r="G6675" s="20" t="str">
        <f>IFERROR(__xludf.DUMMYFUNCTION("""COMPUTED_VALUE"""),"Uncle Sams Cider (11/12/2021) (Blue)")</f>
        <v>Uncle Sams Cider (11/12/2021) (Blue)</v>
      </c>
      <c r="H6675" s="19"/>
    </row>
    <row r="6676">
      <c r="A6676" s="9"/>
      <c r="B6676" s="15"/>
      <c r="C6676" s="9">
        <f>IFERROR(__xludf.DUMMYFUNCTION("""COMPUTED_VALUE"""),44535.1189536689)</f>
        <v>44535.11895</v>
      </c>
      <c r="D6676" s="15">
        <f>IFERROR(__xludf.DUMMYFUNCTION("""COMPUTED_VALUE"""),1.023)</f>
        <v>1.023</v>
      </c>
      <c r="E6676" s="16">
        <f>IFERROR(__xludf.DUMMYFUNCTION("""COMPUTED_VALUE"""),64.0)</f>
        <v>64</v>
      </c>
      <c r="F6676" s="19" t="str">
        <f>IFERROR(__xludf.DUMMYFUNCTION("""COMPUTED_VALUE"""),"BLUE")</f>
        <v>BLUE</v>
      </c>
      <c r="G6676" s="20" t="str">
        <f>IFERROR(__xludf.DUMMYFUNCTION("""COMPUTED_VALUE"""),"Uncle Sams Cider (11/12/2021) (Blue)")</f>
        <v>Uncle Sams Cider (11/12/2021) (Blue)</v>
      </c>
      <c r="H6676" s="19"/>
    </row>
    <row r="6677">
      <c r="A6677" s="9"/>
      <c r="B6677" s="15"/>
      <c r="C6677" s="9">
        <f>IFERROR(__xludf.DUMMYFUNCTION("""COMPUTED_VALUE"""),44535.1085339583)</f>
        <v>44535.10853</v>
      </c>
      <c r="D6677" s="15">
        <f>IFERROR(__xludf.DUMMYFUNCTION("""COMPUTED_VALUE"""),1.023)</f>
        <v>1.023</v>
      </c>
      <c r="E6677" s="16">
        <f>IFERROR(__xludf.DUMMYFUNCTION("""COMPUTED_VALUE"""),64.0)</f>
        <v>64</v>
      </c>
      <c r="F6677" s="19" t="str">
        <f>IFERROR(__xludf.DUMMYFUNCTION("""COMPUTED_VALUE"""),"BLUE")</f>
        <v>BLUE</v>
      </c>
      <c r="G6677" s="20" t="str">
        <f>IFERROR(__xludf.DUMMYFUNCTION("""COMPUTED_VALUE"""),"Uncle Sams Cider (11/12/2021) (Blue)")</f>
        <v>Uncle Sams Cider (11/12/2021) (Blue)</v>
      </c>
      <c r="H6677" s="19"/>
    </row>
    <row r="6678">
      <c r="A6678" s="9"/>
      <c r="B6678" s="15"/>
      <c r="C6678" s="9">
        <f>IFERROR(__xludf.DUMMYFUNCTION("""COMPUTED_VALUE"""),44535.0981119328)</f>
        <v>44535.09811</v>
      </c>
      <c r="D6678" s="15">
        <f>IFERROR(__xludf.DUMMYFUNCTION("""COMPUTED_VALUE"""),1.023)</f>
        <v>1.023</v>
      </c>
      <c r="E6678" s="16">
        <f>IFERROR(__xludf.DUMMYFUNCTION("""COMPUTED_VALUE"""),64.0)</f>
        <v>64</v>
      </c>
      <c r="F6678" s="19" t="str">
        <f>IFERROR(__xludf.DUMMYFUNCTION("""COMPUTED_VALUE"""),"BLUE")</f>
        <v>BLUE</v>
      </c>
      <c r="G6678" s="20" t="str">
        <f>IFERROR(__xludf.DUMMYFUNCTION("""COMPUTED_VALUE"""),"Uncle Sams Cider (11/12/2021) (Blue)")</f>
        <v>Uncle Sams Cider (11/12/2021) (Blue)</v>
      </c>
      <c r="H6678" s="19"/>
    </row>
    <row r="6679">
      <c r="A6679" s="9"/>
      <c r="B6679" s="15"/>
      <c r="C6679" s="9">
        <f>IFERROR(__xludf.DUMMYFUNCTION("""COMPUTED_VALUE"""),44535.0876922222)</f>
        <v>44535.08769</v>
      </c>
      <c r="D6679" s="15">
        <f>IFERROR(__xludf.DUMMYFUNCTION("""COMPUTED_VALUE"""),1.023)</f>
        <v>1.023</v>
      </c>
      <c r="E6679" s="16">
        <f>IFERROR(__xludf.DUMMYFUNCTION("""COMPUTED_VALUE"""),64.0)</f>
        <v>64</v>
      </c>
      <c r="F6679" s="19" t="str">
        <f>IFERROR(__xludf.DUMMYFUNCTION("""COMPUTED_VALUE"""),"BLUE")</f>
        <v>BLUE</v>
      </c>
      <c r="G6679" s="20" t="str">
        <f>IFERROR(__xludf.DUMMYFUNCTION("""COMPUTED_VALUE"""),"Uncle Sams Cider (11/12/2021) (Blue)")</f>
        <v>Uncle Sams Cider (11/12/2021) (Blue)</v>
      </c>
      <c r="H6679" s="19"/>
    </row>
    <row r="6680">
      <c r="A6680" s="9"/>
      <c r="B6680" s="15"/>
      <c r="C6680" s="9">
        <f>IFERROR(__xludf.DUMMYFUNCTION("""COMPUTED_VALUE"""),44535.0772703935)</f>
        <v>44535.07727</v>
      </c>
      <c r="D6680" s="15">
        <f>IFERROR(__xludf.DUMMYFUNCTION("""COMPUTED_VALUE"""),1.023)</f>
        <v>1.023</v>
      </c>
      <c r="E6680" s="16">
        <f>IFERROR(__xludf.DUMMYFUNCTION("""COMPUTED_VALUE"""),64.0)</f>
        <v>64</v>
      </c>
      <c r="F6680" s="19" t="str">
        <f>IFERROR(__xludf.DUMMYFUNCTION("""COMPUTED_VALUE"""),"BLUE")</f>
        <v>BLUE</v>
      </c>
      <c r="G6680" s="20" t="str">
        <f>IFERROR(__xludf.DUMMYFUNCTION("""COMPUTED_VALUE"""),"Uncle Sams Cider (11/12/2021) (Blue)")</f>
        <v>Uncle Sams Cider (11/12/2021) (Blue)</v>
      </c>
      <c r="H6680" s="19"/>
    </row>
    <row r="6681">
      <c r="A6681" s="9"/>
      <c r="B6681" s="15"/>
      <c r="C6681" s="9">
        <f>IFERROR(__xludf.DUMMYFUNCTION("""COMPUTED_VALUE"""),44535.06684853)</f>
        <v>44535.06685</v>
      </c>
      <c r="D6681" s="15">
        <f>IFERROR(__xludf.DUMMYFUNCTION("""COMPUTED_VALUE"""),1.023)</f>
        <v>1.023</v>
      </c>
      <c r="E6681" s="16">
        <f>IFERROR(__xludf.DUMMYFUNCTION("""COMPUTED_VALUE"""),64.0)</f>
        <v>64</v>
      </c>
      <c r="F6681" s="19" t="str">
        <f>IFERROR(__xludf.DUMMYFUNCTION("""COMPUTED_VALUE"""),"BLUE")</f>
        <v>BLUE</v>
      </c>
      <c r="G6681" s="20" t="str">
        <f>IFERROR(__xludf.DUMMYFUNCTION("""COMPUTED_VALUE"""),"Uncle Sams Cider (11/12/2021) (Blue)")</f>
        <v>Uncle Sams Cider (11/12/2021) (Blue)</v>
      </c>
      <c r="H6681" s="19"/>
    </row>
    <row r="6682">
      <c r="A6682" s="9"/>
      <c r="B6682" s="15"/>
      <c r="C6682" s="9">
        <f>IFERROR(__xludf.DUMMYFUNCTION("""COMPUTED_VALUE"""),44535.0564025)</f>
        <v>44535.0564</v>
      </c>
      <c r="D6682" s="15">
        <f>IFERROR(__xludf.DUMMYFUNCTION("""COMPUTED_VALUE"""),1.023)</f>
        <v>1.023</v>
      </c>
      <c r="E6682" s="16">
        <f>IFERROR(__xludf.DUMMYFUNCTION("""COMPUTED_VALUE"""),64.0)</f>
        <v>64</v>
      </c>
      <c r="F6682" s="19" t="str">
        <f>IFERROR(__xludf.DUMMYFUNCTION("""COMPUTED_VALUE"""),"BLUE")</f>
        <v>BLUE</v>
      </c>
      <c r="G6682" s="20" t="str">
        <f>IFERROR(__xludf.DUMMYFUNCTION("""COMPUTED_VALUE"""),"Uncle Sams Cider (11/12/2021) (Blue)")</f>
        <v>Uncle Sams Cider (11/12/2021) (Blue)</v>
      </c>
      <c r="H6682" s="19"/>
    </row>
    <row r="6683">
      <c r="A6683" s="9"/>
      <c r="B6683" s="15"/>
      <c r="C6683" s="9">
        <f>IFERROR(__xludf.DUMMYFUNCTION("""COMPUTED_VALUE"""),44535.0459815972)</f>
        <v>44535.04598</v>
      </c>
      <c r="D6683" s="15">
        <f>IFERROR(__xludf.DUMMYFUNCTION("""COMPUTED_VALUE"""),1.023)</f>
        <v>1.023</v>
      </c>
      <c r="E6683" s="16">
        <f>IFERROR(__xludf.DUMMYFUNCTION("""COMPUTED_VALUE"""),64.0)</f>
        <v>64</v>
      </c>
      <c r="F6683" s="19" t="str">
        <f>IFERROR(__xludf.DUMMYFUNCTION("""COMPUTED_VALUE"""),"BLUE")</f>
        <v>BLUE</v>
      </c>
      <c r="G6683" s="20" t="str">
        <f>IFERROR(__xludf.DUMMYFUNCTION("""COMPUTED_VALUE"""),"Uncle Sams Cider (11/12/2021) (Blue)")</f>
        <v>Uncle Sams Cider (11/12/2021) (Blue)</v>
      </c>
      <c r="H6683" s="19"/>
    </row>
    <row r="6684">
      <c r="A6684" s="9"/>
      <c r="B6684" s="15"/>
      <c r="C6684" s="9">
        <f>IFERROR(__xludf.DUMMYFUNCTION("""COMPUTED_VALUE"""),44535.035561331)</f>
        <v>44535.03556</v>
      </c>
      <c r="D6684" s="15">
        <f>IFERROR(__xludf.DUMMYFUNCTION("""COMPUTED_VALUE"""),1.023)</f>
        <v>1.023</v>
      </c>
      <c r="E6684" s="16">
        <f>IFERROR(__xludf.DUMMYFUNCTION("""COMPUTED_VALUE"""),64.0)</f>
        <v>64</v>
      </c>
      <c r="F6684" s="19" t="str">
        <f>IFERROR(__xludf.DUMMYFUNCTION("""COMPUTED_VALUE"""),"BLUE")</f>
        <v>BLUE</v>
      </c>
      <c r="G6684" s="20" t="str">
        <f>IFERROR(__xludf.DUMMYFUNCTION("""COMPUTED_VALUE"""),"Uncle Sams Cider (11/12/2021) (Blue)")</f>
        <v>Uncle Sams Cider (11/12/2021) (Blue)</v>
      </c>
      <c r="H6684" s="19"/>
    </row>
    <row r="6685">
      <c r="A6685" s="9"/>
      <c r="B6685" s="15"/>
      <c r="C6685" s="9">
        <f>IFERROR(__xludf.DUMMYFUNCTION("""COMPUTED_VALUE"""),44535.0251408449)</f>
        <v>44535.02514</v>
      </c>
      <c r="D6685" s="15">
        <f>IFERROR(__xludf.DUMMYFUNCTION("""COMPUTED_VALUE"""),1.023)</f>
        <v>1.023</v>
      </c>
      <c r="E6685" s="16">
        <f>IFERROR(__xludf.DUMMYFUNCTION("""COMPUTED_VALUE"""),64.0)</f>
        <v>64</v>
      </c>
      <c r="F6685" s="19" t="str">
        <f>IFERROR(__xludf.DUMMYFUNCTION("""COMPUTED_VALUE"""),"BLUE")</f>
        <v>BLUE</v>
      </c>
      <c r="G6685" s="20" t="str">
        <f>IFERROR(__xludf.DUMMYFUNCTION("""COMPUTED_VALUE"""),"Uncle Sams Cider (11/12/2021) (Blue)")</f>
        <v>Uncle Sams Cider (11/12/2021) (Blue)</v>
      </c>
      <c r="H6685" s="19"/>
    </row>
    <row r="6686">
      <c r="A6686" s="9"/>
      <c r="B6686" s="15"/>
      <c r="C6686" s="9">
        <f>IFERROR(__xludf.DUMMYFUNCTION("""COMPUTED_VALUE"""),44535.0147203009)</f>
        <v>44535.01472</v>
      </c>
      <c r="D6686" s="15">
        <f>IFERROR(__xludf.DUMMYFUNCTION("""COMPUTED_VALUE"""),1.023)</f>
        <v>1.023</v>
      </c>
      <c r="E6686" s="16">
        <f>IFERROR(__xludf.DUMMYFUNCTION("""COMPUTED_VALUE"""),64.0)</f>
        <v>64</v>
      </c>
      <c r="F6686" s="19" t="str">
        <f>IFERROR(__xludf.DUMMYFUNCTION("""COMPUTED_VALUE"""),"BLUE")</f>
        <v>BLUE</v>
      </c>
      <c r="G6686" s="20" t="str">
        <f>IFERROR(__xludf.DUMMYFUNCTION("""COMPUTED_VALUE"""),"Uncle Sams Cider (11/12/2021) (Blue)")</f>
        <v>Uncle Sams Cider (11/12/2021) (Blue)</v>
      </c>
      <c r="H6686" s="19"/>
    </row>
    <row r="6687">
      <c r="A6687" s="9"/>
      <c r="B6687" s="15"/>
      <c r="C6687" s="9">
        <f>IFERROR(__xludf.DUMMYFUNCTION("""COMPUTED_VALUE"""),44535.0042997569)</f>
        <v>44535.0043</v>
      </c>
      <c r="D6687" s="15">
        <f>IFERROR(__xludf.DUMMYFUNCTION("""COMPUTED_VALUE"""),1.023)</f>
        <v>1.023</v>
      </c>
      <c r="E6687" s="16">
        <f>IFERROR(__xludf.DUMMYFUNCTION("""COMPUTED_VALUE"""),64.0)</f>
        <v>64</v>
      </c>
      <c r="F6687" s="19" t="str">
        <f>IFERROR(__xludf.DUMMYFUNCTION("""COMPUTED_VALUE"""),"BLUE")</f>
        <v>BLUE</v>
      </c>
      <c r="G6687" s="20" t="str">
        <f>IFERROR(__xludf.DUMMYFUNCTION("""COMPUTED_VALUE"""),"Uncle Sams Cider (11/12/2021) (Blue)")</f>
        <v>Uncle Sams Cider (11/12/2021) (Blue)</v>
      </c>
      <c r="H6687" s="19"/>
    </row>
    <row r="6688">
      <c r="A6688" s="9"/>
      <c r="B6688" s="15"/>
      <c r="C6688" s="9">
        <f>IFERROR(__xludf.DUMMYFUNCTION("""COMPUTED_VALUE"""),44534.9938762037)</f>
        <v>44534.99388</v>
      </c>
      <c r="D6688" s="15">
        <f>IFERROR(__xludf.DUMMYFUNCTION("""COMPUTED_VALUE"""),1.024)</f>
        <v>1.024</v>
      </c>
      <c r="E6688" s="16">
        <f>IFERROR(__xludf.DUMMYFUNCTION("""COMPUTED_VALUE"""),64.0)</f>
        <v>64</v>
      </c>
      <c r="F6688" s="19" t="str">
        <f>IFERROR(__xludf.DUMMYFUNCTION("""COMPUTED_VALUE"""),"BLUE")</f>
        <v>BLUE</v>
      </c>
      <c r="G6688" s="20" t="str">
        <f>IFERROR(__xludf.DUMMYFUNCTION("""COMPUTED_VALUE"""),"Uncle Sams Cider (11/12/2021) (Blue)")</f>
        <v>Uncle Sams Cider (11/12/2021) (Blue)</v>
      </c>
      <c r="H6688" s="19"/>
    </row>
    <row r="6689">
      <c r="A6689" s="9"/>
      <c r="B6689" s="15"/>
      <c r="C6689" s="9">
        <f>IFERROR(__xludf.DUMMYFUNCTION("""COMPUTED_VALUE"""),44534.9834556134)</f>
        <v>44534.98346</v>
      </c>
      <c r="D6689" s="15">
        <f>IFERROR(__xludf.DUMMYFUNCTION("""COMPUTED_VALUE"""),1.024)</f>
        <v>1.024</v>
      </c>
      <c r="E6689" s="16">
        <f>IFERROR(__xludf.DUMMYFUNCTION("""COMPUTED_VALUE"""),64.0)</f>
        <v>64</v>
      </c>
      <c r="F6689" s="19" t="str">
        <f>IFERROR(__xludf.DUMMYFUNCTION("""COMPUTED_VALUE"""),"BLUE")</f>
        <v>BLUE</v>
      </c>
      <c r="G6689" s="20" t="str">
        <f>IFERROR(__xludf.DUMMYFUNCTION("""COMPUTED_VALUE"""),"Uncle Sams Cider (11/12/2021) (Blue)")</f>
        <v>Uncle Sams Cider (11/12/2021) (Blue)</v>
      </c>
      <c r="H6689" s="19"/>
    </row>
    <row r="6690">
      <c r="A6690" s="9"/>
      <c r="B6690" s="15"/>
      <c r="C6690" s="9">
        <f>IFERROR(__xludf.DUMMYFUNCTION("""COMPUTED_VALUE"""),44534.9730354976)</f>
        <v>44534.97304</v>
      </c>
      <c r="D6690" s="15">
        <f>IFERROR(__xludf.DUMMYFUNCTION("""COMPUTED_VALUE"""),1.024)</f>
        <v>1.024</v>
      </c>
      <c r="E6690" s="16">
        <f>IFERROR(__xludf.DUMMYFUNCTION("""COMPUTED_VALUE"""),64.0)</f>
        <v>64</v>
      </c>
      <c r="F6690" s="19" t="str">
        <f>IFERROR(__xludf.DUMMYFUNCTION("""COMPUTED_VALUE"""),"BLUE")</f>
        <v>BLUE</v>
      </c>
      <c r="G6690" s="20" t="str">
        <f>IFERROR(__xludf.DUMMYFUNCTION("""COMPUTED_VALUE"""),"Uncle Sams Cider (11/12/2021) (Blue)")</f>
        <v>Uncle Sams Cider (11/12/2021) (Blue)</v>
      </c>
      <c r="H6690" s="19"/>
    </row>
    <row r="6691">
      <c r="A6691" s="9"/>
      <c r="B6691" s="15"/>
      <c r="C6691" s="9">
        <f>IFERROR(__xludf.DUMMYFUNCTION("""COMPUTED_VALUE"""),44534.9626130787)</f>
        <v>44534.96261</v>
      </c>
      <c r="D6691" s="15">
        <f>IFERROR(__xludf.DUMMYFUNCTION("""COMPUTED_VALUE"""),1.024)</f>
        <v>1.024</v>
      </c>
      <c r="E6691" s="16">
        <f>IFERROR(__xludf.DUMMYFUNCTION("""COMPUTED_VALUE"""),64.0)</f>
        <v>64</v>
      </c>
      <c r="F6691" s="19" t="str">
        <f>IFERROR(__xludf.DUMMYFUNCTION("""COMPUTED_VALUE"""),"BLUE")</f>
        <v>BLUE</v>
      </c>
      <c r="G6691" s="20" t="str">
        <f>IFERROR(__xludf.DUMMYFUNCTION("""COMPUTED_VALUE"""),"Uncle Sams Cider (11/12/2021) (Blue)")</f>
        <v>Uncle Sams Cider (11/12/2021) (Blue)</v>
      </c>
      <c r="H6691" s="19"/>
    </row>
    <row r="6692">
      <c r="A6692" s="9"/>
      <c r="B6692" s="15"/>
      <c r="C6692" s="9">
        <f>IFERROR(__xludf.DUMMYFUNCTION("""COMPUTED_VALUE"""),44534.9521925231)</f>
        <v>44534.95219</v>
      </c>
      <c r="D6692" s="15">
        <f>IFERROR(__xludf.DUMMYFUNCTION("""COMPUTED_VALUE"""),1.024)</f>
        <v>1.024</v>
      </c>
      <c r="E6692" s="16">
        <f>IFERROR(__xludf.DUMMYFUNCTION("""COMPUTED_VALUE"""),64.0)</f>
        <v>64</v>
      </c>
      <c r="F6692" s="19" t="str">
        <f>IFERROR(__xludf.DUMMYFUNCTION("""COMPUTED_VALUE"""),"BLUE")</f>
        <v>BLUE</v>
      </c>
      <c r="G6692" s="20" t="str">
        <f>IFERROR(__xludf.DUMMYFUNCTION("""COMPUTED_VALUE"""),"Uncle Sams Cider (11/12/2021) (Blue)")</f>
        <v>Uncle Sams Cider (11/12/2021) (Blue)</v>
      </c>
      <c r="H6692" s="19"/>
    </row>
    <row r="6693">
      <c r="A6693" s="9"/>
      <c r="B6693" s="15"/>
      <c r="C6693" s="9">
        <f>IFERROR(__xludf.DUMMYFUNCTION("""COMPUTED_VALUE"""),44534.9417724652)</f>
        <v>44534.94177</v>
      </c>
      <c r="D6693" s="15">
        <f>IFERROR(__xludf.DUMMYFUNCTION("""COMPUTED_VALUE"""),1.023)</f>
        <v>1.023</v>
      </c>
      <c r="E6693" s="16">
        <f>IFERROR(__xludf.DUMMYFUNCTION("""COMPUTED_VALUE"""),64.0)</f>
        <v>64</v>
      </c>
      <c r="F6693" s="19" t="str">
        <f>IFERROR(__xludf.DUMMYFUNCTION("""COMPUTED_VALUE"""),"BLUE")</f>
        <v>BLUE</v>
      </c>
      <c r="G6693" s="20" t="str">
        <f>IFERROR(__xludf.DUMMYFUNCTION("""COMPUTED_VALUE"""),"Uncle Sams Cider (11/12/2021) (Blue)")</f>
        <v>Uncle Sams Cider (11/12/2021) (Blue)</v>
      </c>
      <c r="H6693" s="19"/>
    </row>
    <row r="6694">
      <c r="A6694" s="9"/>
      <c r="B6694" s="15"/>
      <c r="C6694" s="9">
        <f>IFERROR(__xludf.DUMMYFUNCTION("""COMPUTED_VALUE"""),44534.9313526967)</f>
        <v>44534.93135</v>
      </c>
      <c r="D6694" s="15">
        <f>IFERROR(__xludf.DUMMYFUNCTION("""COMPUTED_VALUE"""),1.023)</f>
        <v>1.023</v>
      </c>
      <c r="E6694" s="16">
        <f>IFERROR(__xludf.DUMMYFUNCTION("""COMPUTED_VALUE"""),64.0)</f>
        <v>64</v>
      </c>
      <c r="F6694" s="19" t="str">
        <f>IFERROR(__xludf.DUMMYFUNCTION("""COMPUTED_VALUE"""),"BLUE")</f>
        <v>BLUE</v>
      </c>
      <c r="G6694" s="20" t="str">
        <f>IFERROR(__xludf.DUMMYFUNCTION("""COMPUTED_VALUE"""),"Uncle Sams Cider (11/12/2021) (Blue)")</f>
        <v>Uncle Sams Cider (11/12/2021) (Blue)</v>
      </c>
      <c r="H6694" s="19"/>
    </row>
    <row r="6695">
      <c r="A6695" s="9"/>
      <c r="B6695" s="15"/>
      <c r="C6695" s="9">
        <f>IFERROR(__xludf.DUMMYFUNCTION("""COMPUTED_VALUE"""),44534.920930868)</f>
        <v>44534.92093</v>
      </c>
      <c r="D6695" s="15">
        <f>IFERROR(__xludf.DUMMYFUNCTION("""COMPUTED_VALUE"""),1.023)</f>
        <v>1.023</v>
      </c>
      <c r="E6695" s="16">
        <f>IFERROR(__xludf.DUMMYFUNCTION("""COMPUTED_VALUE"""),64.0)</f>
        <v>64</v>
      </c>
      <c r="F6695" s="19" t="str">
        <f>IFERROR(__xludf.DUMMYFUNCTION("""COMPUTED_VALUE"""),"BLUE")</f>
        <v>BLUE</v>
      </c>
      <c r="G6695" s="20" t="str">
        <f>IFERROR(__xludf.DUMMYFUNCTION("""COMPUTED_VALUE"""),"Uncle Sams Cider (11/12/2021) (Blue)")</f>
        <v>Uncle Sams Cider (11/12/2021) (Blue)</v>
      </c>
      <c r="H6695" s="19"/>
    </row>
    <row r="6696">
      <c r="A6696" s="9"/>
      <c r="B6696" s="15"/>
      <c r="C6696" s="9">
        <f>IFERROR(__xludf.DUMMYFUNCTION("""COMPUTED_VALUE"""),44534.9104974768)</f>
        <v>44534.9105</v>
      </c>
      <c r="D6696" s="15">
        <f>IFERROR(__xludf.DUMMYFUNCTION("""COMPUTED_VALUE"""),1.024)</f>
        <v>1.024</v>
      </c>
      <c r="E6696" s="16">
        <f>IFERROR(__xludf.DUMMYFUNCTION("""COMPUTED_VALUE"""),64.0)</f>
        <v>64</v>
      </c>
      <c r="F6696" s="19" t="str">
        <f>IFERROR(__xludf.DUMMYFUNCTION("""COMPUTED_VALUE"""),"BLUE")</f>
        <v>BLUE</v>
      </c>
      <c r="G6696" s="20" t="str">
        <f>IFERROR(__xludf.DUMMYFUNCTION("""COMPUTED_VALUE"""),"Uncle Sams Cider (11/12/2021) (Blue)")</f>
        <v>Uncle Sams Cider (11/12/2021) (Blue)</v>
      </c>
      <c r="H6696" s="19"/>
    </row>
    <row r="6697">
      <c r="A6697" s="9"/>
      <c r="B6697" s="15"/>
      <c r="C6697" s="9">
        <f>IFERROR(__xludf.DUMMYFUNCTION("""COMPUTED_VALUE"""),44534.9000792245)</f>
        <v>44534.90008</v>
      </c>
      <c r="D6697" s="15">
        <f>IFERROR(__xludf.DUMMYFUNCTION("""COMPUTED_VALUE"""),1.024)</f>
        <v>1.024</v>
      </c>
      <c r="E6697" s="16">
        <f>IFERROR(__xludf.DUMMYFUNCTION("""COMPUTED_VALUE"""),64.0)</f>
        <v>64</v>
      </c>
      <c r="F6697" s="19" t="str">
        <f>IFERROR(__xludf.DUMMYFUNCTION("""COMPUTED_VALUE"""),"BLUE")</f>
        <v>BLUE</v>
      </c>
      <c r="G6697" s="20" t="str">
        <f>IFERROR(__xludf.DUMMYFUNCTION("""COMPUTED_VALUE"""),"Uncle Sams Cider (11/12/2021) (Blue)")</f>
        <v>Uncle Sams Cider (11/12/2021) (Blue)</v>
      </c>
      <c r="H6697" s="19"/>
    </row>
    <row r="6698">
      <c r="A6698" s="9"/>
      <c r="B6698" s="15"/>
      <c r="C6698" s="9">
        <f>IFERROR(__xludf.DUMMYFUNCTION("""COMPUTED_VALUE"""),44534.8896460185)</f>
        <v>44534.88965</v>
      </c>
      <c r="D6698" s="15">
        <f>IFERROR(__xludf.DUMMYFUNCTION("""COMPUTED_VALUE"""),1.024)</f>
        <v>1.024</v>
      </c>
      <c r="E6698" s="16">
        <f>IFERROR(__xludf.DUMMYFUNCTION("""COMPUTED_VALUE"""),64.0)</f>
        <v>64</v>
      </c>
      <c r="F6698" s="19" t="str">
        <f>IFERROR(__xludf.DUMMYFUNCTION("""COMPUTED_VALUE"""),"BLUE")</f>
        <v>BLUE</v>
      </c>
      <c r="G6698" s="20" t="str">
        <f>IFERROR(__xludf.DUMMYFUNCTION("""COMPUTED_VALUE"""),"Uncle Sams Cider (11/12/2021) (Blue)")</f>
        <v>Uncle Sams Cider (11/12/2021) (Blue)</v>
      </c>
      <c r="H6698" s="19"/>
    </row>
    <row r="6699">
      <c r="A6699" s="9"/>
      <c r="B6699" s="15"/>
      <c r="C6699" s="9">
        <f>IFERROR(__xludf.DUMMYFUNCTION("""COMPUTED_VALUE"""),44534.8792241666)</f>
        <v>44534.87922</v>
      </c>
      <c r="D6699" s="15">
        <f>IFERROR(__xludf.DUMMYFUNCTION("""COMPUTED_VALUE"""),1.024)</f>
        <v>1.024</v>
      </c>
      <c r="E6699" s="16">
        <f>IFERROR(__xludf.DUMMYFUNCTION("""COMPUTED_VALUE"""),64.0)</f>
        <v>64</v>
      </c>
      <c r="F6699" s="19" t="str">
        <f>IFERROR(__xludf.DUMMYFUNCTION("""COMPUTED_VALUE"""),"BLUE")</f>
        <v>BLUE</v>
      </c>
      <c r="G6699" s="20" t="str">
        <f>IFERROR(__xludf.DUMMYFUNCTION("""COMPUTED_VALUE"""),"Uncle Sams Cider (11/12/2021) (Blue)")</f>
        <v>Uncle Sams Cider (11/12/2021) (Blue)</v>
      </c>
      <c r="H6699" s="19"/>
    </row>
    <row r="6700">
      <c r="A6700" s="9"/>
      <c r="B6700" s="15"/>
      <c r="C6700" s="9">
        <f>IFERROR(__xludf.DUMMYFUNCTION("""COMPUTED_VALUE"""),44534.8688024999)</f>
        <v>44534.8688</v>
      </c>
      <c r="D6700" s="15">
        <f>IFERROR(__xludf.DUMMYFUNCTION("""COMPUTED_VALUE"""),1.024)</f>
        <v>1.024</v>
      </c>
      <c r="E6700" s="16">
        <f>IFERROR(__xludf.DUMMYFUNCTION("""COMPUTED_VALUE"""),64.0)</f>
        <v>64</v>
      </c>
      <c r="F6700" s="19" t="str">
        <f>IFERROR(__xludf.DUMMYFUNCTION("""COMPUTED_VALUE"""),"BLUE")</f>
        <v>BLUE</v>
      </c>
      <c r="G6700" s="20" t="str">
        <f>IFERROR(__xludf.DUMMYFUNCTION("""COMPUTED_VALUE"""),"Uncle Sams Cider (11/12/2021) (Blue)")</f>
        <v>Uncle Sams Cider (11/12/2021) (Blue)</v>
      </c>
      <c r="H6700" s="19"/>
    </row>
    <row r="6701">
      <c r="A6701" s="9"/>
      <c r="B6701" s="15"/>
      <c r="C6701" s="9">
        <f>IFERROR(__xludf.DUMMYFUNCTION("""COMPUTED_VALUE"""),44534.8583691203)</f>
        <v>44534.85837</v>
      </c>
      <c r="D6701" s="15">
        <f>IFERROR(__xludf.DUMMYFUNCTION("""COMPUTED_VALUE"""),1.024)</f>
        <v>1.024</v>
      </c>
      <c r="E6701" s="16">
        <f>IFERROR(__xludf.DUMMYFUNCTION("""COMPUTED_VALUE"""),64.0)</f>
        <v>64</v>
      </c>
      <c r="F6701" s="19" t="str">
        <f>IFERROR(__xludf.DUMMYFUNCTION("""COMPUTED_VALUE"""),"BLUE")</f>
        <v>BLUE</v>
      </c>
      <c r="G6701" s="20" t="str">
        <f>IFERROR(__xludf.DUMMYFUNCTION("""COMPUTED_VALUE"""),"Uncle Sams Cider (11/12/2021) (Blue)")</f>
        <v>Uncle Sams Cider (11/12/2021) (Blue)</v>
      </c>
      <c r="H6701" s="19"/>
    </row>
    <row r="6702">
      <c r="A6702" s="9"/>
      <c r="B6702" s="15"/>
      <c r="C6702" s="9">
        <f>IFERROR(__xludf.DUMMYFUNCTION("""COMPUTED_VALUE"""),44534.8479347801)</f>
        <v>44534.84793</v>
      </c>
      <c r="D6702" s="15">
        <f>IFERROR(__xludf.DUMMYFUNCTION("""COMPUTED_VALUE"""),1.024)</f>
        <v>1.024</v>
      </c>
      <c r="E6702" s="16">
        <f>IFERROR(__xludf.DUMMYFUNCTION("""COMPUTED_VALUE"""),64.0)</f>
        <v>64</v>
      </c>
      <c r="F6702" s="19" t="str">
        <f>IFERROR(__xludf.DUMMYFUNCTION("""COMPUTED_VALUE"""),"BLUE")</f>
        <v>BLUE</v>
      </c>
      <c r="G6702" s="20" t="str">
        <f>IFERROR(__xludf.DUMMYFUNCTION("""COMPUTED_VALUE"""),"Uncle Sams Cider (11/12/2021) (Blue)")</f>
        <v>Uncle Sams Cider (11/12/2021) (Blue)</v>
      </c>
      <c r="H6702" s="19"/>
    </row>
    <row r="6703">
      <c r="A6703" s="9"/>
      <c r="B6703" s="15"/>
      <c r="C6703" s="9">
        <f>IFERROR(__xludf.DUMMYFUNCTION("""COMPUTED_VALUE"""),44534.83751375)</f>
        <v>44534.83751</v>
      </c>
      <c r="D6703" s="15">
        <f>IFERROR(__xludf.DUMMYFUNCTION("""COMPUTED_VALUE"""),1.024)</f>
        <v>1.024</v>
      </c>
      <c r="E6703" s="16">
        <f>IFERROR(__xludf.DUMMYFUNCTION("""COMPUTED_VALUE"""),64.0)</f>
        <v>64</v>
      </c>
      <c r="F6703" s="19" t="str">
        <f>IFERROR(__xludf.DUMMYFUNCTION("""COMPUTED_VALUE"""),"BLUE")</f>
        <v>BLUE</v>
      </c>
      <c r="G6703" s="20" t="str">
        <f>IFERROR(__xludf.DUMMYFUNCTION("""COMPUTED_VALUE"""),"Uncle Sams Cider (11/12/2021) (Blue)")</f>
        <v>Uncle Sams Cider (11/12/2021) (Blue)</v>
      </c>
      <c r="H6703" s="19"/>
    </row>
    <row r="6704">
      <c r="A6704" s="9"/>
      <c r="B6704" s="15"/>
      <c r="C6704" s="9">
        <f>IFERROR(__xludf.DUMMYFUNCTION("""COMPUTED_VALUE"""),44534.8270922453)</f>
        <v>44534.82709</v>
      </c>
      <c r="D6704" s="15">
        <f>IFERROR(__xludf.DUMMYFUNCTION("""COMPUTED_VALUE"""),1.024)</f>
        <v>1.024</v>
      </c>
      <c r="E6704" s="16">
        <f>IFERROR(__xludf.DUMMYFUNCTION("""COMPUTED_VALUE"""),64.0)</f>
        <v>64</v>
      </c>
      <c r="F6704" s="19" t="str">
        <f>IFERROR(__xludf.DUMMYFUNCTION("""COMPUTED_VALUE"""),"BLUE")</f>
        <v>BLUE</v>
      </c>
      <c r="G6704" s="20" t="str">
        <f>IFERROR(__xludf.DUMMYFUNCTION("""COMPUTED_VALUE"""),"Uncle Sams Cider (11/12/2021) (Blue)")</f>
        <v>Uncle Sams Cider (11/12/2021) (Blue)</v>
      </c>
      <c r="H6704" s="19"/>
    </row>
    <row r="6705">
      <c r="A6705" s="9"/>
      <c r="B6705" s="15"/>
      <c r="C6705" s="9">
        <f>IFERROR(__xludf.DUMMYFUNCTION("""COMPUTED_VALUE"""),44534.8166715393)</f>
        <v>44534.81667</v>
      </c>
      <c r="D6705" s="15">
        <f>IFERROR(__xludf.DUMMYFUNCTION("""COMPUTED_VALUE"""),1.024)</f>
        <v>1.024</v>
      </c>
      <c r="E6705" s="16">
        <f>IFERROR(__xludf.DUMMYFUNCTION("""COMPUTED_VALUE"""),64.0)</f>
        <v>64</v>
      </c>
      <c r="F6705" s="19" t="str">
        <f>IFERROR(__xludf.DUMMYFUNCTION("""COMPUTED_VALUE"""),"BLUE")</f>
        <v>BLUE</v>
      </c>
      <c r="G6705" s="20" t="str">
        <f>IFERROR(__xludf.DUMMYFUNCTION("""COMPUTED_VALUE"""),"Uncle Sams Cider (11/12/2021) (Blue)")</f>
        <v>Uncle Sams Cider (11/12/2021) (Blue)</v>
      </c>
      <c r="H6705" s="19"/>
    </row>
    <row r="6706">
      <c r="A6706" s="9"/>
      <c r="B6706" s="15"/>
      <c r="C6706" s="9">
        <f>IFERROR(__xludf.DUMMYFUNCTION("""COMPUTED_VALUE"""),44534.8062478356)</f>
        <v>44534.80625</v>
      </c>
      <c r="D6706" s="15">
        <f>IFERROR(__xludf.DUMMYFUNCTION("""COMPUTED_VALUE"""),1.024)</f>
        <v>1.024</v>
      </c>
      <c r="E6706" s="16">
        <f>IFERROR(__xludf.DUMMYFUNCTION("""COMPUTED_VALUE"""),64.0)</f>
        <v>64</v>
      </c>
      <c r="F6706" s="19" t="str">
        <f>IFERROR(__xludf.DUMMYFUNCTION("""COMPUTED_VALUE"""),"BLUE")</f>
        <v>BLUE</v>
      </c>
      <c r="G6706" s="20" t="str">
        <f>IFERROR(__xludf.DUMMYFUNCTION("""COMPUTED_VALUE"""),"Uncle Sams Cider (11/12/2021) (Blue)")</f>
        <v>Uncle Sams Cider (11/12/2021) (Blue)</v>
      </c>
      <c r="H6706" s="19"/>
    </row>
    <row r="6707">
      <c r="A6707" s="9"/>
      <c r="B6707" s="15"/>
      <c r="C6707" s="9">
        <f>IFERROR(__xludf.DUMMYFUNCTION("""COMPUTED_VALUE"""),44534.795815405)</f>
        <v>44534.79582</v>
      </c>
      <c r="D6707" s="15">
        <f>IFERROR(__xludf.DUMMYFUNCTION("""COMPUTED_VALUE"""),1.024)</f>
        <v>1.024</v>
      </c>
      <c r="E6707" s="16">
        <f>IFERROR(__xludf.DUMMYFUNCTION("""COMPUTED_VALUE"""),64.0)</f>
        <v>64</v>
      </c>
      <c r="F6707" s="19" t="str">
        <f>IFERROR(__xludf.DUMMYFUNCTION("""COMPUTED_VALUE"""),"BLUE")</f>
        <v>BLUE</v>
      </c>
      <c r="G6707" s="20" t="str">
        <f>IFERROR(__xludf.DUMMYFUNCTION("""COMPUTED_VALUE"""),"Uncle Sams Cider (11/12/2021) (Blue)")</f>
        <v>Uncle Sams Cider (11/12/2021) (Blue)</v>
      </c>
      <c r="H6707" s="19"/>
    </row>
    <row r="6708">
      <c r="A6708" s="9"/>
      <c r="B6708" s="15"/>
      <c r="C6708" s="9">
        <f>IFERROR(__xludf.DUMMYFUNCTION("""COMPUTED_VALUE"""),44534.785393449)</f>
        <v>44534.78539</v>
      </c>
      <c r="D6708" s="15">
        <f>IFERROR(__xludf.DUMMYFUNCTION("""COMPUTED_VALUE"""),1.024)</f>
        <v>1.024</v>
      </c>
      <c r="E6708" s="16">
        <f>IFERROR(__xludf.DUMMYFUNCTION("""COMPUTED_VALUE"""),64.0)</f>
        <v>64</v>
      </c>
      <c r="F6708" s="19" t="str">
        <f>IFERROR(__xludf.DUMMYFUNCTION("""COMPUTED_VALUE"""),"BLUE")</f>
        <v>BLUE</v>
      </c>
      <c r="G6708" s="20" t="str">
        <f>IFERROR(__xludf.DUMMYFUNCTION("""COMPUTED_VALUE"""),"Uncle Sams Cider (11/12/2021) (Blue)")</f>
        <v>Uncle Sams Cider (11/12/2021) (Blue)</v>
      </c>
      <c r="H6708" s="19"/>
    </row>
    <row r="6709">
      <c r="A6709" s="9"/>
      <c r="B6709" s="15"/>
      <c r="C6709" s="9">
        <f>IFERROR(__xludf.DUMMYFUNCTION("""COMPUTED_VALUE"""),44534.7749696759)</f>
        <v>44534.77497</v>
      </c>
      <c r="D6709" s="15">
        <f>IFERROR(__xludf.DUMMYFUNCTION("""COMPUTED_VALUE"""),1.024)</f>
        <v>1.024</v>
      </c>
      <c r="E6709" s="16">
        <f>IFERROR(__xludf.DUMMYFUNCTION("""COMPUTED_VALUE"""),64.0)</f>
        <v>64</v>
      </c>
      <c r="F6709" s="19" t="str">
        <f>IFERROR(__xludf.DUMMYFUNCTION("""COMPUTED_VALUE"""),"BLUE")</f>
        <v>BLUE</v>
      </c>
      <c r="G6709" s="20" t="str">
        <f>IFERROR(__xludf.DUMMYFUNCTION("""COMPUTED_VALUE"""),"Uncle Sams Cider (11/12/2021) (Blue)")</f>
        <v>Uncle Sams Cider (11/12/2021) (Blue)</v>
      </c>
      <c r="H6709" s="19"/>
    </row>
    <row r="6710">
      <c r="A6710" s="9"/>
      <c r="B6710" s="15"/>
      <c r="C6710" s="9">
        <f>IFERROR(__xludf.DUMMYFUNCTION("""COMPUTED_VALUE"""),44534.7645485416)</f>
        <v>44534.76455</v>
      </c>
      <c r="D6710" s="15">
        <f>IFERROR(__xludf.DUMMYFUNCTION("""COMPUTED_VALUE"""),1.024)</f>
        <v>1.024</v>
      </c>
      <c r="E6710" s="16">
        <f>IFERROR(__xludf.DUMMYFUNCTION("""COMPUTED_VALUE"""),64.0)</f>
        <v>64</v>
      </c>
      <c r="F6710" s="19" t="str">
        <f>IFERROR(__xludf.DUMMYFUNCTION("""COMPUTED_VALUE"""),"BLUE")</f>
        <v>BLUE</v>
      </c>
      <c r="G6710" s="20" t="str">
        <f>IFERROR(__xludf.DUMMYFUNCTION("""COMPUTED_VALUE"""),"Uncle Sams Cider (11/12/2021) (Blue)")</f>
        <v>Uncle Sams Cider (11/12/2021) (Blue)</v>
      </c>
      <c r="H6710" s="19"/>
    </row>
    <row r="6711">
      <c r="A6711" s="9"/>
      <c r="B6711" s="15"/>
      <c r="C6711" s="9">
        <f>IFERROR(__xludf.DUMMYFUNCTION("""COMPUTED_VALUE"""),44534.7541257523)</f>
        <v>44534.75413</v>
      </c>
      <c r="D6711" s="15">
        <f>IFERROR(__xludf.DUMMYFUNCTION("""COMPUTED_VALUE"""),1.024)</f>
        <v>1.024</v>
      </c>
      <c r="E6711" s="16">
        <f>IFERROR(__xludf.DUMMYFUNCTION("""COMPUTED_VALUE"""),64.0)</f>
        <v>64</v>
      </c>
      <c r="F6711" s="19" t="str">
        <f>IFERROR(__xludf.DUMMYFUNCTION("""COMPUTED_VALUE"""),"BLUE")</f>
        <v>BLUE</v>
      </c>
      <c r="G6711" s="20" t="str">
        <f>IFERROR(__xludf.DUMMYFUNCTION("""COMPUTED_VALUE"""),"Uncle Sams Cider (11/12/2021) (Blue)")</f>
        <v>Uncle Sams Cider (11/12/2021) (Blue)</v>
      </c>
      <c r="H6711" s="19"/>
    </row>
    <row r="6712">
      <c r="A6712" s="9"/>
      <c r="B6712" s="15"/>
      <c r="C6712" s="9">
        <f>IFERROR(__xludf.DUMMYFUNCTION("""COMPUTED_VALUE"""),44534.7436935416)</f>
        <v>44534.74369</v>
      </c>
      <c r="D6712" s="15">
        <f>IFERROR(__xludf.DUMMYFUNCTION("""COMPUTED_VALUE"""),1.024)</f>
        <v>1.024</v>
      </c>
      <c r="E6712" s="16">
        <f>IFERROR(__xludf.DUMMYFUNCTION("""COMPUTED_VALUE"""),64.0)</f>
        <v>64</v>
      </c>
      <c r="F6712" s="19" t="str">
        <f>IFERROR(__xludf.DUMMYFUNCTION("""COMPUTED_VALUE"""),"BLUE")</f>
        <v>BLUE</v>
      </c>
      <c r="G6712" s="20" t="str">
        <f>IFERROR(__xludf.DUMMYFUNCTION("""COMPUTED_VALUE"""),"Uncle Sams Cider (11/12/2021) (Blue)")</f>
        <v>Uncle Sams Cider (11/12/2021) (Blue)</v>
      </c>
      <c r="H6712" s="19"/>
    </row>
    <row r="6713">
      <c r="A6713" s="9"/>
      <c r="B6713" s="15"/>
      <c r="C6713" s="9">
        <f>IFERROR(__xludf.DUMMYFUNCTION("""COMPUTED_VALUE"""),44534.7332737847)</f>
        <v>44534.73327</v>
      </c>
      <c r="D6713" s="15">
        <f>IFERROR(__xludf.DUMMYFUNCTION("""COMPUTED_VALUE"""),1.024)</f>
        <v>1.024</v>
      </c>
      <c r="E6713" s="16">
        <f>IFERROR(__xludf.DUMMYFUNCTION("""COMPUTED_VALUE"""),64.0)</f>
        <v>64</v>
      </c>
      <c r="F6713" s="19" t="str">
        <f>IFERROR(__xludf.DUMMYFUNCTION("""COMPUTED_VALUE"""),"BLUE")</f>
        <v>BLUE</v>
      </c>
      <c r="G6713" s="20" t="str">
        <f>IFERROR(__xludf.DUMMYFUNCTION("""COMPUTED_VALUE"""),"Uncle Sams Cider (11/12/2021) (Blue)")</f>
        <v>Uncle Sams Cider (11/12/2021) (Blue)</v>
      </c>
      <c r="H6713" s="19"/>
    </row>
    <row r="6714">
      <c r="A6714" s="9"/>
      <c r="B6714" s="15"/>
      <c r="C6714" s="9">
        <f>IFERROR(__xludf.DUMMYFUNCTION("""COMPUTED_VALUE"""),44534.7228542013)</f>
        <v>44534.72285</v>
      </c>
      <c r="D6714" s="15">
        <f>IFERROR(__xludf.DUMMYFUNCTION("""COMPUTED_VALUE"""),1.024)</f>
        <v>1.024</v>
      </c>
      <c r="E6714" s="16">
        <f>IFERROR(__xludf.DUMMYFUNCTION("""COMPUTED_VALUE"""),64.0)</f>
        <v>64</v>
      </c>
      <c r="F6714" s="19" t="str">
        <f>IFERROR(__xludf.DUMMYFUNCTION("""COMPUTED_VALUE"""),"BLUE")</f>
        <v>BLUE</v>
      </c>
      <c r="G6714" s="20" t="str">
        <f>IFERROR(__xludf.DUMMYFUNCTION("""COMPUTED_VALUE"""),"Uncle Sams Cider (11/12/2021) (Blue)")</f>
        <v>Uncle Sams Cider (11/12/2021) (Blue)</v>
      </c>
      <c r="H6714" s="19"/>
    </row>
    <row r="6715">
      <c r="A6715" s="9"/>
      <c r="B6715" s="15"/>
      <c r="C6715" s="9">
        <f>IFERROR(__xludf.DUMMYFUNCTION("""COMPUTED_VALUE"""),44534.7124318518)</f>
        <v>44534.71243</v>
      </c>
      <c r="D6715" s="15">
        <f>IFERROR(__xludf.DUMMYFUNCTION("""COMPUTED_VALUE"""),1.024)</f>
        <v>1.024</v>
      </c>
      <c r="E6715" s="16">
        <f>IFERROR(__xludf.DUMMYFUNCTION("""COMPUTED_VALUE"""),64.0)</f>
        <v>64</v>
      </c>
      <c r="F6715" s="19" t="str">
        <f>IFERROR(__xludf.DUMMYFUNCTION("""COMPUTED_VALUE"""),"BLUE")</f>
        <v>BLUE</v>
      </c>
      <c r="G6715" s="20" t="str">
        <f>IFERROR(__xludf.DUMMYFUNCTION("""COMPUTED_VALUE"""),"Uncle Sams Cider (11/12/2021) (Blue)")</f>
        <v>Uncle Sams Cider (11/12/2021) (Blue)</v>
      </c>
      <c r="H6715" s="19"/>
    </row>
    <row r="6716">
      <c r="A6716" s="9"/>
      <c r="B6716" s="15"/>
      <c r="C6716" s="9">
        <f>IFERROR(__xludf.DUMMYFUNCTION("""COMPUTED_VALUE"""),44534.7020117129)</f>
        <v>44534.70201</v>
      </c>
      <c r="D6716" s="15">
        <f>IFERROR(__xludf.DUMMYFUNCTION("""COMPUTED_VALUE"""),1.024)</f>
        <v>1.024</v>
      </c>
      <c r="E6716" s="16">
        <f>IFERROR(__xludf.DUMMYFUNCTION("""COMPUTED_VALUE"""),64.0)</f>
        <v>64</v>
      </c>
      <c r="F6716" s="19" t="str">
        <f>IFERROR(__xludf.DUMMYFUNCTION("""COMPUTED_VALUE"""),"BLUE")</f>
        <v>BLUE</v>
      </c>
      <c r="G6716" s="20" t="str">
        <f>IFERROR(__xludf.DUMMYFUNCTION("""COMPUTED_VALUE"""),"Uncle Sams Cider (11/12/2021) (Blue)")</f>
        <v>Uncle Sams Cider (11/12/2021) (Blue)</v>
      </c>
      <c r="H6716" s="19"/>
    </row>
    <row r="6717">
      <c r="A6717" s="9"/>
      <c r="B6717" s="15"/>
      <c r="C6717" s="9">
        <f>IFERROR(__xludf.DUMMYFUNCTION("""COMPUTED_VALUE"""),44534.6915908217)</f>
        <v>44534.69159</v>
      </c>
      <c r="D6717" s="15">
        <f>IFERROR(__xludf.DUMMYFUNCTION("""COMPUTED_VALUE"""),1.024)</f>
        <v>1.024</v>
      </c>
      <c r="E6717" s="16">
        <f>IFERROR(__xludf.DUMMYFUNCTION("""COMPUTED_VALUE"""),64.0)</f>
        <v>64</v>
      </c>
      <c r="F6717" s="19" t="str">
        <f>IFERROR(__xludf.DUMMYFUNCTION("""COMPUTED_VALUE"""),"BLUE")</f>
        <v>BLUE</v>
      </c>
      <c r="G6717" s="20" t="str">
        <f>IFERROR(__xludf.DUMMYFUNCTION("""COMPUTED_VALUE"""),"Uncle Sams Cider (11/12/2021) (Blue)")</f>
        <v>Uncle Sams Cider (11/12/2021) (Blue)</v>
      </c>
      <c r="H6717" s="19"/>
    </row>
    <row r="6718">
      <c r="A6718" s="9"/>
      <c r="B6718" s="15"/>
      <c r="C6718" s="9">
        <f>IFERROR(__xludf.DUMMYFUNCTION("""COMPUTED_VALUE"""),44534.6811704282)</f>
        <v>44534.68117</v>
      </c>
      <c r="D6718" s="15">
        <f>IFERROR(__xludf.DUMMYFUNCTION("""COMPUTED_VALUE"""),1.024)</f>
        <v>1.024</v>
      </c>
      <c r="E6718" s="16">
        <f>IFERROR(__xludf.DUMMYFUNCTION("""COMPUTED_VALUE"""),64.0)</f>
        <v>64</v>
      </c>
      <c r="F6718" s="19" t="str">
        <f>IFERROR(__xludf.DUMMYFUNCTION("""COMPUTED_VALUE"""),"BLUE")</f>
        <v>BLUE</v>
      </c>
      <c r="G6718" s="20" t="str">
        <f>IFERROR(__xludf.DUMMYFUNCTION("""COMPUTED_VALUE"""),"Uncle Sams Cider (11/12/2021) (Blue)")</f>
        <v>Uncle Sams Cider (11/12/2021) (Blue)</v>
      </c>
      <c r="H6718" s="19"/>
    </row>
    <row r="6719">
      <c r="A6719" s="9"/>
      <c r="B6719" s="15"/>
      <c r="C6719" s="9">
        <f>IFERROR(__xludf.DUMMYFUNCTION("""COMPUTED_VALUE"""),44534.6707480787)</f>
        <v>44534.67075</v>
      </c>
      <c r="D6719" s="15">
        <f>IFERROR(__xludf.DUMMYFUNCTION("""COMPUTED_VALUE"""),1.024)</f>
        <v>1.024</v>
      </c>
      <c r="E6719" s="16">
        <f>IFERROR(__xludf.DUMMYFUNCTION("""COMPUTED_VALUE"""),64.0)</f>
        <v>64</v>
      </c>
      <c r="F6719" s="19" t="str">
        <f>IFERROR(__xludf.DUMMYFUNCTION("""COMPUTED_VALUE"""),"BLUE")</f>
        <v>BLUE</v>
      </c>
      <c r="G6719" s="20" t="str">
        <f>IFERROR(__xludf.DUMMYFUNCTION("""COMPUTED_VALUE"""),"Uncle Sams Cider (11/12/2021) (Blue)")</f>
        <v>Uncle Sams Cider (11/12/2021) (Blue)</v>
      </c>
      <c r="H6719" s="19"/>
    </row>
    <row r="6720">
      <c r="A6720" s="9"/>
      <c r="B6720" s="15"/>
      <c r="C6720" s="9">
        <f>IFERROR(__xludf.DUMMYFUNCTION("""COMPUTED_VALUE"""),44534.6603291782)</f>
        <v>44534.66033</v>
      </c>
      <c r="D6720" s="15">
        <f>IFERROR(__xludf.DUMMYFUNCTION("""COMPUTED_VALUE"""),1.024)</f>
        <v>1.024</v>
      </c>
      <c r="E6720" s="16">
        <f>IFERROR(__xludf.DUMMYFUNCTION("""COMPUTED_VALUE"""),64.0)</f>
        <v>64</v>
      </c>
      <c r="F6720" s="19" t="str">
        <f>IFERROR(__xludf.DUMMYFUNCTION("""COMPUTED_VALUE"""),"BLUE")</f>
        <v>BLUE</v>
      </c>
      <c r="G6720" s="20" t="str">
        <f>IFERROR(__xludf.DUMMYFUNCTION("""COMPUTED_VALUE"""),"Uncle Sams Cider (11/12/2021) (Blue)")</f>
        <v>Uncle Sams Cider (11/12/2021) (Blue)</v>
      </c>
      <c r="H6720" s="19"/>
    </row>
    <row r="6721">
      <c r="A6721" s="9"/>
      <c r="B6721" s="15"/>
      <c r="C6721" s="9">
        <f>IFERROR(__xludf.DUMMYFUNCTION("""COMPUTED_VALUE"""),44534.6499086805)</f>
        <v>44534.64991</v>
      </c>
      <c r="D6721" s="15">
        <f>IFERROR(__xludf.DUMMYFUNCTION("""COMPUTED_VALUE"""),1.024)</f>
        <v>1.024</v>
      </c>
      <c r="E6721" s="16">
        <f>IFERROR(__xludf.DUMMYFUNCTION("""COMPUTED_VALUE"""),64.0)</f>
        <v>64</v>
      </c>
      <c r="F6721" s="19" t="str">
        <f>IFERROR(__xludf.DUMMYFUNCTION("""COMPUTED_VALUE"""),"BLUE")</f>
        <v>BLUE</v>
      </c>
      <c r="G6721" s="20" t="str">
        <f>IFERROR(__xludf.DUMMYFUNCTION("""COMPUTED_VALUE"""),"Uncle Sams Cider (11/12/2021) (Blue)")</f>
        <v>Uncle Sams Cider (11/12/2021) (Blue)</v>
      </c>
      <c r="H6721" s="19"/>
    </row>
    <row r="6722">
      <c r="A6722" s="9"/>
      <c r="B6722" s="15"/>
      <c r="C6722" s="9">
        <f>IFERROR(__xludf.DUMMYFUNCTION("""COMPUTED_VALUE"""),44534.6394874768)</f>
        <v>44534.63949</v>
      </c>
      <c r="D6722" s="15">
        <f>IFERROR(__xludf.DUMMYFUNCTION("""COMPUTED_VALUE"""),1.024)</f>
        <v>1.024</v>
      </c>
      <c r="E6722" s="16">
        <f>IFERROR(__xludf.DUMMYFUNCTION("""COMPUTED_VALUE"""),64.0)</f>
        <v>64</v>
      </c>
      <c r="F6722" s="19" t="str">
        <f>IFERROR(__xludf.DUMMYFUNCTION("""COMPUTED_VALUE"""),"BLUE")</f>
        <v>BLUE</v>
      </c>
      <c r="G6722" s="20" t="str">
        <f>IFERROR(__xludf.DUMMYFUNCTION("""COMPUTED_VALUE"""),"Uncle Sams Cider (11/12/2021) (Blue)")</f>
        <v>Uncle Sams Cider (11/12/2021) (Blue)</v>
      </c>
      <c r="H6722" s="19"/>
    </row>
    <row r="6723">
      <c r="A6723" s="9"/>
      <c r="B6723" s="15"/>
      <c r="C6723" s="9">
        <f>IFERROR(__xludf.DUMMYFUNCTION("""COMPUTED_VALUE"""),44534.6290668518)</f>
        <v>44534.62907</v>
      </c>
      <c r="D6723" s="15">
        <f>IFERROR(__xludf.DUMMYFUNCTION("""COMPUTED_VALUE"""),1.024)</f>
        <v>1.024</v>
      </c>
      <c r="E6723" s="16">
        <f>IFERROR(__xludf.DUMMYFUNCTION("""COMPUTED_VALUE"""),64.0)</f>
        <v>64</v>
      </c>
      <c r="F6723" s="19" t="str">
        <f>IFERROR(__xludf.DUMMYFUNCTION("""COMPUTED_VALUE"""),"BLUE")</f>
        <v>BLUE</v>
      </c>
      <c r="G6723" s="20" t="str">
        <f>IFERROR(__xludf.DUMMYFUNCTION("""COMPUTED_VALUE"""),"Uncle Sams Cider (11/12/2021) (Blue)")</f>
        <v>Uncle Sams Cider (11/12/2021) (Blue)</v>
      </c>
      <c r="H6723" s="19"/>
    </row>
    <row r="6724">
      <c r="A6724" s="9"/>
      <c r="B6724" s="15"/>
      <c r="C6724" s="9">
        <f>IFERROR(__xludf.DUMMYFUNCTION("""COMPUTED_VALUE"""),44534.6186343171)</f>
        <v>44534.61863</v>
      </c>
      <c r="D6724" s="15">
        <f>IFERROR(__xludf.DUMMYFUNCTION("""COMPUTED_VALUE"""),1.024)</f>
        <v>1.024</v>
      </c>
      <c r="E6724" s="16">
        <f>IFERROR(__xludf.DUMMYFUNCTION("""COMPUTED_VALUE"""),64.0)</f>
        <v>64</v>
      </c>
      <c r="F6724" s="19" t="str">
        <f>IFERROR(__xludf.DUMMYFUNCTION("""COMPUTED_VALUE"""),"BLUE")</f>
        <v>BLUE</v>
      </c>
      <c r="G6724" s="20" t="str">
        <f>IFERROR(__xludf.DUMMYFUNCTION("""COMPUTED_VALUE"""),"Uncle Sams Cider (11/12/2021) (Blue)")</f>
        <v>Uncle Sams Cider (11/12/2021) (Blue)</v>
      </c>
      <c r="H6724" s="19"/>
    </row>
    <row r="6725">
      <c r="A6725" s="9"/>
      <c r="B6725" s="15"/>
      <c r="C6725" s="9">
        <f>IFERROR(__xludf.DUMMYFUNCTION("""COMPUTED_VALUE"""),44534.608212824)</f>
        <v>44534.60821</v>
      </c>
      <c r="D6725" s="15">
        <f>IFERROR(__xludf.DUMMYFUNCTION("""COMPUTED_VALUE"""),1.024)</f>
        <v>1.024</v>
      </c>
      <c r="E6725" s="16">
        <f>IFERROR(__xludf.DUMMYFUNCTION("""COMPUTED_VALUE"""),64.0)</f>
        <v>64</v>
      </c>
      <c r="F6725" s="19" t="str">
        <f>IFERROR(__xludf.DUMMYFUNCTION("""COMPUTED_VALUE"""),"BLUE")</f>
        <v>BLUE</v>
      </c>
      <c r="G6725" s="20" t="str">
        <f>IFERROR(__xludf.DUMMYFUNCTION("""COMPUTED_VALUE"""),"Uncle Sams Cider (11/12/2021) (Blue)")</f>
        <v>Uncle Sams Cider (11/12/2021) (Blue)</v>
      </c>
      <c r="H6725" s="19"/>
    </row>
    <row r="6726">
      <c r="A6726" s="9"/>
      <c r="B6726" s="15"/>
      <c r="C6726" s="9">
        <f>IFERROR(__xludf.DUMMYFUNCTION("""COMPUTED_VALUE"""),44534.5977918749)</f>
        <v>44534.59779</v>
      </c>
      <c r="D6726" s="15">
        <f>IFERROR(__xludf.DUMMYFUNCTION("""COMPUTED_VALUE"""),1.024)</f>
        <v>1.024</v>
      </c>
      <c r="E6726" s="16">
        <f>IFERROR(__xludf.DUMMYFUNCTION("""COMPUTED_VALUE"""),64.0)</f>
        <v>64</v>
      </c>
      <c r="F6726" s="19" t="str">
        <f>IFERROR(__xludf.DUMMYFUNCTION("""COMPUTED_VALUE"""),"BLUE")</f>
        <v>BLUE</v>
      </c>
      <c r="G6726" s="20" t="str">
        <f>IFERROR(__xludf.DUMMYFUNCTION("""COMPUTED_VALUE"""),"Uncle Sams Cider (11/12/2021) (Blue)")</f>
        <v>Uncle Sams Cider (11/12/2021) (Blue)</v>
      </c>
      <c r="H6726" s="19"/>
    </row>
    <row r="6727">
      <c r="A6727" s="9"/>
      <c r="B6727" s="15"/>
      <c r="C6727" s="9">
        <f>IFERROR(__xludf.DUMMYFUNCTION("""COMPUTED_VALUE"""),44534.5873718518)</f>
        <v>44534.58737</v>
      </c>
      <c r="D6727" s="15">
        <f>IFERROR(__xludf.DUMMYFUNCTION("""COMPUTED_VALUE"""),1.024)</f>
        <v>1.024</v>
      </c>
      <c r="E6727" s="16">
        <f>IFERROR(__xludf.DUMMYFUNCTION("""COMPUTED_VALUE"""),64.0)</f>
        <v>64</v>
      </c>
      <c r="F6727" s="19" t="str">
        <f>IFERROR(__xludf.DUMMYFUNCTION("""COMPUTED_VALUE"""),"BLUE")</f>
        <v>BLUE</v>
      </c>
      <c r="G6727" s="20" t="str">
        <f>IFERROR(__xludf.DUMMYFUNCTION("""COMPUTED_VALUE"""),"Uncle Sams Cider (11/12/2021) (Blue)")</f>
        <v>Uncle Sams Cider (11/12/2021) (Blue)</v>
      </c>
      <c r="H6727" s="19"/>
    </row>
    <row r="6728">
      <c r="A6728" s="9"/>
      <c r="B6728" s="15"/>
      <c r="C6728" s="9">
        <f>IFERROR(__xludf.DUMMYFUNCTION("""COMPUTED_VALUE"""),44534.5769519097)</f>
        <v>44534.57695</v>
      </c>
      <c r="D6728" s="15">
        <f>IFERROR(__xludf.DUMMYFUNCTION("""COMPUTED_VALUE"""),1.024)</f>
        <v>1.024</v>
      </c>
      <c r="E6728" s="16">
        <f>IFERROR(__xludf.DUMMYFUNCTION("""COMPUTED_VALUE"""),64.0)</f>
        <v>64</v>
      </c>
      <c r="F6728" s="19" t="str">
        <f>IFERROR(__xludf.DUMMYFUNCTION("""COMPUTED_VALUE"""),"BLUE")</f>
        <v>BLUE</v>
      </c>
      <c r="G6728" s="20" t="str">
        <f>IFERROR(__xludf.DUMMYFUNCTION("""COMPUTED_VALUE"""),"Uncle Sams Cider (11/12/2021) (Blue)")</f>
        <v>Uncle Sams Cider (11/12/2021) (Blue)</v>
      </c>
      <c r="H6728" s="19"/>
    </row>
    <row r="6729">
      <c r="A6729" s="9"/>
      <c r="B6729" s="15"/>
      <c r="C6729" s="9">
        <f>IFERROR(__xludf.DUMMYFUNCTION("""COMPUTED_VALUE"""),44534.566531956)</f>
        <v>44534.56653</v>
      </c>
      <c r="D6729" s="15">
        <f>IFERROR(__xludf.DUMMYFUNCTION("""COMPUTED_VALUE"""),1.024)</f>
        <v>1.024</v>
      </c>
      <c r="E6729" s="16">
        <f>IFERROR(__xludf.DUMMYFUNCTION("""COMPUTED_VALUE"""),64.0)</f>
        <v>64</v>
      </c>
      <c r="F6729" s="19" t="str">
        <f>IFERROR(__xludf.DUMMYFUNCTION("""COMPUTED_VALUE"""),"BLUE")</f>
        <v>BLUE</v>
      </c>
      <c r="G6729" s="20" t="str">
        <f>IFERROR(__xludf.DUMMYFUNCTION("""COMPUTED_VALUE"""),"Uncle Sams Cider (11/12/2021) (Blue)")</f>
        <v>Uncle Sams Cider (11/12/2021) (Blue)</v>
      </c>
      <c r="H6729" s="19"/>
    </row>
    <row r="6730">
      <c r="A6730" s="9"/>
      <c r="B6730" s="15"/>
      <c r="C6730" s="9">
        <f>IFERROR(__xludf.DUMMYFUNCTION("""COMPUTED_VALUE"""),44534.5561120138)</f>
        <v>44534.55611</v>
      </c>
      <c r="D6730" s="15">
        <f>IFERROR(__xludf.DUMMYFUNCTION("""COMPUTED_VALUE"""),1.024)</f>
        <v>1.024</v>
      </c>
      <c r="E6730" s="16">
        <f>IFERROR(__xludf.DUMMYFUNCTION("""COMPUTED_VALUE"""),64.0)</f>
        <v>64</v>
      </c>
      <c r="F6730" s="19" t="str">
        <f>IFERROR(__xludf.DUMMYFUNCTION("""COMPUTED_VALUE"""),"BLUE")</f>
        <v>BLUE</v>
      </c>
      <c r="G6730" s="20" t="str">
        <f>IFERROR(__xludf.DUMMYFUNCTION("""COMPUTED_VALUE"""),"Uncle Sams Cider (11/12/2021) (Blue)")</f>
        <v>Uncle Sams Cider (11/12/2021) (Blue)</v>
      </c>
      <c r="H6730" s="19"/>
    </row>
    <row r="6731">
      <c r="A6731" s="9"/>
      <c r="B6731" s="15"/>
      <c r="C6731" s="9">
        <f>IFERROR(__xludf.DUMMYFUNCTION("""COMPUTED_VALUE"""),44534.5456907986)</f>
        <v>44534.54569</v>
      </c>
      <c r="D6731" s="15">
        <f>IFERROR(__xludf.DUMMYFUNCTION("""COMPUTED_VALUE"""),1.024)</f>
        <v>1.024</v>
      </c>
      <c r="E6731" s="16">
        <f>IFERROR(__xludf.DUMMYFUNCTION("""COMPUTED_VALUE"""),64.0)</f>
        <v>64</v>
      </c>
      <c r="F6731" s="19" t="str">
        <f>IFERROR(__xludf.DUMMYFUNCTION("""COMPUTED_VALUE"""),"BLUE")</f>
        <v>BLUE</v>
      </c>
      <c r="G6731" s="20" t="str">
        <f>IFERROR(__xludf.DUMMYFUNCTION("""COMPUTED_VALUE"""),"Uncle Sams Cider (11/12/2021) (Blue)")</f>
        <v>Uncle Sams Cider (11/12/2021) (Blue)</v>
      </c>
      <c r="H6731" s="19"/>
    </row>
    <row r="6732">
      <c r="A6732" s="9"/>
      <c r="B6732" s="15"/>
      <c r="C6732" s="9">
        <f>IFERROR(__xludf.DUMMYFUNCTION("""COMPUTED_VALUE"""),44534.5352684375)</f>
        <v>44534.53527</v>
      </c>
      <c r="D6732" s="15">
        <f>IFERROR(__xludf.DUMMYFUNCTION("""COMPUTED_VALUE"""),1.024)</f>
        <v>1.024</v>
      </c>
      <c r="E6732" s="16">
        <f>IFERROR(__xludf.DUMMYFUNCTION("""COMPUTED_VALUE"""),64.0)</f>
        <v>64</v>
      </c>
      <c r="F6732" s="19" t="str">
        <f>IFERROR(__xludf.DUMMYFUNCTION("""COMPUTED_VALUE"""),"BLUE")</f>
        <v>BLUE</v>
      </c>
      <c r="G6732" s="20" t="str">
        <f>IFERROR(__xludf.DUMMYFUNCTION("""COMPUTED_VALUE"""),"Uncle Sams Cider (11/12/2021) (Blue)")</f>
        <v>Uncle Sams Cider (11/12/2021) (Blue)</v>
      </c>
      <c r="H6732" s="19"/>
    </row>
    <row r="6733">
      <c r="A6733" s="9"/>
      <c r="B6733" s="15"/>
      <c r="C6733" s="9">
        <f>IFERROR(__xludf.DUMMYFUNCTION("""COMPUTED_VALUE"""),44534.5248469097)</f>
        <v>44534.52485</v>
      </c>
      <c r="D6733" s="15">
        <f>IFERROR(__xludf.DUMMYFUNCTION("""COMPUTED_VALUE"""),1.024)</f>
        <v>1.024</v>
      </c>
      <c r="E6733" s="16">
        <f>IFERROR(__xludf.DUMMYFUNCTION("""COMPUTED_VALUE"""),64.0)</f>
        <v>64</v>
      </c>
      <c r="F6733" s="19" t="str">
        <f>IFERROR(__xludf.DUMMYFUNCTION("""COMPUTED_VALUE"""),"BLUE")</f>
        <v>BLUE</v>
      </c>
      <c r="G6733" s="20" t="str">
        <f>IFERROR(__xludf.DUMMYFUNCTION("""COMPUTED_VALUE"""),"Uncle Sams Cider (11/12/2021) (Blue)")</f>
        <v>Uncle Sams Cider (11/12/2021) (Blue)</v>
      </c>
      <c r="H6733" s="19"/>
    </row>
    <row r="6734">
      <c r="A6734" s="9"/>
      <c r="B6734" s="15"/>
      <c r="C6734" s="9">
        <f>IFERROR(__xludf.DUMMYFUNCTION("""COMPUTED_VALUE"""),44534.5144264351)</f>
        <v>44534.51443</v>
      </c>
      <c r="D6734" s="15">
        <f>IFERROR(__xludf.DUMMYFUNCTION("""COMPUTED_VALUE"""),1.024)</f>
        <v>1.024</v>
      </c>
      <c r="E6734" s="16">
        <f>IFERROR(__xludf.DUMMYFUNCTION("""COMPUTED_VALUE"""),64.0)</f>
        <v>64</v>
      </c>
      <c r="F6734" s="19" t="str">
        <f>IFERROR(__xludf.DUMMYFUNCTION("""COMPUTED_VALUE"""),"BLUE")</f>
        <v>BLUE</v>
      </c>
      <c r="G6734" s="20" t="str">
        <f>IFERROR(__xludf.DUMMYFUNCTION("""COMPUTED_VALUE"""),"Uncle Sams Cider (11/12/2021) (Blue)")</f>
        <v>Uncle Sams Cider (11/12/2021) (Blue)</v>
      </c>
      <c r="H6734" s="19"/>
    </row>
    <row r="6735">
      <c r="A6735" s="9"/>
      <c r="B6735" s="15"/>
      <c r="C6735" s="9">
        <f>IFERROR(__xludf.DUMMYFUNCTION("""COMPUTED_VALUE"""),44534.5040060995)</f>
        <v>44534.50401</v>
      </c>
      <c r="D6735" s="15">
        <f>IFERROR(__xludf.DUMMYFUNCTION("""COMPUTED_VALUE"""),1.024)</f>
        <v>1.024</v>
      </c>
      <c r="E6735" s="16">
        <f>IFERROR(__xludf.DUMMYFUNCTION("""COMPUTED_VALUE"""),64.0)</f>
        <v>64</v>
      </c>
      <c r="F6735" s="19" t="str">
        <f>IFERROR(__xludf.DUMMYFUNCTION("""COMPUTED_VALUE"""),"BLUE")</f>
        <v>BLUE</v>
      </c>
      <c r="G6735" s="20" t="str">
        <f>IFERROR(__xludf.DUMMYFUNCTION("""COMPUTED_VALUE"""),"Uncle Sams Cider (11/12/2021) (Blue)")</f>
        <v>Uncle Sams Cider (11/12/2021) (Blue)</v>
      </c>
      <c r="H6735" s="19"/>
    </row>
    <row r="6736">
      <c r="A6736" s="9"/>
      <c r="B6736" s="15"/>
      <c r="C6736" s="9">
        <f>IFERROR(__xludf.DUMMYFUNCTION("""COMPUTED_VALUE"""),44534.493585324)</f>
        <v>44534.49359</v>
      </c>
      <c r="D6736" s="15">
        <f>IFERROR(__xludf.DUMMYFUNCTION("""COMPUTED_VALUE"""),1.024)</f>
        <v>1.024</v>
      </c>
      <c r="E6736" s="16">
        <f>IFERROR(__xludf.DUMMYFUNCTION("""COMPUTED_VALUE"""),64.0)</f>
        <v>64</v>
      </c>
      <c r="F6736" s="19" t="str">
        <f>IFERROR(__xludf.DUMMYFUNCTION("""COMPUTED_VALUE"""),"BLUE")</f>
        <v>BLUE</v>
      </c>
      <c r="G6736" s="20" t="str">
        <f>IFERROR(__xludf.DUMMYFUNCTION("""COMPUTED_VALUE"""),"Uncle Sams Cider (11/12/2021) (Blue)")</f>
        <v>Uncle Sams Cider (11/12/2021) (Blue)</v>
      </c>
      <c r="H6736" s="19"/>
    </row>
    <row r="6737">
      <c r="A6737" s="9"/>
      <c r="B6737" s="15"/>
      <c r="C6737" s="9">
        <f>IFERROR(__xludf.DUMMYFUNCTION("""COMPUTED_VALUE"""),44534.4831537731)</f>
        <v>44534.48315</v>
      </c>
      <c r="D6737" s="15">
        <f>IFERROR(__xludf.DUMMYFUNCTION("""COMPUTED_VALUE"""),1.024)</f>
        <v>1.024</v>
      </c>
      <c r="E6737" s="16">
        <f>IFERROR(__xludf.DUMMYFUNCTION("""COMPUTED_VALUE"""),64.0)</f>
        <v>64</v>
      </c>
      <c r="F6737" s="19" t="str">
        <f>IFERROR(__xludf.DUMMYFUNCTION("""COMPUTED_VALUE"""),"BLUE")</f>
        <v>BLUE</v>
      </c>
      <c r="G6737" s="20" t="str">
        <f>IFERROR(__xludf.DUMMYFUNCTION("""COMPUTED_VALUE"""),"Uncle Sams Cider (11/12/2021) (Blue)")</f>
        <v>Uncle Sams Cider (11/12/2021) (Blue)</v>
      </c>
      <c r="H6737" s="19"/>
    </row>
    <row r="6738">
      <c r="A6738" s="9"/>
      <c r="B6738" s="15"/>
      <c r="C6738" s="9">
        <f>IFERROR(__xludf.DUMMYFUNCTION("""COMPUTED_VALUE"""),44534.4727314236)</f>
        <v>44534.47273</v>
      </c>
      <c r="D6738" s="15">
        <f>IFERROR(__xludf.DUMMYFUNCTION("""COMPUTED_VALUE"""),1.024)</f>
        <v>1.024</v>
      </c>
      <c r="E6738" s="16">
        <f>IFERROR(__xludf.DUMMYFUNCTION("""COMPUTED_VALUE"""),64.0)</f>
        <v>64</v>
      </c>
      <c r="F6738" s="19" t="str">
        <f>IFERROR(__xludf.DUMMYFUNCTION("""COMPUTED_VALUE"""),"BLUE")</f>
        <v>BLUE</v>
      </c>
      <c r="G6738" s="20" t="str">
        <f>IFERROR(__xludf.DUMMYFUNCTION("""COMPUTED_VALUE"""),"Uncle Sams Cider (11/12/2021) (Blue)")</f>
        <v>Uncle Sams Cider (11/12/2021) (Blue)</v>
      </c>
      <c r="H6738" s="19"/>
    </row>
    <row r="6739">
      <c r="A6739" s="9"/>
      <c r="B6739" s="15"/>
      <c r="C6739" s="9">
        <f>IFERROR(__xludf.DUMMYFUNCTION("""COMPUTED_VALUE"""),44534.4623101504)</f>
        <v>44534.46231</v>
      </c>
      <c r="D6739" s="15">
        <f>IFERROR(__xludf.DUMMYFUNCTION("""COMPUTED_VALUE"""),1.024)</f>
        <v>1.024</v>
      </c>
      <c r="E6739" s="16">
        <f>IFERROR(__xludf.DUMMYFUNCTION("""COMPUTED_VALUE"""),64.0)</f>
        <v>64</v>
      </c>
      <c r="F6739" s="19" t="str">
        <f>IFERROR(__xludf.DUMMYFUNCTION("""COMPUTED_VALUE"""),"BLUE")</f>
        <v>BLUE</v>
      </c>
      <c r="G6739" s="20" t="str">
        <f>IFERROR(__xludf.DUMMYFUNCTION("""COMPUTED_VALUE"""),"Uncle Sams Cider (11/12/2021) (Blue)")</f>
        <v>Uncle Sams Cider (11/12/2021) (Blue)</v>
      </c>
      <c r="H6739" s="19"/>
    </row>
    <row r="6740">
      <c r="A6740" s="9"/>
      <c r="B6740" s="15"/>
      <c r="C6740" s="9">
        <f>IFERROR(__xludf.DUMMYFUNCTION("""COMPUTED_VALUE"""),44534.4518901736)</f>
        <v>44534.45189</v>
      </c>
      <c r="D6740" s="15">
        <f>IFERROR(__xludf.DUMMYFUNCTION("""COMPUTED_VALUE"""),1.024)</f>
        <v>1.024</v>
      </c>
      <c r="E6740" s="16">
        <f>IFERROR(__xludf.DUMMYFUNCTION("""COMPUTED_VALUE"""),64.0)</f>
        <v>64</v>
      </c>
      <c r="F6740" s="19" t="str">
        <f>IFERROR(__xludf.DUMMYFUNCTION("""COMPUTED_VALUE"""),"BLUE")</f>
        <v>BLUE</v>
      </c>
      <c r="G6740" s="20" t="str">
        <f>IFERROR(__xludf.DUMMYFUNCTION("""COMPUTED_VALUE"""),"Uncle Sams Cider (11/12/2021) (Blue)")</f>
        <v>Uncle Sams Cider (11/12/2021) (Blue)</v>
      </c>
      <c r="H6740" s="19"/>
    </row>
    <row r="6741">
      <c r="A6741" s="9"/>
      <c r="B6741" s="15"/>
      <c r="C6741" s="9">
        <f>IFERROR(__xludf.DUMMYFUNCTION("""COMPUTED_VALUE"""),44534.441469456)</f>
        <v>44534.44147</v>
      </c>
      <c r="D6741" s="15">
        <f>IFERROR(__xludf.DUMMYFUNCTION("""COMPUTED_VALUE"""),1.024)</f>
        <v>1.024</v>
      </c>
      <c r="E6741" s="16">
        <f>IFERROR(__xludf.DUMMYFUNCTION("""COMPUTED_VALUE"""),64.0)</f>
        <v>64</v>
      </c>
      <c r="F6741" s="19" t="str">
        <f>IFERROR(__xludf.DUMMYFUNCTION("""COMPUTED_VALUE"""),"BLUE")</f>
        <v>BLUE</v>
      </c>
      <c r="G6741" s="20" t="str">
        <f>IFERROR(__xludf.DUMMYFUNCTION("""COMPUTED_VALUE"""),"Uncle Sams Cider (11/12/2021) (Blue)")</f>
        <v>Uncle Sams Cider (11/12/2021) (Blue)</v>
      </c>
      <c r="H6741" s="19"/>
    </row>
    <row r="6742">
      <c r="A6742" s="9"/>
      <c r="B6742" s="15"/>
      <c r="C6742" s="9">
        <f>IFERROR(__xludf.DUMMYFUNCTION("""COMPUTED_VALUE"""),44534.4310473263)</f>
        <v>44534.43105</v>
      </c>
      <c r="D6742" s="15">
        <f>IFERROR(__xludf.DUMMYFUNCTION("""COMPUTED_VALUE"""),1.024)</f>
        <v>1.024</v>
      </c>
      <c r="E6742" s="16">
        <f>IFERROR(__xludf.DUMMYFUNCTION("""COMPUTED_VALUE"""),64.0)</f>
        <v>64</v>
      </c>
      <c r="F6742" s="19" t="str">
        <f>IFERROR(__xludf.DUMMYFUNCTION("""COMPUTED_VALUE"""),"BLUE")</f>
        <v>BLUE</v>
      </c>
      <c r="G6742" s="20" t="str">
        <f>IFERROR(__xludf.DUMMYFUNCTION("""COMPUTED_VALUE"""),"Uncle Sams Cider (11/12/2021) (Blue)")</f>
        <v>Uncle Sams Cider (11/12/2021) (Blue)</v>
      </c>
      <c r="H6742" s="19"/>
    </row>
    <row r="6743">
      <c r="A6743" s="9"/>
      <c r="B6743" s="15"/>
      <c r="C6743" s="9">
        <f>IFERROR(__xludf.DUMMYFUNCTION("""COMPUTED_VALUE"""),44534.4206277546)</f>
        <v>44534.42063</v>
      </c>
      <c r="D6743" s="15">
        <f>IFERROR(__xludf.DUMMYFUNCTION("""COMPUTED_VALUE"""),1.024)</f>
        <v>1.024</v>
      </c>
      <c r="E6743" s="16">
        <f>IFERROR(__xludf.DUMMYFUNCTION("""COMPUTED_VALUE"""),64.0)</f>
        <v>64</v>
      </c>
      <c r="F6743" s="19" t="str">
        <f>IFERROR(__xludf.DUMMYFUNCTION("""COMPUTED_VALUE"""),"BLUE")</f>
        <v>BLUE</v>
      </c>
      <c r="G6743" s="20" t="str">
        <f>IFERROR(__xludf.DUMMYFUNCTION("""COMPUTED_VALUE"""),"Uncle Sams Cider (11/12/2021) (Blue)")</f>
        <v>Uncle Sams Cider (11/12/2021) (Blue)</v>
      </c>
      <c r="H6743" s="19"/>
    </row>
    <row r="6744">
      <c r="A6744" s="9"/>
      <c r="B6744" s="15"/>
      <c r="C6744" s="9">
        <f>IFERROR(__xludf.DUMMYFUNCTION("""COMPUTED_VALUE"""),44534.4102060879)</f>
        <v>44534.41021</v>
      </c>
      <c r="D6744" s="15">
        <f>IFERROR(__xludf.DUMMYFUNCTION("""COMPUTED_VALUE"""),1.024)</f>
        <v>1.024</v>
      </c>
      <c r="E6744" s="16">
        <f>IFERROR(__xludf.DUMMYFUNCTION("""COMPUTED_VALUE"""),64.0)</f>
        <v>64</v>
      </c>
      <c r="F6744" s="19" t="str">
        <f>IFERROR(__xludf.DUMMYFUNCTION("""COMPUTED_VALUE"""),"BLUE")</f>
        <v>BLUE</v>
      </c>
      <c r="G6744" s="20" t="str">
        <f>IFERROR(__xludf.DUMMYFUNCTION("""COMPUTED_VALUE"""),"Uncle Sams Cider (11/12/2021) (Blue)")</f>
        <v>Uncle Sams Cider (11/12/2021) (Blue)</v>
      </c>
      <c r="H6744" s="19"/>
    </row>
    <row r="6745">
      <c r="A6745" s="9"/>
      <c r="B6745" s="15"/>
      <c r="C6745" s="9">
        <f>IFERROR(__xludf.DUMMYFUNCTION("""COMPUTED_VALUE"""),44534.3997836574)</f>
        <v>44534.39978</v>
      </c>
      <c r="D6745" s="15">
        <f>IFERROR(__xludf.DUMMYFUNCTION("""COMPUTED_VALUE"""),1.024)</f>
        <v>1.024</v>
      </c>
      <c r="E6745" s="16">
        <f>IFERROR(__xludf.DUMMYFUNCTION("""COMPUTED_VALUE"""),64.0)</f>
        <v>64</v>
      </c>
      <c r="F6745" s="19" t="str">
        <f>IFERROR(__xludf.DUMMYFUNCTION("""COMPUTED_VALUE"""),"BLUE")</f>
        <v>BLUE</v>
      </c>
      <c r="G6745" s="20" t="str">
        <f>IFERROR(__xludf.DUMMYFUNCTION("""COMPUTED_VALUE"""),"Uncle Sams Cider (11/12/2021) (Blue)")</f>
        <v>Uncle Sams Cider (11/12/2021) (Blue)</v>
      </c>
      <c r="H6745" s="19"/>
    </row>
    <row r="6746">
      <c r="A6746" s="9"/>
      <c r="B6746" s="15"/>
      <c r="C6746" s="9">
        <f>IFERROR(__xludf.DUMMYFUNCTION("""COMPUTED_VALUE"""),44534.3893610416)</f>
        <v>44534.38936</v>
      </c>
      <c r="D6746" s="15">
        <f>IFERROR(__xludf.DUMMYFUNCTION("""COMPUTED_VALUE"""),1.024)</f>
        <v>1.024</v>
      </c>
      <c r="E6746" s="16">
        <f>IFERROR(__xludf.DUMMYFUNCTION("""COMPUTED_VALUE"""),64.0)</f>
        <v>64</v>
      </c>
      <c r="F6746" s="19" t="str">
        <f>IFERROR(__xludf.DUMMYFUNCTION("""COMPUTED_VALUE"""),"BLUE")</f>
        <v>BLUE</v>
      </c>
      <c r="G6746" s="20" t="str">
        <f>IFERROR(__xludf.DUMMYFUNCTION("""COMPUTED_VALUE"""),"Uncle Sams Cider (11/12/2021) (Blue)")</f>
        <v>Uncle Sams Cider (11/12/2021) (Blue)</v>
      </c>
      <c r="H6746" s="19"/>
    </row>
    <row r="6747">
      <c r="A6747" s="9"/>
      <c r="B6747" s="15"/>
      <c r="C6747" s="9">
        <f>IFERROR(__xludf.DUMMYFUNCTION("""COMPUTED_VALUE"""),44534.3789413773)</f>
        <v>44534.37894</v>
      </c>
      <c r="D6747" s="15">
        <f>IFERROR(__xludf.DUMMYFUNCTION("""COMPUTED_VALUE"""),1.024)</f>
        <v>1.024</v>
      </c>
      <c r="E6747" s="16">
        <f>IFERROR(__xludf.DUMMYFUNCTION("""COMPUTED_VALUE"""),64.0)</f>
        <v>64</v>
      </c>
      <c r="F6747" s="19" t="str">
        <f>IFERROR(__xludf.DUMMYFUNCTION("""COMPUTED_VALUE"""),"BLUE")</f>
        <v>BLUE</v>
      </c>
      <c r="G6747" s="20" t="str">
        <f>IFERROR(__xludf.DUMMYFUNCTION("""COMPUTED_VALUE"""),"Uncle Sams Cider (11/12/2021) (Blue)")</f>
        <v>Uncle Sams Cider (11/12/2021) (Blue)</v>
      </c>
      <c r="H6747" s="19"/>
    </row>
    <row r="6748">
      <c r="A6748" s="9"/>
      <c r="B6748" s="15"/>
      <c r="C6748" s="9">
        <f>IFERROR(__xludf.DUMMYFUNCTION("""COMPUTED_VALUE"""),44534.3685076273)</f>
        <v>44534.36851</v>
      </c>
      <c r="D6748" s="15">
        <f>IFERROR(__xludf.DUMMYFUNCTION("""COMPUTED_VALUE"""),1.024)</f>
        <v>1.024</v>
      </c>
      <c r="E6748" s="16">
        <f>IFERROR(__xludf.DUMMYFUNCTION("""COMPUTED_VALUE"""),64.0)</f>
        <v>64</v>
      </c>
      <c r="F6748" s="19" t="str">
        <f>IFERROR(__xludf.DUMMYFUNCTION("""COMPUTED_VALUE"""),"BLUE")</f>
        <v>BLUE</v>
      </c>
      <c r="G6748" s="20" t="str">
        <f>IFERROR(__xludf.DUMMYFUNCTION("""COMPUTED_VALUE"""),"Uncle Sams Cider (11/12/2021) (Blue)")</f>
        <v>Uncle Sams Cider (11/12/2021) (Blue)</v>
      </c>
      <c r="H6748" s="19"/>
    </row>
    <row r="6749">
      <c r="A6749" s="9"/>
      <c r="B6749" s="15"/>
      <c r="C6749" s="9">
        <f>IFERROR(__xludf.DUMMYFUNCTION("""COMPUTED_VALUE"""),44534.358086956)</f>
        <v>44534.35809</v>
      </c>
      <c r="D6749" s="15">
        <f>IFERROR(__xludf.DUMMYFUNCTION("""COMPUTED_VALUE"""),1.024)</f>
        <v>1.024</v>
      </c>
      <c r="E6749" s="16">
        <f>IFERROR(__xludf.DUMMYFUNCTION("""COMPUTED_VALUE"""),64.0)</f>
        <v>64</v>
      </c>
      <c r="F6749" s="19" t="str">
        <f>IFERROR(__xludf.DUMMYFUNCTION("""COMPUTED_VALUE"""),"BLUE")</f>
        <v>BLUE</v>
      </c>
      <c r="G6749" s="20" t="str">
        <f>IFERROR(__xludf.DUMMYFUNCTION("""COMPUTED_VALUE"""),"Uncle Sams Cider (11/12/2021) (Blue)")</f>
        <v>Uncle Sams Cider (11/12/2021) (Blue)</v>
      </c>
      <c r="H6749" s="19"/>
    </row>
    <row r="6750">
      <c r="A6750" s="9"/>
      <c r="B6750" s="15"/>
      <c r="C6750" s="9">
        <f>IFERROR(__xludf.DUMMYFUNCTION("""COMPUTED_VALUE"""),44534.3476652546)</f>
        <v>44534.34767</v>
      </c>
      <c r="D6750" s="15">
        <f>IFERROR(__xludf.DUMMYFUNCTION("""COMPUTED_VALUE"""),1.024)</f>
        <v>1.024</v>
      </c>
      <c r="E6750" s="16">
        <f>IFERROR(__xludf.DUMMYFUNCTION("""COMPUTED_VALUE"""),64.0)</f>
        <v>64</v>
      </c>
      <c r="F6750" s="19" t="str">
        <f>IFERROR(__xludf.DUMMYFUNCTION("""COMPUTED_VALUE"""),"BLUE")</f>
        <v>BLUE</v>
      </c>
      <c r="G6750" s="20" t="str">
        <f>IFERROR(__xludf.DUMMYFUNCTION("""COMPUTED_VALUE"""),"Uncle Sams Cider (11/12/2021) (Blue)")</f>
        <v>Uncle Sams Cider (11/12/2021) (Blue)</v>
      </c>
      <c r="H6750" s="19"/>
    </row>
    <row r="6751">
      <c r="A6751" s="9"/>
      <c r="B6751" s="15"/>
      <c r="C6751" s="9">
        <f>IFERROR(__xludf.DUMMYFUNCTION("""COMPUTED_VALUE"""),44534.3372314583)</f>
        <v>44534.33723</v>
      </c>
      <c r="D6751" s="15">
        <f>IFERROR(__xludf.DUMMYFUNCTION("""COMPUTED_VALUE"""),1.024)</f>
        <v>1.024</v>
      </c>
      <c r="E6751" s="16">
        <f>IFERROR(__xludf.DUMMYFUNCTION("""COMPUTED_VALUE"""),64.0)</f>
        <v>64</v>
      </c>
      <c r="F6751" s="19" t="str">
        <f>IFERROR(__xludf.DUMMYFUNCTION("""COMPUTED_VALUE"""),"BLUE")</f>
        <v>BLUE</v>
      </c>
      <c r="G6751" s="20" t="str">
        <f>IFERROR(__xludf.DUMMYFUNCTION("""COMPUTED_VALUE"""),"Uncle Sams Cider (11/12/2021) (Blue)")</f>
        <v>Uncle Sams Cider (11/12/2021) (Blue)</v>
      </c>
      <c r="H6751" s="19"/>
    </row>
    <row r="6752">
      <c r="A6752" s="9"/>
      <c r="B6752" s="15"/>
      <c r="C6752" s="9">
        <f>IFERROR(__xludf.DUMMYFUNCTION("""COMPUTED_VALUE"""),44534.3268113194)</f>
        <v>44534.32681</v>
      </c>
      <c r="D6752" s="15">
        <f>IFERROR(__xludf.DUMMYFUNCTION("""COMPUTED_VALUE"""),1.024)</f>
        <v>1.024</v>
      </c>
      <c r="E6752" s="16">
        <f>IFERROR(__xludf.DUMMYFUNCTION("""COMPUTED_VALUE"""),64.0)</f>
        <v>64</v>
      </c>
      <c r="F6752" s="19" t="str">
        <f>IFERROR(__xludf.DUMMYFUNCTION("""COMPUTED_VALUE"""),"BLUE")</f>
        <v>BLUE</v>
      </c>
      <c r="G6752" s="20" t="str">
        <f>IFERROR(__xludf.DUMMYFUNCTION("""COMPUTED_VALUE"""),"Uncle Sams Cider (11/12/2021) (Blue)")</f>
        <v>Uncle Sams Cider (11/12/2021) (Blue)</v>
      </c>
      <c r="H6752" s="19"/>
    </row>
    <row r="6753">
      <c r="A6753" s="9"/>
      <c r="B6753" s="15"/>
      <c r="C6753" s="9">
        <f>IFERROR(__xludf.DUMMYFUNCTION("""COMPUTED_VALUE"""),44534.3163802662)</f>
        <v>44534.31638</v>
      </c>
      <c r="D6753" s="15">
        <f>IFERROR(__xludf.DUMMYFUNCTION("""COMPUTED_VALUE"""),1.024)</f>
        <v>1.024</v>
      </c>
      <c r="E6753" s="16">
        <f>IFERROR(__xludf.DUMMYFUNCTION("""COMPUTED_VALUE"""),64.0)</f>
        <v>64</v>
      </c>
      <c r="F6753" s="19" t="str">
        <f>IFERROR(__xludf.DUMMYFUNCTION("""COMPUTED_VALUE"""),"BLUE")</f>
        <v>BLUE</v>
      </c>
      <c r="G6753" s="20" t="str">
        <f>IFERROR(__xludf.DUMMYFUNCTION("""COMPUTED_VALUE"""),"Uncle Sams Cider (11/12/2021) (Blue)")</f>
        <v>Uncle Sams Cider (11/12/2021) (Blue)</v>
      </c>
      <c r="H6753" s="19"/>
    </row>
    <row r="6754">
      <c r="A6754" s="9"/>
      <c r="B6754" s="15"/>
      <c r="C6754" s="9">
        <f>IFERROR(__xludf.DUMMYFUNCTION("""COMPUTED_VALUE"""),44534.3059593286)</f>
        <v>44534.30596</v>
      </c>
      <c r="D6754" s="15">
        <f>IFERROR(__xludf.DUMMYFUNCTION("""COMPUTED_VALUE"""),1.024)</f>
        <v>1.024</v>
      </c>
      <c r="E6754" s="16">
        <f>IFERROR(__xludf.DUMMYFUNCTION("""COMPUTED_VALUE"""),64.0)</f>
        <v>64</v>
      </c>
      <c r="F6754" s="19" t="str">
        <f>IFERROR(__xludf.DUMMYFUNCTION("""COMPUTED_VALUE"""),"BLUE")</f>
        <v>BLUE</v>
      </c>
      <c r="G6754" s="20" t="str">
        <f>IFERROR(__xludf.DUMMYFUNCTION("""COMPUTED_VALUE"""),"Uncle Sams Cider (11/12/2021) (Blue)")</f>
        <v>Uncle Sams Cider (11/12/2021) (Blue)</v>
      </c>
      <c r="H6754" s="19"/>
    </row>
    <row r="6755">
      <c r="A6755" s="9"/>
      <c r="B6755" s="15"/>
      <c r="C6755" s="9">
        <f>IFERROR(__xludf.DUMMYFUNCTION("""COMPUTED_VALUE"""),44534.2955383912)</f>
        <v>44534.29554</v>
      </c>
      <c r="D6755" s="15">
        <f>IFERROR(__xludf.DUMMYFUNCTION("""COMPUTED_VALUE"""),1.024)</f>
        <v>1.024</v>
      </c>
      <c r="E6755" s="16">
        <f>IFERROR(__xludf.DUMMYFUNCTION("""COMPUTED_VALUE"""),64.0)</f>
        <v>64</v>
      </c>
      <c r="F6755" s="19" t="str">
        <f>IFERROR(__xludf.DUMMYFUNCTION("""COMPUTED_VALUE"""),"BLUE")</f>
        <v>BLUE</v>
      </c>
      <c r="G6755" s="20" t="str">
        <f>IFERROR(__xludf.DUMMYFUNCTION("""COMPUTED_VALUE"""),"Uncle Sams Cider (11/12/2021) (Blue)")</f>
        <v>Uncle Sams Cider (11/12/2021) (Blue)</v>
      </c>
      <c r="H6755" s="19"/>
    </row>
    <row r="6756">
      <c r="A6756" s="9"/>
      <c r="B6756" s="15"/>
      <c r="C6756" s="9">
        <f>IFERROR(__xludf.DUMMYFUNCTION("""COMPUTED_VALUE"""),44534.2851157291)</f>
        <v>44534.28512</v>
      </c>
      <c r="D6756" s="15">
        <f>IFERROR(__xludf.DUMMYFUNCTION("""COMPUTED_VALUE"""),1.024)</f>
        <v>1.024</v>
      </c>
      <c r="E6756" s="16">
        <f>IFERROR(__xludf.DUMMYFUNCTION("""COMPUTED_VALUE"""),64.0)</f>
        <v>64</v>
      </c>
      <c r="F6756" s="19" t="str">
        <f>IFERROR(__xludf.DUMMYFUNCTION("""COMPUTED_VALUE"""),"BLUE")</f>
        <v>BLUE</v>
      </c>
      <c r="G6756" s="20" t="str">
        <f>IFERROR(__xludf.DUMMYFUNCTION("""COMPUTED_VALUE"""),"Uncle Sams Cider (11/12/2021) (Blue)")</f>
        <v>Uncle Sams Cider (11/12/2021) (Blue)</v>
      </c>
      <c r="H6756" s="19"/>
    </row>
    <row r="6757">
      <c r="A6757" s="9"/>
      <c r="B6757" s="15"/>
      <c r="C6757" s="9">
        <f>IFERROR(__xludf.DUMMYFUNCTION("""COMPUTED_VALUE"""),44534.2746932754)</f>
        <v>44534.27469</v>
      </c>
      <c r="D6757" s="15">
        <f>IFERROR(__xludf.DUMMYFUNCTION("""COMPUTED_VALUE"""),1.024)</f>
        <v>1.024</v>
      </c>
      <c r="E6757" s="16">
        <f>IFERROR(__xludf.DUMMYFUNCTION("""COMPUTED_VALUE"""),64.0)</f>
        <v>64</v>
      </c>
      <c r="F6757" s="19" t="str">
        <f>IFERROR(__xludf.DUMMYFUNCTION("""COMPUTED_VALUE"""),"BLUE")</f>
        <v>BLUE</v>
      </c>
      <c r="G6757" s="20" t="str">
        <f>IFERROR(__xludf.DUMMYFUNCTION("""COMPUTED_VALUE"""),"Uncle Sams Cider (11/12/2021) (Blue)")</f>
        <v>Uncle Sams Cider (11/12/2021) (Blue)</v>
      </c>
      <c r="H6757" s="19"/>
    </row>
    <row r="6758">
      <c r="A6758" s="9"/>
      <c r="B6758" s="15"/>
      <c r="C6758" s="9">
        <f>IFERROR(__xludf.DUMMYFUNCTION("""COMPUTED_VALUE"""),44534.2642725462)</f>
        <v>44534.26427</v>
      </c>
      <c r="D6758" s="15">
        <f>IFERROR(__xludf.DUMMYFUNCTION("""COMPUTED_VALUE"""),1.024)</f>
        <v>1.024</v>
      </c>
      <c r="E6758" s="16">
        <f>IFERROR(__xludf.DUMMYFUNCTION("""COMPUTED_VALUE"""),64.0)</f>
        <v>64</v>
      </c>
      <c r="F6758" s="19" t="str">
        <f>IFERROR(__xludf.DUMMYFUNCTION("""COMPUTED_VALUE"""),"BLUE")</f>
        <v>BLUE</v>
      </c>
      <c r="G6758" s="20" t="str">
        <f>IFERROR(__xludf.DUMMYFUNCTION("""COMPUTED_VALUE"""),"Uncle Sams Cider (11/12/2021) (Blue)")</f>
        <v>Uncle Sams Cider (11/12/2021) (Blue)</v>
      </c>
      <c r="H6758" s="19"/>
    </row>
    <row r="6759">
      <c r="A6759" s="9"/>
      <c r="B6759" s="15"/>
      <c r="C6759" s="9">
        <f>IFERROR(__xludf.DUMMYFUNCTION("""COMPUTED_VALUE"""),44534.253852662)</f>
        <v>44534.25385</v>
      </c>
      <c r="D6759" s="15">
        <f>IFERROR(__xludf.DUMMYFUNCTION("""COMPUTED_VALUE"""),1.024)</f>
        <v>1.024</v>
      </c>
      <c r="E6759" s="16">
        <f>IFERROR(__xludf.DUMMYFUNCTION("""COMPUTED_VALUE"""),64.0)</f>
        <v>64</v>
      </c>
      <c r="F6759" s="19" t="str">
        <f>IFERROR(__xludf.DUMMYFUNCTION("""COMPUTED_VALUE"""),"BLUE")</f>
        <v>BLUE</v>
      </c>
      <c r="G6759" s="20" t="str">
        <f>IFERROR(__xludf.DUMMYFUNCTION("""COMPUTED_VALUE"""),"Uncle Sams Cider (11/12/2021) (Blue)")</f>
        <v>Uncle Sams Cider (11/12/2021) (Blue)</v>
      </c>
      <c r="H6759" s="19"/>
    </row>
    <row r="6760">
      <c r="A6760" s="9"/>
      <c r="B6760" s="15"/>
      <c r="C6760" s="9">
        <f>IFERROR(__xludf.DUMMYFUNCTION("""COMPUTED_VALUE"""),44534.2434186111)</f>
        <v>44534.24342</v>
      </c>
      <c r="D6760" s="15">
        <f>IFERROR(__xludf.DUMMYFUNCTION("""COMPUTED_VALUE"""),1.024)</f>
        <v>1.024</v>
      </c>
      <c r="E6760" s="16">
        <f>IFERROR(__xludf.DUMMYFUNCTION("""COMPUTED_VALUE"""),64.0)</f>
        <v>64</v>
      </c>
      <c r="F6760" s="19" t="str">
        <f>IFERROR(__xludf.DUMMYFUNCTION("""COMPUTED_VALUE"""),"BLUE")</f>
        <v>BLUE</v>
      </c>
      <c r="G6760" s="20" t="str">
        <f>IFERROR(__xludf.DUMMYFUNCTION("""COMPUTED_VALUE"""),"Uncle Sams Cider (11/12/2021) (Blue)")</f>
        <v>Uncle Sams Cider (11/12/2021) (Blue)</v>
      </c>
      <c r="H6760" s="19"/>
    </row>
    <row r="6761">
      <c r="A6761" s="9"/>
      <c r="B6761" s="15"/>
      <c r="C6761" s="9">
        <f>IFERROR(__xludf.DUMMYFUNCTION("""COMPUTED_VALUE"""),44534.2329970601)</f>
        <v>44534.233</v>
      </c>
      <c r="D6761" s="15">
        <f>IFERROR(__xludf.DUMMYFUNCTION("""COMPUTED_VALUE"""),1.024)</f>
        <v>1.024</v>
      </c>
      <c r="E6761" s="16">
        <f>IFERROR(__xludf.DUMMYFUNCTION("""COMPUTED_VALUE"""),64.0)</f>
        <v>64</v>
      </c>
      <c r="F6761" s="19" t="str">
        <f>IFERROR(__xludf.DUMMYFUNCTION("""COMPUTED_VALUE"""),"BLUE")</f>
        <v>BLUE</v>
      </c>
      <c r="G6761" s="20" t="str">
        <f>IFERROR(__xludf.DUMMYFUNCTION("""COMPUTED_VALUE"""),"Uncle Sams Cider (11/12/2021) (Blue)")</f>
        <v>Uncle Sams Cider (11/12/2021) (Blue)</v>
      </c>
      <c r="H6761" s="19"/>
    </row>
    <row r="6762">
      <c r="A6762" s="9"/>
      <c r="B6762" s="15"/>
      <c r="C6762" s="9">
        <f>IFERROR(__xludf.DUMMYFUNCTION("""COMPUTED_VALUE"""),44534.2225767476)</f>
        <v>44534.22258</v>
      </c>
      <c r="D6762" s="15">
        <f>IFERROR(__xludf.DUMMYFUNCTION("""COMPUTED_VALUE"""),1.024)</f>
        <v>1.024</v>
      </c>
      <c r="E6762" s="16">
        <f>IFERROR(__xludf.DUMMYFUNCTION("""COMPUTED_VALUE"""),64.0)</f>
        <v>64</v>
      </c>
      <c r="F6762" s="19" t="str">
        <f>IFERROR(__xludf.DUMMYFUNCTION("""COMPUTED_VALUE"""),"BLUE")</f>
        <v>BLUE</v>
      </c>
      <c r="G6762" s="20" t="str">
        <f>IFERROR(__xludf.DUMMYFUNCTION("""COMPUTED_VALUE"""),"Uncle Sams Cider (11/12/2021) (Blue)")</f>
        <v>Uncle Sams Cider (11/12/2021) (Blue)</v>
      </c>
      <c r="H6762" s="19"/>
    </row>
    <row r="6763">
      <c r="A6763" s="9"/>
      <c r="B6763" s="15"/>
      <c r="C6763" s="9">
        <f>IFERROR(__xludf.DUMMYFUNCTION("""COMPUTED_VALUE"""),44534.2121433217)</f>
        <v>44534.21214</v>
      </c>
      <c r="D6763" s="15">
        <f>IFERROR(__xludf.DUMMYFUNCTION("""COMPUTED_VALUE"""),1.024)</f>
        <v>1.024</v>
      </c>
      <c r="E6763" s="16">
        <f>IFERROR(__xludf.DUMMYFUNCTION("""COMPUTED_VALUE"""),64.0)</f>
        <v>64</v>
      </c>
      <c r="F6763" s="19" t="str">
        <f>IFERROR(__xludf.DUMMYFUNCTION("""COMPUTED_VALUE"""),"BLUE")</f>
        <v>BLUE</v>
      </c>
      <c r="G6763" s="20" t="str">
        <f>IFERROR(__xludf.DUMMYFUNCTION("""COMPUTED_VALUE"""),"Uncle Sams Cider (11/12/2021) (Blue)")</f>
        <v>Uncle Sams Cider (11/12/2021) (Blue)</v>
      </c>
      <c r="H6763" s="19"/>
    </row>
    <row r="6764">
      <c r="A6764" s="9"/>
      <c r="B6764" s="15"/>
      <c r="C6764" s="9">
        <f>IFERROR(__xludf.DUMMYFUNCTION("""COMPUTED_VALUE"""),44534.2017217824)</f>
        <v>44534.20172</v>
      </c>
      <c r="D6764" s="15">
        <f>IFERROR(__xludf.DUMMYFUNCTION("""COMPUTED_VALUE"""),1.024)</f>
        <v>1.024</v>
      </c>
      <c r="E6764" s="16">
        <f>IFERROR(__xludf.DUMMYFUNCTION("""COMPUTED_VALUE"""),64.0)</f>
        <v>64</v>
      </c>
      <c r="F6764" s="19" t="str">
        <f>IFERROR(__xludf.DUMMYFUNCTION("""COMPUTED_VALUE"""),"BLUE")</f>
        <v>BLUE</v>
      </c>
      <c r="G6764" s="20" t="str">
        <f>IFERROR(__xludf.DUMMYFUNCTION("""COMPUTED_VALUE"""),"Uncle Sams Cider (11/12/2021) (Blue)")</f>
        <v>Uncle Sams Cider (11/12/2021) (Blue)</v>
      </c>
      <c r="H6764" s="19"/>
    </row>
    <row r="6765">
      <c r="A6765" s="9"/>
      <c r="B6765" s="15"/>
      <c r="C6765" s="9">
        <f>IFERROR(__xludf.DUMMYFUNCTION("""COMPUTED_VALUE"""),44534.1913003356)</f>
        <v>44534.1913</v>
      </c>
      <c r="D6765" s="15">
        <f>IFERROR(__xludf.DUMMYFUNCTION("""COMPUTED_VALUE"""),1.024)</f>
        <v>1.024</v>
      </c>
      <c r="E6765" s="16">
        <f>IFERROR(__xludf.DUMMYFUNCTION("""COMPUTED_VALUE"""),64.0)</f>
        <v>64</v>
      </c>
      <c r="F6765" s="19" t="str">
        <f>IFERROR(__xludf.DUMMYFUNCTION("""COMPUTED_VALUE"""),"BLUE")</f>
        <v>BLUE</v>
      </c>
      <c r="G6765" s="20" t="str">
        <f>IFERROR(__xludf.DUMMYFUNCTION("""COMPUTED_VALUE"""),"Uncle Sams Cider (11/12/2021) (Blue)")</f>
        <v>Uncle Sams Cider (11/12/2021) (Blue)</v>
      </c>
      <c r="H6765" s="19"/>
    </row>
    <row r="6766">
      <c r="A6766" s="9"/>
      <c r="B6766" s="15"/>
      <c r="C6766" s="9">
        <f>IFERROR(__xludf.DUMMYFUNCTION("""COMPUTED_VALUE"""),44534.1808794907)</f>
        <v>44534.18088</v>
      </c>
      <c r="D6766" s="15">
        <f>IFERROR(__xludf.DUMMYFUNCTION("""COMPUTED_VALUE"""),1.025)</f>
        <v>1.025</v>
      </c>
      <c r="E6766" s="16">
        <f>IFERROR(__xludf.DUMMYFUNCTION("""COMPUTED_VALUE"""),64.0)</f>
        <v>64</v>
      </c>
      <c r="F6766" s="19" t="str">
        <f>IFERROR(__xludf.DUMMYFUNCTION("""COMPUTED_VALUE"""),"BLUE")</f>
        <v>BLUE</v>
      </c>
      <c r="G6766" s="20" t="str">
        <f>IFERROR(__xludf.DUMMYFUNCTION("""COMPUTED_VALUE"""),"Uncle Sams Cider (11/12/2021) (Blue)")</f>
        <v>Uncle Sams Cider (11/12/2021) (Blue)</v>
      </c>
      <c r="H6766" s="19"/>
    </row>
    <row r="6767">
      <c r="A6767" s="9"/>
      <c r="B6767" s="15"/>
      <c r="C6767" s="9">
        <f>IFERROR(__xludf.DUMMYFUNCTION("""COMPUTED_VALUE"""),44534.1704470138)</f>
        <v>44534.17045</v>
      </c>
      <c r="D6767" s="15">
        <f>IFERROR(__xludf.DUMMYFUNCTION("""COMPUTED_VALUE"""),1.024)</f>
        <v>1.024</v>
      </c>
      <c r="E6767" s="16">
        <f>IFERROR(__xludf.DUMMYFUNCTION("""COMPUTED_VALUE"""),64.0)</f>
        <v>64</v>
      </c>
      <c r="F6767" s="19" t="str">
        <f>IFERROR(__xludf.DUMMYFUNCTION("""COMPUTED_VALUE"""),"BLUE")</f>
        <v>BLUE</v>
      </c>
      <c r="G6767" s="20" t="str">
        <f>IFERROR(__xludf.DUMMYFUNCTION("""COMPUTED_VALUE"""),"Uncle Sams Cider (11/12/2021) (Blue)")</f>
        <v>Uncle Sams Cider (11/12/2021) (Blue)</v>
      </c>
      <c r="H6767" s="19"/>
    </row>
    <row r="6768">
      <c r="A6768" s="9"/>
      <c r="B6768" s="15"/>
      <c r="C6768" s="9">
        <f>IFERROR(__xludf.DUMMYFUNCTION("""COMPUTED_VALUE"""),44534.1600140972)</f>
        <v>44534.16001</v>
      </c>
      <c r="D6768" s="15">
        <f>IFERROR(__xludf.DUMMYFUNCTION("""COMPUTED_VALUE"""),1.024)</f>
        <v>1.024</v>
      </c>
      <c r="E6768" s="16">
        <f>IFERROR(__xludf.DUMMYFUNCTION("""COMPUTED_VALUE"""),64.0)</f>
        <v>64</v>
      </c>
      <c r="F6768" s="19" t="str">
        <f>IFERROR(__xludf.DUMMYFUNCTION("""COMPUTED_VALUE"""),"BLUE")</f>
        <v>BLUE</v>
      </c>
      <c r="G6768" s="20" t="str">
        <f>IFERROR(__xludf.DUMMYFUNCTION("""COMPUTED_VALUE"""),"Uncle Sams Cider (11/12/2021) (Blue)")</f>
        <v>Uncle Sams Cider (11/12/2021) (Blue)</v>
      </c>
      <c r="H6768" s="19"/>
    </row>
    <row r="6769">
      <c r="A6769" s="9"/>
      <c r="B6769" s="15"/>
      <c r="C6769" s="9">
        <f>IFERROR(__xludf.DUMMYFUNCTION("""COMPUTED_VALUE"""),44534.14959103)</f>
        <v>44534.14959</v>
      </c>
      <c r="D6769" s="15">
        <f>IFERROR(__xludf.DUMMYFUNCTION("""COMPUTED_VALUE"""),1.025)</f>
        <v>1.025</v>
      </c>
      <c r="E6769" s="16">
        <f>IFERROR(__xludf.DUMMYFUNCTION("""COMPUTED_VALUE"""),64.0)</f>
        <v>64</v>
      </c>
      <c r="F6769" s="19" t="str">
        <f>IFERROR(__xludf.DUMMYFUNCTION("""COMPUTED_VALUE"""),"BLUE")</f>
        <v>BLUE</v>
      </c>
      <c r="G6769" s="20" t="str">
        <f>IFERROR(__xludf.DUMMYFUNCTION("""COMPUTED_VALUE"""),"Uncle Sams Cider (11/12/2021) (Blue)")</f>
        <v>Uncle Sams Cider (11/12/2021) (Blue)</v>
      </c>
      <c r="H6769" s="19"/>
    </row>
    <row r="6770">
      <c r="A6770" s="9"/>
      <c r="B6770" s="15"/>
      <c r="C6770" s="9">
        <f>IFERROR(__xludf.DUMMYFUNCTION("""COMPUTED_VALUE"""),44534.1391693287)</f>
        <v>44534.13917</v>
      </c>
      <c r="D6770" s="15">
        <f>IFERROR(__xludf.DUMMYFUNCTION("""COMPUTED_VALUE"""),1.025)</f>
        <v>1.025</v>
      </c>
      <c r="E6770" s="16">
        <f>IFERROR(__xludf.DUMMYFUNCTION("""COMPUTED_VALUE"""),64.0)</f>
        <v>64</v>
      </c>
      <c r="F6770" s="19" t="str">
        <f>IFERROR(__xludf.DUMMYFUNCTION("""COMPUTED_VALUE"""),"BLUE")</f>
        <v>BLUE</v>
      </c>
      <c r="G6770" s="20" t="str">
        <f>IFERROR(__xludf.DUMMYFUNCTION("""COMPUTED_VALUE"""),"Uncle Sams Cider (11/12/2021) (Blue)")</f>
        <v>Uncle Sams Cider (11/12/2021) (Blue)</v>
      </c>
      <c r="H6770" s="19"/>
    </row>
    <row r="6771">
      <c r="A6771" s="9"/>
      <c r="B6771" s="15"/>
      <c r="C6771" s="9">
        <f>IFERROR(__xludf.DUMMYFUNCTION("""COMPUTED_VALUE"""),44534.1287375)</f>
        <v>44534.12874</v>
      </c>
      <c r="D6771" s="15">
        <f>IFERROR(__xludf.DUMMYFUNCTION("""COMPUTED_VALUE"""),1.024)</f>
        <v>1.024</v>
      </c>
      <c r="E6771" s="16">
        <f>IFERROR(__xludf.DUMMYFUNCTION("""COMPUTED_VALUE"""),64.0)</f>
        <v>64</v>
      </c>
      <c r="F6771" s="19" t="str">
        <f>IFERROR(__xludf.DUMMYFUNCTION("""COMPUTED_VALUE"""),"BLUE")</f>
        <v>BLUE</v>
      </c>
      <c r="G6771" s="20" t="str">
        <f>IFERROR(__xludf.DUMMYFUNCTION("""COMPUTED_VALUE"""),"Uncle Sams Cider (11/12/2021) (Blue)")</f>
        <v>Uncle Sams Cider (11/12/2021) (Blue)</v>
      </c>
      <c r="H6771" s="19"/>
    </row>
    <row r="6772">
      <c r="A6772" s="9"/>
      <c r="B6772" s="15"/>
      <c r="C6772" s="9">
        <f>IFERROR(__xludf.DUMMYFUNCTION("""COMPUTED_VALUE"""),44534.1183149652)</f>
        <v>44534.11831</v>
      </c>
      <c r="D6772" s="15">
        <f>IFERROR(__xludf.DUMMYFUNCTION("""COMPUTED_VALUE"""),1.024)</f>
        <v>1.024</v>
      </c>
      <c r="E6772" s="16">
        <f>IFERROR(__xludf.DUMMYFUNCTION("""COMPUTED_VALUE"""),64.0)</f>
        <v>64</v>
      </c>
      <c r="F6772" s="19" t="str">
        <f>IFERROR(__xludf.DUMMYFUNCTION("""COMPUTED_VALUE"""),"BLUE")</f>
        <v>BLUE</v>
      </c>
      <c r="G6772" s="20" t="str">
        <f>IFERROR(__xludf.DUMMYFUNCTION("""COMPUTED_VALUE"""),"Uncle Sams Cider (11/12/2021) (Blue)")</f>
        <v>Uncle Sams Cider (11/12/2021) (Blue)</v>
      </c>
      <c r="H6772" s="19"/>
    </row>
    <row r="6773">
      <c r="A6773" s="9"/>
      <c r="B6773" s="15"/>
      <c r="C6773" s="9">
        <f>IFERROR(__xludf.DUMMYFUNCTION("""COMPUTED_VALUE"""),44534.1078937037)</f>
        <v>44534.10789</v>
      </c>
      <c r="D6773" s="15">
        <f>IFERROR(__xludf.DUMMYFUNCTION("""COMPUTED_VALUE"""),1.025)</f>
        <v>1.025</v>
      </c>
      <c r="E6773" s="16">
        <f>IFERROR(__xludf.DUMMYFUNCTION("""COMPUTED_VALUE"""),64.0)</f>
        <v>64</v>
      </c>
      <c r="F6773" s="19" t="str">
        <f>IFERROR(__xludf.DUMMYFUNCTION("""COMPUTED_VALUE"""),"BLUE")</f>
        <v>BLUE</v>
      </c>
      <c r="G6773" s="20" t="str">
        <f>IFERROR(__xludf.DUMMYFUNCTION("""COMPUTED_VALUE"""),"Uncle Sams Cider (11/12/2021) (Blue)")</f>
        <v>Uncle Sams Cider (11/12/2021) (Blue)</v>
      </c>
      <c r="H6773" s="19"/>
    </row>
    <row r="6774">
      <c r="A6774" s="9"/>
      <c r="B6774" s="15"/>
      <c r="C6774" s="9">
        <f>IFERROR(__xludf.DUMMYFUNCTION("""COMPUTED_VALUE"""),44534.0974719675)</f>
        <v>44534.09747</v>
      </c>
      <c r="D6774" s="15">
        <f>IFERROR(__xludf.DUMMYFUNCTION("""COMPUTED_VALUE"""),1.024)</f>
        <v>1.024</v>
      </c>
      <c r="E6774" s="16">
        <f>IFERROR(__xludf.DUMMYFUNCTION("""COMPUTED_VALUE"""),64.0)</f>
        <v>64</v>
      </c>
      <c r="F6774" s="19" t="str">
        <f>IFERROR(__xludf.DUMMYFUNCTION("""COMPUTED_VALUE"""),"BLUE")</f>
        <v>BLUE</v>
      </c>
      <c r="G6774" s="20" t="str">
        <f>IFERROR(__xludf.DUMMYFUNCTION("""COMPUTED_VALUE"""),"Uncle Sams Cider (11/12/2021) (Blue)")</f>
        <v>Uncle Sams Cider (11/12/2021) (Blue)</v>
      </c>
      <c r="H6774" s="19"/>
    </row>
    <row r="6775">
      <c r="A6775" s="9"/>
      <c r="B6775" s="15"/>
      <c r="C6775" s="9">
        <f>IFERROR(__xludf.DUMMYFUNCTION("""COMPUTED_VALUE"""),44534.087053368)</f>
        <v>44534.08705</v>
      </c>
      <c r="D6775" s="15">
        <f>IFERROR(__xludf.DUMMYFUNCTION("""COMPUTED_VALUE"""),1.025)</f>
        <v>1.025</v>
      </c>
      <c r="E6775" s="16">
        <f>IFERROR(__xludf.DUMMYFUNCTION("""COMPUTED_VALUE"""),64.0)</f>
        <v>64</v>
      </c>
      <c r="F6775" s="19" t="str">
        <f>IFERROR(__xludf.DUMMYFUNCTION("""COMPUTED_VALUE"""),"BLUE")</f>
        <v>BLUE</v>
      </c>
      <c r="G6775" s="20" t="str">
        <f>IFERROR(__xludf.DUMMYFUNCTION("""COMPUTED_VALUE"""),"Uncle Sams Cider (11/12/2021) (Blue)")</f>
        <v>Uncle Sams Cider (11/12/2021) (Blue)</v>
      </c>
      <c r="H6775" s="19"/>
    </row>
    <row r="6776">
      <c r="A6776" s="9"/>
      <c r="B6776" s="15"/>
      <c r="C6776" s="9">
        <f>IFERROR(__xludf.DUMMYFUNCTION("""COMPUTED_VALUE"""),44534.0766333101)</f>
        <v>44534.07663</v>
      </c>
      <c r="D6776" s="15">
        <f>IFERROR(__xludf.DUMMYFUNCTION("""COMPUTED_VALUE"""),1.024)</f>
        <v>1.024</v>
      </c>
      <c r="E6776" s="16">
        <f>IFERROR(__xludf.DUMMYFUNCTION("""COMPUTED_VALUE"""),64.0)</f>
        <v>64</v>
      </c>
      <c r="F6776" s="19" t="str">
        <f>IFERROR(__xludf.DUMMYFUNCTION("""COMPUTED_VALUE"""),"BLUE")</f>
        <v>BLUE</v>
      </c>
      <c r="G6776" s="20" t="str">
        <f>IFERROR(__xludf.DUMMYFUNCTION("""COMPUTED_VALUE"""),"Uncle Sams Cider (11/12/2021) (Blue)")</f>
        <v>Uncle Sams Cider (11/12/2021) (Blue)</v>
      </c>
      <c r="H6776" s="19"/>
    </row>
    <row r="6777">
      <c r="A6777" s="9"/>
      <c r="B6777" s="15"/>
      <c r="C6777" s="9">
        <f>IFERROR(__xludf.DUMMYFUNCTION("""COMPUTED_VALUE"""),44534.0662020254)</f>
        <v>44534.0662</v>
      </c>
      <c r="D6777" s="15">
        <f>IFERROR(__xludf.DUMMYFUNCTION("""COMPUTED_VALUE"""),1.025)</f>
        <v>1.025</v>
      </c>
      <c r="E6777" s="16">
        <f>IFERROR(__xludf.DUMMYFUNCTION("""COMPUTED_VALUE"""),64.0)</f>
        <v>64</v>
      </c>
      <c r="F6777" s="19" t="str">
        <f>IFERROR(__xludf.DUMMYFUNCTION("""COMPUTED_VALUE"""),"BLUE")</f>
        <v>BLUE</v>
      </c>
      <c r="G6777" s="20" t="str">
        <f>IFERROR(__xludf.DUMMYFUNCTION("""COMPUTED_VALUE"""),"Uncle Sams Cider (11/12/2021) (Blue)")</f>
        <v>Uncle Sams Cider (11/12/2021) (Blue)</v>
      </c>
      <c r="H6777" s="19"/>
    </row>
    <row r="6778">
      <c r="A6778" s="9"/>
      <c r="B6778" s="15"/>
      <c r="C6778" s="9">
        <f>IFERROR(__xludf.DUMMYFUNCTION("""COMPUTED_VALUE"""),44534.0557785763)</f>
        <v>44534.05578</v>
      </c>
      <c r="D6778" s="15">
        <f>IFERROR(__xludf.DUMMYFUNCTION("""COMPUTED_VALUE"""),1.025)</f>
        <v>1.025</v>
      </c>
      <c r="E6778" s="16">
        <f>IFERROR(__xludf.DUMMYFUNCTION("""COMPUTED_VALUE"""),64.0)</f>
        <v>64</v>
      </c>
      <c r="F6778" s="19" t="str">
        <f>IFERROR(__xludf.DUMMYFUNCTION("""COMPUTED_VALUE"""),"BLUE")</f>
        <v>BLUE</v>
      </c>
      <c r="G6778" s="20" t="str">
        <f>IFERROR(__xludf.DUMMYFUNCTION("""COMPUTED_VALUE"""),"Uncle Sams Cider (11/12/2021) (Blue)")</f>
        <v>Uncle Sams Cider (11/12/2021) (Blue)</v>
      </c>
      <c r="H6778" s="19"/>
    </row>
    <row r="6779">
      <c r="A6779" s="9"/>
      <c r="B6779" s="15"/>
      <c r="C6779" s="9">
        <f>IFERROR(__xludf.DUMMYFUNCTION("""COMPUTED_VALUE"""),44534.0453577893)</f>
        <v>44534.04536</v>
      </c>
      <c r="D6779" s="15">
        <f>IFERROR(__xludf.DUMMYFUNCTION("""COMPUTED_VALUE"""),1.025)</f>
        <v>1.025</v>
      </c>
      <c r="E6779" s="16">
        <f>IFERROR(__xludf.DUMMYFUNCTION("""COMPUTED_VALUE"""),64.0)</f>
        <v>64</v>
      </c>
      <c r="F6779" s="19" t="str">
        <f>IFERROR(__xludf.DUMMYFUNCTION("""COMPUTED_VALUE"""),"BLUE")</f>
        <v>BLUE</v>
      </c>
      <c r="G6779" s="20" t="str">
        <f>IFERROR(__xludf.DUMMYFUNCTION("""COMPUTED_VALUE"""),"Uncle Sams Cider (11/12/2021) (Blue)")</f>
        <v>Uncle Sams Cider (11/12/2021) (Blue)</v>
      </c>
      <c r="H6779" s="19"/>
    </row>
    <row r="6780">
      <c r="A6780" s="9"/>
      <c r="B6780" s="15"/>
      <c r="C6780" s="9">
        <f>IFERROR(__xludf.DUMMYFUNCTION("""COMPUTED_VALUE"""),44534.0349370254)</f>
        <v>44534.03494</v>
      </c>
      <c r="D6780" s="15">
        <f>IFERROR(__xludf.DUMMYFUNCTION("""COMPUTED_VALUE"""),1.025)</f>
        <v>1.025</v>
      </c>
      <c r="E6780" s="16">
        <f>IFERROR(__xludf.DUMMYFUNCTION("""COMPUTED_VALUE"""),64.0)</f>
        <v>64</v>
      </c>
      <c r="F6780" s="19" t="str">
        <f>IFERROR(__xludf.DUMMYFUNCTION("""COMPUTED_VALUE"""),"BLUE")</f>
        <v>BLUE</v>
      </c>
      <c r="G6780" s="20" t="str">
        <f>IFERROR(__xludf.DUMMYFUNCTION("""COMPUTED_VALUE"""),"Uncle Sams Cider (11/12/2021) (Blue)")</f>
        <v>Uncle Sams Cider (11/12/2021) (Blue)</v>
      </c>
      <c r="H6780" s="19"/>
    </row>
    <row r="6781">
      <c r="A6781" s="9"/>
      <c r="B6781" s="15"/>
      <c r="C6781" s="9">
        <f>IFERROR(__xludf.DUMMYFUNCTION("""COMPUTED_VALUE"""),44534.0245159722)</f>
        <v>44534.02452</v>
      </c>
      <c r="D6781" s="15">
        <f>IFERROR(__xludf.DUMMYFUNCTION("""COMPUTED_VALUE"""),1.025)</f>
        <v>1.025</v>
      </c>
      <c r="E6781" s="16">
        <f>IFERROR(__xludf.DUMMYFUNCTION("""COMPUTED_VALUE"""),64.0)</f>
        <v>64</v>
      </c>
      <c r="F6781" s="19" t="str">
        <f>IFERROR(__xludf.DUMMYFUNCTION("""COMPUTED_VALUE"""),"BLUE")</f>
        <v>BLUE</v>
      </c>
      <c r="G6781" s="20" t="str">
        <f>IFERROR(__xludf.DUMMYFUNCTION("""COMPUTED_VALUE"""),"Uncle Sams Cider (11/12/2021) (Blue)")</f>
        <v>Uncle Sams Cider (11/12/2021) (Blue)</v>
      </c>
      <c r="H6781" s="19"/>
    </row>
    <row r="6782">
      <c r="A6782" s="9"/>
      <c r="B6782" s="15"/>
      <c r="C6782" s="9">
        <f>IFERROR(__xludf.DUMMYFUNCTION("""COMPUTED_VALUE"""),44534.014095162)</f>
        <v>44534.0141</v>
      </c>
      <c r="D6782" s="15">
        <f>IFERROR(__xludf.DUMMYFUNCTION("""COMPUTED_VALUE"""),1.025)</f>
        <v>1.025</v>
      </c>
      <c r="E6782" s="16">
        <f>IFERROR(__xludf.DUMMYFUNCTION("""COMPUTED_VALUE"""),64.0)</f>
        <v>64</v>
      </c>
      <c r="F6782" s="19" t="str">
        <f>IFERROR(__xludf.DUMMYFUNCTION("""COMPUTED_VALUE"""),"BLUE")</f>
        <v>BLUE</v>
      </c>
      <c r="G6782" s="20" t="str">
        <f>IFERROR(__xludf.DUMMYFUNCTION("""COMPUTED_VALUE"""),"Uncle Sams Cider (11/12/2021) (Blue)")</f>
        <v>Uncle Sams Cider (11/12/2021) (Blue)</v>
      </c>
      <c r="H6782" s="19"/>
    </row>
    <row r="6783">
      <c r="A6783" s="9"/>
      <c r="B6783" s="15"/>
      <c r="C6783" s="9">
        <f>IFERROR(__xludf.DUMMYFUNCTION("""COMPUTED_VALUE"""),44534.0036739583)</f>
        <v>44534.00367</v>
      </c>
      <c r="D6783" s="15">
        <f>IFERROR(__xludf.DUMMYFUNCTION("""COMPUTED_VALUE"""),1.024)</f>
        <v>1.024</v>
      </c>
      <c r="E6783" s="16">
        <f>IFERROR(__xludf.DUMMYFUNCTION("""COMPUTED_VALUE"""),64.0)</f>
        <v>64</v>
      </c>
      <c r="F6783" s="19" t="str">
        <f>IFERROR(__xludf.DUMMYFUNCTION("""COMPUTED_VALUE"""),"BLUE")</f>
        <v>BLUE</v>
      </c>
      <c r="G6783" s="20" t="str">
        <f>IFERROR(__xludf.DUMMYFUNCTION("""COMPUTED_VALUE"""),"Uncle Sams Cider (11/12/2021) (Blue)")</f>
        <v>Uncle Sams Cider (11/12/2021) (Blue)</v>
      </c>
      <c r="H6783" s="19"/>
    </row>
    <row r="6784">
      <c r="A6784" s="9"/>
      <c r="B6784" s="15"/>
      <c r="C6784" s="9">
        <f>IFERROR(__xludf.DUMMYFUNCTION("""COMPUTED_VALUE"""),44533.9932536689)</f>
        <v>44533.99325</v>
      </c>
      <c r="D6784" s="15">
        <f>IFERROR(__xludf.DUMMYFUNCTION("""COMPUTED_VALUE"""),1.025)</f>
        <v>1.025</v>
      </c>
      <c r="E6784" s="16">
        <f>IFERROR(__xludf.DUMMYFUNCTION("""COMPUTED_VALUE"""),64.0)</f>
        <v>64</v>
      </c>
      <c r="F6784" s="19" t="str">
        <f>IFERROR(__xludf.DUMMYFUNCTION("""COMPUTED_VALUE"""),"BLUE")</f>
        <v>BLUE</v>
      </c>
      <c r="G6784" s="20" t="str">
        <f>IFERROR(__xludf.DUMMYFUNCTION("""COMPUTED_VALUE"""),"Uncle Sams Cider (11/12/2021) (Blue)")</f>
        <v>Uncle Sams Cider (11/12/2021) (Blue)</v>
      </c>
      <c r="H6784" s="19"/>
    </row>
    <row r="6785">
      <c r="A6785" s="9"/>
      <c r="B6785" s="15"/>
      <c r="C6785" s="9">
        <f>IFERROR(__xludf.DUMMYFUNCTION("""COMPUTED_VALUE"""),44533.9828326504)</f>
        <v>44533.98283</v>
      </c>
      <c r="D6785" s="15">
        <f>IFERROR(__xludf.DUMMYFUNCTION("""COMPUTED_VALUE"""),1.025)</f>
        <v>1.025</v>
      </c>
      <c r="E6785" s="16">
        <f>IFERROR(__xludf.DUMMYFUNCTION("""COMPUTED_VALUE"""),64.0)</f>
        <v>64</v>
      </c>
      <c r="F6785" s="19" t="str">
        <f>IFERROR(__xludf.DUMMYFUNCTION("""COMPUTED_VALUE"""),"BLUE")</f>
        <v>BLUE</v>
      </c>
      <c r="G6785" s="20" t="str">
        <f>IFERROR(__xludf.DUMMYFUNCTION("""COMPUTED_VALUE"""),"Uncle Sams Cider (11/12/2021) (Blue)")</f>
        <v>Uncle Sams Cider (11/12/2021) (Blue)</v>
      </c>
      <c r="H6785" s="19"/>
    </row>
    <row r="6786">
      <c r="A6786" s="9"/>
      <c r="B6786" s="15"/>
      <c r="C6786" s="9">
        <f>IFERROR(__xludf.DUMMYFUNCTION("""COMPUTED_VALUE"""),44533.9724099884)</f>
        <v>44533.97241</v>
      </c>
      <c r="D6786" s="15">
        <f>IFERROR(__xludf.DUMMYFUNCTION("""COMPUTED_VALUE"""),1.025)</f>
        <v>1.025</v>
      </c>
      <c r="E6786" s="16">
        <f>IFERROR(__xludf.DUMMYFUNCTION("""COMPUTED_VALUE"""),64.0)</f>
        <v>64</v>
      </c>
      <c r="F6786" s="19" t="str">
        <f>IFERROR(__xludf.DUMMYFUNCTION("""COMPUTED_VALUE"""),"BLUE")</f>
        <v>BLUE</v>
      </c>
      <c r="G6786" s="20" t="str">
        <f>IFERROR(__xludf.DUMMYFUNCTION("""COMPUTED_VALUE"""),"Uncle Sams Cider (11/12/2021) (Blue)")</f>
        <v>Uncle Sams Cider (11/12/2021) (Blue)</v>
      </c>
      <c r="H6786" s="19"/>
    </row>
    <row r="6787">
      <c r="A6787" s="9"/>
      <c r="B6787" s="15"/>
      <c r="C6787" s="9">
        <f>IFERROR(__xludf.DUMMYFUNCTION("""COMPUTED_VALUE"""),44533.9619781944)</f>
        <v>44533.96198</v>
      </c>
      <c r="D6787" s="15">
        <f>IFERROR(__xludf.DUMMYFUNCTION("""COMPUTED_VALUE"""),1.025)</f>
        <v>1.025</v>
      </c>
      <c r="E6787" s="16">
        <f>IFERROR(__xludf.DUMMYFUNCTION("""COMPUTED_VALUE"""),64.0)</f>
        <v>64</v>
      </c>
      <c r="F6787" s="19" t="str">
        <f>IFERROR(__xludf.DUMMYFUNCTION("""COMPUTED_VALUE"""),"BLUE")</f>
        <v>BLUE</v>
      </c>
      <c r="G6787" s="20" t="str">
        <f>IFERROR(__xludf.DUMMYFUNCTION("""COMPUTED_VALUE"""),"Uncle Sams Cider (11/12/2021) (Blue)")</f>
        <v>Uncle Sams Cider (11/12/2021) (Blue)</v>
      </c>
      <c r="H6787" s="19"/>
    </row>
    <row r="6788">
      <c r="A6788" s="9"/>
      <c r="B6788" s="15"/>
      <c r="C6788" s="9">
        <f>IFERROR(__xludf.DUMMYFUNCTION("""COMPUTED_VALUE"""),44533.9515568171)</f>
        <v>44533.95156</v>
      </c>
      <c r="D6788" s="15">
        <f>IFERROR(__xludf.DUMMYFUNCTION("""COMPUTED_VALUE"""),1.025)</f>
        <v>1.025</v>
      </c>
      <c r="E6788" s="16">
        <f>IFERROR(__xludf.DUMMYFUNCTION("""COMPUTED_VALUE"""),64.0)</f>
        <v>64</v>
      </c>
      <c r="F6788" s="19" t="str">
        <f>IFERROR(__xludf.DUMMYFUNCTION("""COMPUTED_VALUE"""),"BLUE")</f>
        <v>BLUE</v>
      </c>
      <c r="G6788" s="20" t="str">
        <f>IFERROR(__xludf.DUMMYFUNCTION("""COMPUTED_VALUE"""),"Uncle Sams Cider (11/12/2021) (Blue)")</f>
        <v>Uncle Sams Cider (11/12/2021) (Blue)</v>
      </c>
      <c r="H6788" s="19"/>
    </row>
    <row r="6789">
      <c r="A6789" s="9"/>
      <c r="B6789" s="15"/>
      <c r="C6789" s="9">
        <f>IFERROR(__xludf.DUMMYFUNCTION("""COMPUTED_VALUE"""),44533.941136331)</f>
        <v>44533.94114</v>
      </c>
      <c r="D6789" s="15">
        <f>IFERROR(__xludf.DUMMYFUNCTION("""COMPUTED_VALUE"""),1.025)</f>
        <v>1.025</v>
      </c>
      <c r="E6789" s="16">
        <f>IFERROR(__xludf.DUMMYFUNCTION("""COMPUTED_VALUE"""),64.0)</f>
        <v>64</v>
      </c>
      <c r="F6789" s="19" t="str">
        <f>IFERROR(__xludf.DUMMYFUNCTION("""COMPUTED_VALUE"""),"BLUE")</f>
        <v>BLUE</v>
      </c>
      <c r="G6789" s="20" t="str">
        <f>IFERROR(__xludf.DUMMYFUNCTION("""COMPUTED_VALUE"""),"Uncle Sams Cider (11/12/2021) (Blue)")</f>
        <v>Uncle Sams Cider (11/12/2021) (Blue)</v>
      </c>
      <c r="H6789" s="19"/>
    </row>
    <row r="6790">
      <c r="A6790" s="9"/>
      <c r="B6790" s="15"/>
      <c r="C6790" s="9">
        <f>IFERROR(__xludf.DUMMYFUNCTION("""COMPUTED_VALUE"""),44533.9307151851)</f>
        <v>44533.93072</v>
      </c>
      <c r="D6790" s="15">
        <f>IFERROR(__xludf.DUMMYFUNCTION("""COMPUTED_VALUE"""),1.025)</f>
        <v>1.025</v>
      </c>
      <c r="E6790" s="16">
        <f>IFERROR(__xludf.DUMMYFUNCTION("""COMPUTED_VALUE"""),64.0)</f>
        <v>64</v>
      </c>
      <c r="F6790" s="19" t="str">
        <f>IFERROR(__xludf.DUMMYFUNCTION("""COMPUTED_VALUE"""),"BLUE")</f>
        <v>BLUE</v>
      </c>
      <c r="G6790" s="20" t="str">
        <f>IFERROR(__xludf.DUMMYFUNCTION("""COMPUTED_VALUE"""),"Uncle Sams Cider (11/12/2021) (Blue)")</f>
        <v>Uncle Sams Cider (11/12/2021) (Blue)</v>
      </c>
      <c r="H6790" s="19"/>
    </row>
    <row r="6791">
      <c r="A6791" s="9"/>
      <c r="B6791" s="15"/>
      <c r="C6791" s="9">
        <f>IFERROR(__xludf.DUMMYFUNCTION("""COMPUTED_VALUE"""),44533.9202949189)</f>
        <v>44533.92029</v>
      </c>
      <c r="D6791" s="15">
        <f>IFERROR(__xludf.DUMMYFUNCTION("""COMPUTED_VALUE"""),1.025)</f>
        <v>1.025</v>
      </c>
      <c r="E6791" s="16">
        <f>IFERROR(__xludf.DUMMYFUNCTION("""COMPUTED_VALUE"""),64.0)</f>
        <v>64</v>
      </c>
      <c r="F6791" s="19" t="str">
        <f>IFERROR(__xludf.DUMMYFUNCTION("""COMPUTED_VALUE"""),"BLUE")</f>
        <v>BLUE</v>
      </c>
      <c r="G6791" s="20" t="str">
        <f>IFERROR(__xludf.DUMMYFUNCTION("""COMPUTED_VALUE"""),"Uncle Sams Cider (11/12/2021) (Blue)")</f>
        <v>Uncle Sams Cider (11/12/2021) (Blue)</v>
      </c>
      <c r="H6791" s="19"/>
    </row>
    <row r="6792">
      <c r="A6792" s="9"/>
      <c r="B6792" s="15"/>
      <c r="C6792" s="9">
        <f>IFERROR(__xludf.DUMMYFUNCTION("""COMPUTED_VALUE"""),44533.9098755555)</f>
        <v>44533.90988</v>
      </c>
      <c r="D6792" s="15">
        <f>IFERROR(__xludf.DUMMYFUNCTION("""COMPUTED_VALUE"""),1.025)</f>
        <v>1.025</v>
      </c>
      <c r="E6792" s="16">
        <f>IFERROR(__xludf.DUMMYFUNCTION("""COMPUTED_VALUE"""),64.0)</f>
        <v>64</v>
      </c>
      <c r="F6792" s="19" t="str">
        <f>IFERROR(__xludf.DUMMYFUNCTION("""COMPUTED_VALUE"""),"BLUE")</f>
        <v>BLUE</v>
      </c>
      <c r="G6792" s="20" t="str">
        <f>IFERROR(__xludf.DUMMYFUNCTION("""COMPUTED_VALUE"""),"Uncle Sams Cider (11/12/2021) (Blue)")</f>
        <v>Uncle Sams Cider (11/12/2021) (Blue)</v>
      </c>
      <c r="H6792" s="19"/>
    </row>
    <row r="6793">
      <c r="A6793" s="9"/>
      <c r="B6793" s="15"/>
      <c r="C6793" s="9">
        <f>IFERROR(__xludf.DUMMYFUNCTION("""COMPUTED_VALUE"""),44533.8994557175)</f>
        <v>44533.89946</v>
      </c>
      <c r="D6793" s="15">
        <f>IFERROR(__xludf.DUMMYFUNCTION("""COMPUTED_VALUE"""),1.025)</f>
        <v>1.025</v>
      </c>
      <c r="E6793" s="16">
        <f>IFERROR(__xludf.DUMMYFUNCTION("""COMPUTED_VALUE"""),64.0)</f>
        <v>64</v>
      </c>
      <c r="F6793" s="19" t="str">
        <f>IFERROR(__xludf.DUMMYFUNCTION("""COMPUTED_VALUE"""),"BLUE")</f>
        <v>BLUE</v>
      </c>
      <c r="G6793" s="20" t="str">
        <f>IFERROR(__xludf.DUMMYFUNCTION("""COMPUTED_VALUE"""),"Uncle Sams Cider (11/12/2021) (Blue)")</f>
        <v>Uncle Sams Cider (11/12/2021) (Blue)</v>
      </c>
      <c r="H6793" s="19"/>
    </row>
    <row r="6794">
      <c r="A6794" s="9"/>
      <c r="B6794" s="15"/>
      <c r="C6794" s="9">
        <f>IFERROR(__xludf.DUMMYFUNCTION("""COMPUTED_VALUE"""),44533.8890345717)</f>
        <v>44533.88903</v>
      </c>
      <c r="D6794" s="15">
        <f>IFERROR(__xludf.DUMMYFUNCTION("""COMPUTED_VALUE"""),1.025)</f>
        <v>1.025</v>
      </c>
      <c r="E6794" s="16">
        <f>IFERROR(__xludf.DUMMYFUNCTION("""COMPUTED_VALUE"""),64.0)</f>
        <v>64</v>
      </c>
      <c r="F6794" s="19" t="str">
        <f>IFERROR(__xludf.DUMMYFUNCTION("""COMPUTED_VALUE"""),"BLUE")</f>
        <v>BLUE</v>
      </c>
      <c r="G6794" s="20" t="str">
        <f>IFERROR(__xludf.DUMMYFUNCTION("""COMPUTED_VALUE"""),"Uncle Sams Cider (11/12/2021) (Blue)")</f>
        <v>Uncle Sams Cider (11/12/2021) (Blue)</v>
      </c>
      <c r="H6794" s="19"/>
    </row>
    <row r="6795">
      <c r="A6795" s="9"/>
      <c r="B6795" s="15"/>
      <c r="C6795" s="9">
        <f>IFERROR(__xludf.DUMMYFUNCTION("""COMPUTED_VALUE"""),44533.8786121527)</f>
        <v>44533.87861</v>
      </c>
      <c r="D6795" s="15">
        <f>IFERROR(__xludf.DUMMYFUNCTION("""COMPUTED_VALUE"""),1.025)</f>
        <v>1.025</v>
      </c>
      <c r="E6795" s="16">
        <f>IFERROR(__xludf.DUMMYFUNCTION("""COMPUTED_VALUE"""),64.0)</f>
        <v>64</v>
      </c>
      <c r="F6795" s="19" t="str">
        <f>IFERROR(__xludf.DUMMYFUNCTION("""COMPUTED_VALUE"""),"BLUE")</f>
        <v>BLUE</v>
      </c>
      <c r="G6795" s="20" t="str">
        <f>IFERROR(__xludf.DUMMYFUNCTION("""COMPUTED_VALUE"""),"Uncle Sams Cider (11/12/2021) (Blue)")</f>
        <v>Uncle Sams Cider (11/12/2021) (Blue)</v>
      </c>
      <c r="H6795" s="19"/>
    </row>
    <row r="6796">
      <c r="A6796" s="9"/>
      <c r="B6796" s="15"/>
      <c r="C6796" s="9">
        <f>IFERROR(__xludf.DUMMYFUNCTION("""COMPUTED_VALUE"""),44533.8681908333)</f>
        <v>44533.86819</v>
      </c>
      <c r="D6796" s="15">
        <f>IFERROR(__xludf.DUMMYFUNCTION("""COMPUTED_VALUE"""),1.025)</f>
        <v>1.025</v>
      </c>
      <c r="E6796" s="16">
        <f>IFERROR(__xludf.DUMMYFUNCTION("""COMPUTED_VALUE"""),64.0)</f>
        <v>64</v>
      </c>
      <c r="F6796" s="19" t="str">
        <f>IFERROR(__xludf.DUMMYFUNCTION("""COMPUTED_VALUE"""),"BLUE")</f>
        <v>BLUE</v>
      </c>
      <c r="G6796" s="20" t="str">
        <f>IFERROR(__xludf.DUMMYFUNCTION("""COMPUTED_VALUE"""),"Uncle Sams Cider (11/12/2021) (Blue)")</f>
        <v>Uncle Sams Cider (11/12/2021) (Blue)</v>
      </c>
      <c r="H6796" s="19"/>
    </row>
    <row r="6797">
      <c r="A6797" s="9"/>
      <c r="B6797" s="15"/>
      <c r="C6797" s="9">
        <f>IFERROR(__xludf.DUMMYFUNCTION("""COMPUTED_VALUE"""),44533.8577698148)</f>
        <v>44533.85777</v>
      </c>
      <c r="D6797" s="15">
        <f>IFERROR(__xludf.DUMMYFUNCTION("""COMPUTED_VALUE"""),1.025)</f>
        <v>1.025</v>
      </c>
      <c r="E6797" s="16">
        <f>IFERROR(__xludf.DUMMYFUNCTION("""COMPUTED_VALUE"""),64.0)</f>
        <v>64</v>
      </c>
      <c r="F6797" s="19" t="str">
        <f>IFERROR(__xludf.DUMMYFUNCTION("""COMPUTED_VALUE"""),"BLUE")</f>
        <v>BLUE</v>
      </c>
      <c r="G6797" s="20" t="str">
        <f>IFERROR(__xludf.DUMMYFUNCTION("""COMPUTED_VALUE"""),"Uncle Sams Cider (11/12/2021) (Blue)")</f>
        <v>Uncle Sams Cider (11/12/2021) (Blue)</v>
      </c>
      <c r="H6797" s="19"/>
    </row>
    <row r="6798">
      <c r="A6798" s="9"/>
      <c r="B6798" s="15"/>
      <c r="C6798" s="9">
        <f>IFERROR(__xludf.DUMMYFUNCTION("""COMPUTED_VALUE"""),44533.8473480902)</f>
        <v>44533.84735</v>
      </c>
      <c r="D6798" s="15">
        <f>IFERROR(__xludf.DUMMYFUNCTION("""COMPUTED_VALUE"""),1.025)</f>
        <v>1.025</v>
      </c>
      <c r="E6798" s="16">
        <f>IFERROR(__xludf.DUMMYFUNCTION("""COMPUTED_VALUE"""),64.0)</f>
        <v>64</v>
      </c>
      <c r="F6798" s="19" t="str">
        <f>IFERROR(__xludf.DUMMYFUNCTION("""COMPUTED_VALUE"""),"BLUE")</f>
        <v>BLUE</v>
      </c>
      <c r="G6798" s="20" t="str">
        <f>IFERROR(__xludf.DUMMYFUNCTION("""COMPUTED_VALUE"""),"Uncle Sams Cider (11/12/2021) (Blue)")</f>
        <v>Uncle Sams Cider (11/12/2021) (Blue)</v>
      </c>
      <c r="H6798" s="19"/>
    </row>
    <row r="6799">
      <c r="A6799" s="9"/>
      <c r="B6799" s="15"/>
      <c r="C6799" s="9">
        <f>IFERROR(__xludf.DUMMYFUNCTION("""COMPUTED_VALUE"""),44533.8369258333)</f>
        <v>44533.83693</v>
      </c>
      <c r="D6799" s="15">
        <f>IFERROR(__xludf.DUMMYFUNCTION("""COMPUTED_VALUE"""),1.025)</f>
        <v>1.025</v>
      </c>
      <c r="E6799" s="16">
        <f>IFERROR(__xludf.DUMMYFUNCTION("""COMPUTED_VALUE"""),64.0)</f>
        <v>64</v>
      </c>
      <c r="F6799" s="19" t="str">
        <f>IFERROR(__xludf.DUMMYFUNCTION("""COMPUTED_VALUE"""),"BLUE")</f>
        <v>BLUE</v>
      </c>
      <c r="G6799" s="20" t="str">
        <f>IFERROR(__xludf.DUMMYFUNCTION("""COMPUTED_VALUE"""),"Uncle Sams Cider (11/12/2021) (Blue)")</f>
        <v>Uncle Sams Cider (11/12/2021) (Blue)</v>
      </c>
      <c r="H6799" s="19"/>
    </row>
    <row r="6800">
      <c r="A6800" s="9"/>
      <c r="B6800" s="15"/>
      <c r="C6800" s="9">
        <f>IFERROR(__xludf.DUMMYFUNCTION("""COMPUTED_VALUE"""),44533.826493287)</f>
        <v>44533.82649</v>
      </c>
      <c r="D6800" s="15">
        <f>IFERROR(__xludf.DUMMYFUNCTION("""COMPUTED_VALUE"""),1.025)</f>
        <v>1.025</v>
      </c>
      <c r="E6800" s="16">
        <f>IFERROR(__xludf.DUMMYFUNCTION("""COMPUTED_VALUE"""),64.0)</f>
        <v>64</v>
      </c>
      <c r="F6800" s="19" t="str">
        <f>IFERROR(__xludf.DUMMYFUNCTION("""COMPUTED_VALUE"""),"BLUE")</f>
        <v>BLUE</v>
      </c>
      <c r="G6800" s="20" t="str">
        <f>IFERROR(__xludf.DUMMYFUNCTION("""COMPUTED_VALUE"""),"Uncle Sams Cider (11/12/2021) (Blue)")</f>
        <v>Uncle Sams Cider (11/12/2021) (Blue)</v>
      </c>
      <c r="H6800" s="19"/>
    </row>
    <row r="6801">
      <c r="A6801" s="9"/>
      <c r="B6801" s="15"/>
      <c r="C6801" s="9">
        <f>IFERROR(__xludf.DUMMYFUNCTION("""COMPUTED_VALUE"""),44533.8160708333)</f>
        <v>44533.81607</v>
      </c>
      <c r="D6801" s="15">
        <f>IFERROR(__xludf.DUMMYFUNCTION("""COMPUTED_VALUE"""),1.025)</f>
        <v>1.025</v>
      </c>
      <c r="E6801" s="16">
        <f>IFERROR(__xludf.DUMMYFUNCTION("""COMPUTED_VALUE"""),64.0)</f>
        <v>64</v>
      </c>
      <c r="F6801" s="19" t="str">
        <f>IFERROR(__xludf.DUMMYFUNCTION("""COMPUTED_VALUE"""),"BLUE")</f>
        <v>BLUE</v>
      </c>
      <c r="G6801" s="20" t="str">
        <f>IFERROR(__xludf.DUMMYFUNCTION("""COMPUTED_VALUE"""),"Uncle Sams Cider (11/12/2021) (Blue)")</f>
        <v>Uncle Sams Cider (11/12/2021) (Blue)</v>
      </c>
      <c r="H6801" s="19"/>
    </row>
    <row r="6802">
      <c r="A6802" s="9"/>
      <c r="B6802" s="15"/>
      <c r="C6802" s="9">
        <f>IFERROR(__xludf.DUMMYFUNCTION("""COMPUTED_VALUE"""),44533.8056497569)</f>
        <v>44533.80565</v>
      </c>
      <c r="D6802" s="15">
        <f>IFERROR(__xludf.DUMMYFUNCTION("""COMPUTED_VALUE"""),1.025)</f>
        <v>1.025</v>
      </c>
      <c r="E6802" s="16">
        <f>IFERROR(__xludf.DUMMYFUNCTION("""COMPUTED_VALUE"""),64.0)</f>
        <v>64</v>
      </c>
      <c r="F6802" s="19" t="str">
        <f>IFERROR(__xludf.DUMMYFUNCTION("""COMPUTED_VALUE"""),"BLUE")</f>
        <v>BLUE</v>
      </c>
      <c r="G6802" s="20" t="str">
        <f>IFERROR(__xludf.DUMMYFUNCTION("""COMPUTED_VALUE"""),"Uncle Sams Cider (11/12/2021) (Blue)")</f>
        <v>Uncle Sams Cider (11/12/2021) (Blue)</v>
      </c>
      <c r="H6802" s="19"/>
    </row>
    <row r="6803">
      <c r="A6803" s="9"/>
      <c r="B6803" s="15"/>
      <c r="C6803" s="9">
        <f>IFERROR(__xludf.DUMMYFUNCTION("""COMPUTED_VALUE"""),44533.7952277083)</f>
        <v>44533.79523</v>
      </c>
      <c r="D6803" s="15">
        <f>IFERROR(__xludf.DUMMYFUNCTION("""COMPUTED_VALUE"""),1.025)</f>
        <v>1.025</v>
      </c>
      <c r="E6803" s="16">
        <f>IFERROR(__xludf.DUMMYFUNCTION("""COMPUTED_VALUE"""),64.0)</f>
        <v>64</v>
      </c>
      <c r="F6803" s="19" t="str">
        <f>IFERROR(__xludf.DUMMYFUNCTION("""COMPUTED_VALUE"""),"BLUE")</f>
        <v>BLUE</v>
      </c>
      <c r="G6803" s="20" t="str">
        <f>IFERROR(__xludf.DUMMYFUNCTION("""COMPUTED_VALUE"""),"Uncle Sams Cider (11/12/2021) (Blue)")</f>
        <v>Uncle Sams Cider (11/12/2021) (Blue)</v>
      </c>
      <c r="H6803" s="19"/>
    </row>
    <row r="6804">
      <c r="A6804" s="9"/>
      <c r="B6804" s="15"/>
      <c r="C6804" s="9">
        <f>IFERROR(__xludf.DUMMYFUNCTION("""COMPUTED_VALUE"""),44533.7847944675)</f>
        <v>44533.78479</v>
      </c>
      <c r="D6804" s="15">
        <f>IFERROR(__xludf.DUMMYFUNCTION("""COMPUTED_VALUE"""),1.025)</f>
        <v>1.025</v>
      </c>
      <c r="E6804" s="16">
        <f>IFERROR(__xludf.DUMMYFUNCTION("""COMPUTED_VALUE"""),64.0)</f>
        <v>64</v>
      </c>
      <c r="F6804" s="19" t="str">
        <f>IFERROR(__xludf.DUMMYFUNCTION("""COMPUTED_VALUE"""),"BLUE")</f>
        <v>BLUE</v>
      </c>
      <c r="G6804" s="20" t="str">
        <f>IFERROR(__xludf.DUMMYFUNCTION("""COMPUTED_VALUE"""),"Uncle Sams Cider (11/12/2021) (Blue)")</f>
        <v>Uncle Sams Cider (11/12/2021) (Blue)</v>
      </c>
      <c r="H6804" s="19"/>
    </row>
    <row r="6805">
      <c r="A6805" s="9"/>
      <c r="B6805" s="15"/>
      <c r="C6805" s="9">
        <f>IFERROR(__xludf.DUMMYFUNCTION("""COMPUTED_VALUE"""),44533.7743749768)</f>
        <v>44533.77437</v>
      </c>
      <c r="D6805" s="15">
        <f>IFERROR(__xludf.DUMMYFUNCTION("""COMPUTED_VALUE"""),1.025)</f>
        <v>1.025</v>
      </c>
      <c r="E6805" s="16">
        <f>IFERROR(__xludf.DUMMYFUNCTION("""COMPUTED_VALUE"""),64.0)</f>
        <v>64</v>
      </c>
      <c r="F6805" s="19" t="str">
        <f>IFERROR(__xludf.DUMMYFUNCTION("""COMPUTED_VALUE"""),"BLUE")</f>
        <v>BLUE</v>
      </c>
      <c r="G6805" s="20" t="str">
        <f>IFERROR(__xludf.DUMMYFUNCTION("""COMPUTED_VALUE"""),"Uncle Sams Cider (11/12/2021) (Blue)")</f>
        <v>Uncle Sams Cider (11/12/2021) (Blue)</v>
      </c>
      <c r="H6805" s="19"/>
    </row>
    <row r="6806">
      <c r="A6806" s="9"/>
      <c r="B6806" s="15"/>
      <c r="C6806" s="9">
        <f>IFERROR(__xludf.DUMMYFUNCTION("""COMPUTED_VALUE"""),44533.7639549421)</f>
        <v>44533.76395</v>
      </c>
      <c r="D6806" s="15">
        <f>IFERROR(__xludf.DUMMYFUNCTION("""COMPUTED_VALUE"""),1.025)</f>
        <v>1.025</v>
      </c>
      <c r="E6806" s="16">
        <f>IFERROR(__xludf.DUMMYFUNCTION("""COMPUTED_VALUE"""),64.0)</f>
        <v>64</v>
      </c>
      <c r="F6806" s="19" t="str">
        <f>IFERROR(__xludf.DUMMYFUNCTION("""COMPUTED_VALUE"""),"BLUE")</f>
        <v>BLUE</v>
      </c>
      <c r="G6806" s="20" t="str">
        <f>IFERROR(__xludf.DUMMYFUNCTION("""COMPUTED_VALUE"""),"Uncle Sams Cider (11/12/2021) (Blue)")</f>
        <v>Uncle Sams Cider (11/12/2021) (Blue)</v>
      </c>
      <c r="H6806" s="19"/>
    </row>
    <row r="6807">
      <c r="A6807" s="9"/>
      <c r="B6807" s="15"/>
      <c r="C6807" s="9">
        <f>IFERROR(__xludf.DUMMYFUNCTION("""COMPUTED_VALUE"""),44533.7535338888)</f>
        <v>44533.75353</v>
      </c>
      <c r="D6807" s="15">
        <f>IFERROR(__xludf.DUMMYFUNCTION("""COMPUTED_VALUE"""),1.025)</f>
        <v>1.025</v>
      </c>
      <c r="E6807" s="16">
        <f>IFERROR(__xludf.DUMMYFUNCTION("""COMPUTED_VALUE"""),64.0)</f>
        <v>64</v>
      </c>
      <c r="F6807" s="19" t="str">
        <f>IFERROR(__xludf.DUMMYFUNCTION("""COMPUTED_VALUE"""),"BLUE")</f>
        <v>BLUE</v>
      </c>
      <c r="G6807" s="20" t="str">
        <f>IFERROR(__xludf.DUMMYFUNCTION("""COMPUTED_VALUE"""),"Uncle Sams Cider (11/12/2021) (Blue)")</f>
        <v>Uncle Sams Cider (11/12/2021) (Blue)</v>
      </c>
      <c r="H6807" s="19"/>
    </row>
    <row r="6808">
      <c r="A6808" s="9"/>
      <c r="B6808" s="15"/>
      <c r="C6808" s="9">
        <f>IFERROR(__xludf.DUMMYFUNCTION("""COMPUTED_VALUE"""),44533.7431137384)</f>
        <v>44533.74311</v>
      </c>
      <c r="D6808" s="15">
        <f>IFERROR(__xludf.DUMMYFUNCTION("""COMPUTED_VALUE"""),1.025)</f>
        <v>1.025</v>
      </c>
      <c r="E6808" s="16">
        <f>IFERROR(__xludf.DUMMYFUNCTION("""COMPUTED_VALUE"""),64.0)</f>
        <v>64</v>
      </c>
      <c r="F6808" s="19" t="str">
        <f>IFERROR(__xludf.DUMMYFUNCTION("""COMPUTED_VALUE"""),"BLUE")</f>
        <v>BLUE</v>
      </c>
      <c r="G6808" s="20" t="str">
        <f>IFERROR(__xludf.DUMMYFUNCTION("""COMPUTED_VALUE"""),"Uncle Sams Cider (11/12/2021) (Blue)")</f>
        <v>Uncle Sams Cider (11/12/2021) (Blue)</v>
      </c>
      <c r="H6808" s="19"/>
    </row>
    <row r="6809">
      <c r="A6809" s="9"/>
      <c r="B6809" s="15"/>
      <c r="C6809" s="9">
        <f>IFERROR(__xludf.DUMMYFUNCTION("""COMPUTED_VALUE"""),44533.732693449)</f>
        <v>44533.73269</v>
      </c>
      <c r="D6809" s="15">
        <f>IFERROR(__xludf.DUMMYFUNCTION("""COMPUTED_VALUE"""),1.025)</f>
        <v>1.025</v>
      </c>
      <c r="E6809" s="16">
        <f>IFERROR(__xludf.DUMMYFUNCTION("""COMPUTED_VALUE"""),64.0)</f>
        <v>64</v>
      </c>
      <c r="F6809" s="19" t="str">
        <f>IFERROR(__xludf.DUMMYFUNCTION("""COMPUTED_VALUE"""),"BLUE")</f>
        <v>BLUE</v>
      </c>
      <c r="G6809" s="20" t="str">
        <f>IFERROR(__xludf.DUMMYFUNCTION("""COMPUTED_VALUE"""),"Uncle Sams Cider (11/12/2021) (Blue)")</f>
        <v>Uncle Sams Cider (11/12/2021) (Blue)</v>
      </c>
      <c r="H6809" s="19"/>
    </row>
    <row r="6810">
      <c r="A6810" s="9"/>
      <c r="B6810" s="15"/>
      <c r="C6810" s="9">
        <f>IFERROR(__xludf.DUMMYFUNCTION("""COMPUTED_VALUE"""),44533.7222712152)</f>
        <v>44533.72227</v>
      </c>
      <c r="D6810" s="15">
        <f>IFERROR(__xludf.DUMMYFUNCTION("""COMPUTED_VALUE"""),1.025)</f>
        <v>1.025</v>
      </c>
      <c r="E6810" s="16">
        <f>IFERROR(__xludf.DUMMYFUNCTION("""COMPUTED_VALUE"""),64.0)</f>
        <v>64</v>
      </c>
      <c r="F6810" s="19" t="str">
        <f>IFERROR(__xludf.DUMMYFUNCTION("""COMPUTED_VALUE"""),"BLUE")</f>
        <v>BLUE</v>
      </c>
      <c r="G6810" s="20" t="str">
        <f>IFERROR(__xludf.DUMMYFUNCTION("""COMPUTED_VALUE"""),"Uncle Sams Cider (11/12/2021) (Blue)")</f>
        <v>Uncle Sams Cider (11/12/2021) (Blue)</v>
      </c>
      <c r="H6810" s="19"/>
    </row>
    <row r="6811">
      <c r="A6811" s="9"/>
      <c r="B6811" s="15"/>
      <c r="C6811" s="9">
        <f>IFERROR(__xludf.DUMMYFUNCTION("""COMPUTED_VALUE"""),44533.7118143981)</f>
        <v>44533.71181</v>
      </c>
      <c r="D6811" s="15">
        <f>IFERROR(__xludf.DUMMYFUNCTION("""COMPUTED_VALUE"""),1.025)</f>
        <v>1.025</v>
      </c>
      <c r="E6811" s="16">
        <f>IFERROR(__xludf.DUMMYFUNCTION("""COMPUTED_VALUE"""),64.0)</f>
        <v>64</v>
      </c>
      <c r="F6811" s="19" t="str">
        <f>IFERROR(__xludf.DUMMYFUNCTION("""COMPUTED_VALUE"""),"BLUE")</f>
        <v>BLUE</v>
      </c>
      <c r="G6811" s="20" t="str">
        <f>IFERROR(__xludf.DUMMYFUNCTION("""COMPUTED_VALUE"""),"Uncle Sams Cider (11/12/2021) (Blue)")</f>
        <v>Uncle Sams Cider (11/12/2021) (Blue)</v>
      </c>
      <c r="H6811" s="19"/>
    </row>
    <row r="6812">
      <c r="A6812" s="9"/>
      <c r="B6812" s="15"/>
      <c r="C6812" s="9">
        <f>IFERROR(__xludf.DUMMYFUNCTION("""COMPUTED_VALUE"""),44533.7013927546)</f>
        <v>44533.70139</v>
      </c>
      <c r="D6812" s="15">
        <f>IFERROR(__xludf.DUMMYFUNCTION("""COMPUTED_VALUE"""),1.025)</f>
        <v>1.025</v>
      </c>
      <c r="E6812" s="16">
        <f>IFERROR(__xludf.DUMMYFUNCTION("""COMPUTED_VALUE"""),64.0)</f>
        <v>64</v>
      </c>
      <c r="F6812" s="19" t="str">
        <f>IFERROR(__xludf.DUMMYFUNCTION("""COMPUTED_VALUE"""),"BLUE")</f>
        <v>BLUE</v>
      </c>
      <c r="G6812" s="20" t="str">
        <f>IFERROR(__xludf.DUMMYFUNCTION("""COMPUTED_VALUE"""),"Uncle Sams Cider (11/12/2021) (Blue)")</f>
        <v>Uncle Sams Cider (11/12/2021) (Blue)</v>
      </c>
      <c r="H6812" s="19"/>
    </row>
    <row r="6813">
      <c r="A6813" s="9"/>
      <c r="B6813" s="15"/>
      <c r="C6813" s="9">
        <f>IFERROR(__xludf.DUMMYFUNCTION("""COMPUTED_VALUE"""),44533.6909722222)</f>
        <v>44533.69097</v>
      </c>
      <c r="D6813" s="15">
        <f>IFERROR(__xludf.DUMMYFUNCTION("""COMPUTED_VALUE"""),1.025)</f>
        <v>1.025</v>
      </c>
      <c r="E6813" s="16">
        <f>IFERROR(__xludf.DUMMYFUNCTION("""COMPUTED_VALUE"""),64.0)</f>
        <v>64</v>
      </c>
      <c r="F6813" s="19" t="str">
        <f>IFERROR(__xludf.DUMMYFUNCTION("""COMPUTED_VALUE"""),"BLUE")</f>
        <v>BLUE</v>
      </c>
      <c r="G6813" s="20" t="str">
        <f>IFERROR(__xludf.DUMMYFUNCTION("""COMPUTED_VALUE"""),"Uncle Sams Cider (11/12/2021) (Blue)")</f>
        <v>Uncle Sams Cider (11/12/2021) (Blue)</v>
      </c>
      <c r="H6813" s="19"/>
    </row>
    <row r="6814">
      <c r="A6814" s="9"/>
      <c r="B6814" s="15"/>
      <c r="C6814" s="9">
        <f>IFERROR(__xludf.DUMMYFUNCTION("""COMPUTED_VALUE"""),44533.6805503703)</f>
        <v>44533.68055</v>
      </c>
      <c r="D6814" s="15">
        <f>IFERROR(__xludf.DUMMYFUNCTION("""COMPUTED_VALUE"""),1.025)</f>
        <v>1.025</v>
      </c>
      <c r="E6814" s="16">
        <f>IFERROR(__xludf.DUMMYFUNCTION("""COMPUTED_VALUE"""),64.0)</f>
        <v>64</v>
      </c>
      <c r="F6814" s="19" t="str">
        <f>IFERROR(__xludf.DUMMYFUNCTION("""COMPUTED_VALUE"""),"BLUE")</f>
        <v>BLUE</v>
      </c>
      <c r="G6814" s="20" t="str">
        <f>IFERROR(__xludf.DUMMYFUNCTION("""COMPUTED_VALUE"""),"Uncle Sams Cider (11/12/2021) (Blue)")</f>
        <v>Uncle Sams Cider (11/12/2021) (Blue)</v>
      </c>
      <c r="H6814" s="19"/>
    </row>
    <row r="6815">
      <c r="A6815" s="9"/>
      <c r="B6815" s="15"/>
      <c r="C6815" s="9">
        <f>IFERROR(__xludf.DUMMYFUNCTION("""COMPUTED_VALUE"""),44533.6701288541)</f>
        <v>44533.67013</v>
      </c>
      <c r="D6815" s="15">
        <f>IFERROR(__xludf.DUMMYFUNCTION("""COMPUTED_VALUE"""),1.025)</f>
        <v>1.025</v>
      </c>
      <c r="E6815" s="16">
        <f>IFERROR(__xludf.DUMMYFUNCTION("""COMPUTED_VALUE"""),64.0)</f>
        <v>64</v>
      </c>
      <c r="F6815" s="19" t="str">
        <f>IFERROR(__xludf.DUMMYFUNCTION("""COMPUTED_VALUE"""),"BLUE")</f>
        <v>BLUE</v>
      </c>
      <c r="G6815" s="20" t="str">
        <f>IFERROR(__xludf.DUMMYFUNCTION("""COMPUTED_VALUE"""),"Uncle Sams Cider (11/12/2021) (Blue)")</f>
        <v>Uncle Sams Cider (11/12/2021) (Blue)</v>
      </c>
      <c r="H6815" s="19"/>
    </row>
    <row r="6816">
      <c r="A6816" s="9"/>
      <c r="B6816" s="15"/>
      <c r="C6816" s="9">
        <f>IFERROR(__xludf.DUMMYFUNCTION("""COMPUTED_VALUE"""),44533.6597064236)</f>
        <v>44533.65971</v>
      </c>
      <c r="D6816" s="15">
        <f>IFERROR(__xludf.DUMMYFUNCTION("""COMPUTED_VALUE"""),1.025)</f>
        <v>1.025</v>
      </c>
      <c r="E6816" s="16">
        <f>IFERROR(__xludf.DUMMYFUNCTION("""COMPUTED_VALUE"""),64.0)</f>
        <v>64</v>
      </c>
      <c r="F6816" s="19" t="str">
        <f>IFERROR(__xludf.DUMMYFUNCTION("""COMPUTED_VALUE"""),"BLUE")</f>
        <v>BLUE</v>
      </c>
      <c r="G6816" s="20" t="str">
        <f>IFERROR(__xludf.DUMMYFUNCTION("""COMPUTED_VALUE"""),"Uncle Sams Cider (11/12/2021) (Blue)")</f>
        <v>Uncle Sams Cider (11/12/2021) (Blue)</v>
      </c>
      <c r="H6816" s="19"/>
    </row>
    <row r="6817">
      <c r="A6817" s="9"/>
      <c r="B6817" s="15"/>
      <c r="C6817" s="9">
        <f>IFERROR(__xludf.DUMMYFUNCTION("""COMPUTED_VALUE"""),44533.649274375)</f>
        <v>44533.64927</v>
      </c>
      <c r="D6817" s="15">
        <f>IFERROR(__xludf.DUMMYFUNCTION("""COMPUTED_VALUE"""),1.025)</f>
        <v>1.025</v>
      </c>
      <c r="E6817" s="16">
        <f>IFERROR(__xludf.DUMMYFUNCTION("""COMPUTED_VALUE"""),64.0)</f>
        <v>64</v>
      </c>
      <c r="F6817" s="19" t="str">
        <f>IFERROR(__xludf.DUMMYFUNCTION("""COMPUTED_VALUE"""),"BLUE")</f>
        <v>BLUE</v>
      </c>
      <c r="G6817" s="20" t="str">
        <f>IFERROR(__xludf.DUMMYFUNCTION("""COMPUTED_VALUE"""),"Uncle Sams Cider (11/12/2021) (Blue)")</f>
        <v>Uncle Sams Cider (11/12/2021) (Blue)</v>
      </c>
      <c r="H6817" s="19"/>
    </row>
    <row r="6818">
      <c r="A6818" s="9"/>
      <c r="B6818" s="15"/>
      <c r="C6818" s="9">
        <f>IFERROR(__xludf.DUMMYFUNCTION("""COMPUTED_VALUE"""),44533.6388544907)</f>
        <v>44533.63885</v>
      </c>
      <c r="D6818" s="15">
        <f>IFERROR(__xludf.DUMMYFUNCTION("""COMPUTED_VALUE"""),1.025)</f>
        <v>1.025</v>
      </c>
      <c r="E6818" s="16">
        <f>IFERROR(__xludf.DUMMYFUNCTION("""COMPUTED_VALUE"""),64.0)</f>
        <v>64</v>
      </c>
      <c r="F6818" s="19" t="str">
        <f>IFERROR(__xludf.DUMMYFUNCTION("""COMPUTED_VALUE"""),"BLUE")</f>
        <v>BLUE</v>
      </c>
      <c r="G6818" s="20" t="str">
        <f>IFERROR(__xludf.DUMMYFUNCTION("""COMPUTED_VALUE"""),"Uncle Sams Cider (11/12/2021) (Blue)")</f>
        <v>Uncle Sams Cider (11/12/2021) (Blue)</v>
      </c>
      <c r="H6818" s="19"/>
    </row>
    <row r="6819">
      <c r="A6819" s="9"/>
      <c r="B6819" s="15"/>
      <c r="C6819" s="9">
        <f>IFERROR(__xludf.DUMMYFUNCTION("""COMPUTED_VALUE"""),44533.6284324189)</f>
        <v>44533.62843</v>
      </c>
      <c r="D6819" s="15">
        <f>IFERROR(__xludf.DUMMYFUNCTION("""COMPUTED_VALUE"""),1.025)</f>
        <v>1.025</v>
      </c>
      <c r="E6819" s="16">
        <f>IFERROR(__xludf.DUMMYFUNCTION("""COMPUTED_VALUE"""),64.0)</f>
        <v>64</v>
      </c>
      <c r="F6819" s="19" t="str">
        <f>IFERROR(__xludf.DUMMYFUNCTION("""COMPUTED_VALUE"""),"BLUE")</f>
        <v>BLUE</v>
      </c>
      <c r="G6819" s="20" t="str">
        <f>IFERROR(__xludf.DUMMYFUNCTION("""COMPUTED_VALUE"""),"Uncle Sams Cider (11/12/2021) (Blue)")</f>
        <v>Uncle Sams Cider (11/12/2021) (Blue)</v>
      </c>
      <c r="H6819" s="19"/>
    </row>
    <row r="6820">
      <c r="A6820" s="9"/>
      <c r="B6820" s="15"/>
      <c r="C6820" s="9">
        <f>IFERROR(__xludf.DUMMYFUNCTION("""COMPUTED_VALUE"""),44533.6180117361)</f>
        <v>44533.61801</v>
      </c>
      <c r="D6820" s="15">
        <f>IFERROR(__xludf.DUMMYFUNCTION("""COMPUTED_VALUE"""),1.025)</f>
        <v>1.025</v>
      </c>
      <c r="E6820" s="16">
        <f>IFERROR(__xludf.DUMMYFUNCTION("""COMPUTED_VALUE"""),64.0)</f>
        <v>64</v>
      </c>
      <c r="F6820" s="19" t="str">
        <f>IFERROR(__xludf.DUMMYFUNCTION("""COMPUTED_VALUE"""),"BLUE")</f>
        <v>BLUE</v>
      </c>
      <c r="G6820" s="20" t="str">
        <f>IFERROR(__xludf.DUMMYFUNCTION("""COMPUTED_VALUE"""),"Uncle Sams Cider (11/12/2021) (Blue)")</f>
        <v>Uncle Sams Cider (11/12/2021) (Blue)</v>
      </c>
      <c r="H6820" s="19"/>
    </row>
    <row r="6821">
      <c r="A6821" s="9"/>
      <c r="B6821" s="15"/>
      <c r="C6821" s="9">
        <f>IFERROR(__xludf.DUMMYFUNCTION("""COMPUTED_VALUE"""),44533.607591493)</f>
        <v>44533.60759</v>
      </c>
      <c r="D6821" s="15">
        <f>IFERROR(__xludf.DUMMYFUNCTION("""COMPUTED_VALUE"""),1.025)</f>
        <v>1.025</v>
      </c>
      <c r="E6821" s="16">
        <f>IFERROR(__xludf.DUMMYFUNCTION("""COMPUTED_VALUE"""),64.0)</f>
        <v>64</v>
      </c>
      <c r="F6821" s="19" t="str">
        <f>IFERROR(__xludf.DUMMYFUNCTION("""COMPUTED_VALUE"""),"BLUE")</f>
        <v>BLUE</v>
      </c>
      <c r="G6821" s="20" t="str">
        <f>IFERROR(__xludf.DUMMYFUNCTION("""COMPUTED_VALUE"""),"Uncle Sams Cider (11/12/2021) (Blue)")</f>
        <v>Uncle Sams Cider (11/12/2021) (Blue)</v>
      </c>
      <c r="H6821" s="19"/>
    </row>
    <row r="6822">
      <c r="A6822" s="9"/>
      <c r="B6822" s="15"/>
      <c r="C6822" s="9">
        <f>IFERROR(__xludf.DUMMYFUNCTION("""COMPUTED_VALUE"""),44533.5971706712)</f>
        <v>44533.59717</v>
      </c>
      <c r="D6822" s="15">
        <f>IFERROR(__xludf.DUMMYFUNCTION("""COMPUTED_VALUE"""),1.025)</f>
        <v>1.025</v>
      </c>
      <c r="E6822" s="16">
        <f>IFERROR(__xludf.DUMMYFUNCTION("""COMPUTED_VALUE"""),64.0)</f>
        <v>64</v>
      </c>
      <c r="F6822" s="19" t="str">
        <f>IFERROR(__xludf.DUMMYFUNCTION("""COMPUTED_VALUE"""),"BLUE")</f>
        <v>BLUE</v>
      </c>
      <c r="G6822" s="20" t="str">
        <f>IFERROR(__xludf.DUMMYFUNCTION("""COMPUTED_VALUE"""),"Uncle Sams Cider (11/12/2021) (Blue)")</f>
        <v>Uncle Sams Cider (11/12/2021) (Blue)</v>
      </c>
      <c r="H6822" s="19"/>
    </row>
    <row r="6823">
      <c r="A6823" s="9"/>
      <c r="B6823" s="15"/>
      <c r="C6823" s="9">
        <f>IFERROR(__xludf.DUMMYFUNCTION("""COMPUTED_VALUE"""),44533.5867503356)</f>
        <v>44533.58675</v>
      </c>
      <c r="D6823" s="15">
        <f>IFERROR(__xludf.DUMMYFUNCTION("""COMPUTED_VALUE"""),1.025)</f>
        <v>1.025</v>
      </c>
      <c r="E6823" s="16">
        <f>IFERROR(__xludf.DUMMYFUNCTION("""COMPUTED_VALUE"""),64.0)</f>
        <v>64</v>
      </c>
      <c r="F6823" s="19" t="str">
        <f>IFERROR(__xludf.DUMMYFUNCTION("""COMPUTED_VALUE"""),"BLUE")</f>
        <v>BLUE</v>
      </c>
      <c r="G6823" s="20" t="str">
        <f>IFERROR(__xludf.DUMMYFUNCTION("""COMPUTED_VALUE"""),"Uncle Sams Cider (11/12/2021) (Blue)")</f>
        <v>Uncle Sams Cider (11/12/2021) (Blue)</v>
      </c>
      <c r="H6823" s="19"/>
    </row>
    <row r="6824">
      <c r="A6824" s="9"/>
      <c r="B6824" s="15"/>
      <c r="C6824" s="9">
        <f>IFERROR(__xludf.DUMMYFUNCTION("""COMPUTED_VALUE"""),44533.576329456)</f>
        <v>44533.57633</v>
      </c>
      <c r="D6824" s="15">
        <f>IFERROR(__xludf.DUMMYFUNCTION("""COMPUTED_VALUE"""),1.025)</f>
        <v>1.025</v>
      </c>
      <c r="E6824" s="16">
        <f>IFERROR(__xludf.DUMMYFUNCTION("""COMPUTED_VALUE"""),64.0)</f>
        <v>64</v>
      </c>
      <c r="F6824" s="19" t="str">
        <f>IFERROR(__xludf.DUMMYFUNCTION("""COMPUTED_VALUE"""),"BLUE")</f>
        <v>BLUE</v>
      </c>
      <c r="G6824" s="20" t="str">
        <f>IFERROR(__xludf.DUMMYFUNCTION("""COMPUTED_VALUE"""),"Uncle Sams Cider (11/12/2021) (Blue)")</f>
        <v>Uncle Sams Cider (11/12/2021) (Blue)</v>
      </c>
      <c r="H6824" s="19"/>
    </row>
    <row r="6825">
      <c r="A6825" s="9"/>
      <c r="B6825" s="15"/>
      <c r="C6825" s="9">
        <f>IFERROR(__xludf.DUMMYFUNCTION("""COMPUTED_VALUE"""),44533.5659081944)</f>
        <v>44533.56591</v>
      </c>
      <c r="D6825" s="15">
        <f>IFERROR(__xludf.DUMMYFUNCTION("""COMPUTED_VALUE"""),1.025)</f>
        <v>1.025</v>
      </c>
      <c r="E6825" s="16">
        <f>IFERROR(__xludf.DUMMYFUNCTION("""COMPUTED_VALUE"""),64.0)</f>
        <v>64</v>
      </c>
      <c r="F6825" s="19" t="str">
        <f>IFERROR(__xludf.DUMMYFUNCTION("""COMPUTED_VALUE"""),"BLUE")</f>
        <v>BLUE</v>
      </c>
      <c r="G6825" s="20" t="str">
        <f>IFERROR(__xludf.DUMMYFUNCTION("""COMPUTED_VALUE"""),"Uncle Sams Cider (11/12/2021) (Blue)")</f>
        <v>Uncle Sams Cider (11/12/2021) (Blue)</v>
      </c>
      <c r="H6825" s="19"/>
    </row>
    <row r="6826">
      <c r="A6826" s="9"/>
      <c r="B6826" s="15"/>
      <c r="C6826" s="9">
        <f>IFERROR(__xludf.DUMMYFUNCTION("""COMPUTED_VALUE"""),44533.55548603)</f>
        <v>44533.55549</v>
      </c>
      <c r="D6826" s="15">
        <f>IFERROR(__xludf.DUMMYFUNCTION("""COMPUTED_VALUE"""),1.025)</f>
        <v>1.025</v>
      </c>
      <c r="E6826" s="16">
        <f>IFERROR(__xludf.DUMMYFUNCTION("""COMPUTED_VALUE"""),64.0)</f>
        <v>64</v>
      </c>
      <c r="F6826" s="19" t="str">
        <f>IFERROR(__xludf.DUMMYFUNCTION("""COMPUTED_VALUE"""),"BLUE")</f>
        <v>BLUE</v>
      </c>
      <c r="G6826" s="20" t="str">
        <f>IFERROR(__xludf.DUMMYFUNCTION("""COMPUTED_VALUE"""),"Uncle Sams Cider (11/12/2021) (Blue)")</f>
        <v>Uncle Sams Cider (11/12/2021) (Blue)</v>
      </c>
      <c r="H6826" s="19"/>
    </row>
    <row r="6827">
      <c r="A6827" s="9"/>
      <c r="B6827" s="15"/>
      <c r="C6827" s="9">
        <f>IFERROR(__xludf.DUMMYFUNCTION("""COMPUTED_VALUE"""),44533.5450526504)</f>
        <v>44533.54505</v>
      </c>
      <c r="D6827" s="15">
        <f>IFERROR(__xludf.DUMMYFUNCTION("""COMPUTED_VALUE"""),1.025)</f>
        <v>1.025</v>
      </c>
      <c r="E6827" s="16">
        <f>IFERROR(__xludf.DUMMYFUNCTION("""COMPUTED_VALUE"""),64.0)</f>
        <v>64</v>
      </c>
      <c r="F6827" s="19" t="str">
        <f>IFERROR(__xludf.DUMMYFUNCTION("""COMPUTED_VALUE"""),"BLUE")</f>
        <v>BLUE</v>
      </c>
      <c r="G6827" s="20" t="str">
        <f>IFERROR(__xludf.DUMMYFUNCTION("""COMPUTED_VALUE"""),"Uncle Sams Cider (11/12/2021) (Blue)")</f>
        <v>Uncle Sams Cider (11/12/2021) (Blue)</v>
      </c>
      <c r="H6827" s="19"/>
    </row>
    <row r="6828">
      <c r="A6828" s="9"/>
      <c r="B6828" s="15"/>
      <c r="C6828" s="9">
        <f>IFERROR(__xludf.DUMMYFUNCTION("""COMPUTED_VALUE"""),44533.5346313425)</f>
        <v>44533.53463</v>
      </c>
      <c r="D6828" s="15">
        <f>IFERROR(__xludf.DUMMYFUNCTION("""COMPUTED_VALUE"""),1.025)</f>
        <v>1.025</v>
      </c>
      <c r="E6828" s="16">
        <f>IFERROR(__xludf.DUMMYFUNCTION("""COMPUTED_VALUE"""),64.0)</f>
        <v>64</v>
      </c>
      <c r="F6828" s="19" t="str">
        <f>IFERROR(__xludf.DUMMYFUNCTION("""COMPUTED_VALUE"""),"BLUE")</f>
        <v>BLUE</v>
      </c>
      <c r="G6828" s="20" t="str">
        <f>IFERROR(__xludf.DUMMYFUNCTION("""COMPUTED_VALUE"""),"Uncle Sams Cider (11/12/2021) (Blue)")</f>
        <v>Uncle Sams Cider (11/12/2021) (Blue)</v>
      </c>
      <c r="H6828" s="19"/>
    </row>
    <row r="6829">
      <c r="A6829" s="9"/>
      <c r="B6829" s="15"/>
      <c r="C6829" s="9">
        <f>IFERROR(__xludf.DUMMYFUNCTION("""COMPUTED_VALUE"""),44533.524198449)</f>
        <v>44533.5242</v>
      </c>
      <c r="D6829" s="15">
        <f>IFERROR(__xludf.DUMMYFUNCTION("""COMPUTED_VALUE"""),1.025)</f>
        <v>1.025</v>
      </c>
      <c r="E6829" s="16">
        <f>IFERROR(__xludf.DUMMYFUNCTION("""COMPUTED_VALUE"""),64.0)</f>
        <v>64</v>
      </c>
      <c r="F6829" s="19" t="str">
        <f>IFERROR(__xludf.DUMMYFUNCTION("""COMPUTED_VALUE"""),"BLUE")</f>
        <v>BLUE</v>
      </c>
      <c r="G6829" s="20" t="str">
        <f>IFERROR(__xludf.DUMMYFUNCTION("""COMPUTED_VALUE"""),"Uncle Sams Cider (11/12/2021) (Blue)")</f>
        <v>Uncle Sams Cider (11/12/2021) (Blue)</v>
      </c>
      <c r="H6829" s="19"/>
    </row>
    <row r="6830">
      <c r="A6830" s="9"/>
      <c r="B6830" s="15"/>
      <c r="C6830" s="9">
        <f>IFERROR(__xludf.DUMMYFUNCTION("""COMPUTED_VALUE"""),44533.5137779745)</f>
        <v>44533.51378</v>
      </c>
      <c r="D6830" s="15">
        <f>IFERROR(__xludf.DUMMYFUNCTION("""COMPUTED_VALUE"""),1.025)</f>
        <v>1.025</v>
      </c>
      <c r="E6830" s="16">
        <f>IFERROR(__xludf.DUMMYFUNCTION("""COMPUTED_VALUE"""),64.0)</f>
        <v>64</v>
      </c>
      <c r="F6830" s="19" t="str">
        <f>IFERROR(__xludf.DUMMYFUNCTION("""COMPUTED_VALUE"""),"BLUE")</f>
        <v>BLUE</v>
      </c>
      <c r="G6830" s="20" t="str">
        <f>IFERROR(__xludf.DUMMYFUNCTION("""COMPUTED_VALUE"""),"Uncle Sams Cider (11/12/2021) (Blue)")</f>
        <v>Uncle Sams Cider (11/12/2021) (Blue)</v>
      </c>
      <c r="H6830" s="19"/>
    </row>
    <row r="6831">
      <c r="A6831" s="9"/>
      <c r="B6831" s="15"/>
      <c r="C6831" s="9">
        <f>IFERROR(__xludf.DUMMYFUNCTION("""COMPUTED_VALUE"""),44533.5033563194)</f>
        <v>44533.50336</v>
      </c>
      <c r="D6831" s="15">
        <f>IFERROR(__xludf.DUMMYFUNCTION("""COMPUTED_VALUE"""),1.025)</f>
        <v>1.025</v>
      </c>
      <c r="E6831" s="16">
        <f>IFERROR(__xludf.DUMMYFUNCTION("""COMPUTED_VALUE"""),64.0)</f>
        <v>64</v>
      </c>
      <c r="F6831" s="19" t="str">
        <f>IFERROR(__xludf.DUMMYFUNCTION("""COMPUTED_VALUE"""),"BLUE")</f>
        <v>BLUE</v>
      </c>
      <c r="G6831" s="20" t="str">
        <f>IFERROR(__xludf.DUMMYFUNCTION("""COMPUTED_VALUE"""),"Uncle Sams Cider (11/12/2021) (Blue)")</f>
        <v>Uncle Sams Cider (11/12/2021) (Blue)</v>
      </c>
      <c r="H6831" s="19"/>
    </row>
    <row r="6832">
      <c r="A6832" s="9"/>
      <c r="B6832" s="15"/>
      <c r="C6832" s="9">
        <f>IFERROR(__xludf.DUMMYFUNCTION("""COMPUTED_VALUE"""),44533.4929346064)</f>
        <v>44533.49293</v>
      </c>
      <c r="D6832" s="15">
        <f>IFERROR(__xludf.DUMMYFUNCTION("""COMPUTED_VALUE"""),1.025)</f>
        <v>1.025</v>
      </c>
      <c r="E6832" s="16">
        <f>IFERROR(__xludf.DUMMYFUNCTION("""COMPUTED_VALUE"""),64.0)</f>
        <v>64</v>
      </c>
      <c r="F6832" s="19" t="str">
        <f>IFERROR(__xludf.DUMMYFUNCTION("""COMPUTED_VALUE"""),"BLUE")</f>
        <v>BLUE</v>
      </c>
      <c r="G6832" s="20" t="str">
        <f>IFERROR(__xludf.DUMMYFUNCTION("""COMPUTED_VALUE"""),"Uncle Sams Cider (11/12/2021) (Blue)")</f>
        <v>Uncle Sams Cider (11/12/2021) (Blue)</v>
      </c>
      <c r="H6832" s="19"/>
    </row>
    <row r="6833">
      <c r="A6833" s="9"/>
      <c r="B6833" s="15"/>
      <c r="C6833" s="9">
        <f>IFERROR(__xludf.DUMMYFUNCTION("""COMPUTED_VALUE"""),44533.4825153472)</f>
        <v>44533.48252</v>
      </c>
      <c r="D6833" s="15">
        <f>IFERROR(__xludf.DUMMYFUNCTION("""COMPUTED_VALUE"""),1.025)</f>
        <v>1.025</v>
      </c>
      <c r="E6833" s="16">
        <f>IFERROR(__xludf.DUMMYFUNCTION("""COMPUTED_VALUE"""),64.0)</f>
        <v>64</v>
      </c>
      <c r="F6833" s="19" t="str">
        <f>IFERROR(__xludf.DUMMYFUNCTION("""COMPUTED_VALUE"""),"BLUE")</f>
        <v>BLUE</v>
      </c>
      <c r="G6833" s="20" t="str">
        <f>IFERROR(__xludf.DUMMYFUNCTION("""COMPUTED_VALUE"""),"Uncle Sams Cider (11/12/2021) (Blue)")</f>
        <v>Uncle Sams Cider (11/12/2021) (Blue)</v>
      </c>
      <c r="H6833" s="19"/>
    </row>
    <row r="6834">
      <c r="A6834" s="9"/>
      <c r="B6834" s="15"/>
      <c r="C6834" s="9">
        <f>IFERROR(__xludf.DUMMYFUNCTION("""COMPUTED_VALUE"""),44533.4720935995)</f>
        <v>44533.47209</v>
      </c>
      <c r="D6834" s="15">
        <f>IFERROR(__xludf.DUMMYFUNCTION("""COMPUTED_VALUE"""),1.025)</f>
        <v>1.025</v>
      </c>
      <c r="E6834" s="16">
        <f>IFERROR(__xludf.DUMMYFUNCTION("""COMPUTED_VALUE"""),64.0)</f>
        <v>64</v>
      </c>
      <c r="F6834" s="19" t="str">
        <f>IFERROR(__xludf.DUMMYFUNCTION("""COMPUTED_VALUE"""),"BLUE")</f>
        <v>BLUE</v>
      </c>
      <c r="G6834" s="20" t="str">
        <f>IFERROR(__xludf.DUMMYFUNCTION("""COMPUTED_VALUE"""),"Uncle Sams Cider (11/12/2021) (Blue)")</f>
        <v>Uncle Sams Cider (11/12/2021) (Blue)</v>
      </c>
      <c r="H6834" s="19"/>
    </row>
    <row r="6835">
      <c r="A6835" s="9"/>
      <c r="B6835" s="15"/>
      <c r="C6835" s="9">
        <f>IFERROR(__xludf.DUMMYFUNCTION("""COMPUTED_VALUE"""),44533.4616726273)</f>
        <v>44533.46167</v>
      </c>
      <c r="D6835" s="15">
        <f>IFERROR(__xludf.DUMMYFUNCTION("""COMPUTED_VALUE"""),1.025)</f>
        <v>1.025</v>
      </c>
      <c r="E6835" s="16">
        <f>IFERROR(__xludf.DUMMYFUNCTION("""COMPUTED_VALUE"""),64.0)</f>
        <v>64</v>
      </c>
      <c r="F6835" s="19" t="str">
        <f>IFERROR(__xludf.DUMMYFUNCTION("""COMPUTED_VALUE"""),"BLUE")</f>
        <v>BLUE</v>
      </c>
      <c r="G6835" s="20" t="str">
        <f>IFERROR(__xludf.DUMMYFUNCTION("""COMPUTED_VALUE"""),"Uncle Sams Cider (11/12/2021) (Blue)")</f>
        <v>Uncle Sams Cider (11/12/2021) (Blue)</v>
      </c>
      <c r="H6835" s="19"/>
    </row>
    <row r="6836">
      <c r="A6836" s="9"/>
      <c r="B6836" s="15"/>
      <c r="C6836" s="9">
        <f>IFERROR(__xludf.DUMMYFUNCTION("""COMPUTED_VALUE"""),44533.4512505671)</f>
        <v>44533.45125</v>
      </c>
      <c r="D6836" s="15">
        <f>IFERROR(__xludf.DUMMYFUNCTION("""COMPUTED_VALUE"""),1.025)</f>
        <v>1.025</v>
      </c>
      <c r="E6836" s="16">
        <f>IFERROR(__xludf.DUMMYFUNCTION("""COMPUTED_VALUE"""),64.0)</f>
        <v>64</v>
      </c>
      <c r="F6836" s="19" t="str">
        <f>IFERROR(__xludf.DUMMYFUNCTION("""COMPUTED_VALUE"""),"BLUE")</f>
        <v>BLUE</v>
      </c>
      <c r="G6836" s="20" t="str">
        <f>IFERROR(__xludf.DUMMYFUNCTION("""COMPUTED_VALUE"""),"Uncle Sams Cider (11/12/2021) (Blue)")</f>
        <v>Uncle Sams Cider (11/12/2021) (Blue)</v>
      </c>
      <c r="H6836" s="19"/>
    </row>
    <row r="6837">
      <c r="A6837" s="9"/>
      <c r="B6837" s="15"/>
      <c r="C6837" s="9">
        <f>IFERROR(__xludf.DUMMYFUNCTION("""COMPUTED_VALUE"""),44533.4408264467)</f>
        <v>44533.44083</v>
      </c>
      <c r="D6837" s="15">
        <f>IFERROR(__xludf.DUMMYFUNCTION("""COMPUTED_VALUE"""),1.025)</f>
        <v>1.025</v>
      </c>
      <c r="E6837" s="16">
        <f>IFERROR(__xludf.DUMMYFUNCTION("""COMPUTED_VALUE"""),64.0)</f>
        <v>64</v>
      </c>
      <c r="F6837" s="19" t="str">
        <f>IFERROR(__xludf.DUMMYFUNCTION("""COMPUTED_VALUE"""),"BLUE")</f>
        <v>BLUE</v>
      </c>
      <c r="G6837" s="20" t="str">
        <f>IFERROR(__xludf.DUMMYFUNCTION("""COMPUTED_VALUE"""),"Uncle Sams Cider (11/12/2021) (Blue)")</f>
        <v>Uncle Sams Cider (11/12/2021) (Blue)</v>
      </c>
      <c r="H6837" s="19"/>
    </row>
    <row r="6838">
      <c r="A6838" s="9"/>
      <c r="B6838" s="15"/>
      <c r="C6838" s="9">
        <f>IFERROR(__xludf.DUMMYFUNCTION("""COMPUTED_VALUE"""),44533.4304065972)</f>
        <v>44533.43041</v>
      </c>
      <c r="D6838" s="15">
        <f>IFERROR(__xludf.DUMMYFUNCTION("""COMPUTED_VALUE"""),1.025)</f>
        <v>1.025</v>
      </c>
      <c r="E6838" s="16">
        <f>IFERROR(__xludf.DUMMYFUNCTION("""COMPUTED_VALUE"""),64.0)</f>
        <v>64</v>
      </c>
      <c r="F6838" s="19" t="str">
        <f>IFERROR(__xludf.DUMMYFUNCTION("""COMPUTED_VALUE"""),"BLUE")</f>
        <v>BLUE</v>
      </c>
      <c r="G6838" s="20" t="str">
        <f>IFERROR(__xludf.DUMMYFUNCTION("""COMPUTED_VALUE"""),"Uncle Sams Cider (11/12/2021) (Blue)")</f>
        <v>Uncle Sams Cider (11/12/2021) (Blue)</v>
      </c>
      <c r="H6838" s="19"/>
    </row>
    <row r="6839">
      <c r="A6839" s="9"/>
      <c r="B6839" s="15"/>
      <c r="C6839" s="9">
        <f>IFERROR(__xludf.DUMMYFUNCTION("""COMPUTED_VALUE"""),44533.4199873263)</f>
        <v>44533.41999</v>
      </c>
      <c r="D6839" s="15">
        <f>IFERROR(__xludf.DUMMYFUNCTION("""COMPUTED_VALUE"""),1.025)</f>
        <v>1.025</v>
      </c>
      <c r="E6839" s="16">
        <f>IFERROR(__xludf.DUMMYFUNCTION("""COMPUTED_VALUE"""),64.0)</f>
        <v>64</v>
      </c>
      <c r="F6839" s="19" t="str">
        <f>IFERROR(__xludf.DUMMYFUNCTION("""COMPUTED_VALUE"""),"BLUE")</f>
        <v>BLUE</v>
      </c>
      <c r="G6839" s="20" t="str">
        <f>IFERROR(__xludf.DUMMYFUNCTION("""COMPUTED_VALUE"""),"Uncle Sams Cider (11/12/2021) (Blue)")</f>
        <v>Uncle Sams Cider (11/12/2021) (Blue)</v>
      </c>
      <c r="H6839" s="19"/>
    </row>
    <row r="6840">
      <c r="A6840" s="9"/>
      <c r="B6840" s="15"/>
      <c r="C6840" s="9">
        <f>IFERROR(__xludf.DUMMYFUNCTION("""COMPUTED_VALUE"""),44533.4095652199)</f>
        <v>44533.40957</v>
      </c>
      <c r="D6840" s="15">
        <f>IFERROR(__xludf.DUMMYFUNCTION("""COMPUTED_VALUE"""),1.025)</f>
        <v>1.025</v>
      </c>
      <c r="E6840" s="16">
        <f>IFERROR(__xludf.DUMMYFUNCTION("""COMPUTED_VALUE"""),64.0)</f>
        <v>64</v>
      </c>
      <c r="F6840" s="19" t="str">
        <f>IFERROR(__xludf.DUMMYFUNCTION("""COMPUTED_VALUE"""),"BLUE")</f>
        <v>BLUE</v>
      </c>
      <c r="G6840" s="20" t="str">
        <f>IFERROR(__xludf.DUMMYFUNCTION("""COMPUTED_VALUE"""),"Uncle Sams Cider (11/12/2021) (Blue)")</f>
        <v>Uncle Sams Cider (11/12/2021) (Blue)</v>
      </c>
      <c r="H6840" s="19"/>
    </row>
    <row r="6841">
      <c r="A6841" s="9"/>
      <c r="B6841" s="15"/>
      <c r="C6841" s="9">
        <f>IFERROR(__xludf.DUMMYFUNCTION("""COMPUTED_VALUE"""),44533.3991451273)</f>
        <v>44533.39915</v>
      </c>
      <c r="D6841" s="15">
        <f>IFERROR(__xludf.DUMMYFUNCTION("""COMPUTED_VALUE"""),1.025)</f>
        <v>1.025</v>
      </c>
      <c r="E6841" s="16">
        <f>IFERROR(__xludf.DUMMYFUNCTION("""COMPUTED_VALUE"""),64.0)</f>
        <v>64</v>
      </c>
      <c r="F6841" s="19" t="str">
        <f>IFERROR(__xludf.DUMMYFUNCTION("""COMPUTED_VALUE"""),"BLUE")</f>
        <v>BLUE</v>
      </c>
      <c r="G6841" s="20" t="str">
        <f>IFERROR(__xludf.DUMMYFUNCTION("""COMPUTED_VALUE"""),"Uncle Sams Cider (11/12/2021) (Blue)")</f>
        <v>Uncle Sams Cider (11/12/2021) (Blue)</v>
      </c>
      <c r="H6841" s="19"/>
    </row>
    <row r="6842">
      <c r="A6842" s="9"/>
      <c r="B6842" s="15"/>
      <c r="C6842" s="9">
        <f>IFERROR(__xludf.DUMMYFUNCTION("""COMPUTED_VALUE"""),44533.3887240162)</f>
        <v>44533.38872</v>
      </c>
      <c r="D6842" s="15">
        <f>IFERROR(__xludf.DUMMYFUNCTION("""COMPUTED_VALUE"""),1.025)</f>
        <v>1.025</v>
      </c>
      <c r="E6842" s="16">
        <f>IFERROR(__xludf.DUMMYFUNCTION("""COMPUTED_VALUE"""),64.0)</f>
        <v>64</v>
      </c>
      <c r="F6842" s="19" t="str">
        <f>IFERROR(__xludf.DUMMYFUNCTION("""COMPUTED_VALUE"""),"BLUE")</f>
        <v>BLUE</v>
      </c>
      <c r="G6842" s="20" t="str">
        <f>IFERROR(__xludf.DUMMYFUNCTION("""COMPUTED_VALUE"""),"Uncle Sams Cider (11/12/2021) (Blue)")</f>
        <v>Uncle Sams Cider (11/12/2021) (Blue)</v>
      </c>
      <c r="H6842" s="19"/>
    </row>
    <row r="6843">
      <c r="A6843" s="9"/>
      <c r="B6843" s="15"/>
      <c r="C6843" s="9">
        <f>IFERROR(__xludf.DUMMYFUNCTION("""COMPUTED_VALUE"""),44533.3782913078)</f>
        <v>44533.37829</v>
      </c>
      <c r="D6843" s="15">
        <f>IFERROR(__xludf.DUMMYFUNCTION("""COMPUTED_VALUE"""),1.025)</f>
        <v>1.025</v>
      </c>
      <c r="E6843" s="16">
        <f>IFERROR(__xludf.DUMMYFUNCTION("""COMPUTED_VALUE"""),64.0)</f>
        <v>64</v>
      </c>
      <c r="F6843" s="19" t="str">
        <f>IFERROR(__xludf.DUMMYFUNCTION("""COMPUTED_VALUE"""),"BLUE")</f>
        <v>BLUE</v>
      </c>
      <c r="G6843" s="20" t="str">
        <f>IFERROR(__xludf.DUMMYFUNCTION("""COMPUTED_VALUE"""),"Uncle Sams Cider (11/12/2021) (Blue)")</f>
        <v>Uncle Sams Cider (11/12/2021) (Blue)</v>
      </c>
      <c r="H6843" s="19"/>
    </row>
    <row r="6844">
      <c r="A6844" s="9"/>
      <c r="B6844" s="15"/>
      <c r="C6844" s="9">
        <f>IFERROR(__xludf.DUMMYFUNCTION("""COMPUTED_VALUE"""),44533.3678704282)</f>
        <v>44533.36787</v>
      </c>
      <c r="D6844" s="15">
        <f>IFERROR(__xludf.DUMMYFUNCTION("""COMPUTED_VALUE"""),1.025)</f>
        <v>1.025</v>
      </c>
      <c r="E6844" s="16">
        <f>IFERROR(__xludf.DUMMYFUNCTION("""COMPUTED_VALUE"""),64.0)</f>
        <v>64</v>
      </c>
      <c r="F6844" s="19" t="str">
        <f>IFERROR(__xludf.DUMMYFUNCTION("""COMPUTED_VALUE"""),"BLUE")</f>
        <v>BLUE</v>
      </c>
      <c r="G6844" s="20" t="str">
        <f>IFERROR(__xludf.DUMMYFUNCTION("""COMPUTED_VALUE"""),"Uncle Sams Cider (11/12/2021) (Blue)")</f>
        <v>Uncle Sams Cider (11/12/2021) (Blue)</v>
      </c>
      <c r="H6844" s="19"/>
    </row>
    <row r="6845">
      <c r="A6845" s="9"/>
      <c r="B6845" s="15"/>
      <c r="C6845" s="9">
        <f>IFERROR(__xludf.DUMMYFUNCTION("""COMPUTED_VALUE"""),44533.3574503935)</f>
        <v>44533.35745</v>
      </c>
      <c r="D6845" s="15">
        <f>IFERROR(__xludf.DUMMYFUNCTION("""COMPUTED_VALUE"""),1.025)</f>
        <v>1.025</v>
      </c>
      <c r="E6845" s="16">
        <f>IFERROR(__xludf.DUMMYFUNCTION("""COMPUTED_VALUE"""),64.0)</f>
        <v>64</v>
      </c>
      <c r="F6845" s="19" t="str">
        <f>IFERROR(__xludf.DUMMYFUNCTION("""COMPUTED_VALUE"""),"BLUE")</f>
        <v>BLUE</v>
      </c>
      <c r="G6845" s="20" t="str">
        <f>IFERROR(__xludf.DUMMYFUNCTION("""COMPUTED_VALUE"""),"Uncle Sams Cider (11/12/2021) (Blue)")</f>
        <v>Uncle Sams Cider (11/12/2021) (Blue)</v>
      </c>
      <c r="H6845" s="19"/>
    </row>
    <row r="6846">
      <c r="A6846" s="9"/>
      <c r="B6846" s="15"/>
      <c r="C6846" s="9">
        <f>IFERROR(__xludf.DUMMYFUNCTION("""COMPUTED_VALUE"""),44533.3470295023)</f>
        <v>44533.34703</v>
      </c>
      <c r="D6846" s="15">
        <f>IFERROR(__xludf.DUMMYFUNCTION("""COMPUTED_VALUE"""),1.025)</f>
        <v>1.025</v>
      </c>
      <c r="E6846" s="16">
        <f>IFERROR(__xludf.DUMMYFUNCTION("""COMPUTED_VALUE"""),64.0)</f>
        <v>64</v>
      </c>
      <c r="F6846" s="19" t="str">
        <f>IFERROR(__xludf.DUMMYFUNCTION("""COMPUTED_VALUE"""),"BLUE")</f>
        <v>BLUE</v>
      </c>
      <c r="G6846" s="20" t="str">
        <f>IFERROR(__xludf.DUMMYFUNCTION("""COMPUTED_VALUE"""),"Uncle Sams Cider (11/12/2021) (Blue)")</f>
        <v>Uncle Sams Cider (11/12/2021) (Blue)</v>
      </c>
      <c r="H6846" s="19"/>
    </row>
    <row r="6847">
      <c r="A6847" s="9"/>
      <c r="B6847" s="15"/>
      <c r="C6847" s="9">
        <f>IFERROR(__xludf.DUMMYFUNCTION("""COMPUTED_VALUE"""),44533.336609456)</f>
        <v>44533.33661</v>
      </c>
      <c r="D6847" s="15">
        <f>IFERROR(__xludf.DUMMYFUNCTION("""COMPUTED_VALUE"""),1.025)</f>
        <v>1.025</v>
      </c>
      <c r="E6847" s="16">
        <f>IFERROR(__xludf.DUMMYFUNCTION("""COMPUTED_VALUE"""),64.0)</f>
        <v>64</v>
      </c>
      <c r="F6847" s="19" t="str">
        <f>IFERROR(__xludf.DUMMYFUNCTION("""COMPUTED_VALUE"""),"BLUE")</f>
        <v>BLUE</v>
      </c>
      <c r="G6847" s="20" t="str">
        <f>IFERROR(__xludf.DUMMYFUNCTION("""COMPUTED_VALUE"""),"Uncle Sams Cider (11/12/2021) (Blue)")</f>
        <v>Uncle Sams Cider (11/12/2021) (Blue)</v>
      </c>
      <c r="H6847" s="19"/>
    </row>
    <row r="6848">
      <c r="A6848" s="9"/>
      <c r="B6848" s="15"/>
      <c r="C6848" s="9">
        <f>IFERROR(__xludf.DUMMYFUNCTION("""COMPUTED_VALUE"""),44533.32617603)</f>
        <v>44533.32618</v>
      </c>
      <c r="D6848" s="15">
        <f>IFERROR(__xludf.DUMMYFUNCTION("""COMPUTED_VALUE"""),1.026)</f>
        <v>1.026</v>
      </c>
      <c r="E6848" s="16">
        <f>IFERROR(__xludf.DUMMYFUNCTION("""COMPUTED_VALUE"""),64.0)</f>
        <v>64</v>
      </c>
      <c r="F6848" s="19" t="str">
        <f>IFERROR(__xludf.DUMMYFUNCTION("""COMPUTED_VALUE"""),"BLUE")</f>
        <v>BLUE</v>
      </c>
      <c r="G6848" s="20" t="str">
        <f>IFERROR(__xludf.DUMMYFUNCTION("""COMPUTED_VALUE"""),"Uncle Sams Cider (11/12/2021) (Blue)")</f>
        <v>Uncle Sams Cider (11/12/2021) (Blue)</v>
      </c>
      <c r="H6848" s="19"/>
    </row>
    <row r="6849">
      <c r="A6849" s="9"/>
      <c r="B6849" s="15"/>
      <c r="C6849" s="9">
        <f>IFERROR(__xludf.DUMMYFUNCTION("""COMPUTED_VALUE"""),44533.3157556365)</f>
        <v>44533.31576</v>
      </c>
      <c r="D6849" s="15">
        <f>IFERROR(__xludf.DUMMYFUNCTION("""COMPUTED_VALUE"""),1.026)</f>
        <v>1.026</v>
      </c>
      <c r="E6849" s="16">
        <f>IFERROR(__xludf.DUMMYFUNCTION("""COMPUTED_VALUE"""),64.0)</f>
        <v>64</v>
      </c>
      <c r="F6849" s="19" t="str">
        <f>IFERROR(__xludf.DUMMYFUNCTION("""COMPUTED_VALUE"""),"BLUE")</f>
        <v>BLUE</v>
      </c>
      <c r="G6849" s="20" t="str">
        <f>IFERROR(__xludf.DUMMYFUNCTION("""COMPUTED_VALUE"""),"Uncle Sams Cider (11/12/2021) (Blue)")</f>
        <v>Uncle Sams Cider (11/12/2021) (Blue)</v>
      </c>
      <c r="H6849" s="19"/>
    </row>
    <row r="6850">
      <c r="A6850" s="9"/>
      <c r="B6850" s="15"/>
      <c r="C6850" s="9">
        <f>IFERROR(__xludf.DUMMYFUNCTION("""COMPUTED_VALUE"""),44533.3053350462)</f>
        <v>44533.30534</v>
      </c>
      <c r="D6850" s="15">
        <f>IFERROR(__xludf.DUMMYFUNCTION("""COMPUTED_VALUE"""),1.026)</f>
        <v>1.026</v>
      </c>
      <c r="E6850" s="16">
        <f>IFERROR(__xludf.DUMMYFUNCTION("""COMPUTED_VALUE"""),64.0)</f>
        <v>64</v>
      </c>
      <c r="F6850" s="19" t="str">
        <f>IFERROR(__xludf.DUMMYFUNCTION("""COMPUTED_VALUE"""),"BLUE")</f>
        <v>BLUE</v>
      </c>
      <c r="G6850" s="20" t="str">
        <f>IFERROR(__xludf.DUMMYFUNCTION("""COMPUTED_VALUE"""),"Uncle Sams Cider (11/12/2021) (Blue)")</f>
        <v>Uncle Sams Cider (11/12/2021) (Blue)</v>
      </c>
      <c r="H6850" s="19"/>
    </row>
    <row r="6851">
      <c r="A6851" s="9"/>
      <c r="B6851" s="15"/>
      <c r="C6851" s="9">
        <f>IFERROR(__xludf.DUMMYFUNCTION("""COMPUTED_VALUE"""),44533.2949137731)</f>
        <v>44533.29491</v>
      </c>
      <c r="D6851" s="15">
        <f>IFERROR(__xludf.DUMMYFUNCTION("""COMPUTED_VALUE"""),1.025)</f>
        <v>1.025</v>
      </c>
      <c r="E6851" s="16">
        <f>IFERROR(__xludf.DUMMYFUNCTION("""COMPUTED_VALUE"""),64.0)</f>
        <v>64</v>
      </c>
      <c r="F6851" s="19" t="str">
        <f>IFERROR(__xludf.DUMMYFUNCTION("""COMPUTED_VALUE"""),"BLUE")</f>
        <v>BLUE</v>
      </c>
      <c r="G6851" s="20" t="str">
        <f>IFERROR(__xludf.DUMMYFUNCTION("""COMPUTED_VALUE"""),"Uncle Sams Cider (11/12/2021) (Blue)")</f>
        <v>Uncle Sams Cider (11/12/2021) (Blue)</v>
      </c>
      <c r="H6851" s="19"/>
    </row>
    <row r="6852">
      <c r="A6852" s="9"/>
      <c r="B6852" s="15"/>
      <c r="C6852" s="9">
        <f>IFERROR(__xludf.DUMMYFUNCTION("""COMPUTED_VALUE"""),44533.284491655)</f>
        <v>44533.28449</v>
      </c>
      <c r="D6852" s="15">
        <f>IFERROR(__xludf.DUMMYFUNCTION("""COMPUTED_VALUE"""),1.026)</f>
        <v>1.026</v>
      </c>
      <c r="E6852" s="16">
        <f>IFERROR(__xludf.DUMMYFUNCTION("""COMPUTED_VALUE"""),64.0)</f>
        <v>64</v>
      </c>
      <c r="F6852" s="19" t="str">
        <f>IFERROR(__xludf.DUMMYFUNCTION("""COMPUTED_VALUE"""),"BLUE")</f>
        <v>BLUE</v>
      </c>
      <c r="G6852" s="20" t="str">
        <f>IFERROR(__xludf.DUMMYFUNCTION("""COMPUTED_VALUE"""),"Uncle Sams Cider (11/12/2021) (Blue)")</f>
        <v>Uncle Sams Cider (11/12/2021) (Blue)</v>
      </c>
      <c r="H6852" s="19"/>
    </row>
    <row r="6853">
      <c r="A6853" s="9"/>
      <c r="B6853" s="15"/>
      <c r="C6853" s="9">
        <f>IFERROR(__xludf.DUMMYFUNCTION("""COMPUTED_VALUE"""),44533.2740699074)</f>
        <v>44533.27407</v>
      </c>
      <c r="D6853" s="15">
        <f>IFERROR(__xludf.DUMMYFUNCTION("""COMPUTED_VALUE"""),1.025)</f>
        <v>1.025</v>
      </c>
      <c r="E6853" s="16">
        <f>IFERROR(__xludf.DUMMYFUNCTION("""COMPUTED_VALUE"""),64.0)</f>
        <v>64</v>
      </c>
      <c r="F6853" s="19" t="str">
        <f>IFERROR(__xludf.DUMMYFUNCTION("""COMPUTED_VALUE"""),"BLUE")</f>
        <v>BLUE</v>
      </c>
      <c r="G6853" s="20" t="str">
        <f>IFERROR(__xludf.DUMMYFUNCTION("""COMPUTED_VALUE"""),"Uncle Sams Cider (11/12/2021) (Blue)")</f>
        <v>Uncle Sams Cider (11/12/2021) (Blue)</v>
      </c>
      <c r="H6853" s="19"/>
    </row>
    <row r="6854">
      <c r="A6854" s="9"/>
      <c r="B6854" s="15"/>
      <c r="C6854" s="9">
        <f>IFERROR(__xludf.DUMMYFUNCTION("""COMPUTED_VALUE"""),44533.2636497685)</f>
        <v>44533.26365</v>
      </c>
      <c r="D6854" s="15">
        <f>IFERROR(__xludf.DUMMYFUNCTION("""COMPUTED_VALUE"""),1.025)</f>
        <v>1.025</v>
      </c>
      <c r="E6854" s="16">
        <f>IFERROR(__xludf.DUMMYFUNCTION("""COMPUTED_VALUE"""),64.0)</f>
        <v>64</v>
      </c>
      <c r="F6854" s="19" t="str">
        <f>IFERROR(__xludf.DUMMYFUNCTION("""COMPUTED_VALUE"""),"BLUE")</f>
        <v>BLUE</v>
      </c>
      <c r="G6854" s="20" t="str">
        <f>IFERROR(__xludf.DUMMYFUNCTION("""COMPUTED_VALUE"""),"Uncle Sams Cider (11/12/2021) (Blue)")</f>
        <v>Uncle Sams Cider (11/12/2021) (Blue)</v>
      </c>
      <c r="H6854" s="19"/>
    </row>
    <row r="6855">
      <c r="A6855" s="9"/>
      <c r="B6855" s="15"/>
      <c r="C6855" s="9">
        <f>IFERROR(__xludf.DUMMYFUNCTION("""COMPUTED_VALUE"""),44533.2532268287)</f>
        <v>44533.25323</v>
      </c>
      <c r="D6855" s="15">
        <f>IFERROR(__xludf.DUMMYFUNCTION("""COMPUTED_VALUE"""),1.025)</f>
        <v>1.025</v>
      </c>
      <c r="E6855" s="16">
        <f>IFERROR(__xludf.DUMMYFUNCTION("""COMPUTED_VALUE"""),64.0)</f>
        <v>64</v>
      </c>
      <c r="F6855" s="19" t="str">
        <f>IFERROR(__xludf.DUMMYFUNCTION("""COMPUTED_VALUE"""),"BLUE")</f>
        <v>BLUE</v>
      </c>
      <c r="G6855" s="20" t="str">
        <f>IFERROR(__xludf.DUMMYFUNCTION("""COMPUTED_VALUE"""),"Uncle Sams Cider (11/12/2021) (Blue)")</f>
        <v>Uncle Sams Cider (11/12/2021) (Blue)</v>
      </c>
      <c r="H6855" s="19"/>
    </row>
    <row r="6856">
      <c r="A6856" s="9"/>
      <c r="B6856" s="15"/>
      <c r="C6856" s="9">
        <f>IFERROR(__xludf.DUMMYFUNCTION("""COMPUTED_VALUE"""),44533.2428074305)</f>
        <v>44533.24281</v>
      </c>
      <c r="D6856" s="15">
        <f>IFERROR(__xludf.DUMMYFUNCTION("""COMPUTED_VALUE"""),1.026)</f>
        <v>1.026</v>
      </c>
      <c r="E6856" s="16">
        <f>IFERROR(__xludf.DUMMYFUNCTION("""COMPUTED_VALUE"""),64.0)</f>
        <v>64</v>
      </c>
      <c r="F6856" s="19" t="str">
        <f>IFERROR(__xludf.DUMMYFUNCTION("""COMPUTED_VALUE"""),"BLUE")</f>
        <v>BLUE</v>
      </c>
      <c r="G6856" s="20" t="str">
        <f>IFERROR(__xludf.DUMMYFUNCTION("""COMPUTED_VALUE"""),"Uncle Sams Cider (11/12/2021) (Blue)")</f>
        <v>Uncle Sams Cider (11/12/2021) (Blue)</v>
      </c>
      <c r="H6856" s="19"/>
    </row>
    <row r="6857">
      <c r="A6857" s="9"/>
      <c r="B6857" s="15"/>
      <c r="C6857" s="9">
        <f>IFERROR(__xludf.DUMMYFUNCTION("""COMPUTED_VALUE"""),44533.2323858912)</f>
        <v>44533.23239</v>
      </c>
      <c r="D6857" s="15">
        <f>IFERROR(__xludf.DUMMYFUNCTION("""COMPUTED_VALUE"""),1.026)</f>
        <v>1.026</v>
      </c>
      <c r="E6857" s="16">
        <f>IFERROR(__xludf.DUMMYFUNCTION("""COMPUTED_VALUE"""),64.0)</f>
        <v>64</v>
      </c>
      <c r="F6857" s="19" t="str">
        <f>IFERROR(__xludf.DUMMYFUNCTION("""COMPUTED_VALUE"""),"BLUE")</f>
        <v>BLUE</v>
      </c>
      <c r="G6857" s="20" t="str">
        <f>IFERROR(__xludf.DUMMYFUNCTION("""COMPUTED_VALUE"""),"Uncle Sams Cider (11/12/2021) (Blue)")</f>
        <v>Uncle Sams Cider (11/12/2021) (Blue)</v>
      </c>
      <c r="H6857" s="19"/>
    </row>
    <row r="6858">
      <c r="A6858" s="9"/>
      <c r="B6858" s="15"/>
      <c r="C6858" s="9">
        <f>IFERROR(__xludf.DUMMYFUNCTION("""COMPUTED_VALUE"""),44533.2219650578)</f>
        <v>44533.22197</v>
      </c>
      <c r="D6858" s="15">
        <f>IFERROR(__xludf.DUMMYFUNCTION("""COMPUTED_VALUE"""),1.026)</f>
        <v>1.026</v>
      </c>
      <c r="E6858" s="16">
        <f>IFERROR(__xludf.DUMMYFUNCTION("""COMPUTED_VALUE"""),64.0)</f>
        <v>64</v>
      </c>
      <c r="F6858" s="19" t="str">
        <f>IFERROR(__xludf.DUMMYFUNCTION("""COMPUTED_VALUE"""),"BLUE")</f>
        <v>BLUE</v>
      </c>
      <c r="G6858" s="20" t="str">
        <f>IFERROR(__xludf.DUMMYFUNCTION("""COMPUTED_VALUE"""),"Uncle Sams Cider (11/12/2021) (Blue)")</f>
        <v>Uncle Sams Cider (11/12/2021) (Blue)</v>
      </c>
      <c r="H6858" s="19"/>
    </row>
    <row r="6859">
      <c r="A6859" s="9"/>
      <c r="B6859" s="15"/>
      <c r="C6859" s="9">
        <f>IFERROR(__xludf.DUMMYFUNCTION("""COMPUTED_VALUE"""),44533.2115430208)</f>
        <v>44533.21154</v>
      </c>
      <c r="D6859" s="15">
        <f>IFERROR(__xludf.DUMMYFUNCTION("""COMPUTED_VALUE"""),1.026)</f>
        <v>1.026</v>
      </c>
      <c r="E6859" s="16">
        <f>IFERROR(__xludf.DUMMYFUNCTION("""COMPUTED_VALUE"""),64.0)</f>
        <v>64</v>
      </c>
      <c r="F6859" s="19" t="str">
        <f>IFERROR(__xludf.DUMMYFUNCTION("""COMPUTED_VALUE"""),"BLUE")</f>
        <v>BLUE</v>
      </c>
      <c r="G6859" s="20" t="str">
        <f>IFERROR(__xludf.DUMMYFUNCTION("""COMPUTED_VALUE"""),"Uncle Sams Cider (11/12/2021) (Blue)")</f>
        <v>Uncle Sams Cider (11/12/2021) (Blue)</v>
      </c>
      <c r="H6859" s="19"/>
    </row>
    <row r="6860">
      <c r="A6860" s="9"/>
      <c r="B6860" s="15"/>
      <c r="C6860" s="9">
        <f>IFERROR(__xludf.DUMMYFUNCTION("""COMPUTED_VALUE"""),44533.2011209375)</f>
        <v>44533.20112</v>
      </c>
      <c r="D6860" s="15">
        <f>IFERROR(__xludf.DUMMYFUNCTION("""COMPUTED_VALUE"""),1.026)</f>
        <v>1.026</v>
      </c>
      <c r="E6860" s="16">
        <f>IFERROR(__xludf.DUMMYFUNCTION("""COMPUTED_VALUE"""),64.0)</f>
        <v>64</v>
      </c>
      <c r="F6860" s="19" t="str">
        <f>IFERROR(__xludf.DUMMYFUNCTION("""COMPUTED_VALUE"""),"BLUE")</f>
        <v>BLUE</v>
      </c>
      <c r="G6860" s="20" t="str">
        <f>IFERROR(__xludf.DUMMYFUNCTION("""COMPUTED_VALUE"""),"Uncle Sams Cider (11/12/2021) (Blue)")</f>
        <v>Uncle Sams Cider (11/12/2021) (Blue)</v>
      </c>
      <c r="H6860" s="19"/>
    </row>
    <row r="6861">
      <c r="A6861" s="9"/>
      <c r="B6861" s="15"/>
      <c r="C6861" s="9">
        <f>IFERROR(__xludf.DUMMYFUNCTION("""COMPUTED_VALUE"""),44533.1906867708)</f>
        <v>44533.19069</v>
      </c>
      <c r="D6861" s="15">
        <f>IFERROR(__xludf.DUMMYFUNCTION("""COMPUTED_VALUE"""),1.026)</f>
        <v>1.026</v>
      </c>
      <c r="E6861" s="16">
        <f>IFERROR(__xludf.DUMMYFUNCTION("""COMPUTED_VALUE"""),64.0)</f>
        <v>64</v>
      </c>
      <c r="F6861" s="19" t="str">
        <f>IFERROR(__xludf.DUMMYFUNCTION("""COMPUTED_VALUE"""),"BLUE")</f>
        <v>BLUE</v>
      </c>
      <c r="G6861" s="20" t="str">
        <f>IFERROR(__xludf.DUMMYFUNCTION("""COMPUTED_VALUE"""),"Uncle Sams Cider (11/12/2021) (Blue)")</f>
        <v>Uncle Sams Cider (11/12/2021) (Blue)</v>
      </c>
      <c r="H6861" s="19"/>
    </row>
    <row r="6862">
      <c r="A6862" s="9"/>
      <c r="B6862" s="15"/>
      <c r="C6862" s="9">
        <f>IFERROR(__xludf.DUMMYFUNCTION("""COMPUTED_VALUE"""),44533.1802647569)</f>
        <v>44533.18026</v>
      </c>
      <c r="D6862" s="15">
        <f>IFERROR(__xludf.DUMMYFUNCTION("""COMPUTED_VALUE"""),1.026)</f>
        <v>1.026</v>
      </c>
      <c r="E6862" s="16">
        <f>IFERROR(__xludf.DUMMYFUNCTION("""COMPUTED_VALUE"""),64.0)</f>
        <v>64</v>
      </c>
      <c r="F6862" s="19" t="str">
        <f>IFERROR(__xludf.DUMMYFUNCTION("""COMPUTED_VALUE"""),"BLUE")</f>
        <v>BLUE</v>
      </c>
      <c r="G6862" s="20" t="str">
        <f>IFERROR(__xludf.DUMMYFUNCTION("""COMPUTED_VALUE"""),"Uncle Sams Cider (11/12/2021) (Blue)")</f>
        <v>Uncle Sams Cider (11/12/2021) (Blue)</v>
      </c>
      <c r="H6862" s="19"/>
    </row>
    <row r="6863">
      <c r="A6863" s="9"/>
      <c r="B6863" s="15"/>
      <c r="C6863" s="9">
        <f>IFERROR(__xludf.DUMMYFUNCTION("""COMPUTED_VALUE"""),44533.1698447337)</f>
        <v>44533.16984</v>
      </c>
      <c r="D6863" s="15">
        <f>IFERROR(__xludf.DUMMYFUNCTION("""COMPUTED_VALUE"""),1.026)</f>
        <v>1.026</v>
      </c>
      <c r="E6863" s="16">
        <f>IFERROR(__xludf.DUMMYFUNCTION("""COMPUTED_VALUE"""),64.0)</f>
        <v>64</v>
      </c>
      <c r="F6863" s="19" t="str">
        <f>IFERROR(__xludf.DUMMYFUNCTION("""COMPUTED_VALUE"""),"BLUE")</f>
        <v>BLUE</v>
      </c>
      <c r="G6863" s="20" t="str">
        <f>IFERROR(__xludf.DUMMYFUNCTION("""COMPUTED_VALUE"""),"Uncle Sams Cider (11/12/2021) (Blue)")</f>
        <v>Uncle Sams Cider (11/12/2021) (Blue)</v>
      </c>
      <c r="H6863" s="19"/>
    </row>
    <row r="6864">
      <c r="A6864" s="9"/>
      <c r="B6864" s="15"/>
      <c r="C6864" s="9">
        <f>IFERROR(__xludf.DUMMYFUNCTION("""COMPUTED_VALUE"""),44533.1594226736)</f>
        <v>44533.15942</v>
      </c>
      <c r="D6864" s="15">
        <f>IFERROR(__xludf.DUMMYFUNCTION("""COMPUTED_VALUE"""),1.026)</f>
        <v>1.026</v>
      </c>
      <c r="E6864" s="16">
        <f>IFERROR(__xludf.DUMMYFUNCTION("""COMPUTED_VALUE"""),64.0)</f>
        <v>64</v>
      </c>
      <c r="F6864" s="19" t="str">
        <f>IFERROR(__xludf.DUMMYFUNCTION("""COMPUTED_VALUE"""),"BLUE")</f>
        <v>BLUE</v>
      </c>
      <c r="G6864" s="20" t="str">
        <f>IFERROR(__xludf.DUMMYFUNCTION("""COMPUTED_VALUE"""),"Uncle Sams Cider (11/12/2021) (Blue)")</f>
        <v>Uncle Sams Cider (11/12/2021) (Blue)</v>
      </c>
      <c r="H6864" s="19"/>
    </row>
    <row r="6865">
      <c r="A6865" s="9"/>
      <c r="B6865" s="15"/>
      <c r="C6865" s="9">
        <f>IFERROR(__xludf.DUMMYFUNCTION("""COMPUTED_VALUE"""),44533.1489999074)</f>
        <v>44533.149</v>
      </c>
      <c r="D6865" s="15">
        <f>IFERROR(__xludf.DUMMYFUNCTION("""COMPUTED_VALUE"""),1.026)</f>
        <v>1.026</v>
      </c>
      <c r="E6865" s="16">
        <f>IFERROR(__xludf.DUMMYFUNCTION("""COMPUTED_VALUE"""),64.0)</f>
        <v>64</v>
      </c>
      <c r="F6865" s="19" t="str">
        <f>IFERROR(__xludf.DUMMYFUNCTION("""COMPUTED_VALUE"""),"BLUE")</f>
        <v>BLUE</v>
      </c>
      <c r="G6865" s="20" t="str">
        <f>IFERROR(__xludf.DUMMYFUNCTION("""COMPUTED_VALUE"""),"Uncle Sams Cider (11/12/2021) (Blue)")</f>
        <v>Uncle Sams Cider (11/12/2021) (Blue)</v>
      </c>
      <c r="H6865" s="19"/>
    </row>
    <row r="6866">
      <c r="A6866" s="9"/>
      <c r="B6866" s="15"/>
      <c r="C6866" s="9">
        <f>IFERROR(__xludf.DUMMYFUNCTION("""COMPUTED_VALUE"""),44533.1385790393)</f>
        <v>44533.13858</v>
      </c>
      <c r="D6866" s="15">
        <f>IFERROR(__xludf.DUMMYFUNCTION("""COMPUTED_VALUE"""),1.026)</f>
        <v>1.026</v>
      </c>
      <c r="E6866" s="16">
        <f>IFERROR(__xludf.DUMMYFUNCTION("""COMPUTED_VALUE"""),64.0)</f>
        <v>64</v>
      </c>
      <c r="F6866" s="19" t="str">
        <f>IFERROR(__xludf.DUMMYFUNCTION("""COMPUTED_VALUE"""),"BLUE")</f>
        <v>BLUE</v>
      </c>
      <c r="G6866" s="20" t="str">
        <f>IFERROR(__xludf.DUMMYFUNCTION("""COMPUTED_VALUE"""),"Uncle Sams Cider (11/12/2021) (Blue)")</f>
        <v>Uncle Sams Cider (11/12/2021) (Blue)</v>
      </c>
      <c r="H6866" s="19"/>
    </row>
    <row r="6867">
      <c r="A6867" s="9"/>
      <c r="B6867" s="15"/>
      <c r="C6867" s="9">
        <f>IFERROR(__xludf.DUMMYFUNCTION("""COMPUTED_VALUE"""),44533.1281580671)</f>
        <v>44533.12816</v>
      </c>
      <c r="D6867" s="15">
        <f>IFERROR(__xludf.DUMMYFUNCTION("""COMPUTED_VALUE"""),1.026)</f>
        <v>1.026</v>
      </c>
      <c r="E6867" s="16">
        <f>IFERROR(__xludf.DUMMYFUNCTION("""COMPUTED_VALUE"""),64.0)</f>
        <v>64</v>
      </c>
      <c r="F6867" s="19" t="str">
        <f>IFERROR(__xludf.DUMMYFUNCTION("""COMPUTED_VALUE"""),"BLUE")</f>
        <v>BLUE</v>
      </c>
      <c r="G6867" s="20" t="str">
        <f>IFERROR(__xludf.DUMMYFUNCTION("""COMPUTED_VALUE"""),"Uncle Sams Cider (11/12/2021) (Blue)")</f>
        <v>Uncle Sams Cider (11/12/2021) (Blue)</v>
      </c>
      <c r="H6867" s="19"/>
    </row>
    <row r="6868">
      <c r="A6868" s="9"/>
      <c r="B6868" s="15"/>
      <c r="C6868" s="9">
        <f>IFERROR(__xludf.DUMMYFUNCTION("""COMPUTED_VALUE"""),44533.1177348032)</f>
        <v>44533.11773</v>
      </c>
      <c r="D6868" s="15">
        <f>IFERROR(__xludf.DUMMYFUNCTION("""COMPUTED_VALUE"""),1.026)</f>
        <v>1.026</v>
      </c>
      <c r="E6868" s="16">
        <f>IFERROR(__xludf.DUMMYFUNCTION("""COMPUTED_VALUE"""),64.0)</f>
        <v>64</v>
      </c>
      <c r="F6868" s="19" t="str">
        <f>IFERROR(__xludf.DUMMYFUNCTION("""COMPUTED_VALUE"""),"BLUE")</f>
        <v>BLUE</v>
      </c>
      <c r="G6868" s="20" t="str">
        <f>IFERROR(__xludf.DUMMYFUNCTION("""COMPUTED_VALUE"""),"Uncle Sams Cider (11/12/2021) (Blue)")</f>
        <v>Uncle Sams Cider (11/12/2021) (Blue)</v>
      </c>
      <c r="H6868" s="19"/>
    </row>
    <row r="6869">
      <c r="A6869" s="9"/>
      <c r="B6869" s="15"/>
      <c r="C6869" s="9">
        <f>IFERROR(__xludf.DUMMYFUNCTION("""COMPUTED_VALUE"""),44533.1073154976)</f>
        <v>44533.10732</v>
      </c>
      <c r="D6869" s="15">
        <f>IFERROR(__xludf.DUMMYFUNCTION("""COMPUTED_VALUE"""),1.026)</f>
        <v>1.026</v>
      </c>
      <c r="E6869" s="16">
        <f>IFERROR(__xludf.DUMMYFUNCTION("""COMPUTED_VALUE"""),64.0)</f>
        <v>64</v>
      </c>
      <c r="F6869" s="19" t="str">
        <f>IFERROR(__xludf.DUMMYFUNCTION("""COMPUTED_VALUE"""),"BLUE")</f>
        <v>BLUE</v>
      </c>
      <c r="G6869" s="20" t="str">
        <f>IFERROR(__xludf.DUMMYFUNCTION("""COMPUTED_VALUE"""),"Uncle Sams Cider (11/12/2021) (Blue)")</f>
        <v>Uncle Sams Cider (11/12/2021) (Blue)</v>
      </c>
      <c r="H6869" s="19"/>
    </row>
    <row r="6870">
      <c r="A6870" s="9"/>
      <c r="B6870" s="15"/>
      <c r="C6870" s="9">
        <f>IFERROR(__xludf.DUMMYFUNCTION("""COMPUTED_VALUE"""),44533.0968814699)</f>
        <v>44533.09688</v>
      </c>
      <c r="D6870" s="15">
        <f>IFERROR(__xludf.DUMMYFUNCTION("""COMPUTED_VALUE"""),1.026)</f>
        <v>1.026</v>
      </c>
      <c r="E6870" s="16">
        <f>IFERROR(__xludf.DUMMYFUNCTION("""COMPUTED_VALUE"""),64.0)</f>
        <v>64</v>
      </c>
      <c r="F6870" s="19" t="str">
        <f>IFERROR(__xludf.DUMMYFUNCTION("""COMPUTED_VALUE"""),"BLUE")</f>
        <v>BLUE</v>
      </c>
      <c r="G6870" s="20" t="str">
        <f>IFERROR(__xludf.DUMMYFUNCTION("""COMPUTED_VALUE"""),"Uncle Sams Cider (11/12/2021) (Blue)")</f>
        <v>Uncle Sams Cider (11/12/2021) (Blue)</v>
      </c>
      <c r="H6870" s="19"/>
    </row>
    <row r="6871">
      <c r="A6871" s="9"/>
      <c r="B6871" s="15"/>
      <c r="C6871" s="9">
        <f>IFERROR(__xludf.DUMMYFUNCTION("""COMPUTED_VALUE"""),44533.0864599884)</f>
        <v>44533.08646</v>
      </c>
      <c r="D6871" s="15">
        <f>IFERROR(__xludf.DUMMYFUNCTION("""COMPUTED_VALUE"""),1.026)</f>
        <v>1.026</v>
      </c>
      <c r="E6871" s="16">
        <f>IFERROR(__xludf.DUMMYFUNCTION("""COMPUTED_VALUE"""),64.0)</f>
        <v>64</v>
      </c>
      <c r="F6871" s="19" t="str">
        <f>IFERROR(__xludf.DUMMYFUNCTION("""COMPUTED_VALUE"""),"BLUE")</f>
        <v>BLUE</v>
      </c>
      <c r="G6871" s="20" t="str">
        <f>IFERROR(__xludf.DUMMYFUNCTION("""COMPUTED_VALUE"""),"Uncle Sams Cider (11/12/2021) (Blue)")</f>
        <v>Uncle Sams Cider (11/12/2021) (Blue)</v>
      </c>
      <c r="H6871" s="19"/>
    </row>
    <row r="6872">
      <c r="A6872" s="9"/>
      <c r="B6872" s="15"/>
      <c r="C6872" s="9">
        <f>IFERROR(__xludf.DUMMYFUNCTION("""COMPUTED_VALUE"""),44533.0760380208)</f>
        <v>44533.07604</v>
      </c>
      <c r="D6872" s="15">
        <f>IFERROR(__xludf.DUMMYFUNCTION("""COMPUTED_VALUE"""),1.026)</f>
        <v>1.026</v>
      </c>
      <c r="E6872" s="16">
        <f>IFERROR(__xludf.DUMMYFUNCTION("""COMPUTED_VALUE"""),64.0)</f>
        <v>64</v>
      </c>
      <c r="F6872" s="19" t="str">
        <f>IFERROR(__xludf.DUMMYFUNCTION("""COMPUTED_VALUE"""),"BLUE")</f>
        <v>BLUE</v>
      </c>
      <c r="G6872" s="20" t="str">
        <f>IFERROR(__xludf.DUMMYFUNCTION("""COMPUTED_VALUE"""),"Uncle Sams Cider (11/12/2021) (Blue)")</f>
        <v>Uncle Sams Cider (11/12/2021) (Blue)</v>
      </c>
      <c r="H6872" s="19"/>
    </row>
    <row r="6873">
      <c r="A6873" s="9"/>
      <c r="B6873" s="15"/>
      <c r="C6873" s="9">
        <f>IFERROR(__xludf.DUMMYFUNCTION("""COMPUTED_VALUE"""),44533.0656173495)</f>
        <v>44533.06562</v>
      </c>
      <c r="D6873" s="15">
        <f>IFERROR(__xludf.DUMMYFUNCTION("""COMPUTED_VALUE"""),1.026)</f>
        <v>1.026</v>
      </c>
      <c r="E6873" s="16">
        <f>IFERROR(__xludf.DUMMYFUNCTION("""COMPUTED_VALUE"""),64.0)</f>
        <v>64</v>
      </c>
      <c r="F6873" s="19" t="str">
        <f>IFERROR(__xludf.DUMMYFUNCTION("""COMPUTED_VALUE"""),"BLUE")</f>
        <v>BLUE</v>
      </c>
      <c r="G6873" s="20" t="str">
        <f>IFERROR(__xludf.DUMMYFUNCTION("""COMPUTED_VALUE"""),"Uncle Sams Cider (11/12/2021) (Blue)")</f>
        <v>Uncle Sams Cider (11/12/2021) (Blue)</v>
      </c>
      <c r="H6873" s="19"/>
    </row>
    <row r="6874">
      <c r="A6874" s="9"/>
      <c r="B6874" s="15"/>
      <c r="C6874" s="9">
        <f>IFERROR(__xludf.DUMMYFUNCTION("""COMPUTED_VALUE"""),44533.0551861805)</f>
        <v>44533.05519</v>
      </c>
      <c r="D6874" s="15">
        <f>IFERROR(__xludf.DUMMYFUNCTION("""COMPUTED_VALUE"""),1.026)</f>
        <v>1.026</v>
      </c>
      <c r="E6874" s="16">
        <f>IFERROR(__xludf.DUMMYFUNCTION("""COMPUTED_VALUE"""),64.0)</f>
        <v>64</v>
      </c>
      <c r="F6874" s="19" t="str">
        <f>IFERROR(__xludf.DUMMYFUNCTION("""COMPUTED_VALUE"""),"BLUE")</f>
        <v>BLUE</v>
      </c>
      <c r="G6874" s="20" t="str">
        <f>IFERROR(__xludf.DUMMYFUNCTION("""COMPUTED_VALUE"""),"Uncle Sams Cider (11/12/2021) (Blue)")</f>
        <v>Uncle Sams Cider (11/12/2021) (Blue)</v>
      </c>
      <c r="H6874" s="19"/>
    </row>
    <row r="6875">
      <c r="A6875" s="9"/>
      <c r="B6875" s="15"/>
      <c r="C6875" s="9">
        <f>IFERROR(__xludf.DUMMYFUNCTION("""COMPUTED_VALUE"""),44533.0447655555)</f>
        <v>44533.04477</v>
      </c>
      <c r="D6875" s="15">
        <f>IFERROR(__xludf.DUMMYFUNCTION("""COMPUTED_VALUE"""),1.026)</f>
        <v>1.026</v>
      </c>
      <c r="E6875" s="16">
        <f>IFERROR(__xludf.DUMMYFUNCTION("""COMPUTED_VALUE"""),64.0)</f>
        <v>64</v>
      </c>
      <c r="F6875" s="19" t="str">
        <f>IFERROR(__xludf.DUMMYFUNCTION("""COMPUTED_VALUE"""),"BLUE")</f>
        <v>BLUE</v>
      </c>
      <c r="G6875" s="20" t="str">
        <f>IFERROR(__xludf.DUMMYFUNCTION("""COMPUTED_VALUE"""),"Uncle Sams Cider (11/12/2021) (Blue)")</f>
        <v>Uncle Sams Cider (11/12/2021) (Blue)</v>
      </c>
      <c r="H6875" s="19"/>
    </row>
    <row r="6876">
      <c r="A6876" s="9"/>
      <c r="B6876" s="15"/>
      <c r="C6876" s="9">
        <f>IFERROR(__xludf.DUMMYFUNCTION("""COMPUTED_VALUE"""),44533.0343444907)</f>
        <v>44533.03434</v>
      </c>
      <c r="D6876" s="15">
        <f>IFERROR(__xludf.DUMMYFUNCTION("""COMPUTED_VALUE"""),1.026)</f>
        <v>1.026</v>
      </c>
      <c r="E6876" s="16">
        <f>IFERROR(__xludf.DUMMYFUNCTION("""COMPUTED_VALUE"""),64.0)</f>
        <v>64</v>
      </c>
      <c r="F6876" s="19" t="str">
        <f>IFERROR(__xludf.DUMMYFUNCTION("""COMPUTED_VALUE"""),"BLUE")</f>
        <v>BLUE</v>
      </c>
      <c r="G6876" s="20" t="str">
        <f>IFERROR(__xludf.DUMMYFUNCTION("""COMPUTED_VALUE"""),"Uncle Sams Cider (11/12/2021) (Blue)")</f>
        <v>Uncle Sams Cider (11/12/2021) (Blue)</v>
      </c>
      <c r="H6876" s="19"/>
    </row>
    <row r="6877">
      <c r="A6877" s="9"/>
      <c r="B6877" s="15"/>
      <c r="C6877" s="9">
        <f>IFERROR(__xludf.DUMMYFUNCTION("""COMPUTED_VALUE"""),44533.0239234837)</f>
        <v>44533.02392</v>
      </c>
      <c r="D6877" s="15">
        <f>IFERROR(__xludf.DUMMYFUNCTION("""COMPUTED_VALUE"""),1.026)</f>
        <v>1.026</v>
      </c>
      <c r="E6877" s="16">
        <f>IFERROR(__xludf.DUMMYFUNCTION("""COMPUTED_VALUE"""),64.0)</f>
        <v>64</v>
      </c>
      <c r="F6877" s="19" t="str">
        <f>IFERROR(__xludf.DUMMYFUNCTION("""COMPUTED_VALUE"""),"BLUE")</f>
        <v>BLUE</v>
      </c>
      <c r="G6877" s="20" t="str">
        <f>IFERROR(__xludf.DUMMYFUNCTION("""COMPUTED_VALUE"""),"Uncle Sams Cider (11/12/2021) (Blue)")</f>
        <v>Uncle Sams Cider (11/12/2021) (Blue)</v>
      </c>
      <c r="H6877" s="19"/>
    </row>
    <row r="6878">
      <c r="A6878" s="9"/>
      <c r="B6878" s="15"/>
      <c r="C6878" s="9">
        <f>IFERROR(__xludf.DUMMYFUNCTION("""COMPUTED_VALUE"""),44533.0135013078)</f>
        <v>44533.0135</v>
      </c>
      <c r="D6878" s="15">
        <f>IFERROR(__xludf.DUMMYFUNCTION("""COMPUTED_VALUE"""),1.026)</f>
        <v>1.026</v>
      </c>
      <c r="E6878" s="16">
        <f>IFERROR(__xludf.DUMMYFUNCTION("""COMPUTED_VALUE"""),64.0)</f>
        <v>64</v>
      </c>
      <c r="F6878" s="19" t="str">
        <f>IFERROR(__xludf.DUMMYFUNCTION("""COMPUTED_VALUE"""),"BLUE")</f>
        <v>BLUE</v>
      </c>
      <c r="G6878" s="20" t="str">
        <f>IFERROR(__xludf.DUMMYFUNCTION("""COMPUTED_VALUE"""),"Uncle Sams Cider (11/12/2021) (Blue)")</f>
        <v>Uncle Sams Cider (11/12/2021) (Blue)</v>
      </c>
      <c r="H6878" s="19"/>
    </row>
    <row r="6879">
      <c r="A6879" s="9"/>
      <c r="B6879" s="15"/>
      <c r="C6879" s="9">
        <f>IFERROR(__xludf.DUMMYFUNCTION("""COMPUTED_VALUE"""),44533.0030661226)</f>
        <v>44533.00307</v>
      </c>
      <c r="D6879" s="15">
        <f>IFERROR(__xludf.DUMMYFUNCTION("""COMPUTED_VALUE"""),1.026)</f>
        <v>1.026</v>
      </c>
      <c r="E6879" s="16">
        <f>IFERROR(__xludf.DUMMYFUNCTION("""COMPUTED_VALUE"""),64.0)</f>
        <v>64</v>
      </c>
      <c r="F6879" s="19" t="str">
        <f>IFERROR(__xludf.DUMMYFUNCTION("""COMPUTED_VALUE"""),"BLUE")</f>
        <v>BLUE</v>
      </c>
      <c r="G6879" s="20" t="str">
        <f>IFERROR(__xludf.DUMMYFUNCTION("""COMPUTED_VALUE"""),"Uncle Sams Cider (11/12/2021) (Blue)")</f>
        <v>Uncle Sams Cider (11/12/2021) (Blue)</v>
      </c>
      <c r="H6879" s="19"/>
    </row>
    <row r="6880">
      <c r="A6880" s="9"/>
      <c r="B6880" s="15"/>
      <c r="C6880" s="9">
        <f>IFERROR(__xludf.DUMMYFUNCTION("""COMPUTED_VALUE"""),44532.9926331713)</f>
        <v>44532.99263</v>
      </c>
      <c r="D6880" s="15">
        <f>IFERROR(__xludf.DUMMYFUNCTION("""COMPUTED_VALUE"""),1.026)</f>
        <v>1.026</v>
      </c>
      <c r="E6880" s="16">
        <f>IFERROR(__xludf.DUMMYFUNCTION("""COMPUTED_VALUE"""),64.0)</f>
        <v>64</v>
      </c>
      <c r="F6880" s="19" t="str">
        <f>IFERROR(__xludf.DUMMYFUNCTION("""COMPUTED_VALUE"""),"BLUE")</f>
        <v>BLUE</v>
      </c>
      <c r="G6880" s="20" t="str">
        <f>IFERROR(__xludf.DUMMYFUNCTION("""COMPUTED_VALUE"""),"Uncle Sams Cider (11/12/2021) (Blue)")</f>
        <v>Uncle Sams Cider (11/12/2021) (Blue)</v>
      </c>
      <c r="H6880" s="19"/>
    </row>
    <row r="6881">
      <c r="A6881" s="9"/>
      <c r="B6881" s="15"/>
      <c r="C6881" s="9">
        <f>IFERROR(__xludf.DUMMYFUNCTION("""COMPUTED_VALUE"""),44532.9822117361)</f>
        <v>44532.98221</v>
      </c>
      <c r="D6881" s="15">
        <f>IFERROR(__xludf.DUMMYFUNCTION("""COMPUTED_VALUE"""),1.026)</f>
        <v>1.026</v>
      </c>
      <c r="E6881" s="16">
        <f>IFERROR(__xludf.DUMMYFUNCTION("""COMPUTED_VALUE"""),64.0)</f>
        <v>64</v>
      </c>
      <c r="F6881" s="19" t="str">
        <f>IFERROR(__xludf.DUMMYFUNCTION("""COMPUTED_VALUE"""),"BLUE")</f>
        <v>BLUE</v>
      </c>
      <c r="G6881" s="20" t="str">
        <f>IFERROR(__xludf.DUMMYFUNCTION("""COMPUTED_VALUE"""),"Uncle Sams Cider (11/12/2021) (Blue)")</f>
        <v>Uncle Sams Cider (11/12/2021) (Blue)</v>
      </c>
      <c r="H6881" s="19"/>
    </row>
    <row r="6882">
      <c r="A6882" s="9"/>
      <c r="B6882" s="15"/>
      <c r="C6882" s="9">
        <f>IFERROR(__xludf.DUMMYFUNCTION("""COMPUTED_VALUE"""),44532.9717784606)</f>
        <v>44532.97178</v>
      </c>
      <c r="D6882" s="15">
        <f>IFERROR(__xludf.DUMMYFUNCTION("""COMPUTED_VALUE"""),1.026)</f>
        <v>1.026</v>
      </c>
      <c r="E6882" s="16">
        <f>IFERROR(__xludf.DUMMYFUNCTION("""COMPUTED_VALUE"""),64.0)</f>
        <v>64</v>
      </c>
      <c r="F6882" s="19" t="str">
        <f>IFERROR(__xludf.DUMMYFUNCTION("""COMPUTED_VALUE"""),"BLUE")</f>
        <v>BLUE</v>
      </c>
      <c r="G6882" s="20" t="str">
        <f>IFERROR(__xludf.DUMMYFUNCTION("""COMPUTED_VALUE"""),"Uncle Sams Cider (11/12/2021) (Blue)")</f>
        <v>Uncle Sams Cider (11/12/2021) (Blue)</v>
      </c>
      <c r="H6882" s="19"/>
    </row>
    <row r="6883">
      <c r="A6883" s="9"/>
      <c r="B6883" s="15"/>
      <c r="C6883" s="9">
        <f>IFERROR(__xludf.DUMMYFUNCTION("""COMPUTED_VALUE"""),44532.9613567476)</f>
        <v>44532.96136</v>
      </c>
      <c r="D6883" s="15">
        <f>IFERROR(__xludf.DUMMYFUNCTION("""COMPUTED_VALUE"""),1.026)</f>
        <v>1.026</v>
      </c>
      <c r="E6883" s="16">
        <f>IFERROR(__xludf.DUMMYFUNCTION("""COMPUTED_VALUE"""),64.0)</f>
        <v>64</v>
      </c>
      <c r="F6883" s="19" t="str">
        <f>IFERROR(__xludf.DUMMYFUNCTION("""COMPUTED_VALUE"""),"BLUE")</f>
        <v>BLUE</v>
      </c>
      <c r="G6883" s="20" t="str">
        <f>IFERROR(__xludf.DUMMYFUNCTION("""COMPUTED_VALUE"""),"Uncle Sams Cider (11/12/2021) (Blue)")</f>
        <v>Uncle Sams Cider (11/12/2021) (Blue)</v>
      </c>
      <c r="H6883" s="19"/>
    </row>
    <row r="6884">
      <c r="A6884" s="9"/>
      <c r="B6884" s="15"/>
      <c r="C6884" s="9">
        <f>IFERROR(__xludf.DUMMYFUNCTION("""COMPUTED_VALUE"""),44532.9509372222)</f>
        <v>44532.95094</v>
      </c>
      <c r="D6884" s="15">
        <f>IFERROR(__xludf.DUMMYFUNCTION("""COMPUTED_VALUE"""),1.026)</f>
        <v>1.026</v>
      </c>
      <c r="E6884" s="16">
        <f>IFERROR(__xludf.DUMMYFUNCTION("""COMPUTED_VALUE"""),64.0)</f>
        <v>64</v>
      </c>
      <c r="F6884" s="19" t="str">
        <f>IFERROR(__xludf.DUMMYFUNCTION("""COMPUTED_VALUE"""),"BLUE")</f>
        <v>BLUE</v>
      </c>
      <c r="G6884" s="20" t="str">
        <f>IFERROR(__xludf.DUMMYFUNCTION("""COMPUTED_VALUE"""),"Uncle Sams Cider (11/12/2021) (Blue)")</f>
        <v>Uncle Sams Cider (11/12/2021) (Blue)</v>
      </c>
      <c r="H6884" s="19"/>
    </row>
    <row r="6885">
      <c r="A6885" s="9"/>
      <c r="B6885" s="15"/>
      <c r="C6885" s="9">
        <f>IFERROR(__xludf.DUMMYFUNCTION("""COMPUTED_VALUE"""),44532.9405171296)</f>
        <v>44532.94052</v>
      </c>
      <c r="D6885" s="15">
        <f>IFERROR(__xludf.DUMMYFUNCTION("""COMPUTED_VALUE"""),1.026)</f>
        <v>1.026</v>
      </c>
      <c r="E6885" s="16">
        <f>IFERROR(__xludf.DUMMYFUNCTION("""COMPUTED_VALUE"""),64.0)</f>
        <v>64</v>
      </c>
      <c r="F6885" s="19" t="str">
        <f>IFERROR(__xludf.DUMMYFUNCTION("""COMPUTED_VALUE"""),"BLUE")</f>
        <v>BLUE</v>
      </c>
      <c r="G6885" s="20" t="str">
        <f>IFERROR(__xludf.DUMMYFUNCTION("""COMPUTED_VALUE"""),"Uncle Sams Cider (11/12/2021) (Blue)")</f>
        <v>Uncle Sams Cider (11/12/2021) (Blue)</v>
      </c>
      <c r="H6885" s="19"/>
    </row>
    <row r="6886">
      <c r="A6886" s="9"/>
      <c r="B6886" s="15"/>
      <c r="C6886" s="9">
        <f>IFERROR(__xludf.DUMMYFUNCTION("""COMPUTED_VALUE"""),44532.930095706)</f>
        <v>44532.9301</v>
      </c>
      <c r="D6886" s="15">
        <f>IFERROR(__xludf.DUMMYFUNCTION("""COMPUTED_VALUE"""),1.026)</f>
        <v>1.026</v>
      </c>
      <c r="E6886" s="16">
        <f>IFERROR(__xludf.DUMMYFUNCTION("""COMPUTED_VALUE"""),64.0)</f>
        <v>64</v>
      </c>
      <c r="F6886" s="19" t="str">
        <f>IFERROR(__xludf.DUMMYFUNCTION("""COMPUTED_VALUE"""),"BLUE")</f>
        <v>BLUE</v>
      </c>
      <c r="G6886" s="20" t="str">
        <f>IFERROR(__xludf.DUMMYFUNCTION("""COMPUTED_VALUE"""),"Uncle Sams Cider (11/12/2021) (Blue)")</f>
        <v>Uncle Sams Cider (11/12/2021) (Blue)</v>
      </c>
      <c r="H6886" s="19"/>
    </row>
    <row r="6887">
      <c r="A6887" s="9"/>
      <c r="B6887" s="15"/>
      <c r="C6887" s="9">
        <f>IFERROR(__xludf.DUMMYFUNCTION("""COMPUTED_VALUE"""),44532.9196750115)</f>
        <v>44532.91968</v>
      </c>
      <c r="D6887" s="15">
        <f>IFERROR(__xludf.DUMMYFUNCTION("""COMPUTED_VALUE"""),1.026)</f>
        <v>1.026</v>
      </c>
      <c r="E6887" s="16">
        <f>IFERROR(__xludf.DUMMYFUNCTION("""COMPUTED_VALUE"""),64.0)</f>
        <v>64</v>
      </c>
      <c r="F6887" s="19" t="str">
        <f>IFERROR(__xludf.DUMMYFUNCTION("""COMPUTED_VALUE"""),"BLUE")</f>
        <v>BLUE</v>
      </c>
      <c r="G6887" s="20" t="str">
        <f>IFERROR(__xludf.DUMMYFUNCTION("""COMPUTED_VALUE"""),"Uncle Sams Cider (11/12/2021) (Blue)")</f>
        <v>Uncle Sams Cider (11/12/2021) (Blue)</v>
      </c>
      <c r="H6887" s="19"/>
    </row>
    <row r="6888">
      <c r="A6888" s="9"/>
      <c r="B6888" s="15"/>
      <c r="C6888" s="9">
        <f>IFERROR(__xludf.DUMMYFUNCTION("""COMPUTED_VALUE"""),44532.9092429745)</f>
        <v>44532.90924</v>
      </c>
      <c r="D6888" s="15">
        <f>IFERROR(__xludf.DUMMYFUNCTION("""COMPUTED_VALUE"""),1.026)</f>
        <v>1.026</v>
      </c>
      <c r="E6888" s="16">
        <f>IFERROR(__xludf.DUMMYFUNCTION("""COMPUTED_VALUE"""),64.0)</f>
        <v>64</v>
      </c>
      <c r="F6888" s="19" t="str">
        <f>IFERROR(__xludf.DUMMYFUNCTION("""COMPUTED_VALUE"""),"BLUE")</f>
        <v>BLUE</v>
      </c>
      <c r="G6888" s="20" t="str">
        <f>IFERROR(__xludf.DUMMYFUNCTION("""COMPUTED_VALUE"""),"Uncle Sams Cider (11/12/2021) (Blue)")</f>
        <v>Uncle Sams Cider (11/12/2021) (Blue)</v>
      </c>
      <c r="H6888" s="19"/>
    </row>
    <row r="6889">
      <c r="A6889" s="9"/>
      <c r="B6889" s="15"/>
      <c r="C6889" s="9">
        <f>IFERROR(__xludf.DUMMYFUNCTION("""COMPUTED_VALUE"""),44532.8988198148)</f>
        <v>44532.89882</v>
      </c>
      <c r="D6889" s="15">
        <f>IFERROR(__xludf.DUMMYFUNCTION("""COMPUTED_VALUE"""),1.026)</f>
        <v>1.026</v>
      </c>
      <c r="E6889" s="16">
        <f>IFERROR(__xludf.DUMMYFUNCTION("""COMPUTED_VALUE"""),64.0)</f>
        <v>64</v>
      </c>
      <c r="F6889" s="19" t="str">
        <f>IFERROR(__xludf.DUMMYFUNCTION("""COMPUTED_VALUE"""),"BLUE")</f>
        <v>BLUE</v>
      </c>
      <c r="G6889" s="20" t="str">
        <f>IFERROR(__xludf.DUMMYFUNCTION("""COMPUTED_VALUE"""),"Uncle Sams Cider (11/12/2021) (Blue)")</f>
        <v>Uncle Sams Cider (11/12/2021) (Blue)</v>
      </c>
      <c r="H6889" s="19"/>
    </row>
    <row r="6890">
      <c r="A6890" s="9"/>
      <c r="B6890" s="15"/>
      <c r="C6890" s="9">
        <f>IFERROR(__xludf.DUMMYFUNCTION("""COMPUTED_VALUE"""),44532.8883985532)</f>
        <v>44532.8884</v>
      </c>
      <c r="D6890" s="15">
        <f>IFERROR(__xludf.DUMMYFUNCTION("""COMPUTED_VALUE"""),1.026)</f>
        <v>1.026</v>
      </c>
      <c r="E6890" s="16">
        <f>IFERROR(__xludf.DUMMYFUNCTION("""COMPUTED_VALUE"""),64.0)</f>
        <v>64</v>
      </c>
      <c r="F6890" s="19" t="str">
        <f>IFERROR(__xludf.DUMMYFUNCTION("""COMPUTED_VALUE"""),"BLUE")</f>
        <v>BLUE</v>
      </c>
      <c r="G6890" s="20" t="str">
        <f>IFERROR(__xludf.DUMMYFUNCTION("""COMPUTED_VALUE"""),"Uncle Sams Cider (11/12/2021) (Blue)")</f>
        <v>Uncle Sams Cider (11/12/2021) (Blue)</v>
      </c>
      <c r="H6890" s="19"/>
    </row>
    <row r="6891">
      <c r="A6891" s="9"/>
      <c r="B6891" s="15"/>
      <c r="C6891" s="9">
        <f>IFERROR(__xludf.DUMMYFUNCTION("""COMPUTED_VALUE"""),44532.8779761689)</f>
        <v>44532.87798</v>
      </c>
      <c r="D6891" s="15">
        <f>IFERROR(__xludf.DUMMYFUNCTION("""COMPUTED_VALUE"""),1.026)</f>
        <v>1.026</v>
      </c>
      <c r="E6891" s="16">
        <f>IFERROR(__xludf.DUMMYFUNCTION("""COMPUTED_VALUE"""),64.0)</f>
        <v>64</v>
      </c>
      <c r="F6891" s="19" t="str">
        <f>IFERROR(__xludf.DUMMYFUNCTION("""COMPUTED_VALUE"""),"BLUE")</f>
        <v>BLUE</v>
      </c>
      <c r="G6891" s="20" t="str">
        <f>IFERROR(__xludf.DUMMYFUNCTION("""COMPUTED_VALUE"""),"Uncle Sams Cider (11/12/2021) (Blue)")</f>
        <v>Uncle Sams Cider (11/12/2021) (Blue)</v>
      </c>
      <c r="H6891" s="19"/>
    </row>
    <row r="6892">
      <c r="A6892" s="9"/>
      <c r="B6892" s="15"/>
      <c r="C6892" s="9">
        <f>IFERROR(__xludf.DUMMYFUNCTION("""COMPUTED_VALUE"""),44532.867531956)</f>
        <v>44532.86753</v>
      </c>
      <c r="D6892" s="15">
        <f>IFERROR(__xludf.DUMMYFUNCTION("""COMPUTED_VALUE"""),1.026)</f>
        <v>1.026</v>
      </c>
      <c r="E6892" s="16">
        <f>IFERROR(__xludf.DUMMYFUNCTION("""COMPUTED_VALUE"""),64.0)</f>
        <v>64</v>
      </c>
      <c r="F6892" s="19" t="str">
        <f>IFERROR(__xludf.DUMMYFUNCTION("""COMPUTED_VALUE"""),"BLUE")</f>
        <v>BLUE</v>
      </c>
      <c r="G6892" s="20" t="str">
        <f>IFERROR(__xludf.DUMMYFUNCTION("""COMPUTED_VALUE"""),"Uncle Sams Cider (11/12/2021) (Blue)")</f>
        <v>Uncle Sams Cider (11/12/2021) (Blue)</v>
      </c>
      <c r="H6892" s="19"/>
    </row>
    <row r="6893">
      <c r="A6893" s="9"/>
      <c r="B6893" s="15"/>
      <c r="C6893" s="9">
        <f>IFERROR(__xludf.DUMMYFUNCTION("""COMPUTED_VALUE"""),44532.8571102083)</f>
        <v>44532.85711</v>
      </c>
      <c r="D6893" s="15">
        <f>IFERROR(__xludf.DUMMYFUNCTION("""COMPUTED_VALUE"""),1.026)</f>
        <v>1.026</v>
      </c>
      <c r="E6893" s="16">
        <f>IFERROR(__xludf.DUMMYFUNCTION("""COMPUTED_VALUE"""),64.0)</f>
        <v>64</v>
      </c>
      <c r="F6893" s="19" t="str">
        <f>IFERROR(__xludf.DUMMYFUNCTION("""COMPUTED_VALUE"""),"BLUE")</f>
        <v>BLUE</v>
      </c>
      <c r="G6893" s="20" t="str">
        <f>IFERROR(__xludf.DUMMYFUNCTION("""COMPUTED_VALUE"""),"Uncle Sams Cider (11/12/2021) (Blue)")</f>
        <v>Uncle Sams Cider (11/12/2021) (Blue)</v>
      </c>
      <c r="H6893" s="19"/>
    </row>
    <row r="6894">
      <c r="A6894" s="9"/>
      <c r="B6894" s="15"/>
      <c r="C6894" s="9">
        <f>IFERROR(__xludf.DUMMYFUNCTION("""COMPUTED_VALUE"""),44532.8466895949)</f>
        <v>44532.84669</v>
      </c>
      <c r="D6894" s="15">
        <f>IFERROR(__xludf.DUMMYFUNCTION("""COMPUTED_VALUE"""),1.026)</f>
        <v>1.026</v>
      </c>
      <c r="E6894" s="16">
        <f>IFERROR(__xludf.DUMMYFUNCTION("""COMPUTED_VALUE"""),64.0)</f>
        <v>64</v>
      </c>
      <c r="F6894" s="19" t="str">
        <f>IFERROR(__xludf.DUMMYFUNCTION("""COMPUTED_VALUE"""),"BLUE")</f>
        <v>BLUE</v>
      </c>
      <c r="G6894" s="20" t="str">
        <f>IFERROR(__xludf.DUMMYFUNCTION("""COMPUTED_VALUE"""),"Uncle Sams Cider (11/12/2021) (Blue)")</f>
        <v>Uncle Sams Cider (11/12/2021) (Blue)</v>
      </c>
      <c r="H6894" s="19"/>
    </row>
    <row r="6895">
      <c r="A6895" s="9"/>
      <c r="B6895" s="15"/>
      <c r="C6895" s="9">
        <f>IFERROR(__xludf.DUMMYFUNCTION("""COMPUTED_VALUE"""),44532.8362680439)</f>
        <v>44532.83627</v>
      </c>
      <c r="D6895" s="15">
        <f>IFERROR(__xludf.DUMMYFUNCTION("""COMPUTED_VALUE"""),1.026)</f>
        <v>1.026</v>
      </c>
      <c r="E6895" s="16">
        <f>IFERROR(__xludf.DUMMYFUNCTION("""COMPUTED_VALUE"""),64.0)</f>
        <v>64</v>
      </c>
      <c r="F6895" s="19" t="str">
        <f>IFERROR(__xludf.DUMMYFUNCTION("""COMPUTED_VALUE"""),"BLUE")</f>
        <v>BLUE</v>
      </c>
      <c r="G6895" s="20" t="str">
        <f>IFERROR(__xludf.DUMMYFUNCTION("""COMPUTED_VALUE"""),"Uncle Sams Cider (11/12/2021) (Blue)")</f>
        <v>Uncle Sams Cider (11/12/2021) (Blue)</v>
      </c>
      <c r="H6895" s="19"/>
    </row>
    <row r="6896">
      <c r="A6896" s="9"/>
      <c r="B6896" s="15"/>
      <c r="C6896" s="9">
        <f>IFERROR(__xludf.DUMMYFUNCTION("""COMPUTED_VALUE"""),44532.8258486458)</f>
        <v>44532.82585</v>
      </c>
      <c r="D6896" s="15">
        <f>IFERROR(__xludf.DUMMYFUNCTION("""COMPUTED_VALUE"""),1.026)</f>
        <v>1.026</v>
      </c>
      <c r="E6896" s="16">
        <f>IFERROR(__xludf.DUMMYFUNCTION("""COMPUTED_VALUE"""),64.0)</f>
        <v>64</v>
      </c>
      <c r="F6896" s="19" t="str">
        <f>IFERROR(__xludf.DUMMYFUNCTION("""COMPUTED_VALUE"""),"BLUE")</f>
        <v>BLUE</v>
      </c>
      <c r="G6896" s="20" t="str">
        <f>IFERROR(__xludf.DUMMYFUNCTION("""COMPUTED_VALUE"""),"Uncle Sams Cider (11/12/2021) (Blue)")</f>
        <v>Uncle Sams Cider (11/12/2021) (Blue)</v>
      </c>
      <c r="H6896" s="19"/>
    </row>
    <row r="6897">
      <c r="A6897" s="9"/>
      <c r="B6897" s="15"/>
      <c r="C6897" s="9">
        <f>IFERROR(__xludf.DUMMYFUNCTION("""COMPUTED_VALUE"""),44532.815426493)</f>
        <v>44532.81543</v>
      </c>
      <c r="D6897" s="15">
        <f>IFERROR(__xludf.DUMMYFUNCTION("""COMPUTED_VALUE"""),1.026)</f>
        <v>1.026</v>
      </c>
      <c r="E6897" s="16">
        <f>IFERROR(__xludf.DUMMYFUNCTION("""COMPUTED_VALUE"""),64.0)</f>
        <v>64</v>
      </c>
      <c r="F6897" s="19" t="str">
        <f>IFERROR(__xludf.DUMMYFUNCTION("""COMPUTED_VALUE"""),"BLUE")</f>
        <v>BLUE</v>
      </c>
      <c r="G6897" s="20" t="str">
        <f>IFERROR(__xludf.DUMMYFUNCTION("""COMPUTED_VALUE"""),"Uncle Sams Cider (11/12/2021) (Blue)")</f>
        <v>Uncle Sams Cider (11/12/2021) (Blue)</v>
      </c>
      <c r="H6897" s="19"/>
    </row>
    <row r="6898">
      <c r="A6898" s="9"/>
      <c r="B6898" s="15"/>
      <c r="C6898" s="9">
        <f>IFERROR(__xludf.DUMMYFUNCTION("""COMPUTED_VALUE"""),44532.804993206)</f>
        <v>44532.80499</v>
      </c>
      <c r="D6898" s="15">
        <f>IFERROR(__xludf.DUMMYFUNCTION("""COMPUTED_VALUE"""),1.026)</f>
        <v>1.026</v>
      </c>
      <c r="E6898" s="16">
        <f>IFERROR(__xludf.DUMMYFUNCTION("""COMPUTED_VALUE"""),64.0)</f>
        <v>64</v>
      </c>
      <c r="F6898" s="19" t="str">
        <f>IFERROR(__xludf.DUMMYFUNCTION("""COMPUTED_VALUE"""),"BLUE")</f>
        <v>BLUE</v>
      </c>
      <c r="G6898" s="20" t="str">
        <f>IFERROR(__xludf.DUMMYFUNCTION("""COMPUTED_VALUE"""),"Uncle Sams Cider (11/12/2021) (Blue)")</f>
        <v>Uncle Sams Cider (11/12/2021) (Blue)</v>
      </c>
      <c r="H6898" s="19"/>
    </row>
    <row r="6899">
      <c r="A6899" s="9"/>
      <c r="B6899" s="15"/>
      <c r="C6899" s="9">
        <f>IFERROR(__xludf.DUMMYFUNCTION("""COMPUTED_VALUE"""),44532.7945720601)</f>
        <v>44532.79457</v>
      </c>
      <c r="D6899" s="15">
        <f>IFERROR(__xludf.DUMMYFUNCTION("""COMPUTED_VALUE"""),1.026)</f>
        <v>1.026</v>
      </c>
      <c r="E6899" s="16">
        <f>IFERROR(__xludf.DUMMYFUNCTION("""COMPUTED_VALUE"""),64.0)</f>
        <v>64</v>
      </c>
      <c r="F6899" s="19" t="str">
        <f>IFERROR(__xludf.DUMMYFUNCTION("""COMPUTED_VALUE"""),"BLUE")</f>
        <v>BLUE</v>
      </c>
      <c r="G6899" s="20" t="str">
        <f>IFERROR(__xludf.DUMMYFUNCTION("""COMPUTED_VALUE"""),"Uncle Sams Cider (11/12/2021) (Blue)")</f>
        <v>Uncle Sams Cider (11/12/2021) (Blue)</v>
      </c>
      <c r="H6899" s="19"/>
    </row>
    <row r="6900">
      <c r="A6900" s="9"/>
      <c r="B6900" s="15"/>
      <c r="C6900" s="9">
        <f>IFERROR(__xludf.DUMMYFUNCTION("""COMPUTED_VALUE"""),44532.7841516782)</f>
        <v>44532.78415</v>
      </c>
      <c r="D6900" s="15">
        <f>IFERROR(__xludf.DUMMYFUNCTION("""COMPUTED_VALUE"""),1.026)</f>
        <v>1.026</v>
      </c>
      <c r="E6900" s="16">
        <f>IFERROR(__xludf.DUMMYFUNCTION("""COMPUTED_VALUE"""),64.0)</f>
        <v>64</v>
      </c>
      <c r="F6900" s="19" t="str">
        <f>IFERROR(__xludf.DUMMYFUNCTION("""COMPUTED_VALUE"""),"BLUE")</f>
        <v>BLUE</v>
      </c>
      <c r="G6900" s="20" t="str">
        <f>IFERROR(__xludf.DUMMYFUNCTION("""COMPUTED_VALUE"""),"Uncle Sams Cider (11/12/2021) (Blue)")</f>
        <v>Uncle Sams Cider (11/12/2021) (Blue)</v>
      </c>
      <c r="H6900" s="19"/>
    </row>
    <row r="6901">
      <c r="A6901" s="9"/>
      <c r="B6901" s="15"/>
      <c r="C6901" s="9">
        <f>IFERROR(__xludf.DUMMYFUNCTION("""COMPUTED_VALUE"""),44532.7737304861)</f>
        <v>44532.77373</v>
      </c>
      <c r="D6901" s="15">
        <f>IFERROR(__xludf.DUMMYFUNCTION("""COMPUTED_VALUE"""),1.026)</f>
        <v>1.026</v>
      </c>
      <c r="E6901" s="16">
        <f>IFERROR(__xludf.DUMMYFUNCTION("""COMPUTED_VALUE"""),64.0)</f>
        <v>64</v>
      </c>
      <c r="F6901" s="19" t="str">
        <f>IFERROR(__xludf.DUMMYFUNCTION("""COMPUTED_VALUE"""),"BLUE")</f>
        <v>BLUE</v>
      </c>
      <c r="G6901" s="20" t="str">
        <f>IFERROR(__xludf.DUMMYFUNCTION("""COMPUTED_VALUE"""),"Uncle Sams Cider (11/12/2021) (Blue)")</f>
        <v>Uncle Sams Cider (11/12/2021) (Blue)</v>
      </c>
      <c r="H6901" s="19"/>
    </row>
    <row r="6902">
      <c r="A6902" s="9"/>
      <c r="B6902" s="15"/>
      <c r="C6902" s="9">
        <f>IFERROR(__xludf.DUMMYFUNCTION("""COMPUTED_VALUE"""),44532.7633097685)</f>
        <v>44532.76331</v>
      </c>
      <c r="D6902" s="15">
        <f>IFERROR(__xludf.DUMMYFUNCTION("""COMPUTED_VALUE"""),1.026)</f>
        <v>1.026</v>
      </c>
      <c r="E6902" s="16">
        <f>IFERROR(__xludf.DUMMYFUNCTION("""COMPUTED_VALUE"""),64.0)</f>
        <v>64</v>
      </c>
      <c r="F6902" s="19" t="str">
        <f>IFERROR(__xludf.DUMMYFUNCTION("""COMPUTED_VALUE"""),"BLUE")</f>
        <v>BLUE</v>
      </c>
      <c r="G6902" s="20" t="str">
        <f>IFERROR(__xludf.DUMMYFUNCTION("""COMPUTED_VALUE"""),"Uncle Sams Cider (11/12/2021) (Blue)")</f>
        <v>Uncle Sams Cider (11/12/2021) (Blue)</v>
      </c>
      <c r="H6902" s="19"/>
    </row>
    <row r="6903">
      <c r="A6903" s="9"/>
      <c r="B6903" s="15"/>
      <c r="C6903" s="9">
        <f>IFERROR(__xludf.DUMMYFUNCTION("""COMPUTED_VALUE"""),44532.7528887152)</f>
        <v>44532.75289</v>
      </c>
      <c r="D6903" s="15">
        <f>IFERROR(__xludf.DUMMYFUNCTION("""COMPUTED_VALUE"""),1.026)</f>
        <v>1.026</v>
      </c>
      <c r="E6903" s="16">
        <f>IFERROR(__xludf.DUMMYFUNCTION("""COMPUTED_VALUE"""),64.0)</f>
        <v>64</v>
      </c>
      <c r="F6903" s="19" t="str">
        <f>IFERROR(__xludf.DUMMYFUNCTION("""COMPUTED_VALUE"""),"BLUE")</f>
        <v>BLUE</v>
      </c>
      <c r="G6903" s="20" t="str">
        <f>IFERROR(__xludf.DUMMYFUNCTION("""COMPUTED_VALUE"""),"Uncle Sams Cider (11/12/2021) (Blue)")</f>
        <v>Uncle Sams Cider (11/12/2021) (Blue)</v>
      </c>
      <c r="H6903" s="19"/>
    </row>
    <row r="6904">
      <c r="A6904" s="9"/>
      <c r="B6904" s="15"/>
      <c r="C6904" s="9">
        <f>IFERROR(__xludf.DUMMYFUNCTION("""COMPUTED_VALUE"""),44532.7424671643)</f>
        <v>44532.74247</v>
      </c>
      <c r="D6904" s="15">
        <f>IFERROR(__xludf.DUMMYFUNCTION("""COMPUTED_VALUE"""),1.026)</f>
        <v>1.026</v>
      </c>
      <c r="E6904" s="16">
        <f>IFERROR(__xludf.DUMMYFUNCTION("""COMPUTED_VALUE"""),64.0)</f>
        <v>64</v>
      </c>
      <c r="F6904" s="19" t="str">
        <f>IFERROR(__xludf.DUMMYFUNCTION("""COMPUTED_VALUE"""),"BLUE")</f>
        <v>BLUE</v>
      </c>
      <c r="G6904" s="20" t="str">
        <f>IFERROR(__xludf.DUMMYFUNCTION("""COMPUTED_VALUE"""),"Uncle Sams Cider (11/12/2021) (Blue)")</f>
        <v>Uncle Sams Cider (11/12/2021) (Blue)</v>
      </c>
      <c r="H6904" s="19"/>
    </row>
    <row r="6905">
      <c r="A6905" s="9"/>
      <c r="B6905" s="15"/>
      <c r="C6905" s="9">
        <f>IFERROR(__xludf.DUMMYFUNCTION("""COMPUTED_VALUE"""),44532.7320485416)</f>
        <v>44532.73205</v>
      </c>
      <c r="D6905" s="15">
        <f>IFERROR(__xludf.DUMMYFUNCTION("""COMPUTED_VALUE"""),1.026)</f>
        <v>1.026</v>
      </c>
      <c r="E6905" s="16">
        <f>IFERROR(__xludf.DUMMYFUNCTION("""COMPUTED_VALUE"""),64.0)</f>
        <v>64</v>
      </c>
      <c r="F6905" s="19" t="str">
        <f>IFERROR(__xludf.DUMMYFUNCTION("""COMPUTED_VALUE"""),"BLUE")</f>
        <v>BLUE</v>
      </c>
      <c r="G6905" s="20" t="str">
        <f>IFERROR(__xludf.DUMMYFUNCTION("""COMPUTED_VALUE"""),"Uncle Sams Cider (11/12/2021) (Blue)")</f>
        <v>Uncle Sams Cider (11/12/2021) (Blue)</v>
      </c>
      <c r="H6905" s="19"/>
    </row>
    <row r="6906">
      <c r="A6906" s="9"/>
      <c r="B6906" s="15"/>
      <c r="C6906" s="9">
        <f>IFERROR(__xludf.DUMMYFUNCTION("""COMPUTED_VALUE"""),44532.7216276157)</f>
        <v>44532.72163</v>
      </c>
      <c r="D6906" s="15">
        <f>IFERROR(__xludf.DUMMYFUNCTION("""COMPUTED_VALUE"""),1.026)</f>
        <v>1.026</v>
      </c>
      <c r="E6906" s="16">
        <f>IFERROR(__xludf.DUMMYFUNCTION("""COMPUTED_VALUE"""),64.0)</f>
        <v>64</v>
      </c>
      <c r="F6906" s="19" t="str">
        <f>IFERROR(__xludf.DUMMYFUNCTION("""COMPUTED_VALUE"""),"BLUE")</f>
        <v>BLUE</v>
      </c>
      <c r="G6906" s="20" t="str">
        <f>IFERROR(__xludf.DUMMYFUNCTION("""COMPUTED_VALUE"""),"Uncle Sams Cider (11/12/2021) (Blue)")</f>
        <v>Uncle Sams Cider (11/12/2021) (Blue)</v>
      </c>
      <c r="H6906" s="19"/>
    </row>
    <row r="6907">
      <c r="A6907" s="9"/>
      <c r="B6907" s="15"/>
      <c r="C6907" s="9">
        <f>IFERROR(__xludf.DUMMYFUNCTION("""COMPUTED_VALUE"""),44532.711205625)</f>
        <v>44532.71121</v>
      </c>
      <c r="D6907" s="15">
        <f>IFERROR(__xludf.DUMMYFUNCTION("""COMPUTED_VALUE"""),1.026)</f>
        <v>1.026</v>
      </c>
      <c r="E6907" s="16">
        <f>IFERROR(__xludf.DUMMYFUNCTION("""COMPUTED_VALUE"""),64.0)</f>
        <v>64</v>
      </c>
      <c r="F6907" s="19" t="str">
        <f>IFERROR(__xludf.DUMMYFUNCTION("""COMPUTED_VALUE"""),"BLUE")</f>
        <v>BLUE</v>
      </c>
      <c r="G6907" s="20" t="str">
        <f>IFERROR(__xludf.DUMMYFUNCTION("""COMPUTED_VALUE"""),"Uncle Sams Cider (11/12/2021) (Blue)")</f>
        <v>Uncle Sams Cider (11/12/2021) (Blue)</v>
      </c>
      <c r="H6907" s="19"/>
    </row>
    <row r="6908">
      <c r="A6908" s="9"/>
      <c r="B6908" s="15"/>
      <c r="C6908" s="9">
        <f>IFERROR(__xludf.DUMMYFUNCTION("""COMPUTED_VALUE"""),44532.7007856365)</f>
        <v>44532.70079</v>
      </c>
      <c r="D6908" s="15">
        <f>IFERROR(__xludf.DUMMYFUNCTION("""COMPUTED_VALUE"""),1.026)</f>
        <v>1.026</v>
      </c>
      <c r="E6908" s="16">
        <f>IFERROR(__xludf.DUMMYFUNCTION("""COMPUTED_VALUE"""),64.0)</f>
        <v>64</v>
      </c>
      <c r="F6908" s="19" t="str">
        <f>IFERROR(__xludf.DUMMYFUNCTION("""COMPUTED_VALUE"""),"BLUE")</f>
        <v>BLUE</v>
      </c>
      <c r="G6908" s="20" t="str">
        <f>IFERROR(__xludf.DUMMYFUNCTION("""COMPUTED_VALUE"""),"Uncle Sams Cider (11/12/2021) (Blue)")</f>
        <v>Uncle Sams Cider (11/12/2021) (Blue)</v>
      </c>
      <c r="H6908" s="19"/>
    </row>
    <row r="6909">
      <c r="A6909" s="9"/>
      <c r="B6909" s="15"/>
      <c r="C6909" s="9">
        <f>IFERROR(__xludf.DUMMYFUNCTION("""COMPUTED_VALUE"""),44532.6903632175)</f>
        <v>44532.69036</v>
      </c>
      <c r="D6909" s="15">
        <f>IFERROR(__xludf.DUMMYFUNCTION("""COMPUTED_VALUE"""),1.026)</f>
        <v>1.026</v>
      </c>
      <c r="E6909" s="16">
        <f>IFERROR(__xludf.DUMMYFUNCTION("""COMPUTED_VALUE"""),64.0)</f>
        <v>64</v>
      </c>
      <c r="F6909" s="19" t="str">
        <f>IFERROR(__xludf.DUMMYFUNCTION("""COMPUTED_VALUE"""),"BLUE")</f>
        <v>BLUE</v>
      </c>
      <c r="G6909" s="20" t="str">
        <f>IFERROR(__xludf.DUMMYFUNCTION("""COMPUTED_VALUE"""),"Uncle Sams Cider (11/12/2021) (Blue)")</f>
        <v>Uncle Sams Cider (11/12/2021) (Blue)</v>
      </c>
      <c r="H6909" s="19"/>
    </row>
    <row r="6910">
      <c r="A6910" s="9"/>
      <c r="B6910" s="15"/>
      <c r="C6910" s="9">
        <f>IFERROR(__xludf.DUMMYFUNCTION("""COMPUTED_VALUE"""),44532.6799420601)</f>
        <v>44532.67994</v>
      </c>
      <c r="D6910" s="15">
        <f>IFERROR(__xludf.DUMMYFUNCTION("""COMPUTED_VALUE"""),1.026)</f>
        <v>1.026</v>
      </c>
      <c r="E6910" s="16">
        <f>IFERROR(__xludf.DUMMYFUNCTION("""COMPUTED_VALUE"""),64.0)</f>
        <v>64</v>
      </c>
      <c r="F6910" s="19" t="str">
        <f>IFERROR(__xludf.DUMMYFUNCTION("""COMPUTED_VALUE"""),"BLUE")</f>
        <v>BLUE</v>
      </c>
      <c r="G6910" s="20" t="str">
        <f>IFERROR(__xludf.DUMMYFUNCTION("""COMPUTED_VALUE"""),"Uncle Sams Cider (11/12/2021) (Blue)")</f>
        <v>Uncle Sams Cider (11/12/2021) (Blue)</v>
      </c>
      <c r="H6910" s="19"/>
    </row>
    <row r="6911">
      <c r="A6911" s="9"/>
      <c r="B6911" s="15"/>
      <c r="C6911" s="9">
        <f>IFERROR(__xludf.DUMMYFUNCTION("""COMPUTED_VALUE"""),44532.6695208912)</f>
        <v>44532.66952</v>
      </c>
      <c r="D6911" s="15">
        <f>IFERROR(__xludf.DUMMYFUNCTION("""COMPUTED_VALUE"""),1.026)</f>
        <v>1.026</v>
      </c>
      <c r="E6911" s="16">
        <f>IFERROR(__xludf.DUMMYFUNCTION("""COMPUTED_VALUE"""),64.0)</f>
        <v>64</v>
      </c>
      <c r="F6911" s="19" t="str">
        <f>IFERROR(__xludf.DUMMYFUNCTION("""COMPUTED_VALUE"""),"BLUE")</f>
        <v>BLUE</v>
      </c>
      <c r="G6911" s="20" t="str">
        <f>IFERROR(__xludf.DUMMYFUNCTION("""COMPUTED_VALUE"""),"Uncle Sams Cider (11/12/2021) (Blue)")</f>
        <v>Uncle Sams Cider (11/12/2021) (Blue)</v>
      </c>
      <c r="H6911" s="19"/>
    </row>
    <row r="6912">
      <c r="A6912" s="9"/>
      <c r="B6912" s="15"/>
      <c r="C6912" s="9">
        <f>IFERROR(__xludf.DUMMYFUNCTION("""COMPUTED_VALUE"""),44532.6591007986)</f>
        <v>44532.6591</v>
      </c>
      <c r="D6912" s="15">
        <f>IFERROR(__xludf.DUMMYFUNCTION("""COMPUTED_VALUE"""),1.026)</f>
        <v>1.026</v>
      </c>
      <c r="E6912" s="16">
        <f>IFERROR(__xludf.DUMMYFUNCTION("""COMPUTED_VALUE"""),64.0)</f>
        <v>64</v>
      </c>
      <c r="F6912" s="19" t="str">
        <f>IFERROR(__xludf.DUMMYFUNCTION("""COMPUTED_VALUE"""),"BLUE")</f>
        <v>BLUE</v>
      </c>
      <c r="G6912" s="20" t="str">
        <f>IFERROR(__xludf.DUMMYFUNCTION("""COMPUTED_VALUE"""),"Uncle Sams Cider (11/12/2021) (Blue)")</f>
        <v>Uncle Sams Cider (11/12/2021) (Blue)</v>
      </c>
      <c r="H6912" s="19"/>
    </row>
    <row r="6913">
      <c r="A6913" s="9"/>
      <c r="B6913" s="15"/>
      <c r="C6913" s="9">
        <f>IFERROR(__xludf.DUMMYFUNCTION("""COMPUTED_VALUE"""),44532.6486802083)</f>
        <v>44532.64868</v>
      </c>
      <c r="D6913" s="15">
        <f>IFERROR(__xludf.DUMMYFUNCTION("""COMPUTED_VALUE"""),1.026)</f>
        <v>1.026</v>
      </c>
      <c r="E6913" s="16">
        <f>IFERROR(__xludf.DUMMYFUNCTION("""COMPUTED_VALUE"""),64.0)</f>
        <v>64</v>
      </c>
      <c r="F6913" s="19" t="str">
        <f>IFERROR(__xludf.DUMMYFUNCTION("""COMPUTED_VALUE"""),"BLUE")</f>
        <v>BLUE</v>
      </c>
      <c r="G6913" s="20" t="str">
        <f>IFERROR(__xludf.DUMMYFUNCTION("""COMPUTED_VALUE"""),"Uncle Sams Cider (11/12/2021) (Blue)")</f>
        <v>Uncle Sams Cider (11/12/2021) (Blue)</v>
      </c>
      <c r="H6913" s="19"/>
    </row>
    <row r="6914">
      <c r="A6914" s="9"/>
      <c r="B6914" s="15"/>
      <c r="C6914" s="9">
        <f>IFERROR(__xludf.DUMMYFUNCTION("""COMPUTED_VALUE"""),44532.6382588425)</f>
        <v>44532.63826</v>
      </c>
      <c r="D6914" s="15">
        <f>IFERROR(__xludf.DUMMYFUNCTION("""COMPUTED_VALUE"""),1.026)</f>
        <v>1.026</v>
      </c>
      <c r="E6914" s="16">
        <f>IFERROR(__xludf.DUMMYFUNCTION("""COMPUTED_VALUE"""),64.0)</f>
        <v>64</v>
      </c>
      <c r="F6914" s="19" t="str">
        <f>IFERROR(__xludf.DUMMYFUNCTION("""COMPUTED_VALUE"""),"BLUE")</f>
        <v>BLUE</v>
      </c>
      <c r="G6914" s="20" t="str">
        <f>IFERROR(__xludf.DUMMYFUNCTION("""COMPUTED_VALUE"""),"Uncle Sams Cider (11/12/2021) (Blue)")</f>
        <v>Uncle Sams Cider (11/12/2021) (Blue)</v>
      </c>
      <c r="H6914" s="19"/>
    </row>
    <row r="6915">
      <c r="A6915" s="9"/>
      <c r="B6915" s="15"/>
      <c r="C6915" s="9">
        <f>IFERROR(__xludf.DUMMYFUNCTION("""COMPUTED_VALUE"""),44532.6174177546)</f>
        <v>44532.61742</v>
      </c>
      <c r="D6915" s="15">
        <f>IFERROR(__xludf.DUMMYFUNCTION("""COMPUTED_VALUE"""),1.026)</f>
        <v>1.026</v>
      </c>
      <c r="E6915" s="16">
        <f>IFERROR(__xludf.DUMMYFUNCTION("""COMPUTED_VALUE"""),64.0)</f>
        <v>64</v>
      </c>
      <c r="F6915" s="19" t="str">
        <f>IFERROR(__xludf.DUMMYFUNCTION("""COMPUTED_VALUE"""),"BLUE")</f>
        <v>BLUE</v>
      </c>
      <c r="G6915" s="20" t="str">
        <f>IFERROR(__xludf.DUMMYFUNCTION("""COMPUTED_VALUE"""),"Uncle Sams Cider (11/12/2021) (Blue)")</f>
        <v>Uncle Sams Cider (11/12/2021) (Blue)</v>
      </c>
      <c r="H6915" s="19"/>
    </row>
    <row r="6916">
      <c r="A6916" s="9"/>
      <c r="B6916" s="15"/>
      <c r="C6916" s="9">
        <f>IFERROR(__xludf.DUMMYFUNCTION("""COMPUTED_VALUE"""),44532.6069965625)</f>
        <v>44532.607</v>
      </c>
      <c r="D6916" s="15">
        <f>IFERROR(__xludf.DUMMYFUNCTION("""COMPUTED_VALUE"""),1.026)</f>
        <v>1.026</v>
      </c>
      <c r="E6916" s="16">
        <f>IFERROR(__xludf.DUMMYFUNCTION("""COMPUTED_VALUE"""),64.0)</f>
        <v>64</v>
      </c>
      <c r="F6916" s="19" t="str">
        <f>IFERROR(__xludf.DUMMYFUNCTION("""COMPUTED_VALUE"""),"BLUE")</f>
        <v>BLUE</v>
      </c>
      <c r="G6916" s="20" t="str">
        <f>IFERROR(__xludf.DUMMYFUNCTION("""COMPUTED_VALUE"""),"Uncle Sams Cider (11/12/2021) (Blue)")</f>
        <v>Uncle Sams Cider (11/12/2021) (Blue)</v>
      </c>
      <c r="H6916" s="19"/>
    </row>
    <row r="6917">
      <c r="A6917" s="9"/>
      <c r="B6917" s="15"/>
      <c r="C6917" s="9">
        <f>IFERROR(__xludf.DUMMYFUNCTION("""COMPUTED_VALUE"""),44532.5965751157)</f>
        <v>44532.59658</v>
      </c>
      <c r="D6917" s="15">
        <f>IFERROR(__xludf.DUMMYFUNCTION("""COMPUTED_VALUE"""),1.027)</f>
        <v>1.027</v>
      </c>
      <c r="E6917" s="16">
        <f>IFERROR(__xludf.DUMMYFUNCTION("""COMPUTED_VALUE"""),64.0)</f>
        <v>64</v>
      </c>
      <c r="F6917" s="19" t="str">
        <f>IFERROR(__xludf.DUMMYFUNCTION("""COMPUTED_VALUE"""),"BLUE")</f>
        <v>BLUE</v>
      </c>
      <c r="G6917" s="20" t="str">
        <f>IFERROR(__xludf.DUMMYFUNCTION("""COMPUTED_VALUE"""),"Uncle Sams Cider (11/12/2021) (Blue)")</f>
        <v>Uncle Sams Cider (11/12/2021) (Blue)</v>
      </c>
      <c r="H6917" s="19"/>
    </row>
    <row r="6918">
      <c r="A6918" s="9"/>
      <c r="B6918" s="15"/>
      <c r="C6918" s="9">
        <f>IFERROR(__xludf.DUMMYFUNCTION("""COMPUTED_VALUE"""),44532.5861548726)</f>
        <v>44532.58615</v>
      </c>
      <c r="D6918" s="15">
        <f>IFERROR(__xludf.DUMMYFUNCTION("""COMPUTED_VALUE"""),1.026)</f>
        <v>1.026</v>
      </c>
      <c r="E6918" s="16">
        <f>IFERROR(__xludf.DUMMYFUNCTION("""COMPUTED_VALUE"""),64.0)</f>
        <v>64</v>
      </c>
      <c r="F6918" s="19" t="str">
        <f>IFERROR(__xludf.DUMMYFUNCTION("""COMPUTED_VALUE"""),"BLUE")</f>
        <v>BLUE</v>
      </c>
      <c r="G6918" s="20" t="str">
        <f>IFERROR(__xludf.DUMMYFUNCTION("""COMPUTED_VALUE"""),"Uncle Sams Cider (11/12/2021) (Blue)")</f>
        <v>Uncle Sams Cider (11/12/2021) (Blue)</v>
      </c>
      <c r="H6918" s="19"/>
    </row>
    <row r="6919">
      <c r="A6919" s="9"/>
      <c r="B6919" s="15"/>
      <c r="C6919" s="9">
        <f>IFERROR(__xludf.DUMMYFUNCTION("""COMPUTED_VALUE"""),44532.5757339351)</f>
        <v>44532.57573</v>
      </c>
      <c r="D6919" s="15">
        <f>IFERROR(__xludf.DUMMYFUNCTION("""COMPUTED_VALUE"""),1.026)</f>
        <v>1.026</v>
      </c>
      <c r="E6919" s="16">
        <f>IFERROR(__xludf.DUMMYFUNCTION("""COMPUTED_VALUE"""),64.0)</f>
        <v>64</v>
      </c>
      <c r="F6919" s="19" t="str">
        <f>IFERROR(__xludf.DUMMYFUNCTION("""COMPUTED_VALUE"""),"BLUE")</f>
        <v>BLUE</v>
      </c>
      <c r="G6919" s="20" t="str">
        <f>IFERROR(__xludf.DUMMYFUNCTION("""COMPUTED_VALUE"""),"Uncle Sams Cider (11/12/2021) (Blue)")</f>
        <v>Uncle Sams Cider (11/12/2021) (Blue)</v>
      </c>
      <c r="H6919" s="19"/>
    </row>
    <row r="6920">
      <c r="A6920" s="9"/>
      <c r="B6920" s="15"/>
      <c r="C6920" s="9">
        <f>IFERROR(__xludf.DUMMYFUNCTION("""COMPUTED_VALUE"""),44532.5653113194)</f>
        <v>44532.56531</v>
      </c>
      <c r="D6920" s="15">
        <f>IFERROR(__xludf.DUMMYFUNCTION("""COMPUTED_VALUE"""),1.026)</f>
        <v>1.026</v>
      </c>
      <c r="E6920" s="16">
        <f>IFERROR(__xludf.DUMMYFUNCTION("""COMPUTED_VALUE"""),64.0)</f>
        <v>64</v>
      </c>
      <c r="F6920" s="19" t="str">
        <f>IFERROR(__xludf.DUMMYFUNCTION("""COMPUTED_VALUE"""),"BLUE")</f>
        <v>BLUE</v>
      </c>
      <c r="G6920" s="20" t="str">
        <f>IFERROR(__xludf.DUMMYFUNCTION("""COMPUTED_VALUE"""),"Uncle Sams Cider (11/12/2021) (Blue)")</f>
        <v>Uncle Sams Cider (11/12/2021) (Blue)</v>
      </c>
      <c r="H6920" s="19"/>
    </row>
    <row r="6921">
      <c r="A6921" s="9"/>
      <c r="B6921" s="15"/>
      <c r="C6921" s="9">
        <f>IFERROR(__xludf.DUMMYFUNCTION("""COMPUTED_VALUE"""),44532.5548893287)</f>
        <v>44532.55489</v>
      </c>
      <c r="D6921" s="15">
        <f>IFERROR(__xludf.DUMMYFUNCTION("""COMPUTED_VALUE"""),1.026)</f>
        <v>1.026</v>
      </c>
      <c r="E6921" s="16">
        <f>IFERROR(__xludf.DUMMYFUNCTION("""COMPUTED_VALUE"""),64.0)</f>
        <v>64</v>
      </c>
      <c r="F6921" s="19" t="str">
        <f>IFERROR(__xludf.DUMMYFUNCTION("""COMPUTED_VALUE"""),"BLUE")</f>
        <v>BLUE</v>
      </c>
      <c r="G6921" s="20" t="str">
        <f>IFERROR(__xludf.DUMMYFUNCTION("""COMPUTED_VALUE"""),"Uncle Sams Cider (11/12/2021) (Blue)")</f>
        <v>Uncle Sams Cider (11/12/2021) (Blue)</v>
      </c>
      <c r="H6921" s="19"/>
    </row>
    <row r="6922">
      <c r="A6922" s="9"/>
      <c r="B6922" s="15"/>
      <c r="C6922" s="9">
        <f>IFERROR(__xludf.DUMMYFUNCTION("""COMPUTED_VALUE"""),44532.5444698958)</f>
        <v>44532.54447</v>
      </c>
      <c r="D6922" s="15">
        <f>IFERROR(__xludf.DUMMYFUNCTION("""COMPUTED_VALUE"""),1.027)</f>
        <v>1.027</v>
      </c>
      <c r="E6922" s="16">
        <f>IFERROR(__xludf.DUMMYFUNCTION("""COMPUTED_VALUE"""),64.0)</f>
        <v>64</v>
      </c>
      <c r="F6922" s="19" t="str">
        <f>IFERROR(__xludf.DUMMYFUNCTION("""COMPUTED_VALUE"""),"BLUE")</f>
        <v>BLUE</v>
      </c>
      <c r="G6922" s="20" t="str">
        <f>IFERROR(__xludf.DUMMYFUNCTION("""COMPUTED_VALUE"""),"Uncle Sams Cider (11/12/2021) (Blue)")</f>
        <v>Uncle Sams Cider (11/12/2021) (Blue)</v>
      </c>
      <c r="H6922" s="19"/>
    </row>
    <row r="6923">
      <c r="A6923" s="9"/>
      <c r="B6923" s="15"/>
      <c r="C6923" s="9">
        <f>IFERROR(__xludf.DUMMYFUNCTION("""COMPUTED_VALUE"""),44532.5340368634)</f>
        <v>44532.53404</v>
      </c>
      <c r="D6923" s="15">
        <f>IFERROR(__xludf.DUMMYFUNCTION("""COMPUTED_VALUE"""),1.027)</f>
        <v>1.027</v>
      </c>
      <c r="E6923" s="16">
        <f>IFERROR(__xludf.DUMMYFUNCTION("""COMPUTED_VALUE"""),64.0)</f>
        <v>64</v>
      </c>
      <c r="F6923" s="19" t="str">
        <f>IFERROR(__xludf.DUMMYFUNCTION("""COMPUTED_VALUE"""),"BLUE")</f>
        <v>BLUE</v>
      </c>
      <c r="G6923" s="20" t="str">
        <f>IFERROR(__xludf.DUMMYFUNCTION("""COMPUTED_VALUE"""),"Uncle Sams Cider (11/12/2021) (Blue)")</f>
        <v>Uncle Sams Cider (11/12/2021) (Blue)</v>
      </c>
      <c r="H6923" s="19"/>
    </row>
    <row r="6924">
      <c r="A6924" s="9"/>
      <c r="B6924" s="15"/>
      <c r="C6924" s="9">
        <f>IFERROR(__xludf.DUMMYFUNCTION("""COMPUTED_VALUE"""),44532.5236171064)</f>
        <v>44532.52362</v>
      </c>
      <c r="D6924" s="15">
        <f>IFERROR(__xludf.DUMMYFUNCTION("""COMPUTED_VALUE"""),1.026)</f>
        <v>1.026</v>
      </c>
      <c r="E6924" s="16">
        <f>IFERROR(__xludf.DUMMYFUNCTION("""COMPUTED_VALUE"""),64.0)</f>
        <v>64</v>
      </c>
      <c r="F6924" s="19" t="str">
        <f>IFERROR(__xludf.DUMMYFUNCTION("""COMPUTED_VALUE"""),"BLUE")</f>
        <v>BLUE</v>
      </c>
      <c r="G6924" s="20" t="str">
        <f>IFERROR(__xludf.DUMMYFUNCTION("""COMPUTED_VALUE"""),"Uncle Sams Cider (11/12/2021) (Blue)")</f>
        <v>Uncle Sams Cider (11/12/2021) (Blue)</v>
      </c>
      <c r="H6924" s="19"/>
    </row>
    <row r="6925">
      <c r="A6925" s="9"/>
      <c r="B6925" s="15"/>
      <c r="C6925" s="9">
        <f>IFERROR(__xludf.DUMMYFUNCTION("""COMPUTED_VALUE"""),44532.5131950925)</f>
        <v>44532.5132</v>
      </c>
      <c r="D6925" s="15">
        <f>IFERROR(__xludf.DUMMYFUNCTION("""COMPUTED_VALUE"""),1.026)</f>
        <v>1.026</v>
      </c>
      <c r="E6925" s="16">
        <f>IFERROR(__xludf.DUMMYFUNCTION("""COMPUTED_VALUE"""),64.0)</f>
        <v>64</v>
      </c>
      <c r="F6925" s="19" t="str">
        <f>IFERROR(__xludf.DUMMYFUNCTION("""COMPUTED_VALUE"""),"BLUE")</f>
        <v>BLUE</v>
      </c>
      <c r="G6925" s="20" t="str">
        <f>IFERROR(__xludf.DUMMYFUNCTION("""COMPUTED_VALUE"""),"Uncle Sams Cider (11/12/2021) (Blue)")</f>
        <v>Uncle Sams Cider (11/12/2021) (Blue)</v>
      </c>
      <c r="H6925" s="19"/>
    </row>
    <row r="6926">
      <c r="A6926" s="9"/>
      <c r="B6926" s="15"/>
      <c r="C6926" s="9">
        <f>IFERROR(__xludf.DUMMYFUNCTION("""COMPUTED_VALUE"""),44532.5027626967)</f>
        <v>44532.50276</v>
      </c>
      <c r="D6926" s="15">
        <f>IFERROR(__xludf.DUMMYFUNCTION("""COMPUTED_VALUE"""),1.027)</f>
        <v>1.027</v>
      </c>
      <c r="E6926" s="16">
        <f>IFERROR(__xludf.DUMMYFUNCTION("""COMPUTED_VALUE"""),64.0)</f>
        <v>64</v>
      </c>
      <c r="F6926" s="19" t="str">
        <f>IFERROR(__xludf.DUMMYFUNCTION("""COMPUTED_VALUE"""),"BLUE")</f>
        <v>BLUE</v>
      </c>
      <c r="G6926" s="20" t="str">
        <f>IFERROR(__xludf.DUMMYFUNCTION("""COMPUTED_VALUE"""),"Uncle Sams Cider (11/12/2021) (Blue)")</f>
        <v>Uncle Sams Cider (11/12/2021) (Blue)</v>
      </c>
      <c r="H6926" s="19"/>
    </row>
    <row r="6927">
      <c r="A6927" s="9"/>
      <c r="B6927" s="15"/>
      <c r="C6927" s="9">
        <f>IFERROR(__xludf.DUMMYFUNCTION("""COMPUTED_VALUE"""),44532.4923429861)</f>
        <v>44532.49234</v>
      </c>
      <c r="D6927" s="15">
        <f>IFERROR(__xludf.DUMMYFUNCTION("""COMPUTED_VALUE"""),1.026)</f>
        <v>1.026</v>
      </c>
      <c r="E6927" s="16">
        <f>IFERROR(__xludf.DUMMYFUNCTION("""COMPUTED_VALUE"""),64.0)</f>
        <v>64</v>
      </c>
      <c r="F6927" s="19" t="str">
        <f>IFERROR(__xludf.DUMMYFUNCTION("""COMPUTED_VALUE"""),"BLUE")</f>
        <v>BLUE</v>
      </c>
      <c r="G6927" s="20" t="str">
        <f>IFERROR(__xludf.DUMMYFUNCTION("""COMPUTED_VALUE"""),"Uncle Sams Cider (11/12/2021) (Blue)")</f>
        <v>Uncle Sams Cider (11/12/2021) (Blue)</v>
      </c>
      <c r="H6927" s="19"/>
    </row>
    <row r="6928">
      <c r="A6928" s="9"/>
      <c r="B6928" s="15"/>
      <c r="C6928" s="9">
        <f>IFERROR(__xludf.DUMMYFUNCTION("""COMPUTED_VALUE"""),44532.4819230439)</f>
        <v>44532.48192</v>
      </c>
      <c r="D6928" s="15">
        <f>IFERROR(__xludf.DUMMYFUNCTION("""COMPUTED_VALUE"""),1.026)</f>
        <v>1.026</v>
      </c>
      <c r="E6928" s="16">
        <f>IFERROR(__xludf.DUMMYFUNCTION("""COMPUTED_VALUE"""),64.0)</f>
        <v>64</v>
      </c>
      <c r="F6928" s="19" t="str">
        <f>IFERROR(__xludf.DUMMYFUNCTION("""COMPUTED_VALUE"""),"BLUE")</f>
        <v>BLUE</v>
      </c>
      <c r="G6928" s="20" t="str">
        <f>IFERROR(__xludf.DUMMYFUNCTION("""COMPUTED_VALUE"""),"Uncle Sams Cider (11/12/2021) (Blue)")</f>
        <v>Uncle Sams Cider (11/12/2021) (Blue)</v>
      </c>
      <c r="H6928" s="19"/>
    </row>
    <row r="6929">
      <c r="A6929" s="9"/>
      <c r="B6929" s="15"/>
      <c r="C6929" s="9">
        <f>IFERROR(__xludf.DUMMYFUNCTION("""COMPUTED_VALUE"""),44532.4714916782)</f>
        <v>44532.47149</v>
      </c>
      <c r="D6929" s="15">
        <f>IFERROR(__xludf.DUMMYFUNCTION("""COMPUTED_VALUE"""),1.027)</f>
        <v>1.027</v>
      </c>
      <c r="E6929" s="16">
        <f>IFERROR(__xludf.DUMMYFUNCTION("""COMPUTED_VALUE"""),64.0)</f>
        <v>64</v>
      </c>
      <c r="F6929" s="19" t="str">
        <f>IFERROR(__xludf.DUMMYFUNCTION("""COMPUTED_VALUE"""),"BLUE")</f>
        <v>BLUE</v>
      </c>
      <c r="G6929" s="20" t="str">
        <f>IFERROR(__xludf.DUMMYFUNCTION("""COMPUTED_VALUE"""),"Uncle Sams Cider (11/12/2021) (Blue)")</f>
        <v>Uncle Sams Cider (11/12/2021) (Blue)</v>
      </c>
      <c r="H6929" s="19"/>
    </row>
    <row r="6930">
      <c r="A6930" s="9"/>
      <c r="B6930" s="15"/>
      <c r="C6930" s="9">
        <f>IFERROR(__xludf.DUMMYFUNCTION("""COMPUTED_VALUE"""),44532.4610716666)</f>
        <v>44532.46107</v>
      </c>
      <c r="D6930" s="15">
        <f>IFERROR(__xludf.DUMMYFUNCTION("""COMPUTED_VALUE"""),1.026)</f>
        <v>1.026</v>
      </c>
      <c r="E6930" s="16">
        <f>IFERROR(__xludf.DUMMYFUNCTION("""COMPUTED_VALUE"""),64.0)</f>
        <v>64</v>
      </c>
      <c r="F6930" s="19" t="str">
        <f>IFERROR(__xludf.DUMMYFUNCTION("""COMPUTED_VALUE"""),"BLUE")</f>
        <v>BLUE</v>
      </c>
      <c r="G6930" s="20" t="str">
        <f>IFERROR(__xludf.DUMMYFUNCTION("""COMPUTED_VALUE"""),"Uncle Sams Cider (11/12/2021) (Blue)")</f>
        <v>Uncle Sams Cider (11/12/2021) (Blue)</v>
      </c>
      <c r="H6930" s="19"/>
    </row>
    <row r="6931">
      <c r="A6931" s="9"/>
      <c r="B6931" s="15"/>
      <c r="C6931" s="9">
        <f>IFERROR(__xludf.DUMMYFUNCTION("""COMPUTED_VALUE"""),44532.4506508449)</f>
        <v>44532.45065</v>
      </c>
      <c r="D6931" s="15">
        <f>IFERROR(__xludf.DUMMYFUNCTION("""COMPUTED_VALUE"""),1.027)</f>
        <v>1.027</v>
      </c>
      <c r="E6931" s="16">
        <f>IFERROR(__xludf.DUMMYFUNCTION("""COMPUTED_VALUE"""),64.0)</f>
        <v>64</v>
      </c>
      <c r="F6931" s="19" t="str">
        <f>IFERROR(__xludf.DUMMYFUNCTION("""COMPUTED_VALUE"""),"BLUE")</f>
        <v>BLUE</v>
      </c>
      <c r="G6931" s="20" t="str">
        <f>IFERROR(__xludf.DUMMYFUNCTION("""COMPUTED_VALUE"""),"Uncle Sams Cider (11/12/2021) (Blue)")</f>
        <v>Uncle Sams Cider (11/12/2021) (Blue)</v>
      </c>
      <c r="H6931" s="19"/>
    </row>
    <row r="6932">
      <c r="A6932" s="9"/>
      <c r="B6932" s="15"/>
      <c r="C6932" s="9">
        <f>IFERROR(__xludf.DUMMYFUNCTION("""COMPUTED_VALUE"""),44532.4402312615)</f>
        <v>44532.44023</v>
      </c>
      <c r="D6932" s="15">
        <f>IFERROR(__xludf.DUMMYFUNCTION("""COMPUTED_VALUE"""),1.027)</f>
        <v>1.027</v>
      </c>
      <c r="E6932" s="16">
        <f>IFERROR(__xludf.DUMMYFUNCTION("""COMPUTED_VALUE"""),64.0)</f>
        <v>64</v>
      </c>
      <c r="F6932" s="19" t="str">
        <f>IFERROR(__xludf.DUMMYFUNCTION("""COMPUTED_VALUE"""),"BLUE")</f>
        <v>BLUE</v>
      </c>
      <c r="G6932" s="20" t="str">
        <f>IFERROR(__xludf.DUMMYFUNCTION("""COMPUTED_VALUE"""),"Uncle Sams Cider (11/12/2021) (Blue)")</f>
        <v>Uncle Sams Cider (11/12/2021) (Blue)</v>
      </c>
      <c r="H6932" s="19"/>
    </row>
    <row r="6933">
      <c r="A6933" s="9"/>
      <c r="B6933" s="15"/>
      <c r="C6933" s="9">
        <f>IFERROR(__xludf.DUMMYFUNCTION("""COMPUTED_VALUE"""),44532.4298100231)</f>
        <v>44532.42981</v>
      </c>
      <c r="D6933" s="15">
        <f>IFERROR(__xludf.DUMMYFUNCTION("""COMPUTED_VALUE"""),1.027)</f>
        <v>1.027</v>
      </c>
      <c r="E6933" s="16">
        <f>IFERROR(__xludf.DUMMYFUNCTION("""COMPUTED_VALUE"""),64.0)</f>
        <v>64</v>
      </c>
      <c r="F6933" s="19" t="str">
        <f>IFERROR(__xludf.DUMMYFUNCTION("""COMPUTED_VALUE"""),"BLUE")</f>
        <v>BLUE</v>
      </c>
      <c r="G6933" s="20" t="str">
        <f>IFERROR(__xludf.DUMMYFUNCTION("""COMPUTED_VALUE"""),"Uncle Sams Cider (11/12/2021) (Blue)")</f>
        <v>Uncle Sams Cider (11/12/2021) (Blue)</v>
      </c>
      <c r="H6933" s="19"/>
    </row>
    <row r="6934">
      <c r="A6934" s="9"/>
      <c r="B6934" s="15"/>
      <c r="C6934" s="9">
        <f>IFERROR(__xludf.DUMMYFUNCTION("""COMPUTED_VALUE"""),44532.4193785648)</f>
        <v>44532.41938</v>
      </c>
      <c r="D6934" s="15">
        <f>IFERROR(__xludf.DUMMYFUNCTION("""COMPUTED_VALUE"""),1.027)</f>
        <v>1.027</v>
      </c>
      <c r="E6934" s="16">
        <f>IFERROR(__xludf.DUMMYFUNCTION("""COMPUTED_VALUE"""),64.0)</f>
        <v>64</v>
      </c>
      <c r="F6934" s="19" t="str">
        <f>IFERROR(__xludf.DUMMYFUNCTION("""COMPUTED_VALUE"""),"BLUE")</f>
        <v>BLUE</v>
      </c>
      <c r="G6934" s="20" t="str">
        <f>IFERROR(__xludf.DUMMYFUNCTION("""COMPUTED_VALUE"""),"Uncle Sams Cider (11/12/2021) (Blue)")</f>
        <v>Uncle Sams Cider (11/12/2021) (Blue)</v>
      </c>
      <c r="H6934" s="19"/>
    </row>
    <row r="6935">
      <c r="A6935" s="9"/>
      <c r="B6935" s="15"/>
      <c r="C6935" s="9">
        <f>IFERROR(__xludf.DUMMYFUNCTION("""COMPUTED_VALUE"""),44532.4089453125)</f>
        <v>44532.40895</v>
      </c>
      <c r="D6935" s="15">
        <f>IFERROR(__xludf.DUMMYFUNCTION("""COMPUTED_VALUE"""),1.027)</f>
        <v>1.027</v>
      </c>
      <c r="E6935" s="16">
        <f>IFERROR(__xludf.DUMMYFUNCTION("""COMPUTED_VALUE"""),64.0)</f>
        <v>64</v>
      </c>
      <c r="F6935" s="19" t="str">
        <f>IFERROR(__xludf.DUMMYFUNCTION("""COMPUTED_VALUE"""),"BLUE")</f>
        <v>BLUE</v>
      </c>
      <c r="G6935" s="20" t="str">
        <f>IFERROR(__xludf.DUMMYFUNCTION("""COMPUTED_VALUE"""),"Uncle Sams Cider (11/12/2021) (Blue)")</f>
        <v>Uncle Sams Cider (11/12/2021) (Blue)</v>
      </c>
      <c r="H6935" s="19"/>
    </row>
    <row r="6936">
      <c r="A6936" s="9"/>
      <c r="B6936" s="15"/>
      <c r="C6936" s="9">
        <f>IFERROR(__xludf.DUMMYFUNCTION("""COMPUTED_VALUE"""),44532.3985257175)</f>
        <v>44532.39853</v>
      </c>
      <c r="D6936" s="15">
        <f>IFERROR(__xludf.DUMMYFUNCTION("""COMPUTED_VALUE"""),1.027)</f>
        <v>1.027</v>
      </c>
      <c r="E6936" s="16">
        <f>IFERROR(__xludf.DUMMYFUNCTION("""COMPUTED_VALUE"""),64.0)</f>
        <v>64</v>
      </c>
      <c r="F6936" s="19" t="str">
        <f>IFERROR(__xludf.DUMMYFUNCTION("""COMPUTED_VALUE"""),"BLUE")</f>
        <v>BLUE</v>
      </c>
      <c r="G6936" s="20" t="str">
        <f>IFERROR(__xludf.DUMMYFUNCTION("""COMPUTED_VALUE"""),"Uncle Sams Cider (11/12/2021) (Blue)")</f>
        <v>Uncle Sams Cider (11/12/2021) (Blue)</v>
      </c>
      <c r="H6936" s="19"/>
    </row>
    <row r="6937">
      <c r="A6937" s="9"/>
      <c r="B6937" s="15"/>
      <c r="C6937" s="9">
        <f>IFERROR(__xludf.DUMMYFUNCTION("""COMPUTED_VALUE"""),44532.3881048032)</f>
        <v>44532.3881</v>
      </c>
      <c r="D6937" s="15">
        <f>IFERROR(__xludf.DUMMYFUNCTION("""COMPUTED_VALUE"""),1.027)</f>
        <v>1.027</v>
      </c>
      <c r="E6937" s="16">
        <f>IFERROR(__xludf.DUMMYFUNCTION("""COMPUTED_VALUE"""),64.0)</f>
        <v>64</v>
      </c>
      <c r="F6937" s="19" t="str">
        <f>IFERROR(__xludf.DUMMYFUNCTION("""COMPUTED_VALUE"""),"BLUE")</f>
        <v>BLUE</v>
      </c>
      <c r="G6937" s="20" t="str">
        <f>IFERROR(__xludf.DUMMYFUNCTION("""COMPUTED_VALUE"""),"Uncle Sams Cider (11/12/2021) (Blue)")</f>
        <v>Uncle Sams Cider (11/12/2021) (Blue)</v>
      </c>
      <c r="H6937" s="19"/>
    </row>
    <row r="6938">
      <c r="A6938" s="9"/>
      <c r="B6938" s="15"/>
      <c r="C6938" s="9">
        <f>IFERROR(__xludf.DUMMYFUNCTION("""COMPUTED_VALUE"""),44532.3776842708)</f>
        <v>44532.37768</v>
      </c>
      <c r="D6938" s="15">
        <f>IFERROR(__xludf.DUMMYFUNCTION("""COMPUTED_VALUE"""),1.027)</f>
        <v>1.027</v>
      </c>
      <c r="E6938" s="16">
        <f>IFERROR(__xludf.DUMMYFUNCTION("""COMPUTED_VALUE"""),64.0)</f>
        <v>64</v>
      </c>
      <c r="F6938" s="19" t="str">
        <f>IFERROR(__xludf.DUMMYFUNCTION("""COMPUTED_VALUE"""),"BLUE")</f>
        <v>BLUE</v>
      </c>
      <c r="G6938" s="20" t="str">
        <f>IFERROR(__xludf.DUMMYFUNCTION("""COMPUTED_VALUE"""),"Uncle Sams Cider (11/12/2021) (Blue)")</f>
        <v>Uncle Sams Cider (11/12/2021) (Blue)</v>
      </c>
      <c r="H6938" s="19"/>
    </row>
    <row r="6939">
      <c r="A6939" s="9"/>
      <c r="B6939" s="15"/>
      <c r="C6939" s="9">
        <f>IFERROR(__xludf.DUMMYFUNCTION("""COMPUTED_VALUE"""),44532.3672493055)</f>
        <v>44532.36725</v>
      </c>
      <c r="D6939" s="15">
        <f>IFERROR(__xludf.DUMMYFUNCTION("""COMPUTED_VALUE"""),1.027)</f>
        <v>1.027</v>
      </c>
      <c r="E6939" s="16">
        <f>IFERROR(__xludf.DUMMYFUNCTION("""COMPUTED_VALUE"""),64.0)</f>
        <v>64</v>
      </c>
      <c r="F6939" s="19" t="str">
        <f>IFERROR(__xludf.DUMMYFUNCTION("""COMPUTED_VALUE"""),"BLUE")</f>
        <v>BLUE</v>
      </c>
      <c r="G6939" s="20" t="str">
        <f>IFERROR(__xludf.DUMMYFUNCTION("""COMPUTED_VALUE"""),"Uncle Sams Cider (11/12/2021) (Blue)")</f>
        <v>Uncle Sams Cider (11/12/2021) (Blue)</v>
      </c>
      <c r="H6939" s="19"/>
    </row>
    <row r="6940">
      <c r="A6940" s="9"/>
      <c r="B6940" s="15"/>
      <c r="C6940" s="9">
        <f>IFERROR(__xludf.DUMMYFUNCTION("""COMPUTED_VALUE"""),44532.3568284837)</f>
        <v>44532.35683</v>
      </c>
      <c r="D6940" s="15">
        <f>IFERROR(__xludf.DUMMYFUNCTION("""COMPUTED_VALUE"""),1.027)</f>
        <v>1.027</v>
      </c>
      <c r="E6940" s="16">
        <f>IFERROR(__xludf.DUMMYFUNCTION("""COMPUTED_VALUE"""),64.0)</f>
        <v>64</v>
      </c>
      <c r="F6940" s="19" t="str">
        <f>IFERROR(__xludf.DUMMYFUNCTION("""COMPUTED_VALUE"""),"BLUE")</f>
        <v>BLUE</v>
      </c>
      <c r="G6940" s="20" t="str">
        <f>IFERROR(__xludf.DUMMYFUNCTION("""COMPUTED_VALUE"""),"Uncle Sams Cider (11/12/2021) (Blue)")</f>
        <v>Uncle Sams Cider (11/12/2021) (Blue)</v>
      </c>
      <c r="H6940" s="19"/>
    </row>
    <row r="6941">
      <c r="A6941" s="9"/>
      <c r="B6941" s="15"/>
      <c r="C6941" s="9">
        <f>IFERROR(__xludf.DUMMYFUNCTION("""COMPUTED_VALUE"""),44532.3464067939)</f>
        <v>44532.34641</v>
      </c>
      <c r="D6941" s="15">
        <f>IFERROR(__xludf.DUMMYFUNCTION("""COMPUTED_VALUE"""),1.027)</f>
        <v>1.027</v>
      </c>
      <c r="E6941" s="16">
        <f>IFERROR(__xludf.DUMMYFUNCTION("""COMPUTED_VALUE"""),64.0)</f>
        <v>64</v>
      </c>
      <c r="F6941" s="19" t="str">
        <f>IFERROR(__xludf.DUMMYFUNCTION("""COMPUTED_VALUE"""),"BLUE")</f>
        <v>BLUE</v>
      </c>
      <c r="G6941" s="20" t="str">
        <f>IFERROR(__xludf.DUMMYFUNCTION("""COMPUTED_VALUE"""),"Uncle Sams Cider (11/12/2021) (Blue)")</f>
        <v>Uncle Sams Cider (11/12/2021) (Blue)</v>
      </c>
      <c r="H6941" s="19"/>
    </row>
    <row r="6942">
      <c r="A6942" s="9"/>
      <c r="B6942" s="15"/>
      <c r="C6942" s="9">
        <f>IFERROR(__xludf.DUMMYFUNCTION("""COMPUTED_VALUE"""),44532.3359856134)</f>
        <v>44532.33599</v>
      </c>
      <c r="D6942" s="15">
        <f>IFERROR(__xludf.DUMMYFUNCTION("""COMPUTED_VALUE"""),1.027)</f>
        <v>1.027</v>
      </c>
      <c r="E6942" s="16">
        <f>IFERROR(__xludf.DUMMYFUNCTION("""COMPUTED_VALUE"""),64.0)</f>
        <v>64</v>
      </c>
      <c r="F6942" s="19" t="str">
        <f>IFERROR(__xludf.DUMMYFUNCTION("""COMPUTED_VALUE"""),"BLUE")</f>
        <v>BLUE</v>
      </c>
      <c r="G6942" s="20" t="str">
        <f>IFERROR(__xludf.DUMMYFUNCTION("""COMPUTED_VALUE"""),"Uncle Sams Cider (11/12/2021) (Blue)")</f>
        <v>Uncle Sams Cider (11/12/2021) (Blue)</v>
      </c>
      <c r="H6942" s="19"/>
    </row>
    <row r="6943">
      <c r="A6943" s="9"/>
      <c r="B6943" s="15"/>
      <c r="C6943" s="9">
        <f>IFERROR(__xludf.DUMMYFUNCTION("""COMPUTED_VALUE"""),44532.3255645023)</f>
        <v>44532.32556</v>
      </c>
      <c r="D6943" s="15">
        <f>IFERROR(__xludf.DUMMYFUNCTION("""COMPUTED_VALUE"""),1.027)</f>
        <v>1.027</v>
      </c>
      <c r="E6943" s="16">
        <f>IFERROR(__xludf.DUMMYFUNCTION("""COMPUTED_VALUE"""),64.0)</f>
        <v>64</v>
      </c>
      <c r="F6943" s="19" t="str">
        <f>IFERROR(__xludf.DUMMYFUNCTION("""COMPUTED_VALUE"""),"BLUE")</f>
        <v>BLUE</v>
      </c>
      <c r="G6943" s="20" t="str">
        <f>IFERROR(__xludf.DUMMYFUNCTION("""COMPUTED_VALUE"""),"Uncle Sams Cider (11/12/2021) (Blue)")</f>
        <v>Uncle Sams Cider (11/12/2021) (Blue)</v>
      </c>
      <c r="H6943" s="19"/>
    </row>
    <row r="6944">
      <c r="A6944" s="9"/>
      <c r="B6944" s="15"/>
      <c r="C6944" s="9">
        <f>IFERROR(__xludf.DUMMYFUNCTION("""COMPUTED_VALUE"""),44532.315120868)</f>
        <v>44532.31512</v>
      </c>
      <c r="D6944" s="15">
        <f>IFERROR(__xludf.DUMMYFUNCTION("""COMPUTED_VALUE"""),1.027)</f>
        <v>1.027</v>
      </c>
      <c r="E6944" s="16">
        <f>IFERROR(__xludf.DUMMYFUNCTION("""COMPUTED_VALUE"""),64.0)</f>
        <v>64</v>
      </c>
      <c r="F6944" s="19" t="str">
        <f>IFERROR(__xludf.DUMMYFUNCTION("""COMPUTED_VALUE"""),"BLUE")</f>
        <v>BLUE</v>
      </c>
      <c r="G6944" s="20" t="str">
        <f>IFERROR(__xludf.DUMMYFUNCTION("""COMPUTED_VALUE"""),"Uncle Sams Cider (11/12/2021) (Blue)")</f>
        <v>Uncle Sams Cider (11/12/2021) (Blue)</v>
      </c>
      <c r="H6944" s="19"/>
    </row>
    <row r="6945">
      <c r="A6945" s="9"/>
      <c r="B6945" s="15"/>
      <c r="C6945" s="9">
        <f>IFERROR(__xludf.DUMMYFUNCTION("""COMPUTED_VALUE"""),44532.3046998148)</f>
        <v>44532.3047</v>
      </c>
      <c r="D6945" s="15">
        <f>IFERROR(__xludf.DUMMYFUNCTION("""COMPUTED_VALUE"""),1.027)</f>
        <v>1.027</v>
      </c>
      <c r="E6945" s="16">
        <f>IFERROR(__xludf.DUMMYFUNCTION("""COMPUTED_VALUE"""),64.0)</f>
        <v>64</v>
      </c>
      <c r="F6945" s="19" t="str">
        <f>IFERROR(__xludf.DUMMYFUNCTION("""COMPUTED_VALUE"""),"BLUE")</f>
        <v>BLUE</v>
      </c>
      <c r="G6945" s="20" t="str">
        <f>IFERROR(__xludf.DUMMYFUNCTION("""COMPUTED_VALUE"""),"Uncle Sams Cider (11/12/2021) (Blue)")</f>
        <v>Uncle Sams Cider (11/12/2021) (Blue)</v>
      </c>
      <c r="H6945" s="19"/>
    </row>
    <row r="6946">
      <c r="A6946" s="9"/>
      <c r="B6946" s="15"/>
      <c r="C6946" s="9">
        <f>IFERROR(__xludf.DUMMYFUNCTION("""COMPUTED_VALUE"""),44532.2942674768)</f>
        <v>44532.29427</v>
      </c>
      <c r="D6946" s="15">
        <f>IFERROR(__xludf.DUMMYFUNCTION("""COMPUTED_VALUE"""),1.027)</f>
        <v>1.027</v>
      </c>
      <c r="E6946" s="16">
        <f>IFERROR(__xludf.DUMMYFUNCTION("""COMPUTED_VALUE"""),64.0)</f>
        <v>64</v>
      </c>
      <c r="F6946" s="19" t="str">
        <f>IFERROR(__xludf.DUMMYFUNCTION("""COMPUTED_VALUE"""),"BLUE")</f>
        <v>BLUE</v>
      </c>
      <c r="G6946" s="20" t="str">
        <f>IFERROR(__xludf.DUMMYFUNCTION("""COMPUTED_VALUE"""),"Uncle Sams Cider (11/12/2021) (Blue)")</f>
        <v>Uncle Sams Cider (11/12/2021) (Blue)</v>
      </c>
      <c r="H6946" s="19"/>
    </row>
    <row r="6947">
      <c r="A6947" s="9"/>
      <c r="B6947" s="15"/>
      <c r="C6947" s="9">
        <f>IFERROR(__xludf.DUMMYFUNCTION("""COMPUTED_VALUE"""),44532.2838485995)</f>
        <v>44532.28385</v>
      </c>
      <c r="D6947" s="15">
        <f>IFERROR(__xludf.DUMMYFUNCTION("""COMPUTED_VALUE"""),1.027)</f>
        <v>1.027</v>
      </c>
      <c r="E6947" s="16">
        <f>IFERROR(__xludf.DUMMYFUNCTION("""COMPUTED_VALUE"""),64.0)</f>
        <v>64</v>
      </c>
      <c r="F6947" s="19" t="str">
        <f>IFERROR(__xludf.DUMMYFUNCTION("""COMPUTED_VALUE"""),"BLUE")</f>
        <v>BLUE</v>
      </c>
      <c r="G6947" s="20" t="str">
        <f>IFERROR(__xludf.DUMMYFUNCTION("""COMPUTED_VALUE"""),"Uncle Sams Cider (11/12/2021) (Blue)")</f>
        <v>Uncle Sams Cider (11/12/2021) (Blue)</v>
      </c>
      <c r="H6947" s="19"/>
    </row>
    <row r="6948">
      <c r="A6948" s="9"/>
      <c r="B6948" s="15"/>
      <c r="C6948" s="9">
        <f>IFERROR(__xludf.DUMMYFUNCTION("""COMPUTED_VALUE"""),44532.2734291435)</f>
        <v>44532.27343</v>
      </c>
      <c r="D6948" s="15">
        <f>IFERROR(__xludf.DUMMYFUNCTION("""COMPUTED_VALUE"""),1.027)</f>
        <v>1.027</v>
      </c>
      <c r="E6948" s="16">
        <f>IFERROR(__xludf.DUMMYFUNCTION("""COMPUTED_VALUE"""),64.0)</f>
        <v>64</v>
      </c>
      <c r="F6948" s="19" t="str">
        <f>IFERROR(__xludf.DUMMYFUNCTION("""COMPUTED_VALUE"""),"BLUE")</f>
        <v>BLUE</v>
      </c>
      <c r="G6948" s="20" t="str">
        <f>IFERROR(__xludf.DUMMYFUNCTION("""COMPUTED_VALUE"""),"Uncle Sams Cider (11/12/2021) (Blue)")</f>
        <v>Uncle Sams Cider (11/12/2021) (Blue)</v>
      </c>
      <c r="H6948" s="19"/>
    </row>
    <row r="6949">
      <c r="A6949" s="9"/>
      <c r="B6949" s="15"/>
      <c r="C6949" s="9">
        <f>IFERROR(__xludf.DUMMYFUNCTION("""COMPUTED_VALUE"""),44532.2630091088)</f>
        <v>44532.26301</v>
      </c>
      <c r="D6949" s="15">
        <f>IFERROR(__xludf.DUMMYFUNCTION("""COMPUTED_VALUE"""),1.027)</f>
        <v>1.027</v>
      </c>
      <c r="E6949" s="16">
        <f>IFERROR(__xludf.DUMMYFUNCTION("""COMPUTED_VALUE"""),64.0)</f>
        <v>64</v>
      </c>
      <c r="F6949" s="19" t="str">
        <f>IFERROR(__xludf.DUMMYFUNCTION("""COMPUTED_VALUE"""),"BLUE")</f>
        <v>BLUE</v>
      </c>
      <c r="G6949" s="20" t="str">
        <f>IFERROR(__xludf.DUMMYFUNCTION("""COMPUTED_VALUE"""),"Uncle Sams Cider (11/12/2021) (Blue)")</f>
        <v>Uncle Sams Cider (11/12/2021) (Blue)</v>
      </c>
      <c r="H6949" s="19"/>
    </row>
    <row r="6950">
      <c r="A6950" s="9"/>
      <c r="B6950" s="15"/>
      <c r="C6950" s="9">
        <f>IFERROR(__xludf.DUMMYFUNCTION("""COMPUTED_VALUE"""),44532.2525773263)</f>
        <v>44532.25258</v>
      </c>
      <c r="D6950" s="15">
        <f>IFERROR(__xludf.DUMMYFUNCTION("""COMPUTED_VALUE"""),1.027)</f>
        <v>1.027</v>
      </c>
      <c r="E6950" s="16">
        <f>IFERROR(__xludf.DUMMYFUNCTION("""COMPUTED_VALUE"""),64.0)</f>
        <v>64</v>
      </c>
      <c r="F6950" s="19" t="str">
        <f>IFERROR(__xludf.DUMMYFUNCTION("""COMPUTED_VALUE"""),"BLUE")</f>
        <v>BLUE</v>
      </c>
      <c r="G6950" s="20" t="str">
        <f>IFERROR(__xludf.DUMMYFUNCTION("""COMPUTED_VALUE"""),"Uncle Sams Cider (11/12/2021) (Blue)")</f>
        <v>Uncle Sams Cider (11/12/2021) (Blue)</v>
      </c>
      <c r="H6950" s="19"/>
    </row>
    <row r="6951">
      <c r="A6951" s="9"/>
      <c r="B6951" s="15"/>
      <c r="C6951" s="9">
        <f>IFERROR(__xludf.DUMMYFUNCTION("""COMPUTED_VALUE"""),44532.242155706)</f>
        <v>44532.24216</v>
      </c>
      <c r="D6951" s="15">
        <f>IFERROR(__xludf.DUMMYFUNCTION("""COMPUTED_VALUE"""),1.027)</f>
        <v>1.027</v>
      </c>
      <c r="E6951" s="16">
        <f>IFERROR(__xludf.DUMMYFUNCTION("""COMPUTED_VALUE"""),64.0)</f>
        <v>64</v>
      </c>
      <c r="F6951" s="19" t="str">
        <f>IFERROR(__xludf.DUMMYFUNCTION("""COMPUTED_VALUE"""),"BLUE")</f>
        <v>BLUE</v>
      </c>
      <c r="G6951" s="20" t="str">
        <f>IFERROR(__xludf.DUMMYFUNCTION("""COMPUTED_VALUE"""),"Uncle Sams Cider (11/12/2021) (Blue)")</f>
        <v>Uncle Sams Cider (11/12/2021) (Blue)</v>
      </c>
      <c r="H6951" s="19"/>
    </row>
    <row r="6952">
      <c r="A6952" s="9"/>
      <c r="B6952" s="15"/>
      <c r="C6952" s="9">
        <f>IFERROR(__xludf.DUMMYFUNCTION("""COMPUTED_VALUE"""),44532.2317344907)</f>
        <v>44532.23173</v>
      </c>
      <c r="D6952" s="15">
        <f>IFERROR(__xludf.DUMMYFUNCTION("""COMPUTED_VALUE"""),1.027)</f>
        <v>1.027</v>
      </c>
      <c r="E6952" s="16">
        <f>IFERROR(__xludf.DUMMYFUNCTION("""COMPUTED_VALUE"""),64.0)</f>
        <v>64</v>
      </c>
      <c r="F6952" s="19" t="str">
        <f>IFERROR(__xludf.DUMMYFUNCTION("""COMPUTED_VALUE"""),"BLUE")</f>
        <v>BLUE</v>
      </c>
      <c r="G6952" s="20" t="str">
        <f>IFERROR(__xludf.DUMMYFUNCTION("""COMPUTED_VALUE"""),"Uncle Sams Cider (11/12/2021) (Blue)")</f>
        <v>Uncle Sams Cider (11/12/2021) (Blue)</v>
      </c>
      <c r="H6952" s="19"/>
    </row>
    <row r="6953">
      <c r="A6953" s="9"/>
      <c r="B6953" s="15"/>
      <c r="C6953" s="9">
        <f>IFERROR(__xludf.DUMMYFUNCTION("""COMPUTED_VALUE"""),44532.2213130671)</f>
        <v>44532.22131</v>
      </c>
      <c r="D6953" s="15">
        <f>IFERROR(__xludf.DUMMYFUNCTION("""COMPUTED_VALUE"""),1.027)</f>
        <v>1.027</v>
      </c>
      <c r="E6953" s="16">
        <f>IFERROR(__xludf.DUMMYFUNCTION("""COMPUTED_VALUE"""),64.0)</f>
        <v>64</v>
      </c>
      <c r="F6953" s="19" t="str">
        <f>IFERROR(__xludf.DUMMYFUNCTION("""COMPUTED_VALUE"""),"BLUE")</f>
        <v>BLUE</v>
      </c>
      <c r="G6953" s="20" t="str">
        <f>IFERROR(__xludf.DUMMYFUNCTION("""COMPUTED_VALUE"""),"Uncle Sams Cider (11/12/2021) (Blue)")</f>
        <v>Uncle Sams Cider (11/12/2021) (Blue)</v>
      </c>
      <c r="H6953" s="19"/>
    </row>
    <row r="6954">
      <c r="A6954" s="9"/>
      <c r="B6954" s="15"/>
      <c r="C6954" s="9">
        <f>IFERROR(__xludf.DUMMYFUNCTION("""COMPUTED_VALUE"""),44532.2108918634)</f>
        <v>44532.21089</v>
      </c>
      <c r="D6954" s="15">
        <f>IFERROR(__xludf.DUMMYFUNCTION("""COMPUTED_VALUE"""),1.027)</f>
        <v>1.027</v>
      </c>
      <c r="E6954" s="16">
        <f>IFERROR(__xludf.DUMMYFUNCTION("""COMPUTED_VALUE"""),64.0)</f>
        <v>64</v>
      </c>
      <c r="F6954" s="19" t="str">
        <f>IFERROR(__xludf.DUMMYFUNCTION("""COMPUTED_VALUE"""),"BLUE")</f>
        <v>BLUE</v>
      </c>
      <c r="G6954" s="20" t="str">
        <f>IFERROR(__xludf.DUMMYFUNCTION("""COMPUTED_VALUE"""),"Uncle Sams Cider (11/12/2021) (Blue)")</f>
        <v>Uncle Sams Cider (11/12/2021) (Blue)</v>
      </c>
      <c r="H6954" s="19"/>
    </row>
    <row r="6955">
      <c r="A6955" s="9"/>
      <c r="B6955" s="15"/>
      <c r="C6955" s="9">
        <f>IFERROR(__xludf.DUMMYFUNCTION("""COMPUTED_VALUE"""),44532.200470787)</f>
        <v>44532.20047</v>
      </c>
      <c r="D6955" s="15">
        <f>IFERROR(__xludf.DUMMYFUNCTION("""COMPUTED_VALUE"""),1.027)</f>
        <v>1.027</v>
      </c>
      <c r="E6955" s="16">
        <f>IFERROR(__xludf.DUMMYFUNCTION("""COMPUTED_VALUE"""),64.0)</f>
        <v>64</v>
      </c>
      <c r="F6955" s="19" t="str">
        <f>IFERROR(__xludf.DUMMYFUNCTION("""COMPUTED_VALUE"""),"BLUE")</f>
        <v>BLUE</v>
      </c>
      <c r="G6955" s="20" t="str">
        <f>IFERROR(__xludf.DUMMYFUNCTION("""COMPUTED_VALUE"""),"Uncle Sams Cider (11/12/2021) (Blue)")</f>
        <v>Uncle Sams Cider (11/12/2021) (Blue)</v>
      </c>
      <c r="H6955" s="19"/>
    </row>
    <row r="6956">
      <c r="A6956" s="9"/>
      <c r="B6956" s="15"/>
      <c r="C6956" s="9">
        <f>IFERROR(__xludf.DUMMYFUNCTION("""COMPUTED_VALUE"""),44532.1900370138)</f>
        <v>44532.19004</v>
      </c>
      <c r="D6956" s="15">
        <f>IFERROR(__xludf.DUMMYFUNCTION("""COMPUTED_VALUE"""),1.027)</f>
        <v>1.027</v>
      </c>
      <c r="E6956" s="16">
        <f>IFERROR(__xludf.DUMMYFUNCTION("""COMPUTED_VALUE"""),64.0)</f>
        <v>64</v>
      </c>
      <c r="F6956" s="19" t="str">
        <f>IFERROR(__xludf.DUMMYFUNCTION("""COMPUTED_VALUE"""),"BLUE")</f>
        <v>BLUE</v>
      </c>
      <c r="G6956" s="20" t="str">
        <f>IFERROR(__xludf.DUMMYFUNCTION("""COMPUTED_VALUE"""),"Uncle Sams Cider (11/12/2021) (Blue)")</f>
        <v>Uncle Sams Cider (11/12/2021) (Blue)</v>
      </c>
      <c r="H6956" s="19"/>
    </row>
    <row r="6957">
      <c r="A6957" s="9"/>
      <c r="B6957" s="15"/>
      <c r="C6957" s="9">
        <f>IFERROR(__xludf.DUMMYFUNCTION("""COMPUTED_VALUE"""),44532.1796049074)</f>
        <v>44532.1796</v>
      </c>
      <c r="D6957" s="15">
        <f>IFERROR(__xludf.DUMMYFUNCTION("""COMPUTED_VALUE"""),1.027)</f>
        <v>1.027</v>
      </c>
      <c r="E6957" s="16">
        <f>IFERROR(__xludf.DUMMYFUNCTION("""COMPUTED_VALUE"""),64.0)</f>
        <v>64</v>
      </c>
      <c r="F6957" s="19" t="str">
        <f>IFERROR(__xludf.DUMMYFUNCTION("""COMPUTED_VALUE"""),"BLUE")</f>
        <v>BLUE</v>
      </c>
      <c r="G6957" s="20" t="str">
        <f>IFERROR(__xludf.DUMMYFUNCTION("""COMPUTED_VALUE"""),"Uncle Sams Cider (11/12/2021) (Blue)")</f>
        <v>Uncle Sams Cider (11/12/2021) (Blue)</v>
      </c>
      <c r="H6957" s="19"/>
    </row>
    <row r="6958">
      <c r="A6958" s="9"/>
      <c r="B6958" s="15"/>
      <c r="C6958" s="9">
        <f>IFERROR(__xludf.DUMMYFUNCTION("""COMPUTED_VALUE"""),44532.169182824)</f>
        <v>44532.16918</v>
      </c>
      <c r="D6958" s="15">
        <f>IFERROR(__xludf.DUMMYFUNCTION("""COMPUTED_VALUE"""),1.027)</f>
        <v>1.027</v>
      </c>
      <c r="E6958" s="16">
        <f>IFERROR(__xludf.DUMMYFUNCTION("""COMPUTED_VALUE"""),64.0)</f>
        <v>64</v>
      </c>
      <c r="F6958" s="19" t="str">
        <f>IFERROR(__xludf.DUMMYFUNCTION("""COMPUTED_VALUE"""),"BLUE")</f>
        <v>BLUE</v>
      </c>
      <c r="G6958" s="20" t="str">
        <f>IFERROR(__xludf.DUMMYFUNCTION("""COMPUTED_VALUE"""),"Uncle Sams Cider (11/12/2021) (Blue)")</f>
        <v>Uncle Sams Cider (11/12/2021) (Blue)</v>
      </c>
      <c r="H6958" s="19"/>
    </row>
    <row r="6959">
      <c r="A6959" s="9"/>
      <c r="B6959" s="15"/>
      <c r="C6959" s="9">
        <f>IFERROR(__xludf.DUMMYFUNCTION("""COMPUTED_VALUE"""),44532.1587608912)</f>
        <v>44532.15876</v>
      </c>
      <c r="D6959" s="15">
        <f>IFERROR(__xludf.DUMMYFUNCTION("""COMPUTED_VALUE"""),1.027)</f>
        <v>1.027</v>
      </c>
      <c r="E6959" s="16">
        <f>IFERROR(__xludf.DUMMYFUNCTION("""COMPUTED_VALUE"""),64.0)</f>
        <v>64</v>
      </c>
      <c r="F6959" s="19" t="str">
        <f>IFERROR(__xludf.DUMMYFUNCTION("""COMPUTED_VALUE"""),"BLUE")</f>
        <v>BLUE</v>
      </c>
      <c r="G6959" s="20" t="str">
        <f>IFERROR(__xludf.DUMMYFUNCTION("""COMPUTED_VALUE"""),"Uncle Sams Cider (11/12/2021) (Blue)")</f>
        <v>Uncle Sams Cider (11/12/2021) (Blue)</v>
      </c>
      <c r="H6959" s="19"/>
    </row>
    <row r="6960">
      <c r="A6960" s="9"/>
      <c r="B6960" s="15"/>
      <c r="C6960" s="9">
        <f>IFERROR(__xludf.DUMMYFUNCTION("""COMPUTED_VALUE"""),44532.1483399074)</f>
        <v>44532.14834</v>
      </c>
      <c r="D6960" s="15">
        <f>IFERROR(__xludf.DUMMYFUNCTION("""COMPUTED_VALUE"""),1.027)</f>
        <v>1.027</v>
      </c>
      <c r="E6960" s="16">
        <f>IFERROR(__xludf.DUMMYFUNCTION("""COMPUTED_VALUE"""),64.0)</f>
        <v>64</v>
      </c>
      <c r="F6960" s="19" t="str">
        <f>IFERROR(__xludf.DUMMYFUNCTION("""COMPUTED_VALUE"""),"BLUE")</f>
        <v>BLUE</v>
      </c>
      <c r="G6960" s="20" t="str">
        <f>IFERROR(__xludf.DUMMYFUNCTION("""COMPUTED_VALUE"""),"Uncle Sams Cider (11/12/2021) (Blue)")</f>
        <v>Uncle Sams Cider (11/12/2021) (Blue)</v>
      </c>
      <c r="H6960" s="19"/>
    </row>
    <row r="6961">
      <c r="A6961" s="9"/>
      <c r="B6961" s="15"/>
      <c r="C6961" s="9">
        <f>IFERROR(__xludf.DUMMYFUNCTION("""COMPUTED_VALUE"""),44532.1379189236)</f>
        <v>44532.13792</v>
      </c>
      <c r="D6961" s="15">
        <f>IFERROR(__xludf.DUMMYFUNCTION("""COMPUTED_VALUE"""),1.027)</f>
        <v>1.027</v>
      </c>
      <c r="E6961" s="16">
        <f>IFERROR(__xludf.DUMMYFUNCTION("""COMPUTED_VALUE"""),64.0)</f>
        <v>64</v>
      </c>
      <c r="F6961" s="19" t="str">
        <f>IFERROR(__xludf.DUMMYFUNCTION("""COMPUTED_VALUE"""),"BLUE")</f>
        <v>BLUE</v>
      </c>
      <c r="G6961" s="20" t="str">
        <f>IFERROR(__xludf.DUMMYFUNCTION("""COMPUTED_VALUE"""),"Uncle Sams Cider (11/12/2021) (Blue)")</f>
        <v>Uncle Sams Cider (11/12/2021) (Blue)</v>
      </c>
      <c r="H6961" s="19"/>
    </row>
    <row r="6962">
      <c r="A6962" s="9"/>
      <c r="B6962" s="15"/>
      <c r="C6962" s="9">
        <f>IFERROR(__xludf.DUMMYFUNCTION("""COMPUTED_VALUE"""),44532.1274966087)</f>
        <v>44532.1275</v>
      </c>
      <c r="D6962" s="15">
        <f>IFERROR(__xludf.DUMMYFUNCTION("""COMPUTED_VALUE"""),1.027)</f>
        <v>1.027</v>
      </c>
      <c r="E6962" s="16">
        <f>IFERROR(__xludf.DUMMYFUNCTION("""COMPUTED_VALUE"""),64.0)</f>
        <v>64</v>
      </c>
      <c r="F6962" s="19" t="str">
        <f>IFERROR(__xludf.DUMMYFUNCTION("""COMPUTED_VALUE"""),"BLUE")</f>
        <v>BLUE</v>
      </c>
      <c r="G6962" s="20" t="str">
        <f>IFERROR(__xludf.DUMMYFUNCTION("""COMPUTED_VALUE"""),"Uncle Sams Cider (11/12/2021) (Blue)")</f>
        <v>Uncle Sams Cider (11/12/2021) (Blue)</v>
      </c>
      <c r="H6962" s="19"/>
    </row>
    <row r="6963">
      <c r="A6963" s="9"/>
      <c r="B6963" s="15"/>
      <c r="C6963" s="9">
        <f>IFERROR(__xludf.DUMMYFUNCTION("""COMPUTED_VALUE"""),44532.1170750462)</f>
        <v>44532.11708</v>
      </c>
      <c r="D6963" s="15">
        <f>IFERROR(__xludf.DUMMYFUNCTION("""COMPUTED_VALUE"""),1.027)</f>
        <v>1.027</v>
      </c>
      <c r="E6963" s="16">
        <f>IFERROR(__xludf.DUMMYFUNCTION("""COMPUTED_VALUE"""),64.0)</f>
        <v>64</v>
      </c>
      <c r="F6963" s="19" t="str">
        <f>IFERROR(__xludf.DUMMYFUNCTION("""COMPUTED_VALUE"""),"BLUE")</f>
        <v>BLUE</v>
      </c>
      <c r="G6963" s="20" t="str">
        <f>IFERROR(__xludf.DUMMYFUNCTION("""COMPUTED_VALUE"""),"Uncle Sams Cider (11/12/2021) (Blue)")</f>
        <v>Uncle Sams Cider (11/12/2021) (Blue)</v>
      </c>
      <c r="H6963" s="19"/>
    </row>
    <row r="6964">
      <c r="A6964" s="9"/>
      <c r="B6964" s="15"/>
      <c r="C6964" s="9">
        <f>IFERROR(__xludf.DUMMYFUNCTION("""COMPUTED_VALUE"""),44532.1066532638)</f>
        <v>44532.10665</v>
      </c>
      <c r="D6964" s="15">
        <f>IFERROR(__xludf.DUMMYFUNCTION("""COMPUTED_VALUE"""),1.027)</f>
        <v>1.027</v>
      </c>
      <c r="E6964" s="16">
        <f>IFERROR(__xludf.DUMMYFUNCTION("""COMPUTED_VALUE"""),64.0)</f>
        <v>64</v>
      </c>
      <c r="F6964" s="19" t="str">
        <f>IFERROR(__xludf.DUMMYFUNCTION("""COMPUTED_VALUE"""),"BLUE")</f>
        <v>BLUE</v>
      </c>
      <c r="G6964" s="20" t="str">
        <f>IFERROR(__xludf.DUMMYFUNCTION("""COMPUTED_VALUE"""),"Uncle Sams Cider (11/12/2021) (Blue)")</f>
        <v>Uncle Sams Cider (11/12/2021) (Blue)</v>
      </c>
      <c r="H6964" s="19"/>
    </row>
    <row r="6965">
      <c r="A6965" s="9"/>
      <c r="B6965" s="15"/>
      <c r="C6965" s="9">
        <f>IFERROR(__xludf.DUMMYFUNCTION("""COMPUTED_VALUE"""),44532.0962339467)</f>
        <v>44532.09623</v>
      </c>
      <c r="D6965" s="15">
        <f>IFERROR(__xludf.DUMMYFUNCTION("""COMPUTED_VALUE"""),1.027)</f>
        <v>1.027</v>
      </c>
      <c r="E6965" s="16">
        <f>IFERROR(__xludf.DUMMYFUNCTION("""COMPUTED_VALUE"""),64.0)</f>
        <v>64</v>
      </c>
      <c r="F6965" s="19" t="str">
        <f>IFERROR(__xludf.DUMMYFUNCTION("""COMPUTED_VALUE"""),"BLUE")</f>
        <v>BLUE</v>
      </c>
      <c r="G6965" s="20" t="str">
        <f>IFERROR(__xludf.DUMMYFUNCTION("""COMPUTED_VALUE"""),"Uncle Sams Cider (11/12/2021) (Blue)")</f>
        <v>Uncle Sams Cider (11/12/2021) (Blue)</v>
      </c>
      <c r="H6965" s="19"/>
    </row>
    <row r="6966">
      <c r="A6966" s="9"/>
      <c r="B6966" s="15"/>
      <c r="C6966" s="9">
        <f>IFERROR(__xludf.DUMMYFUNCTION("""COMPUTED_VALUE"""),44532.0858112384)</f>
        <v>44532.08581</v>
      </c>
      <c r="D6966" s="15">
        <f>IFERROR(__xludf.DUMMYFUNCTION("""COMPUTED_VALUE"""),1.027)</f>
        <v>1.027</v>
      </c>
      <c r="E6966" s="16">
        <f>IFERROR(__xludf.DUMMYFUNCTION("""COMPUTED_VALUE"""),64.0)</f>
        <v>64</v>
      </c>
      <c r="F6966" s="19" t="str">
        <f>IFERROR(__xludf.DUMMYFUNCTION("""COMPUTED_VALUE"""),"BLUE")</f>
        <v>BLUE</v>
      </c>
      <c r="G6966" s="20" t="str">
        <f>IFERROR(__xludf.DUMMYFUNCTION("""COMPUTED_VALUE"""),"Uncle Sams Cider (11/12/2021) (Blue)")</f>
        <v>Uncle Sams Cider (11/12/2021) (Blue)</v>
      </c>
      <c r="H6966" s="19"/>
    </row>
    <row r="6967">
      <c r="A6967" s="9"/>
      <c r="B6967" s="15"/>
      <c r="C6967" s="9">
        <f>IFERROR(__xludf.DUMMYFUNCTION("""COMPUTED_VALUE"""),44532.0753906365)</f>
        <v>44532.07539</v>
      </c>
      <c r="D6967" s="15">
        <f>IFERROR(__xludf.DUMMYFUNCTION("""COMPUTED_VALUE"""),1.027)</f>
        <v>1.027</v>
      </c>
      <c r="E6967" s="16">
        <f>IFERROR(__xludf.DUMMYFUNCTION("""COMPUTED_VALUE"""),64.0)</f>
        <v>64</v>
      </c>
      <c r="F6967" s="19" t="str">
        <f>IFERROR(__xludf.DUMMYFUNCTION("""COMPUTED_VALUE"""),"BLUE")</f>
        <v>BLUE</v>
      </c>
      <c r="G6967" s="20" t="str">
        <f>IFERROR(__xludf.DUMMYFUNCTION("""COMPUTED_VALUE"""),"Uncle Sams Cider (11/12/2021) (Blue)")</f>
        <v>Uncle Sams Cider (11/12/2021) (Blue)</v>
      </c>
      <c r="H6967" s="19"/>
    </row>
    <row r="6968">
      <c r="A6968" s="9"/>
      <c r="B6968" s="15"/>
      <c r="C6968" s="9">
        <f>IFERROR(__xludf.DUMMYFUNCTION("""COMPUTED_VALUE"""),44532.0649709375)</f>
        <v>44532.06497</v>
      </c>
      <c r="D6968" s="15">
        <f>IFERROR(__xludf.DUMMYFUNCTION("""COMPUTED_VALUE"""),1.027)</f>
        <v>1.027</v>
      </c>
      <c r="E6968" s="16">
        <f>IFERROR(__xludf.DUMMYFUNCTION("""COMPUTED_VALUE"""),64.0)</f>
        <v>64</v>
      </c>
      <c r="F6968" s="19" t="str">
        <f>IFERROR(__xludf.DUMMYFUNCTION("""COMPUTED_VALUE"""),"BLUE")</f>
        <v>BLUE</v>
      </c>
      <c r="G6968" s="20" t="str">
        <f>IFERROR(__xludf.DUMMYFUNCTION("""COMPUTED_VALUE"""),"Uncle Sams Cider (11/12/2021) (Blue)")</f>
        <v>Uncle Sams Cider (11/12/2021) (Blue)</v>
      </c>
      <c r="H6968" s="19"/>
    </row>
    <row r="6969">
      <c r="A6969" s="9"/>
      <c r="B6969" s="15"/>
      <c r="C6969" s="9">
        <f>IFERROR(__xludf.DUMMYFUNCTION("""COMPUTED_VALUE"""),44532.0545494444)</f>
        <v>44532.05455</v>
      </c>
      <c r="D6969" s="15">
        <f>IFERROR(__xludf.DUMMYFUNCTION("""COMPUTED_VALUE"""),1.027)</f>
        <v>1.027</v>
      </c>
      <c r="E6969" s="16">
        <f>IFERROR(__xludf.DUMMYFUNCTION("""COMPUTED_VALUE"""),64.0)</f>
        <v>64</v>
      </c>
      <c r="F6969" s="19" t="str">
        <f>IFERROR(__xludf.DUMMYFUNCTION("""COMPUTED_VALUE"""),"BLUE")</f>
        <v>BLUE</v>
      </c>
      <c r="G6969" s="20" t="str">
        <f>IFERROR(__xludf.DUMMYFUNCTION("""COMPUTED_VALUE"""),"Uncle Sams Cider (11/12/2021) (Blue)")</f>
        <v>Uncle Sams Cider (11/12/2021) (Blue)</v>
      </c>
      <c r="H6969" s="19"/>
    </row>
    <row r="6970">
      <c r="A6970" s="9"/>
      <c r="B6970" s="15"/>
      <c r="C6970" s="9">
        <f>IFERROR(__xludf.DUMMYFUNCTION("""COMPUTED_VALUE"""),44532.04412853)</f>
        <v>44532.04413</v>
      </c>
      <c r="D6970" s="15">
        <f>IFERROR(__xludf.DUMMYFUNCTION("""COMPUTED_VALUE"""),1.027)</f>
        <v>1.027</v>
      </c>
      <c r="E6970" s="16">
        <f>IFERROR(__xludf.DUMMYFUNCTION("""COMPUTED_VALUE"""),64.0)</f>
        <v>64</v>
      </c>
      <c r="F6970" s="19" t="str">
        <f>IFERROR(__xludf.DUMMYFUNCTION("""COMPUTED_VALUE"""),"BLUE")</f>
        <v>BLUE</v>
      </c>
      <c r="G6970" s="20" t="str">
        <f>IFERROR(__xludf.DUMMYFUNCTION("""COMPUTED_VALUE"""),"Uncle Sams Cider (11/12/2021) (Blue)")</f>
        <v>Uncle Sams Cider (11/12/2021) (Blue)</v>
      </c>
      <c r="H6970" s="19"/>
    </row>
    <row r="6971">
      <c r="A6971" s="9"/>
      <c r="B6971" s="15"/>
      <c r="C6971" s="9">
        <f>IFERROR(__xludf.DUMMYFUNCTION("""COMPUTED_VALUE"""),44532.0337066898)</f>
        <v>44532.03371</v>
      </c>
      <c r="D6971" s="15">
        <f>IFERROR(__xludf.DUMMYFUNCTION("""COMPUTED_VALUE"""),1.027)</f>
        <v>1.027</v>
      </c>
      <c r="E6971" s="16">
        <f>IFERROR(__xludf.DUMMYFUNCTION("""COMPUTED_VALUE"""),64.0)</f>
        <v>64</v>
      </c>
      <c r="F6971" s="19" t="str">
        <f>IFERROR(__xludf.DUMMYFUNCTION("""COMPUTED_VALUE"""),"BLUE")</f>
        <v>BLUE</v>
      </c>
      <c r="G6971" s="20" t="str">
        <f>IFERROR(__xludf.DUMMYFUNCTION("""COMPUTED_VALUE"""),"Uncle Sams Cider (11/12/2021) (Blue)")</f>
        <v>Uncle Sams Cider (11/12/2021) (Blue)</v>
      </c>
      <c r="H6971" s="19"/>
    </row>
    <row r="6972">
      <c r="A6972" s="9"/>
      <c r="B6972" s="15"/>
      <c r="C6972" s="9">
        <f>IFERROR(__xludf.DUMMYFUNCTION("""COMPUTED_VALUE"""),44532.0232862268)</f>
        <v>44532.02329</v>
      </c>
      <c r="D6972" s="15">
        <f>IFERROR(__xludf.DUMMYFUNCTION("""COMPUTED_VALUE"""),1.027)</f>
        <v>1.027</v>
      </c>
      <c r="E6972" s="16">
        <f>IFERROR(__xludf.DUMMYFUNCTION("""COMPUTED_VALUE"""),64.0)</f>
        <v>64</v>
      </c>
      <c r="F6972" s="19" t="str">
        <f>IFERROR(__xludf.DUMMYFUNCTION("""COMPUTED_VALUE"""),"BLUE")</f>
        <v>BLUE</v>
      </c>
      <c r="G6972" s="20" t="str">
        <f>IFERROR(__xludf.DUMMYFUNCTION("""COMPUTED_VALUE"""),"Uncle Sams Cider (11/12/2021) (Blue)")</f>
        <v>Uncle Sams Cider (11/12/2021) (Blue)</v>
      </c>
      <c r="H6972" s="19"/>
    </row>
    <row r="6973">
      <c r="A6973" s="9"/>
      <c r="B6973" s="15"/>
      <c r="C6973" s="9">
        <f>IFERROR(__xludf.DUMMYFUNCTION("""COMPUTED_VALUE"""),44532.0128646643)</f>
        <v>44532.01286</v>
      </c>
      <c r="D6973" s="15">
        <f>IFERROR(__xludf.DUMMYFUNCTION("""COMPUTED_VALUE"""),1.027)</f>
        <v>1.027</v>
      </c>
      <c r="E6973" s="16">
        <f>IFERROR(__xludf.DUMMYFUNCTION("""COMPUTED_VALUE"""),64.0)</f>
        <v>64</v>
      </c>
      <c r="F6973" s="19" t="str">
        <f>IFERROR(__xludf.DUMMYFUNCTION("""COMPUTED_VALUE"""),"BLUE")</f>
        <v>BLUE</v>
      </c>
      <c r="G6973" s="20" t="str">
        <f>IFERROR(__xludf.DUMMYFUNCTION("""COMPUTED_VALUE"""),"Uncle Sams Cider (11/12/2021) (Blue)")</f>
        <v>Uncle Sams Cider (11/12/2021) (Blue)</v>
      </c>
      <c r="H6973" s="19"/>
    </row>
    <row r="6974">
      <c r="A6974" s="9"/>
      <c r="B6974" s="15"/>
      <c r="C6974" s="9">
        <f>IFERROR(__xludf.DUMMYFUNCTION("""COMPUTED_VALUE"""),44532.0024432638)</f>
        <v>44532.00244</v>
      </c>
      <c r="D6974" s="15">
        <f>IFERROR(__xludf.DUMMYFUNCTION("""COMPUTED_VALUE"""),1.027)</f>
        <v>1.027</v>
      </c>
      <c r="E6974" s="16">
        <f>IFERROR(__xludf.DUMMYFUNCTION("""COMPUTED_VALUE"""),64.0)</f>
        <v>64</v>
      </c>
      <c r="F6974" s="19" t="str">
        <f>IFERROR(__xludf.DUMMYFUNCTION("""COMPUTED_VALUE"""),"BLUE")</f>
        <v>BLUE</v>
      </c>
      <c r="G6974" s="20" t="str">
        <f>IFERROR(__xludf.DUMMYFUNCTION("""COMPUTED_VALUE"""),"Uncle Sams Cider (11/12/2021) (Blue)")</f>
        <v>Uncle Sams Cider (11/12/2021) (Blue)</v>
      </c>
      <c r="H6974" s="19"/>
    </row>
    <row r="6975">
      <c r="A6975" s="9"/>
      <c r="B6975" s="15"/>
      <c r="C6975" s="9">
        <f>IFERROR(__xludf.DUMMYFUNCTION("""COMPUTED_VALUE"""),44531.9920218171)</f>
        <v>44531.99202</v>
      </c>
      <c r="D6975" s="15">
        <f>IFERROR(__xludf.DUMMYFUNCTION("""COMPUTED_VALUE"""),1.027)</f>
        <v>1.027</v>
      </c>
      <c r="E6975" s="16">
        <f>IFERROR(__xludf.DUMMYFUNCTION("""COMPUTED_VALUE"""),64.0)</f>
        <v>64</v>
      </c>
      <c r="F6975" s="19" t="str">
        <f>IFERROR(__xludf.DUMMYFUNCTION("""COMPUTED_VALUE"""),"BLUE")</f>
        <v>BLUE</v>
      </c>
      <c r="G6975" s="20" t="str">
        <f>IFERROR(__xludf.DUMMYFUNCTION("""COMPUTED_VALUE"""),"Uncle Sams Cider (11/12/2021) (Blue)")</f>
        <v>Uncle Sams Cider (11/12/2021) (Blue)</v>
      </c>
      <c r="H6975" s="19"/>
    </row>
    <row r="6976">
      <c r="A6976" s="9"/>
      <c r="B6976" s="15"/>
      <c r="C6976" s="9">
        <f>IFERROR(__xludf.DUMMYFUNCTION("""COMPUTED_VALUE"""),44531.9815878703)</f>
        <v>44531.98159</v>
      </c>
      <c r="D6976" s="15">
        <f>IFERROR(__xludf.DUMMYFUNCTION("""COMPUTED_VALUE"""),1.027)</f>
        <v>1.027</v>
      </c>
      <c r="E6976" s="16">
        <f>IFERROR(__xludf.DUMMYFUNCTION("""COMPUTED_VALUE"""),64.0)</f>
        <v>64</v>
      </c>
      <c r="F6976" s="19" t="str">
        <f>IFERROR(__xludf.DUMMYFUNCTION("""COMPUTED_VALUE"""),"BLUE")</f>
        <v>BLUE</v>
      </c>
      <c r="G6976" s="20" t="str">
        <f>IFERROR(__xludf.DUMMYFUNCTION("""COMPUTED_VALUE"""),"Uncle Sams Cider (11/12/2021) (Blue)")</f>
        <v>Uncle Sams Cider (11/12/2021) (Blue)</v>
      </c>
      <c r="H6976" s="19"/>
    </row>
    <row r="6977">
      <c r="A6977" s="9"/>
      <c r="B6977" s="15"/>
      <c r="C6977" s="9">
        <f>IFERROR(__xludf.DUMMYFUNCTION("""COMPUTED_VALUE"""),44531.9711662268)</f>
        <v>44531.97117</v>
      </c>
      <c r="D6977" s="15">
        <f>IFERROR(__xludf.DUMMYFUNCTION("""COMPUTED_VALUE"""),1.027)</f>
        <v>1.027</v>
      </c>
      <c r="E6977" s="16">
        <f>IFERROR(__xludf.DUMMYFUNCTION("""COMPUTED_VALUE"""),64.0)</f>
        <v>64</v>
      </c>
      <c r="F6977" s="19" t="str">
        <f>IFERROR(__xludf.DUMMYFUNCTION("""COMPUTED_VALUE"""),"BLUE")</f>
        <v>BLUE</v>
      </c>
      <c r="G6977" s="20" t="str">
        <f>IFERROR(__xludf.DUMMYFUNCTION("""COMPUTED_VALUE"""),"Uncle Sams Cider (11/12/2021) (Blue)")</f>
        <v>Uncle Sams Cider (11/12/2021) (Blue)</v>
      </c>
      <c r="H6977" s="19"/>
    </row>
    <row r="6978">
      <c r="A6978" s="9"/>
      <c r="B6978" s="15"/>
      <c r="C6978" s="9">
        <f>IFERROR(__xludf.DUMMYFUNCTION("""COMPUTED_VALUE"""),44531.9607443171)</f>
        <v>44531.96074</v>
      </c>
      <c r="D6978" s="15">
        <f>IFERROR(__xludf.DUMMYFUNCTION("""COMPUTED_VALUE"""),1.027)</f>
        <v>1.027</v>
      </c>
      <c r="E6978" s="16">
        <f>IFERROR(__xludf.DUMMYFUNCTION("""COMPUTED_VALUE"""),64.0)</f>
        <v>64</v>
      </c>
      <c r="F6978" s="19" t="str">
        <f>IFERROR(__xludf.DUMMYFUNCTION("""COMPUTED_VALUE"""),"BLUE")</f>
        <v>BLUE</v>
      </c>
      <c r="G6978" s="20" t="str">
        <f>IFERROR(__xludf.DUMMYFUNCTION("""COMPUTED_VALUE"""),"Uncle Sams Cider (11/12/2021) (Blue)")</f>
        <v>Uncle Sams Cider (11/12/2021) (Blue)</v>
      </c>
      <c r="H6978" s="19"/>
    </row>
    <row r="6979">
      <c r="A6979" s="9"/>
      <c r="B6979" s="15"/>
      <c r="C6979" s="9">
        <f>IFERROR(__xludf.DUMMYFUNCTION("""COMPUTED_VALUE"""),44531.9503239236)</f>
        <v>44531.95032</v>
      </c>
      <c r="D6979" s="15">
        <f>IFERROR(__xludf.DUMMYFUNCTION("""COMPUTED_VALUE"""),1.027)</f>
        <v>1.027</v>
      </c>
      <c r="E6979" s="16">
        <f>IFERROR(__xludf.DUMMYFUNCTION("""COMPUTED_VALUE"""),64.0)</f>
        <v>64</v>
      </c>
      <c r="F6979" s="19" t="str">
        <f>IFERROR(__xludf.DUMMYFUNCTION("""COMPUTED_VALUE"""),"BLUE")</f>
        <v>BLUE</v>
      </c>
      <c r="G6979" s="20" t="str">
        <f>IFERROR(__xludf.DUMMYFUNCTION("""COMPUTED_VALUE"""),"Uncle Sams Cider (11/12/2021) (Blue)")</f>
        <v>Uncle Sams Cider (11/12/2021) (Blue)</v>
      </c>
      <c r="H6979" s="19"/>
    </row>
    <row r="6980">
      <c r="A6980" s="9"/>
      <c r="B6980" s="15"/>
      <c r="C6980" s="9">
        <f>IFERROR(__xludf.DUMMYFUNCTION("""COMPUTED_VALUE"""),44531.9398775925)</f>
        <v>44531.93988</v>
      </c>
      <c r="D6980" s="15">
        <f>IFERROR(__xludf.DUMMYFUNCTION("""COMPUTED_VALUE"""),1.027)</f>
        <v>1.027</v>
      </c>
      <c r="E6980" s="16">
        <f>IFERROR(__xludf.DUMMYFUNCTION("""COMPUTED_VALUE"""),64.0)</f>
        <v>64</v>
      </c>
      <c r="F6980" s="19" t="str">
        <f>IFERROR(__xludf.DUMMYFUNCTION("""COMPUTED_VALUE"""),"BLUE")</f>
        <v>BLUE</v>
      </c>
      <c r="G6980" s="20" t="str">
        <f>IFERROR(__xludf.DUMMYFUNCTION("""COMPUTED_VALUE"""),"Uncle Sams Cider (11/12/2021) (Blue)")</f>
        <v>Uncle Sams Cider (11/12/2021) (Blue)</v>
      </c>
      <c r="H6980" s="19"/>
    </row>
    <row r="6981">
      <c r="A6981" s="9"/>
      <c r="B6981" s="15"/>
      <c r="C6981" s="9">
        <f>IFERROR(__xludf.DUMMYFUNCTION("""COMPUTED_VALUE"""),44531.9294572916)</f>
        <v>44531.92946</v>
      </c>
      <c r="D6981" s="15">
        <f>IFERROR(__xludf.DUMMYFUNCTION("""COMPUTED_VALUE"""),1.027)</f>
        <v>1.027</v>
      </c>
      <c r="E6981" s="16">
        <f>IFERROR(__xludf.DUMMYFUNCTION("""COMPUTED_VALUE"""),64.0)</f>
        <v>64</v>
      </c>
      <c r="F6981" s="19" t="str">
        <f>IFERROR(__xludf.DUMMYFUNCTION("""COMPUTED_VALUE"""),"BLUE")</f>
        <v>BLUE</v>
      </c>
      <c r="G6981" s="20" t="str">
        <f>IFERROR(__xludf.DUMMYFUNCTION("""COMPUTED_VALUE"""),"Uncle Sams Cider (11/12/2021) (Blue)")</f>
        <v>Uncle Sams Cider (11/12/2021) (Blue)</v>
      </c>
      <c r="H6981" s="19"/>
    </row>
    <row r="6982">
      <c r="A6982" s="9"/>
      <c r="B6982" s="15"/>
      <c r="C6982" s="9">
        <f>IFERROR(__xludf.DUMMYFUNCTION("""COMPUTED_VALUE"""),44531.9190337615)</f>
        <v>44531.91903</v>
      </c>
      <c r="D6982" s="15">
        <f>IFERROR(__xludf.DUMMYFUNCTION("""COMPUTED_VALUE"""),1.027)</f>
        <v>1.027</v>
      </c>
      <c r="E6982" s="16">
        <f>IFERROR(__xludf.DUMMYFUNCTION("""COMPUTED_VALUE"""),64.0)</f>
        <v>64</v>
      </c>
      <c r="F6982" s="19" t="str">
        <f>IFERROR(__xludf.DUMMYFUNCTION("""COMPUTED_VALUE"""),"BLUE")</f>
        <v>BLUE</v>
      </c>
      <c r="G6982" s="20" t="str">
        <f>IFERROR(__xludf.DUMMYFUNCTION("""COMPUTED_VALUE"""),"Uncle Sams Cider (11/12/2021) (Blue)")</f>
        <v>Uncle Sams Cider (11/12/2021) (Blue)</v>
      </c>
      <c r="H6982" s="19"/>
    </row>
    <row r="6983">
      <c r="A6983" s="9"/>
      <c r="B6983" s="15"/>
      <c r="C6983" s="9">
        <f>IFERROR(__xludf.DUMMYFUNCTION("""COMPUTED_VALUE"""),44531.9086116666)</f>
        <v>44531.90861</v>
      </c>
      <c r="D6983" s="15">
        <f>IFERROR(__xludf.DUMMYFUNCTION("""COMPUTED_VALUE"""),1.027)</f>
        <v>1.027</v>
      </c>
      <c r="E6983" s="16">
        <f>IFERROR(__xludf.DUMMYFUNCTION("""COMPUTED_VALUE"""),64.0)</f>
        <v>64</v>
      </c>
      <c r="F6983" s="19" t="str">
        <f>IFERROR(__xludf.DUMMYFUNCTION("""COMPUTED_VALUE"""),"BLUE")</f>
        <v>BLUE</v>
      </c>
      <c r="G6983" s="20" t="str">
        <f>IFERROR(__xludf.DUMMYFUNCTION("""COMPUTED_VALUE"""),"Uncle Sams Cider (11/12/2021) (Blue)")</f>
        <v>Uncle Sams Cider (11/12/2021) (Blue)</v>
      </c>
      <c r="H6983" s="19"/>
    </row>
    <row r="6984">
      <c r="A6984" s="9"/>
      <c r="B6984" s="15"/>
      <c r="C6984" s="9">
        <f>IFERROR(__xludf.DUMMYFUNCTION("""COMPUTED_VALUE"""),44531.8981900115)</f>
        <v>44531.89819</v>
      </c>
      <c r="D6984" s="15">
        <f>IFERROR(__xludf.DUMMYFUNCTION("""COMPUTED_VALUE"""),1.028)</f>
        <v>1.028</v>
      </c>
      <c r="E6984" s="16">
        <f>IFERROR(__xludf.DUMMYFUNCTION("""COMPUTED_VALUE"""),64.0)</f>
        <v>64</v>
      </c>
      <c r="F6984" s="19" t="str">
        <f>IFERROR(__xludf.DUMMYFUNCTION("""COMPUTED_VALUE"""),"BLUE")</f>
        <v>BLUE</v>
      </c>
      <c r="G6984" s="20" t="str">
        <f>IFERROR(__xludf.DUMMYFUNCTION("""COMPUTED_VALUE"""),"Uncle Sams Cider (11/12/2021) (Blue)")</f>
        <v>Uncle Sams Cider (11/12/2021) (Blue)</v>
      </c>
      <c r="H6984" s="19"/>
    </row>
    <row r="6985">
      <c r="A6985" s="9"/>
      <c r="B6985" s="15"/>
      <c r="C6985" s="9">
        <f>IFERROR(__xludf.DUMMYFUNCTION("""COMPUTED_VALUE"""),44531.8877683333)</f>
        <v>44531.88777</v>
      </c>
      <c r="D6985" s="15">
        <f>IFERROR(__xludf.DUMMYFUNCTION("""COMPUTED_VALUE"""),1.027)</f>
        <v>1.027</v>
      </c>
      <c r="E6985" s="16">
        <f>IFERROR(__xludf.DUMMYFUNCTION("""COMPUTED_VALUE"""),64.0)</f>
        <v>64</v>
      </c>
      <c r="F6985" s="19" t="str">
        <f>IFERROR(__xludf.DUMMYFUNCTION("""COMPUTED_VALUE"""),"BLUE")</f>
        <v>BLUE</v>
      </c>
      <c r="G6985" s="20" t="str">
        <f>IFERROR(__xludf.DUMMYFUNCTION("""COMPUTED_VALUE"""),"Uncle Sams Cider (11/12/2021) (Blue)")</f>
        <v>Uncle Sams Cider (11/12/2021) (Blue)</v>
      </c>
      <c r="H6985" s="19"/>
    </row>
    <row r="6986">
      <c r="A6986" s="9"/>
      <c r="B6986" s="15"/>
      <c r="C6986" s="9">
        <f>IFERROR(__xludf.DUMMYFUNCTION("""COMPUTED_VALUE"""),44531.8773458564)</f>
        <v>44531.87735</v>
      </c>
      <c r="D6986" s="15">
        <f>IFERROR(__xludf.DUMMYFUNCTION("""COMPUTED_VALUE"""),1.027)</f>
        <v>1.027</v>
      </c>
      <c r="E6986" s="16">
        <f>IFERROR(__xludf.DUMMYFUNCTION("""COMPUTED_VALUE"""),64.0)</f>
        <v>64</v>
      </c>
      <c r="F6986" s="19" t="str">
        <f>IFERROR(__xludf.DUMMYFUNCTION("""COMPUTED_VALUE"""),"BLUE")</f>
        <v>BLUE</v>
      </c>
      <c r="G6986" s="20" t="str">
        <f>IFERROR(__xludf.DUMMYFUNCTION("""COMPUTED_VALUE"""),"Uncle Sams Cider (11/12/2021) (Blue)")</f>
        <v>Uncle Sams Cider (11/12/2021) (Blue)</v>
      </c>
      <c r="H6986" s="19"/>
    </row>
    <row r="6987">
      <c r="A6987" s="9"/>
      <c r="B6987" s="15"/>
      <c r="C6987" s="9">
        <f>IFERROR(__xludf.DUMMYFUNCTION("""COMPUTED_VALUE"""),44531.8669237384)</f>
        <v>44531.86692</v>
      </c>
      <c r="D6987" s="15">
        <f>IFERROR(__xludf.DUMMYFUNCTION("""COMPUTED_VALUE"""),1.027)</f>
        <v>1.027</v>
      </c>
      <c r="E6987" s="16">
        <f>IFERROR(__xludf.DUMMYFUNCTION("""COMPUTED_VALUE"""),64.0)</f>
        <v>64</v>
      </c>
      <c r="F6987" s="19" t="str">
        <f>IFERROR(__xludf.DUMMYFUNCTION("""COMPUTED_VALUE"""),"BLUE")</f>
        <v>BLUE</v>
      </c>
      <c r="G6987" s="20" t="str">
        <f>IFERROR(__xludf.DUMMYFUNCTION("""COMPUTED_VALUE"""),"Uncle Sams Cider (11/12/2021) (Blue)")</f>
        <v>Uncle Sams Cider (11/12/2021) (Blue)</v>
      </c>
      <c r="H6987" s="19"/>
    </row>
    <row r="6988">
      <c r="A6988" s="9"/>
      <c r="B6988" s="15"/>
      <c r="C6988" s="9">
        <f>IFERROR(__xludf.DUMMYFUNCTION("""COMPUTED_VALUE"""),44531.8565038773)</f>
        <v>44531.8565</v>
      </c>
      <c r="D6988" s="15">
        <f>IFERROR(__xludf.DUMMYFUNCTION("""COMPUTED_VALUE"""),1.027)</f>
        <v>1.027</v>
      </c>
      <c r="E6988" s="16">
        <f>IFERROR(__xludf.DUMMYFUNCTION("""COMPUTED_VALUE"""),64.0)</f>
        <v>64</v>
      </c>
      <c r="F6988" s="19" t="str">
        <f>IFERROR(__xludf.DUMMYFUNCTION("""COMPUTED_VALUE"""),"BLUE")</f>
        <v>BLUE</v>
      </c>
      <c r="G6988" s="20" t="str">
        <f>IFERROR(__xludf.DUMMYFUNCTION("""COMPUTED_VALUE"""),"Uncle Sams Cider (11/12/2021) (Blue)")</f>
        <v>Uncle Sams Cider (11/12/2021) (Blue)</v>
      </c>
      <c r="H6988" s="19"/>
    </row>
    <row r="6989">
      <c r="A6989" s="9"/>
      <c r="B6989" s="15"/>
      <c r="C6989" s="9">
        <f>IFERROR(__xludf.DUMMYFUNCTION("""COMPUTED_VALUE"""),44531.8460835185)</f>
        <v>44531.84608</v>
      </c>
      <c r="D6989" s="15">
        <f>IFERROR(__xludf.DUMMYFUNCTION("""COMPUTED_VALUE"""),1.027)</f>
        <v>1.027</v>
      </c>
      <c r="E6989" s="16">
        <f>IFERROR(__xludf.DUMMYFUNCTION("""COMPUTED_VALUE"""),64.0)</f>
        <v>64</v>
      </c>
      <c r="F6989" s="19" t="str">
        <f>IFERROR(__xludf.DUMMYFUNCTION("""COMPUTED_VALUE"""),"BLUE")</f>
        <v>BLUE</v>
      </c>
      <c r="G6989" s="20" t="str">
        <f>IFERROR(__xludf.DUMMYFUNCTION("""COMPUTED_VALUE"""),"Uncle Sams Cider (11/12/2021) (Blue)")</f>
        <v>Uncle Sams Cider (11/12/2021) (Blue)</v>
      </c>
      <c r="H6989" s="19"/>
    </row>
    <row r="6990">
      <c r="A6990" s="9"/>
      <c r="B6990" s="15"/>
      <c r="C6990" s="9">
        <f>IFERROR(__xludf.DUMMYFUNCTION("""COMPUTED_VALUE"""),44531.8356633796)</f>
        <v>44531.83566</v>
      </c>
      <c r="D6990" s="15">
        <f>IFERROR(__xludf.DUMMYFUNCTION("""COMPUTED_VALUE"""),1.027)</f>
        <v>1.027</v>
      </c>
      <c r="E6990" s="16">
        <f>IFERROR(__xludf.DUMMYFUNCTION("""COMPUTED_VALUE"""),64.0)</f>
        <v>64</v>
      </c>
      <c r="F6990" s="19" t="str">
        <f>IFERROR(__xludf.DUMMYFUNCTION("""COMPUTED_VALUE"""),"BLUE")</f>
        <v>BLUE</v>
      </c>
      <c r="G6990" s="20" t="str">
        <f>IFERROR(__xludf.DUMMYFUNCTION("""COMPUTED_VALUE"""),"Uncle Sams Cider (11/12/2021) (Blue)")</f>
        <v>Uncle Sams Cider (11/12/2021) (Blue)</v>
      </c>
      <c r="H6990" s="19"/>
    </row>
    <row r="6991">
      <c r="A6991" s="9"/>
      <c r="B6991" s="15"/>
      <c r="C6991" s="9">
        <f>IFERROR(__xludf.DUMMYFUNCTION("""COMPUTED_VALUE"""),44531.8252432175)</f>
        <v>44531.82524</v>
      </c>
      <c r="D6991" s="15">
        <f>IFERROR(__xludf.DUMMYFUNCTION("""COMPUTED_VALUE"""),1.027)</f>
        <v>1.027</v>
      </c>
      <c r="E6991" s="16">
        <f>IFERROR(__xludf.DUMMYFUNCTION("""COMPUTED_VALUE"""),64.0)</f>
        <v>64</v>
      </c>
      <c r="F6991" s="19" t="str">
        <f>IFERROR(__xludf.DUMMYFUNCTION("""COMPUTED_VALUE"""),"BLUE")</f>
        <v>BLUE</v>
      </c>
      <c r="G6991" s="20" t="str">
        <f>IFERROR(__xludf.DUMMYFUNCTION("""COMPUTED_VALUE"""),"Uncle Sams Cider (11/12/2021) (Blue)")</f>
        <v>Uncle Sams Cider (11/12/2021) (Blue)</v>
      </c>
      <c r="H6991" s="19"/>
    </row>
    <row r="6992">
      <c r="A6992" s="9"/>
      <c r="B6992" s="15"/>
      <c r="C6992" s="9">
        <f>IFERROR(__xludf.DUMMYFUNCTION("""COMPUTED_VALUE"""),44531.814821331)</f>
        <v>44531.81482</v>
      </c>
      <c r="D6992" s="15">
        <f>IFERROR(__xludf.DUMMYFUNCTION("""COMPUTED_VALUE"""),1.027)</f>
        <v>1.027</v>
      </c>
      <c r="E6992" s="16">
        <f>IFERROR(__xludf.DUMMYFUNCTION("""COMPUTED_VALUE"""),64.0)</f>
        <v>64</v>
      </c>
      <c r="F6992" s="19" t="str">
        <f>IFERROR(__xludf.DUMMYFUNCTION("""COMPUTED_VALUE"""),"BLUE")</f>
        <v>BLUE</v>
      </c>
      <c r="G6992" s="20" t="str">
        <f>IFERROR(__xludf.DUMMYFUNCTION("""COMPUTED_VALUE"""),"Uncle Sams Cider (11/12/2021) (Blue)")</f>
        <v>Uncle Sams Cider (11/12/2021) (Blue)</v>
      </c>
      <c r="H6992" s="19"/>
    </row>
    <row r="6993">
      <c r="A6993" s="9"/>
      <c r="B6993" s="15"/>
      <c r="C6993" s="9">
        <f>IFERROR(__xludf.DUMMYFUNCTION("""COMPUTED_VALUE"""),44531.8043986921)</f>
        <v>44531.8044</v>
      </c>
      <c r="D6993" s="15">
        <f>IFERROR(__xludf.DUMMYFUNCTION("""COMPUTED_VALUE"""),1.028)</f>
        <v>1.028</v>
      </c>
      <c r="E6993" s="16">
        <f>IFERROR(__xludf.DUMMYFUNCTION("""COMPUTED_VALUE"""),64.0)</f>
        <v>64</v>
      </c>
      <c r="F6993" s="19" t="str">
        <f>IFERROR(__xludf.DUMMYFUNCTION("""COMPUTED_VALUE"""),"BLUE")</f>
        <v>BLUE</v>
      </c>
      <c r="G6993" s="20" t="str">
        <f>IFERROR(__xludf.DUMMYFUNCTION("""COMPUTED_VALUE"""),"Uncle Sams Cider (11/12/2021) (Blue)")</f>
        <v>Uncle Sams Cider (11/12/2021) (Blue)</v>
      </c>
      <c r="H6993" s="19"/>
    </row>
    <row r="6994">
      <c r="A6994" s="9"/>
      <c r="B6994" s="15"/>
      <c r="C6994" s="9">
        <f>IFERROR(__xludf.DUMMYFUNCTION("""COMPUTED_VALUE"""),44531.7939761689)</f>
        <v>44531.79398</v>
      </c>
      <c r="D6994" s="15">
        <f>IFERROR(__xludf.DUMMYFUNCTION("""COMPUTED_VALUE"""),1.028)</f>
        <v>1.028</v>
      </c>
      <c r="E6994" s="16">
        <f>IFERROR(__xludf.DUMMYFUNCTION("""COMPUTED_VALUE"""),64.0)</f>
        <v>64</v>
      </c>
      <c r="F6994" s="19" t="str">
        <f>IFERROR(__xludf.DUMMYFUNCTION("""COMPUTED_VALUE"""),"BLUE")</f>
        <v>BLUE</v>
      </c>
      <c r="G6994" s="20" t="str">
        <f>IFERROR(__xludf.DUMMYFUNCTION("""COMPUTED_VALUE"""),"Uncle Sams Cider (11/12/2021) (Blue)")</f>
        <v>Uncle Sams Cider (11/12/2021) (Blue)</v>
      </c>
      <c r="H6994" s="19"/>
    </row>
    <row r="6995">
      <c r="A6995" s="9"/>
      <c r="B6995" s="15"/>
      <c r="C6995" s="9">
        <f>IFERROR(__xludf.DUMMYFUNCTION("""COMPUTED_VALUE"""),44531.7835560416)</f>
        <v>44531.78356</v>
      </c>
      <c r="D6995" s="15">
        <f>IFERROR(__xludf.DUMMYFUNCTION("""COMPUTED_VALUE"""),1.028)</f>
        <v>1.028</v>
      </c>
      <c r="E6995" s="16">
        <f>IFERROR(__xludf.DUMMYFUNCTION("""COMPUTED_VALUE"""),64.0)</f>
        <v>64</v>
      </c>
      <c r="F6995" s="19" t="str">
        <f>IFERROR(__xludf.DUMMYFUNCTION("""COMPUTED_VALUE"""),"BLUE")</f>
        <v>BLUE</v>
      </c>
      <c r="G6995" s="20" t="str">
        <f>IFERROR(__xludf.DUMMYFUNCTION("""COMPUTED_VALUE"""),"Uncle Sams Cider (11/12/2021) (Blue)")</f>
        <v>Uncle Sams Cider (11/12/2021) (Blue)</v>
      </c>
      <c r="H6995" s="19"/>
    </row>
    <row r="6996">
      <c r="A6996" s="9"/>
      <c r="B6996" s="15"/>
      <c r="C6996" s="9">
        <f>IFERROR(__xludf.DUMMYFUNCTION("""COMPUTED_VALUE"""),44531.7731011342)</f>
        <v>44531.7731</v>
      </c>
      <c r="D6996" s="15">
        <f>IFERROR(__xludf.DUMMYFUNCTION("""COMPUTED_VALUE"""),1.028)</f>
        <v>1.028</v>
      </c>
      <c r="E6996" s="16">
        <f>IFERROR(__xludf.DUMMYFUNCTION("""COMPUTED_VALUE"""),64.0)</f>
        <v>64</v>
      </c>
      <c r="F6996" s="19" t="str">
        <f>IFERROR(__xludf.DUMMYFUNCTION("""COMPUTED_VALUE"""),"BLUE")</f>
        <v>BLUE</v>
      </c>
      <c r="G6996" s="20" t="str">
        <f>IFERROR(__xludf.DUMMYFUNCTION("""COMPUTED_VALUE"""),"Uncle Sams Cider (11/12/2021) (Blue)")</f>
        <v>Uncle Sams Cider (11/12/2021) (Blue)</v>
      </c>
      <c r="H6996" s="19"/>
    </row>
    <row r="6997">
      <c r="A6997" s="9"/>
      <c r="B6997" s="15"/>
      <c r="C6997" s="9">
        <f>IFERROR(__xludf.DUMMYFUNCTION("""COMPUTED_VALUE"""),44531.7626791666)</f>
        <v>44531.76268</v>
      </c>
      <c r="D6997" s="15">
        <f>IFERROR(__xludf.DUMMYFUNCTION("""COMPUTED_VALUE"""),1.028)</f>
        <v>1.028</v>
      </c>
      <c r="E6997" s="16">
        <f>IFERROR(__xludf.DUMMYFUNCTION("""COMPUTED_VALUE"""),64.0)</f>
        <v>64</v>
      </c>
      <c r="F6997" s="19" t="str">
        <f>IFERROR(__xludf.DUMMYFUNCTION("""COMPUTED_VALUE"""),"BLUE")</f>
        <v>BLUE</v>
      </c>
      <c r="G6997" s="20" t="str">
        <f>IFERROR(__xludf.DUMMYFUNCTION("""COMPUTED_VALUE"""),"Uncle Sams Cider (11/12/2021) (Blue)")</f>
        <v>Uncle Sams Cider (11/12/2021) (Blue)</v>
      </c>
      <c r="H6997" s="19"/>
    </row>
    <row r="6998">
      <c r="A6998" s="9"/>
      <c r="B6998" s="15"/>
      <c r="C6998" s="9">
        <f>IFERROR(__xludf.DUMMYFUNCTION("""COMPUTED_VALUE"""),44531.7522558912)</f>
        <v>44531.75226</v>
      </c>
      <c r="D6998" s="15">
        <f>IFERROR(__xludf.DUMMYFUNCTION("""COMPUTED_VALUE"""),1.027)</f>
        <v>1.027</v>
      </c>
      <c r="E6998" s="16">
        <f>IFERROR(__xludf.DUMMYFUNCTION("""COMPUTED_VALUE"""),64.0)</f>
        <v>64</v>
      </c>
      <c r="F6998" s="19" t="str">
        <f>IFERROR(__xludf.DUMMYFUNCTION("""COMPUTED_VALUE"""),"BLUE")</f>
        <v>BLUE</v>
      </c>
      <c r="G6998" s="20" t="str">
        <f>IFERROR(__xludf.DUMMYFUNCTION("""COMPUTED_VALUE"""),"Uncle Sams Cider (11/12/2021) (Blue)")</f>
        <v>Uncle Sams Cider (11/12/2021) (Blue)</v>
      </c>
      <c r="H6998" s="19"/>
    </row>
    <row r="6999">
      <c r="A6999" s="9"/>
      <c r="B6999" s="15"/>
      <c r="C6999" s="9">
        <f>IFERROR(__xludf.DUMMYFUNCTION("""COMPUTED_VALUE"""),44531.7418140277)</f>
        <v>44531.74181</v>
      </c>
      <c r="D6999" s="15">
        <f>IFERROR(__xludf.DUMMYFUNCTION("""COMPUTED_VALUE"""),1.028)</f>
        <v>1.028</v>
      </c>
      <c r="E6999" s="16">
        <f>IFERROR(__xludf.DUMMYFUNCTION("""COMPUTED_VALUE"""),64.0)</f>
        <v>64</v>
      </c>
      <c r="F6999" s="19" t="str">
        <f>IFERROR(__xludf.DUMMYFUNCTION("""COMPUTED_VALUE"""),"BLUE")</f>
        <v>BLUE</v>
      </c>
      <c r="G6999" s="20" t="str">
        <f>IFERROR(__xludf.DUMMYFUNCTION("""COMPUTED_VALUE"""),"Uncle Sams Cider (11/12/2021) (Blue)")</f>
        <v>Uncle Sams Cider (11/12/2021) (Blue)</v>
      </c>
      <c r="H6999" s="19"/>
    </row>
    <row r="7000">
      <c r="A7000" s="9"/>
      <c r="B7000" s="15"/>
      <c r="C7000" s="9">
        <f>IFERROR(__xludf.DUMMYFUNCTION("""COMPUTED_VALUE"""),44531.7313925231)</f>
        <v>44531.73139</v>
      </c>
      <c r="D7000" s="15">
        <f>IFERROR(__xludf.DUMMYFUNCTION("""COMPUTED_VALUE"""),1.028)</f>
        <v>1.028</v>
      </c>
      <c r="E7000" s="16">
        <f>IFERROR(__xludf.DUMMYFUNCTION("""COMPUTED_VALUE"""),64.0)</f>
        <v>64</v>
      </c>
      <c r="F7000" s="19" t="str">
        <f>IFERROR(__xludf.DUMMYFUNCTION("""COMPUTED_VALUE"""),"BLUE")</f>
        <v>BLUE</v>
      </c>
      <c r="G7000" s="20" t="str">
        <f>IFERROR(__xludf.DUMMYFUNCTION("""COMPUTED_VALUE"""),"Uncle Sams Cider (11/12/2021) (Blue)")</f>
        <v>Uncle Sams Cider (11/12/2021) (Blue)</v>
      </c>
      <c r="H7000" s="19"/>
    </row>
    <row r="7001">
      <c r="A7001" s="9"/>
      <c r="B7001" s="15"/>
      <c r="C7001" s="9">
        <f>IFERROR(__xludf.DUMMYFUNCTION("""COMPUTED_VALUE"""),44531.7209718981)</f>
        <v>44531.72097</v>
      </c>
      <c r="D7001" s="15">
        <f>IFERROR(__xludf.DUMMYFUNCTION("""COMPUTED_VALUE"""),1.028)</f>
        <v>1.028</v>
      </c>
      <c r="E7001" s="16">
        <f>IFERROR(__xludf.DUMMYFUNCTION("""COMPUTED_VALUE"""),64.0)</f>
        <v>64</v>
      </c>
      <c r="F7001" s="19" t="str">
        <f>IFERROR(__xludf.DUMMYFUNCTION("""COMPUTED_VALUE"""),"BLUE")</f>
        <v>BLUE</v>
      </c>
      <c r="G7001" s="20" t="str">
        <f>IFERROR(__xludf.DUMMYFUNCTION("""COMPUTED_VALUE"""),"Uncle Sams Cider (11/12/2021) (Blue)")</f>
        <v>Uncle Sams Cider (11/12/2021) (Blue)</v>
      </c>
      <c r="H7001" s="19"/>
    </row>
    <row r="7002">
      <c r="A7002" s="9"/>
      <c r="B7002" s="15"/>
      <c r="C7002" s="9">
        <f>IFERROR(__xludf.DUMMYFUNCTION("""COMPUTED_VALUE"""),44531.7105502893)</f>
        <v>44531.71055</v>
      </c>
      <c r="D7002" s="15">
        <f>IFERROR(__xludf.DUMMYFUNCTION("""COMPUTED_VALUE"""),1.028)</f>
        <v>1.028</v>
      </c>
      <c r="E7002" s="16">
        <f>IFERROR(__xludf.DUMMYFUNCTION("""COMPUTED_VALUE"""),64.0)</f>
        <v>64</v>
      </c>
      <c r="F7002" s="19" t="str">
        <f>IFERROR(__xludf.DUMMYFUNCTION("""COMPUTED_VALUE"""),"BLUE")</f>
        <v>BLUE</v>
      </c>
      <c r="G7002" s="20" t="str">
        <f>IFERROR(__xludf.DUMMYFUNCTION("""COMPUTED_VALUE"""),"Uncle Sams Cider (11/12/2021) (Blue)")</f>
        <v>Uncle Sams Cider (11/12/2021) (Blue)</v>
      </c>
      <c r="H7002" s="19"/>
    </row>
    <row r="7003">
      <c r="A7003" s="9"/>
      <c r="B7003" s="15"/>
      <c r="C7003" s="9">
        <f>IFERROR(__xludf.DUMMYFUNCTION("""COMPUTED_VALUE"""),44531.7001304629)</f>
        <v>44531.70013</v>
      </c>
      <c r="D7003" s="15">
        <f>IFERROR(__xludf.DUMMYFUNCTION("""COMPUTED_VALUE"""),1.028)</f>
        <v>1.028</v>
      </c>
      <c r="E7003" s="16">
        <f>IFERROR(__xludf.DUMMYFUNCTION("""COMPUTED_VALUE"""),64.0)</f>
        <v>64</v>
      </c>
      <c r="F7003" s="19" t="str">
        <f>IFERROR(__xludf.DUMMYFUNCTION("""COMPUTED_VALUE"""),"BLUE")</f>
        <v>BLUE</v>
      </c>
      <c r="G7003" s="20" t="str">
        <f>IFERROR(__xludf.DUMMYFUNCTION("""COMPUTED_VALUE"""),"Uncle Sams Cider (11/12/2021) (Blue)")</f>
        <v>Uncle Sams Cider (11/12/2021) (Blue)</v>
      </c>
      <c r="H7003" s="19"/>
    </row>
    <row r="7004">
      <c r="A7004" s="9"/>
      <c r="B7004" s="15"/>
      <c r="C7004" s="9">
        <f>IFERROR(__xludf.DUMMYFUNCTION("""COMPUTED_VALUE"""),44531.6897093287)</f>
        <v>44531.68971</v>
      </c>
      <c r="D7004" s="15">
        <f>IFERROR(__xludf.DUMMYFUNCTION("""COMPUTED_VALUE"""),1.028)</f>
        <v>1.028</v>
      </c>
      <c r="E7004" s="16">
        <f>IFERROR(__xludf.DUMMYFUNCTION("""COMPUTED_VALUE"""),64.0)</f>
        <v>64</v>
      </c>
      <c r="F7004" s="19" t="str">
        <f>IFERROR(__xludf.DUMMYFUNCTION("""COMPUTED_VALUE"""),"BLUE")</f>
        <v>BLUE</v>
      </c>
      <c r="G7004" s="20" t="str">
        <f>IFERROR(__xludf.DUMMYFUNCTION("""COMPUTED_VALUE"""),"Uncle Sams Cider (11/12/2021) (Blue)")</f>
        <v>Uncle Sams Cider (11/12/2021) (Blue)</v>
      </c>
      <c r="H7004" s="19"/>
    </row>
    <row r="7005">
      <c r="A7005" s="9"/>
      <c r="B7005" s="15"/>
      <c r="C7005" s="9">
        <f>IFERROR(__xludf.DUMMYFUNCTION("""COMPUTED_VALUE"""),44531.679287581)</f>
        <v>44531.67929</v>
      </c>
      <c r="D7005" s="15">
        <f>IFERROR(__xludf.DUMMYFUNCTION("""COMPUTED_VALUE"""),1.028)</f>
        <v>1.028</v>
      </c>
      <c r="E7005" s="16">
        <f>IFERROR(__xludf.DUMMYFUNCTION("""COMPUTED_VALUE"""),64.0)</f>
        <v>64</v>
      </c>
      <c r="F7005" s="19" t="str">
        <f>IFERROR(__xludf.DUMMYFUNCTION("""COMPUTED_VALUE"""),"BLUE")</f>
        <v>BLUE</v>
      </c>
      <c r="G7005" s="20" t="str">
        <f>IFERROR(__xludf.DUMMYFUNCTION("""COMPUTED_VALUE"""),"Uncle Sams Cider (11/12/2021) (Blue)")</f>
        <v>Uncle Sams Cider (11/12/2021) (Blue)</v>
      </c>
      <c r="H7005" s="19"/>
    </row>
    <row r="7006">
      <c r="A7006" s="9"/>
      <c r="B7006" s="15"/>
      <c r="C7006" s="9">
        <f>IFERROR(__xludf.DUMMYFUNCTION("""COMPUTED_VALUE"""),44531.6688663888)</f>
        <v>44531.66887</v>
      </c>
      <c r="D7006" s="15">
        <f>IFERROR(__xludf.DUMMYFUNCTION("""COMPUTED_VALUE"""),1.028)</f>
        <v>1.028</v>
      </c>
      <c r="E7006" s="16">
        <f>IFERROR(__xludf.DUMMYFUNCTION("""COMPUTED_VALUE"""),64.0)</f>
        <v>64</v>
      </c>
      <c r="F7006" s="19" t="str">
        <f>IFERROR(__xludf.DUMMYFUNCTION("""COMPUTED_VALUE"""),"BLUE")</f>
        <v>BLUE</v>
      </c>
      <c r="G7006" s="20" t="str">
        <f>IFERROR(__xludf.DUMMYFUNCTION("""COMPUTED_VALUE"""),"Uncle Sams Cider (11/12/2021) (Blue)")</f>
        <v>Uncle Sams Cider (11/12/2021) (Blue)</v>
      </c>
      <c r="H7006" s="19"/>
    </row>
    <row r="7007">
      <c r="A7007" s="9"/>
      <c r="B7007" s="15"/>
      <c r="C7007" s="9">
        <f>IFERROR(__xludf.DUMMYFUNCTION("""COMPUTED_VALUE"""),44531.6584447685)</f>
        <v>44531.65844</v>
      </c>
      <c r="D7007" s="15">
        <f>IFERROR(__xludf.DUMMYFUNCTION("""COMPUTED_VALUE"""),1.028)</f>
        <v>1.028</v>
      </c>
      <c r="E7007" s="16">
        <f>IFERROR(__xludf.DUMMYFUNCTION("""COMPUTED_VALUE"""),64.0)</f>
        <v>64</v>
      </c>
      <c r="F7007" s="19" t="str">
        <f>IFERROR(__xludf.DUMMYFUNCTION("""COMPUTED_VALUE"""),"BLUE")</f>
        <v>BLUE</v>
      </c>
      <c r="G7007" s="20" t="str">
        <f>IFERROR(__xludf.DUMMYFUNCTION("""COMPUTED_VALUE"""),"Uncle Sams Cider (11/12/2021) (Blue)")</f>
        <v>Uncle Sams Cider (11/12/2021) (Blue)</v>
      </c>
      <c r="H7007" s="19"/>
    </row>
    <row r="7008">
      <c r="A7008" s="9"/>
      <c r="B7008" s="15"/>
      <c r="C7008" s="9">
        <f>IFERROR(__xludf.DUMMYFUNCTION("""COMPUTED_VALUE"""),44531.6480235532)</f>
        <v>44531.64802</v>
      </c>
      <c r="D7008" s="15">
        <f>IFERROR(__xludf.DUMMYFUNCTION("""COMPUTED_VALUE"""),1.028)</f>
        <v>1.028</v>
      </c>
      <c r="E7008" s="16">
        <f>IFERROR(__xludf.DUMMYFUNCTION("""COMPUTED_VALUE"""),64.0)</f>
        <v>64</v>
      </c>
      <c r="F7008" s="19" t="str">
        <f>IFERROR(__xludf.DUMMYFUNCTION("""COMPUTED_VALUE"""),"BLUE")</f>
        <v>BLUE</v>
      </c>
      <c r="G7008" s="20" t="str">
        <f>IFERROR(__xludf.DUMMYFUNCTION("""COMPUTED_VALUE"""),"Uncle Sams Cider (11/12/2021) (Blue)")</f>
        <v>Uncle Sams Cider (11/12/2021) (Blue)</v>
      </c>
      <c r="H7008" s="19"/>
    </row>
    <row r="7009">
      <c r="A7009" s="9"/>
      <c r="B7009" s="15"/>
      <c r="C7009" s="9">
        <f>IFERROR(__xludf.DUMMYFUNCTION("""COMPUTED_VALUE"""),44531.6376010416)</f>
        <v>44531.6376</v>
      </c>
      <c r="D7009" s="15">
        <f>IFERROR(__xludf.DUMMYFUNCTION("""COMPUTED_VALUE"""),1.028)</f>
        <v>1.028</v>
      </c>
      <c r="E7009" s="16">
        <f>IFERROR(__xludf.DUMMYFUNCTION("""COMPUTED_VALUE"""),64.0)</f>
        <v>64</v>
      </c>
      <c r="F7009" s="19" t="str">
        <f>IFERROR(__xludf.DUMMYFUNCTION("""COMPUTED_VALUE"""),"BLUE")</f>
        <v>BLUE</v>
      </c>
      <c r="G7009" s="20" t="str">
        <f>IFERROR(__xludf.DUMMYFUNCTION("""COMPUTED_VALUE"""),"Uncle Sams Cider (11/12/2021) (Blue)")</f>
        <v>Uncle Sams Cider (11/12/2021) (Blue)</v>
      </c>
      <c r="H7009" s="19"/>
    </row>
    <row r="7010">
      <c r="A7010" s="9"/>
      <c r="B7010" s="15"/>
      <c r="C7010" s="9">
        <f>IFERROR(__xludf.DUMMYFUNCTION("""COMPUTED_VALUE"""),44531.6271553472)</f>
        <v>44531.62716</v>
      </c>
      <c r="D7010" s="15">
        <f>IFERROR(__xludf.DUMMYFUNCTION("""COMPUTED_VALUE"""),1.028)</f>
        <v>1.028</v>
      </c>
      <c r="E7010" s="16">
        <f>IFERROR(__xludf.DUMMYFUNCTION("""COMPUTED_VALUE"""),64.0)</f>
        <v>64</v>
      </c>
      <c r="F7010" s="19" t="str">
        <f>IFERROR(__xludf.DUMMYFUNCTION("""COMPUTED_VALUE"""),"BLUE")</f>
        <v>BLUE</v>
      </c>
      <c r="G7010" s="20" t="str">
        <f>IFERROR(__xludf.DUMMYFUNCTION("""COMPUTED_VALUE"""),"Uncle Sams Cider (11/12/2021) (Blue)")</f>
        <v>Uncle Sams Cider (11/12/2021) (Blue)</v>
      </c>
      <c r="H7010" s="19"/>
    </row>
    <row r="7011">
      <c r="A7011" s="9"/>
      <c r="B7011" s="15"/>
      <c r="C7011" s="9">
        <f>IFERROR(__xludf.DUMMYFUNCTION("""COMPUTED_VALUE"""),44531.6167226851)</f>
        <v>44531.61672</v>
      </c>
      <c r="D7011" s="15">
        <f>IFERROR(__xludf.DUMMYFUNCTION("""COMPUTED_VALUE"""),1.028)</f>
        <v>1.028</v>
      </c>
      <c r="E7011" s="16">
        <f>IFERROR(__xludf.DUMMYFUNCTION("""COMPUTED_VALUE"""),64.0)</f>
        <v>64</v>
      </c>
      <c r="F7011" s="19" t="str">
        <f>IFERROR(__xludf.DUMMYFUNCTION("""COMPUTED_VALUE"""),"BLUE")</f>
        <v>BLUE</v>
      </c>
      <c r="G7011" s="20" t="str">
        <f>IFERROR(__xludf.DUMMYFUNCTION("""COMPUTED_VALUE"""),"Uncle Sams Cider (11/12/2021) (Blue)")</f>
        <v>Uncle Sams Cider (11/12/2021) (Blue)</v>
      </c>
      <c r="H7011" s="19"/>
    </row>
    <row r="7012">
      <c r="A7012" s="9"/>
      <c r="B7012" s="15"/>
      <c r="C7012" s="9">
        <f>IFERROR(__xludf.DUMMYFUNCTION("""COMPUTED_VALUE"""),44531.6062897106)</f>
        <v>44531.60629</v>
      </c>
      <c r="D7012" s="15">
        <f>IFERROR(__xludf.DUMMYFUNCTION("""COMPUTED_VALUE"""),1.028)</f>
        <v>1.028</v>
      </c>
      <c r="E7012" s="16">
        <f>IFERROR(__xludf.DUMMYFUNCTION("""COMPUTED_VALUE"""),64.0)</f>
        <v>64</v>
      </c>
      <c r="F7012" s="19" t="str">
        <f>IFERROR(__xludf.DUMMYFUNCTION("""COMPUTED_VALUE"""),"BLUE")</f>
        <v>BLUE</v>
      </c>
      <c r="G7012" s="20" t="str">
        <f>IFERROR(__xludf.DUMMYFUNCTION("""COMPUTED_VALUE"""),"Uncle Sams Cider (11/12/2021) (Blue)")</f>
        <v>Uncle Sams Cider (11/12/2021) (Blue)</v>
      </c>
      <c r="H7012" s="19"/>
    </row>
    <row r="7013">
      <c r="A7013" s="9"/>
      <c r="B7013" s="15"/>
      <c r="C7013" s="9">
        <f>IFERROR(__xludf.DUMMYFUNCTION("""COMPUTED_VALUE"""),44531.595869155)</f>
        <v>44531.59587</v>
      </c>
      <c r="D7013" s="15">
        <f>IFERROR(__xludf.DUMMYFUNCTION("""COMPUTED_VALUE"""),1.028)</f>
        <v>1.028</v>
      </c>
      <c r="E7013" s="16">
        <f>IFERROR(__xludf.DUMMYFUNCTION("""COMPUTED_VALUE"""),64.0)</f>
        <v>64</v>
      </c>
      <c r="F7013" s="19" t="str">
        <f>IFERROR(__xludf.DUMMYFUNCTION("""COMPUTED_VALUE"""),"BLUE")</f>
        <v>BLUE</v>
      </c>
      <c r="G7013" s="20" t="str">
        <f>IFERROR(__xludf.DUMMYFUNCTION("""COMPUTED_VALUE"""),"Uncle Sams Cider (11/12/2021) (Blue)")</f>
        <v>Uncle Sams Cider (11/12/2021) (Blue)</v>
      </c>
      <c r="H7013" s="19"/>
    </row>
    <row r="7014">
      <c r="A7014" s="9"/>
      <c r="B7014" s="15"/>
      <c r="C7014" s="9">
        <f>IFERROR(__xludf.DUMMYFUNCTION("""COMPUTED_VALUE"""),44531.5854465509)</f>
        <v>44531.58545</v>
      </c>
      <c r="D7014" s="15">
        <f>IFERROR(__xludf.DUMMYFUNCTION("""COMPUTED_VALUE"""),1.028)</f>
        <v>1.028</v>
      </c>
      <c r="E7014" s="16">
        <f>IFERROR(__xludf.DUMMYFUNCTION("""COMPUTED_VALUE"""),64.0)</f>
        <v>64</v>
      </c>
      <c r="F7014" s="19" t="str">
        <f>IFERROR(__xludf.DUMMYFUNCTION("""COMPUTED_VALUE"""),"BLUE")</f>
        <v>BLUE</v>
      </c>
      <c r="G7014" s="20" t="str">
        <f>IFERROR(__xludf.DUMMYFUNCTION("""COMPUTED_VALUE"""),"Uncle Sams Cider (11/12/2021) (Blue)")</f>
        <v>Uncle Sams Cider (11/12/2021) (Blue)</v>
      </c>
      <c r="H7014" s="19"/>
    </row>
    <row r="7015">
      <c r="A7015" s="9"/>
      <c r="B7015" s="15"/>
      <c r="C7015" s="9">
        <f>IFERROR(__xludf.DUMMYFUNCTION("""COMPUTED_VALUE"""),44531.5750243171)</f>
        <v>44531.57502</v>
      </c>
      <c r="D7015" s="15">
        <f>IFERROR(__xludf.DUMMYFUNCTION("""COMPUTED_VALUE"""),1.028)</f>
        <v>1.028</v>
      </c>
      <c r="E7015" s="16">
        <f>IFERROR(__xludf.DUMMYFUNCTION("""COMPUTED_VALUE"""),64.0)</f>
        <v>64</v>
      </c>
      <c r="F7015" s="19" t="str">
        <f>IFERROR(__xludf.DUMMYFUNCTION("""COMPUTED_VALUE"""),"BLUE")</f>
        <v>BLUE</v>
      </c>
      <c r="G7015" s="20" t="str">
        <f>IFERROR(__xludf.DUMMYFUNCTION("""COMPUTED_VALUE"""),"Uncle Sams Cider (11/12/2021) (Blue)")</f>
        <v>Uncle Sams Cider (11/12/2021) (Blue)</v>
      </c>
      <c r="H7015" s="19"/>
    </row>
    <row r="7016">
      <c r="A7016" s="9"/>
      <c r="B7016" s="15"/>
      <c r="C7016" s="9">
        <f>IFERROR(__xludf.DUMMYFUNCTION("""COMPUTED_VALUE"""),44531.5646023726)</f>
        <v>44531.5646</v>
      </c>
      <c r="D7016" s="15">
        <f>IFERROR(__xludf.DUMMYFUNCTION("""COMPUTED_VALUE"""),1.028)</f>
        <v>1.028</v>
      </c>
      <c r="E7016" s="16">
        <f>IFERROR(__xludf.DUMMYFUNCTION("""COMPUTED_VALUE"""),64.0)</f>
        <v>64</v>
      </c>
      <c r="F7016" s="19" t="str">
        <f>IFERROR(__xludf.DUMMYFUNCTION("""COMPUTED_VALUE"""),"BLUE")</f>
        <v>BLUE</v>
      </c>
      <c r="G7016" s="20" t="str">
        <f>IFERROR(__xludf.DUMMYFUNCTION("""COMPUTED_VALUE"""),"Uncle Sams Cider (11/12/2021) (Blue)")</f>
        <v>Uncle Sams Cider (11/12/2021) (Blue)</v>
      </c>
      <c r="H7016" s="19"/>
    </row>
    <row r="7017">
      <c r="A7017" s="9"/>
      <c r="B7017" s="15"/>
      <c r="C7017" s="9">
        <f>IFERROR(__xludf.DUMMYFUNCTION("""COMPUTED_VALUE"""),44531.5541817592)</f>
        <v>44531.55418</v>
      </c>
      <c r="D7017" s="15">
        <f>IFERROR(__xludf.DUMMYFUNCTION("""COMPUTED_VALUE"""),1.028)</f>
        <v>1.028</v>
      </c>
      <c r="E7017" s="16">
        <f>IFERROR(__xludf.DUMMYFUNCTION("""COMPUTED_VALUE"""),64.0)</f>
        <v>64</v>
      </c>
      <c r="F7017" s="19" t="str">
        <f>IFERROR(__xludf.DUMMYFUNCTION("""COMPUTED_VALUE"""),"BLUE")</f>
        <v>BLUE</v>
      </c>
      <c r="G7017" s="20" t="str">
        <f>IFERROR(__xludf.DUMMYFUNCTION("""COMPUTED_VALUE"""),"Uncle Sams Cider (11/12/2021) (Blue)")</f>
        <v>Uncle Sams Cider (11/12/2021) (Blue)</v>
      </c>
      <c r="H7017" s="19"/>
    </row>
    <row r="7018">
      <c r="A7018" s="9"/>
      <c r="B7018" s="15"/>
      <c r="C7018" s="9">
        <f>IFERROR(__xludf.DUMMYFUNCTION("""COMPUTED_VALUE"""),44531.5437601388)</f>
        <v>44531.54376</v>
      </c>
      <c r="D7018" s="15">
        <f>IFERROR(__xludf.DUMMYFUNCTION("""COMPUTED_VALUE"""),1.028)</f>
        <v>1.028</v>
      </c>
      <c r="E7018" s="16">
        <f>IFERROR(__xludf.DUMMYFUNCTION("""COMPUTED_VALUE"""),64.0)</f>
        <v>64</v>
      </c>
      <c r="F7018" s="19" t="str">
        <f>IFERROR(__xludf.DUMMYFUNCTION("""COMPUTED_VALUE"""),"BLUE")</f>
        <v>BLUE</v>
      </c>
      <c r="G7018" s="20" t="str">
        <f>IFERROR(__xludf.DUMMYFUNCTION("""COMPUTED_VALUE"""),"Uncle Sams Cider (11/12/2021) (Blue)")</f>
        <v>Uncle Sams Cider (11/12/2021) (Blue)</v>
      </c>
      <c r="H7018" s="19"/>
    </row>
    <row r="7019">
      <c r="A7019" s="9"/>
      <c r="B7019" s="15"/>
      <c r="C7019" s="9">
        <f>IFERROR(__xludf.DUMMYFUNCTION("""COMPUTED_VALUE"""),44531.5333381018)</f>
        <v>44531.53334</v>
      </c>
      <c r="D7019" s="15">
        <f>IFERROR(__xludf.DUMMYFUNCTION("""COMPUTED_VALUE"""),1.028)</f>
        <v>1.028</v>
      </c>
      <c r="E7019" s="16">
        <f>IFERROR(__xludf.DUMMYFUNCTION("""COMPUTED_VALUE"""),64.0)</f>
        <v>64</v>
      </c>
      <c r="F7019" s="19" t="str">
        <f>IFERROR(__xludf.DUMMYFUNCTION("""COMPUTED_VALUE"""),"BLUE")</f>
        <v>BLUE</v>
      </c>
      <c r="G7019" s="20" t="str">
        <f>IFERROR(__xludf.DUMMYFUNCTION("""COMPUTED_VALUE"""),"Uncle Sams Cider (11/12/2021) (Blue)")</f>
        <v>Uncle Sams Cider (11/12/2021) (Blue)</v>
      </c>
      <c r="H7019" s="19"/>
    </row>
    <row r="7020">
      <c r="A7020" s="9"/>
      <c r="B7020" s="15"/>
      <c r="C7020" s="9">
        <f>IFERROR(__xludf.DUMMYFUNCTION("""COMPUTED_VALUE"""),44531.5124856018)</f>
        <v>44531.51249</v>
      </c>
      <c r="D7020" s="15">
        <f>IFERROR(__xludf.DUMMYFUNCTION("""COMPUTED_VALUE"""),1.028)</f>
        <v>1.028</v>
      </c>
      <c r="E7020" s="16">
        <f>IFERROR(__xludf.DUMMYFUNCTION("""COMPUTED_VALUE"""),64.0)</f>
        <v>64</v>
      </c>
      <c r="F7020" s="19" t="str">
        <f>IFERROR(__xludf.DUMMYFUNCTION("""COMPUTED_VALUE"""),"BLUE")</f>
        <v>BLUE</v>
      </c>
      <c r="G7020" s="20" t="str">
        <f>IFERROR(__xludf.DUMMYFUNCTION("""COMPUTED_VALUE"""),"Uncle Sams Cider (11/12/2021) (Blue)")</f>
        <v>Uncle Sams Cider (11/12/2021) (Blue)</v>
      </c>
      <c r="H7020" s="19"/>
    </row>
    <row r="7021">
      <c r="A7021" s="9"/>
      <c r="B7021" s="15"/>
      <c r="C7021" s="9">
        <f>IFERROR(__xludf.DUMMYFUNCTION("""COMPUTED_VALUE"""),44531.5020640624)</f>
        <v>44531.50206</v>
      </c>
      <c r="D7021" s="15">
        <f>IFERROR(__xludf.DUMMYFUNCTION("""COMPUTED_VALUE"""),1.028)</f>
        <v>1.028</v>
      </c>
      <c r="E7021" s="16">
        <f>IFERROR(__xludf.DUMMYFUNCTION("""COMPUTED_VALUE"""),64.0)</f>
        <v>64</v>
      </c>
      <c r="F7021" s="19" t="str">
        <f>IFERROR(__xludf.DUMMYFUNCTION("""COMPUTED_VALUE"""),"BLUE")</f>
        <v>BLUE</v>
      </c>
      <c r="G7021" s="20" t="str">
        <f>IFERROR(__xludf.DUMMYFUNCTION("""COMPUTED_VALUE"""),"Uncle Sams Cider (11/12/2021) (Blue)")</f>
        <v>Uncle Sams Cider (11/12/2021) (Blue)</v>
      </c>
      <c r="H7021" s="19"/>
    </row>
    <row r="7022">
      <c r="A7022" s="9"/>
      <c r="B7022" s="15"/>
      <c r="C7022" s="9">
        <f>IFERROR(__xludf.DUMMYFUNCTION("""COMPUTED_VALUE"""),44531.4916429513)</f>
        <v>44531.49164</v>
      </c>
      <c r="D7022" s="15">
        <f>IFERROR(__xludf.DUMMYFUNCTION("""COMPUTED_VALUE"""),1.028)</f>
        <v>1.028</v>
      </c>
      <c r="E7022" s="16">
        <f>IFERROR(__xludf.DUMMYFUNCTION("""COMPUTED_VALUE"""),64.0)</f>
        <v>64</v>
      </c>
      <c r="F7022" s="19" t="str">
        <f>IFERROR(__xludf.DUMMYFUNCTION("""COMPUTED_VALUE"""),"BLUE")</f>
        <v>BLUE</v>
      </c>
      <c r="G7022" s="20" t="str">
        <f>IFERROR(__xludf.DUMMYFUNCTION("""COMPUTED_VALUE"""),"Uncle Sams Cider (11/12/2021) (Blue)")</f>
        <v>Uncle Sams Cider (11/12/2021) (Blue)</v>
      </c>
      <c r="H7022" s="19"/>
    </row>
    <row r="7023">
      <c r="A7023" s="9"/>
      <c r="B7023" s="15"/>
      <c r="C7023" s="9">
        <f>IFERROR(__xludf.DUMMYFUNCTION("""COMPUTED_VALUE"""),44531.4812215393)</f>
        <v>44531.48122</v>
      </c>
      <c r="D7023" s="15">
        <f>IFERROR(__xludf.DUMMYFUNCTION("""COMPUTED_VALUE"""),1.028)</f>
        <v>1.028</v>
      </c>
      <c r="E7023" s="16">
        <f>IFERROR(__xludf.DUMMYFUNCTION("""COMPUTED_VALUE"""),64.0)</f>
        <v>64</v>
      </c>
      <c r="F7023" s="19" t="str">
        <f>IFERROR(__xludf.DUMMYFUNCTION("""COMPUTED_VALUE"""),"BLUE")</f>
        <v>BLUE</v>
      </c>
      <c r="G7023" s="20" t="str">
        <f>IFERROR(__xludf.DUMMYFUNCTION("""COMPUTED_VALUE"""),"Uncle Sams Cider (11/12/2021) (Blue)")</f>
        <v>Uncle Sams Cider (11/12/2021) (Blue)</v>
      </c>
      <c r="H7023" s="19"/>
    </row>
    <row r="7024">
      <c r="A7024" s="9"/>
      <c r="B7024" s="15"/>
      <c r="C7024" s="9">
        <f>IFERROR(__xludf.DUMMYFUNCTION("""COMPUTED_VALUE"""),44531.4708004513)</f>
        <v>44531.4708</v>
      </c>
      <c r="D7024" s="15">
        <f>IFERROR(__xludf.DUMMYFUNCTION("""COMPUTED_VALUE"""),1.028)</f>
        <v>1.028</v>
      </c>
      <c r="E7024" s="16">
        <f>IFERROR(__xludf.DUMMYFUNCTION("""COMPUTED_VALUE"""),64.0)</f>
        <v>64</v>
      </c>
      <c r="F7024" s="19" t="str">
        <f>IFERROR(__xludf.DUMMYFUNCTION("""COMPUTED_VALUE"""),"BLUE")</f>
        <v>BLUE</v>
      </c>
      <c r="G7024" s="20" t="str">
        <f>IFERROR(__xludf.DUMMYFUNCTION("""COMPUTED_VALUE"""),"Uncle Sams Cider (11/12/2021) (Blue)")</f>
        <v>Uncle Sams Cider (11/12/2021) (Blue)</v>
      </c>
      <c r="H7024" s="19"/>
    </row>
    <row r="7025">
      <c r="A7025" s="9"/>
      <c r="B7025" s="15"/>
      <c r="C7025" s="9">
        <f>IFERROR(__xludf.DUMMYFUNCTION("""COMPUTED_VALUE"""),44531.4603802661)</f>
        <v>44531.46038</v>
      </c>
      <c r="D7025" s="15">
        <f>IFERROR(__xludf.DUMMYFUNCTION("""COMPUTED_VALUE"""),1.028)</f>
        <v>1.028</v>
      </c>
      <c r="E7025" s="16">
        <f>IFERROR(__xludf.DUMMYFUNCTION("""COMPUTED_VALUE"""),64.0)</f>
        <v>64</v>
      </c>
      <c r="F7025" s="19" t="str">
        <f>IFERROR(__xludf.DUMMYFUNCTION("""COMPUTED_VALUE"""),"BLUE")</f>
        <v>BLUE</v>
      </c>
      <c r="G7025" s="20" t="str">
        <f>IFERROR(__xludf.DUMMYFUNCTION("""COMPUTED_VALUE"""),"Uncle Sams Cider (11/12/2021) (Blue)")</f>
        <v>Uncle Sams Cider (11/12/2021) (Blue)</v>
      </c>
      <c r="H7025" s="19"/>
    </row>
    <row r="7026">
      <c r="A7026" s="9"/>
      <c r="B7026" s="15"/>
      <c r="C7026" s="9">
        <f>IFERROR(__xludf.DUMMYFUNCTION("""COMPUTED_VALUE"""),44531.4499608101)</f>
        <v>44531.44996</v>
      </c>
      <c r="D7026" s="15">
        <f>IFERROR(__xludf.DUMMYFUNCTION("""COMPUTED_VALUE"""),1.028)</f>
        <v>1.028</v>
      </c>
      <c r="E7026" s="16">
        <f>IFERROR(__xludf.DUMMYFUNCTION("""COMPUTED_VALUE"""),64.0)</f>
        <v>64</v>
      </c>
      <c r="F7026" s="19" t="str">
        <f>IFERROR(__xludf.DUMMYFUNCTION("""COMPUTED_VALUE"""),"BLUE")</f>
        <v>BLUE</v>
      </c>
      <c r="G7026" s="20" t="str">
        <f>IFERROR(__xludf.DUMMYFUNCTION("""COMPUTED_VALUE"""),"Uncle Sams Cider (11/12/2021) (Blue)")</f>
        <v>Uncle Sams Cider (11/12/2021) (Blue)</v>
      </c>
      <c r="H7026" s="19"/>
    </row>
    <row r="7027">
      <c r="A7027" s="9"/>
      <c r="B7027" s="15"/>
      <c r="C7027" s="9">
        <f>IFERROR(__xludf.DUMMYFUNCTION("""COMPUTED_VALUE"""),44531.4395403472)</f>
        <v>44531.43954</v>
      </c>
      <c r="D7027" s="15">
        <f>IFERROR(__xludf.DUMMYFUNCTION("""COMPUTED_VALUE"""),1.028)</f>
        <v>1.028</v>
      </c>
      <c r="E7027" s="16">
        <f>IFERROR(__xludf.DUMMYFUNCTION("""COMPUTED_VALUE"""),64.0)</f>
        <v>64</v>
      </c>
      <c r="F7027" s="19" t="str">
        <f>IFERROR(__xludf.DUMMYFUNCTION("""COMPUTED_VALUE"""),"BLUE")</f>
        <v>BLUE</v>
      </c>
      <c r="G7027" s="20" t="str">
        <f>IFERROR(__xludf.DUMMYFUNCTION("""COMPUTED_VALUE"""),"Uncle Sams Cider (11/12/2021) (Blue)")</f>
        <v>Uncle Sams Cider (11/12/2021) (Blue)</v>
      </c>
      <c r="H7027" s="19"/>
    </row>
    <row r="7028">
      <c r="A7028" s="9"/>
      <c r="B7028" s="15"/>
      <c r="C7028" s="9">
        <f>IFERROR(__xludf.DUMMYFUNCTION("""COMPUTED_VALUE"""),44531.4291195949)</f>
        <v>44531.42912</v>
      </c>
      <c r="D7028" s="15">
        <f>IFERROR(__xludf.DUMMYFUNCTION("""COMPUTED_VALUE"""),1.028)</f>
        <v>1.028</v>
      </c>
      <c r="E7028" s="16">
        <f>IFERROR(__xludf.DUMMYFUNCTION("""COMPUTED_VALUE"""),64.0)</f>
        <v>64</v>
      </c>
      <c r="F7028" s="19" t="str">
        <f>IFERROR(__xludf.DUMMYFUNCTION("""COMPUTED_VALUE"""),"BLUE")</f>
        <v>BLUE</v>
      </c>
      <c r="G7028" s="20" t="str">
        <f>IFERROR(__xludf.DUMMYFUNCTION("""COMPUTED_VALUE"""),"Uncle Sams Cider (11/12/2021) (Blue)")</f>
        <v>Uncle Sams Cider (11/12/2021) (Blue)</v>
      </c>
      <c r="H7028" s="19"/>
    </row>
    <row r="7029">
      <c r="A7029" s="9"/>
      <c r="B7029" s="15"/>
      <c r="C7029" s="9">
        <f>IFERROR(__xludf.DUMMYFUNCTION("""COMPUTED_VALUE"""),44531.4186998032)</f>
        <v>44531.4187</v>
      </c>
      <c r="D7029" s="15">
        <f>IFERROR(__xludf.DUMMYFUNCTION("""COMPUTED_VALUE"""),1.028)</f>
        <v>1.028</v>
      </c>
      <c r="E7029" s="16">
        <f>IFERROR(__xludf.DUMMYFUNCTION("""COMPUTED_VALUE"""),64.0)</f>
        <v>64</v>
      </c>
      <c r="F7029" s="19" t="str">
        <f>IFERROR(__xludf.DUMMYFUNCTION("""COMPUTED_VALUE"""),"BLUE")</f>
        <v>BLUE</v>
      </c>
      <c r="G7029" s="20" t="str">
        <f>IFERROR(__xludf.DUMMYFUNCTION("""COMPUTED_VALUE"""),"Uncle Sams Cider (11/12/2021) (Blue)")</f>
        <v>Uncle Sams Cider (11/12/2021) (Blue)</v>
      </c>
      <c r="H7029" s="19"/>
    </row>
    <row r="7030">
      <c r="A7030" s="9"/>
      <c r="B7030" s="15"/>
      <c r="C7030" s="9">
        <f>IFERROR(__xludf.DUMMYFUNCTION("""COMPUTED_VALUE"""),44531.4082785416)</f>
        <v>44531.40828</v>
      </c>
      <c r="D7030" s="15">
        <f>IFERROR(__xludf.DUMMYFUNCTION("""COMPUTED_VALUE"""),1.028)</f>
        <v>1.028</v>
      </c>
      <c r="E7030" s="16">
        <f>IFERROR(__xludf.DUMMYFUNCTION("""COMPUTED_VALUE"""),64.0)</f>
        <v>64</v>
      </c>
      <c r="F7030" s="19" t="str">
        <f>IFERROR(__xludf.DUMMYFUNCTION("""COMPUTED_VALUE"""),"BLUE")</f>
        <v>BLUE</v>
      </c>
      <c r="G7030" s="20" t="str">
        <f>IFERROR(__xludf.DUMMYFUNCTION("""COMPUTED_VALUE"""),"Uncle Sams Cider (11/12/2021) (Blue)")</f>
        <v>Uncle Sams Cider (11/12/2021) (Blue)</v>
      </c>
      <c r="H7030" s="19"/>
    </row>
    <row r="7031">
      <c r="A7031" s="9"/>
      <c r="B7031" s="15"/>
      <c r="C7031" s="9">
        <f>IFERROR(__xludf.DUMMYFUNCTION("""COMPUTED_VALUE"""),44531.3978583564)</f>
        <v>44531.39786</v>
      </c>
      <c r="D7031" s="15">
        <f>IFERROR(__xludf.DUMMYFUNCTION("""COMPUTED_VALUE"""),1.028)</f>
        <v>1.028</v>
      </c>
      <c r="E7031" s="16">
        <f>IFERROR(__xludf.DUMMYFUNCTION("""COMPUTED_VALUE"""),64.0)</f>
        <v>64</v>
      </c>
      <c r="F7031" s="19" t="str">
        <f>IFERROR(__xludf.DUMMYFUNCTION("""COMPUTED_VALUE"""),"BLUE")</f>
        <v>BLUE</v>
      </c>
      <c r="G7031" s="20" t="str">
        <f>IFERROR(__xludf.DUMMYFUNCTION("""COMPUTED_VALUE"""),"Uncle Sams Cider (11/12/2021) (Blue)")</f>
        <v>Uncle Sams Cider (11/12/2021) (Blue)</v>
      </c>
      <c r="H7031" s="19"/>
    </row>
    <row r="7032">
      <c r="A7032" s="9"/>
      <c r="B7032" s="15"/>
      <c r="C7032" s="9">
        <f>IFERROR(__xludf.DUMMYFUNCTION("""COMPUTED_VALUE"""),44531.3874262847)</f>
        <v>44531.38743</v>
      </c>
      <c r="D7032" s="15">
        <f>IFERROR(__xludf.DUMMYFUNCTION("""COMPUTED_VALUE"""),1.028)</f>
        <v>1.028</v>
      </c>
      <c r="E7032" s="16">
        <f>IFERROR(__xludf.DUMMYFUNCTION("""COMPUTED_VALUE"""),64.0)</f>
        <v>64</v>
      </c>
      <c r="F7032" s="19" t="str">
        <f>IFERROR(__xludf.DUMMYFUNCTION("""COMPUTED_VALUE"""),"BLUE")</f>
        <v>BLUE</v>
      </c>
      <c r="G7032" s="20" t="str">
        <f>IFERROR(__xludf.DUMMYFUNCTION("""COMPUTED_VALUE"""),"Uncle Sams Cider (11/12/2021) (Blue)")</f>
        <v>Uncle Sams Cider (11/12/2021) (Blue)</v>
      </c>
      <c r="H7032" s="19"/>
    </row>
    <row r="7033">
      <c r="A7033" s="9"/>
      <c r="B7033" s="15"/>
      <c r="C7033" s="9">
        <f>IFERROR(__xludf.DUMMYFUNCTION("""COMPUTED_VALUE"""),44531.377005405)</f>
        <v>44531.37701</v>
      </c>
      <c r="D7033" s="15">
        <f>IFERROR(__xludf.DUMMYFUNCTION("""COMPUTED_VALUE"""),1.028)</f>
        <v>1.028</v>
      </c>
      <c r="E7033" s="16">
        <f>IFERROR(__xludf.DUMMYFUNCTION("""COMPUTED_VALUE"""),64.0)</f>
        <v>64</v>
      </c>
      <c r="F7033" s="19" t="str">
        <f>IFERROR(__xludf.DUMMYFUNCTION("""COMPUTED_VALUE"""),"BLUE")</f>
        <v>BLUE</v>
      </c>
      <c r="G7033" s="20" t="str">
        <f>IFERROR(__xludf.DUMMYFUNCTION("""COMPUTED_VALUE"""),"Uncle Sams Cider (11/12/2021) (Blue)")</f>
        <v>Uncle Sams Cider (11/12/2021) (Blue)</v>
      </c>
      <c r="H7033" s="19"/>
    </row>
    <row r="7034">
      <c r="A7034" s="9"/>
      <c r="B7034" s="15"/>
      <c r="C7034" s="9">
        <f>IFERROR(__xludf.DUMMYFUNCTION("""COMPUTED_VALUE"""),44531.3665850462)</f>
        <v>44531.36659</v>
      </c>
      <c r="D7034" s="15">
        <f>IFERROR(__xludf.DUMMYFUNCTION("""COMPUTED_VALUE"""),1.028)</f>
        <v>1.028</v>
      </c>
      <c r="E7034" s="16">
        <f>IFERROR(__xludf.DUMMYFUNCTION("""COMPUTED_VALUE"""),64.0)</f>
        <v>64</v>
      </c>
      <c r="F7034" s="19" t="str">
        <f>IFERROR(__xludf.DUMMYFUNCTION("""COMPUTED_VALUE"""),"BLUE")</f>
        <v>BLUE</v>
      </c>
      <c r="G7034" s="20" t="str">
        <f>IFERROR(__xludf.DUMMYFUNCTION("""COMPUTED_VALUE"""),"Uncle Sams Cider (11/12/2021) (Blue)")</f>
        <v>Uncle Sams Cider (11/12/2021) (Blue)</v>
      </c>
      <c r="H7034" s="19"/>
    </row>
    <row r="7035">
      <c r="A7035" s="9"/>
      <c r="B7035" s="15"/>
      <c r="C7035" s="9">
        <f>IFERROR(__xludf.DUMMYFUNCTION("""COMPUTED_VALUE"""),44531.3561642592)</f>
        <v>44531.35616</v>
      </c>
      <c r="D7035" s="15">
        <f>IFERROR(__xludf.DUMMYFUNCTION("""COMPUTED_VALUE"""),1.028)</f>
        <v>1.028</v>
      </c>
      <c r="E7035" s="16">
        <f>IFERROR(__xludf.DUMMYFUNCTION("""COMPUTED_VALUE"""),64.0)</f>
        <v>64</v>
      </c>
      <c r="F7035" s="19" t="str">
        <f>IFERROR(__xludf.DUMMYFUNCTION("""COMPUTED_VALUE"""),"BLUE")</f>
        <v>BLUE</v>
      </c>
      <c r="G7035" s="20" t="str">
        <f>IFERROR(__xludf.DUMMYFUNCTION("""COMPUTED_VALUE"""),"Uncle Sams Cider (11/12/2021) (Blue)")</f>
        <v>Uncle Sams Cider (11/12/2021) (Blue)</v>
      </c>
      <c r="H7035" s="19"/>
    </row>
    <row r="7036">
      <c r="A7036" s="9"/>
      <c r="B7036" s="15"/>
      <c r="C7036" s="9">
        <f>IFERROR(__xludf.DUMMYFUNCTION("""COMPUTED_VALUE"""),44531.3457444212)</f>
        <v>44531.34574</v>
      </c>
      <c r="D7036" s="15">
        <f>IFERROR(__xludf.DUMMYFUNCTION("""COMPUTED_VALUE"""),1.028)</f>
        <v>1.028</v>
      </c>
      <c r="E7036" s="16">
        <f>IFERROR(__xludf.DUMMYFUNCTION("""COMPUTED_VALUE"""),64.0)</f>
        <v>64</v>
      </c>
      <c r="F7036" s="19" t="str">
        <f>IFERROR(__xludf.DUMMYFUNCTION("""COMPUTED_VALUE"""),"BLUE")</f>
        <v>BLUE</v>
      </c>
      <c r="G7036" s="20" t="str">
        <f>IFERROR(__xludf.DUMMYFUNCTION("""COMPUTED_VALUE"""),"Uncle Sams Cider (11/12/2021) (Blue)")</f>
        <v>Uncle Sams Cider (11/12/2021) (Blue)</v>
      </c>
      <c r="H7036" s="19"/>
    </row>
    <row r="7037">
      <c r="A7037" s="9"/>
      <c r="B7037" s="15"/>
      <c r="C7037" s="9">
        <f>IFERROR(__xludf.DUMMYFUNCTION("""COMPUTED_VALUE"""),44531.3353227314)</f>
        <v>44531.33532</v>
      </c>
      <c r="D7037" s="15">
        <f>IFERROR(__xludf.DUMMYFUNCTION("""COMPUTED_VALUE"""),1.028)</f>
        <v>1.028</v>
      </c>
      <c r="E7037" s="16">
        <f>IFERROR(__xludf.DUMMYFUNCTION("""COMPUTED_VALUE"""),64.0)</f>
        <v>64</v>
      </c>
      <c r="F7037" s="19" t="str">
        <f>IFERROR(__xludf.DUMMYFUNCTION("""COMPUTED_VALUE"""),"BLUE")</f>
        <v>BLUE</v>
      </c>
      <c r="G7037" s="20" t="str">
        <f>IFERROR(__xludf.DUMMYFUNCTION("""COMPUTED_VALUE"""),"Uncle Sams Cider (11/12/2021) (Blue)")</f>
        <v>Uncle Sams Cider (11/12/2021) (Blue)</v>
      </c>
      <c r="H7037" s="19"/>
    </row>
    <row r="7038">
      <c r="A7038" s="9"/>
      <c r="B7038" s="15"/>
      <c r="C7038" s="9">
        <f>IFERROR(__xludf.DUMMYFUNCTION("""COMPUTED_VALUE"""),44531.324901956)</f>
        <v>44531.3249</v>
      </c>
      <c r="D7038" s="15">
        <f>IFERROR(__xludf.DUMMYFUNCTION("""COMPUTED_VALUE"""),1.028)</f>
        <v>1.028</v>
      </c>
      <c r="E7038" s="16">
        <f>IFERROR(__xludf.DUMMYFUNCTION("""COMPUTED_VALUE"""),64.0)</f>
        <v>64</v>
      </c>
      <c r="F7038" s="19" t="str">
        <f>IFERROR(__xludf.DUMMYFUNCTION("""COMPUTED_VALUE"""),"BLUE")</f>
        <v>BLUE</v>
      </c>
      <c r="G7038" s="20" t="str">
        <f>IFERROR(__xludf.DUMMYFUNCTION("""COMPUTED_VALUE"""),"Uncle Sams Cider (11/12/2021) (Blue)")</f>
        <v>Uncle Sams Cider (11/12/2021) (Blue)</v>
      </c>
      <c r="H7038" s="19"/>
    </row>
    <row r="7039">
      <c r="A7039" s="9"/>
      <c r="B7039" s="15"/>
      <c r="C7039" s="9">
        <f>IFERROR(__xludf.DUMMYFUNCTION("""COMPUTED_VALUE"""),44531.3144808101)</f>
        <v>44531.31448</v>
      </c>
      <c r="D7039" s="15">
        <f>IFERROR(__xludf.DUMMYFUNCTION("""COMPUTED_VALUE"""),1.028)</f>
        <v>1.028</v>
      </c>
      <c r="E7039" s="16">
        <f>IFERROR(__xludf.DUMMYFUNCTION("""COMPUTED_VALUE"""),64.0)</f>
        <v>64</v>
      </c>
      <c r="F7039" s="19" t="str">
        <f>IFERROR(__xludf.DUMMYFUNCTION("""COMPUTED_VALUE"""),"BLUE")</f>
        <v>BLUE</v>
      </c>
      <c r="G7039" s="20" t="str">
        <f>IFERROR(__xludf.DUMMYFUNCTION("""COMPUTED_VALUE"""),"Uncle Sams Cider (11/12/2021) (Blue)")</f>
        <v>Uncle Sams Cider (11/12/2021) (Blue)</v>
      </c>
      <c r="H7039" s="19"/>
    </row>
    <row r="7040">
      <c r="A7040" s="9"/>
      <c r="B7040" s="15"/>
      <c r="C7040" s="9">
        <f>IFERROR(__xludf.DUMMYFUNCTION("""COMPUTED_VALUE"""),44531.3040584606)</f>
        <v>44531.30406</v>
      </c>
      <c r="D7040" s="15">
        <f>IFERROR(__xludf.DUMMYFUNCTION("""COMPUTED_VALUE"""),1.028)</f>
        <v>1.028</v>
      </c>
      <c r="E7040" s="16">
        <f>IFERROR(__xludf.DUMMYFUNCTION("""COMPUTED_VALUE"""),64.0)</f>
        <v>64</v>
      </c>
      <c r="F7040" s="19" t="str">
        <f>IFERROR(__xludf.DUMMYFUNCTION("""COMPUTED_VALUE"""),"BLUE")</f>
        <v>BLUE</v>
      </c>
      <c r="G7040" s="20" t="str">
        <f>IFERROR(__xludf.DUMMYFUNCTION("""COMPUTED_VALUE"""),"Uncle Sams Cider (11/12/2021) (Blue)")</f>
        <v>Uncle Sams Cider (11/12/2021) (Blue)</v>
      </c>
      <c r="H7040" s="19"/>
    </row>
    <row r="7041">
      <c r="A7041" s="9"/>
      <c r="B7041" s="15"/>
      <c r="C7041" s="9">
        <f>IFERROR(__xludf.DUMMYFUNCTION("""COMPUTED_VALUE"""),44531.2936382407)</f>
        <v>44531.29364</v>
      </c>
      <c r="D7041" s="15">
        <f>IFERROR(__xludf.DUMMYFUNCTION("""COMPUTED_VALUE"""),1.028)</f>
        <v>1.028</v>
      </c>
      <c r="E7041" s="16">
        <f>IFERROR(__xludf.DUMMYFUNCTION("""COMPUTED_VALUE"""),64.0)</f>
        <v>64</v>
      </c>
      <c r="F7041" s="19" t="str">
        <f>IFERROR(__xludf.DUMMYFUNCTION("""COMPUTED_VALUE"""),"BLUE")</f>
        <v>BLUE</v>
      </c>
      <c r="G7041" s="20" t="str">
        <f>IFERROR(__xludf.DUMMYFUNCTION("""COMPUTED_VALUE"""),"Uncle Sams Cider (11/12/2021) (Blue)")</f>
        <v>Uncle Sams Cider (11/12/2021) (Blue)</v>
      </c>
      <c r="H7041" s="19"/>
    </row>
    <row r="7042">
      <c r="A7042" s="9"/>
      <c r="B7042" s="15"/>
      <c r="C7042" s="9">
        <f>IFERROR(__xludf.DUMMYFUNCTION("""COMPUTED_VALUE"""),44531.2832178009)</f>
        <v>44531.28322</v>
      </c>
      <c r="D7042" s="15">
        <f>IFERROR(__xludf.DUMMYFUNCTION("""COMPUTED_VALUE"""),1.028)</f>
        <v>1.028</v>
      </c>
      <c r="E7042" s="16">
        <f>IFERROR(__xludf.DUMMYFUNCTION("""COMPUTED_VALUE"""),64.0)</f>
        <v>64</v>
      </c>
      <c r="F7042" s="19" t="str">
        <f>IFERROR(__xludf.DUMMYFUNCTION("""COMPUTED_VALUE"""),"BLUE")</f>
        <v>BLUE</v>
      </c>
      <c r="G7042" s="20" t="str">
        <f>IFERROR(__xludf.DUMMYFUNCTION("""COMPUTED_VALUE"""),"Uncle Sams Cider (11/12/2021) (Blue)")</f>
        <v>Uncle Sams Cider (11/12/2021) (Blue)</v>
      </c>
      <c r="H7042" s="19"/>
    </row>
    <row r="7043">
      <c r="A7043" s="9"/>
      <c r="B7043" s="15"/>
      <c r="C7043" s="9">
        <f>IFERROR(__xludf.DUMMYFUNCTION("""COMPUTED_VALUE"""),44531.2727970833)</f>
        <v>44531.2728</v>
      </c>
      <c r="D7043" s="15">
        <f>IFERROR(__xludf.DUMMYFUNCTION("""COMPUTED_VALUE"""),1.028)</f>
        <v>1.028</v>
      </c>
      <c r="E7043" s="16">
        <f>IFERROR(__xludf.DUMMYFUNCTION("""COMPUTED_VALUE"""),64.0)</f>
        <v>64</v>
      </c>
      <c r="F7043" s="19" t="str">
        <f>IFERROR(__xludf.DUMMYFUNCTION("""COMPUTED_VALUE"""),"BLUE")</f>
        <v>BLUE</v>
      </c>
      <c r="G7043" s="20" t="str">
        <f>IFERROR(__xludf.DUMMYFUNCTION("""COMPUTED_VALUE"""),"Uncle Sams Cider (11/12/2021) (Blue)")</f>
        <v>Uncle Sams Cider (11/12/2021) (Blue)</v>
      </c>
      <c r="H7043" s="19"/>
    </row>
    <row r="7044">
      <c r="A7044" s="9"/>
      <c r="B7044" s="15"/>
      <c r="C7044" s="9">
        <f>IFERROR(__xludf.DUMMYFUNCTION("""COMPUTED_VALUE"""),44531.2623766898)</f>
        <v>44531.26238</v>
      </c>
      <c r="D7044" s="15">
        <f>IFERROR(__xludf.DUMMYFUNCTION("""COMPUTED_VALUE"""),1.028)</f>
        <v>1.028</v>
      </c>
      <c r="E7044" s="16">
        <f>IFERROR(__xludf.DUMMYFUNCTION("""COMPUTED_VALUE"""),64.0)</f>
        <v>64</v>
      </c>
      <c r="F7044" s="19" t="str">
        <f>IFERROR(__xludf.DUMMYFUNCTION("""COMPUTED_VALUE"""),"BLUE")</f>
        <v>BLUE</v>
      </c>
      <c r="G7044" s="20" t="str">
        <f>IFERROR(__xludf.DUMMYFUNCTION("""COMPUTED_VALUE"""),"Uncle Sams Cider (11/12/2021) (Blue)")</f>
        <v>Uncle Sams Cider (11/12/2021) (Blue)</v>
      </c>
      <c r="H7044" s="19"/>
    </row>
    <row r="7045">
      <c r="A7045" s="9"/>
      <c r="B7045" s="15"/>
      <c r="C7045" s="9">
        <f>IFERROR(__xludf.DUMMYFUNCTION("""COMPUTED_VALUE"""),44531.2519560995)</f>
        <v>44531.25196</v>
      </c>
      <c r="D7045" s="15">
        <f>IFERROR(__xludf.DUMMYFUNCTION("""COMPUTED_VALUE"""),1.028)</f>
        <v>1.028</v>
      </c>
      <c r="E7045" s="16">
        <f>IFERROR(__xludf.DUMMYFUNCTION("""COMPUTED_VALUE"""),64.0)</f>
        <v>64</v>
      </c>
      <c r="F7045" s="19" t="str">
        <f>IFERROR(__xludf.DUMMYFUNCTION("""COMPUTED_VALUE"""),"BLUE")</f>
        <v>BLUE</v>
      </c>
      <c r="G7045" s="20" t="str">
        <f>IFERROR(__xludf.DUMMYFUNCTION("""COMPUTED_VALUE"""),"Uncle Sams Cider (11/12/2021) (Blue)")</f>
        <v>Uncle Sams Cider (11/12/2021) (Blue)</v>
      </c>
      <c r="H7045" s="19"/>
    </row>
    <row r="7046">
      <c r="A7046" s="9"/>
      <c r="B7046" s="15"/>
      <c r="C7046" s="9">
        <f>IFERROR(__xludf.DUMMYFUNCTION("""COMPUTED_VALUE"""),44531.2415335995)</f>
        <v>44531.24153</v>
      </c>
      <c r="D7046" s="15">
        <f>IFERROR(__xludf.DUMMYFUNCTION("""COMPUTED_VALUE"""),1.028)</f>
        <v>1.028</v>
      </c>
      <c r="E7046" s="16">
        <f>IFERROR(__xludf.DUMMYFUNCTION("""COMPUTED_VALUE"""),64.0)</f>
        <v>64</v>
      </c>
      <c r="F7046" s="19" t="str">
        <f>IFERROR(__xludf.DUMMYFUNCTION("""COMPUTED_VALUE"""),"BLUE")</f>
        <v>BLUE</v>
      </c>
      <c r="G7046" s="20" t="str">
        <f>IFERROR(__xludf.DUMMYFUNCTION("""COMPUTED_VALUE"""),"Uncle Sams Cider (11/12/2021) (Blue)")</f>
        <v>Uncle Sams Cider (11/12/2021) (Blue)</v>
      </c>
      <c r="H7046" s="19"/>
    </row>
    <row r="7047">
      <c r="A7047" s="9"/>
      <c r="B7047" s="15"/>
      <c r="C7047" s="9">
        <f>IFERROR(__xludf.DUMMYFUNCTION("""COMPUTED_VALUE"""),44531.2311129513)</f>
        <v>44531.23111</v>
      </c>
      <c r="D7047" s="15">
        <f>IFERROR(__xludf.DUMMYFUNCTION("""COMPUTED_VALUE"""),1.028)</f>
        <v>1.028</v>
      </c>
      <c r="E7047" s="16">
        <f>IFERROR(__xludf.DUMMYFUNCTION("""COMPUTED_VALUE"""),64.0)</f>
        <v>64</v>
      </c>
      <c r="F7047" s="19" t="str">
        <f>IFERROR(__xludf.DUMMYFUNCTION("""COMPUTED_VALUE"""),"BLUE")</f>
        <v>BLUE</v>
      </c>
      <c r="G7047" s="20" t="str">
        <f>IFERROR(__xludf.DUMMYFUNCTION("""COMPUTED_VALUE"""),"Uncle Sams Cider (11/12/2021) (Blue)")</f>
        <v>Uncle Sams Cider (11/12/2021) (Blue)</v>
      </c>
      <c r="H7047" s="19"/>
    </row>
    <row r="7048">
      <c r="A7048" s="9"/>
      <c r="B7048" s="15"/>
      <c r="C7048" s="9">
        <f>IFERROR(__xludf.DUMMYFUNCTION("""COMPUTED_VALUE"""),44531.2206909722)</f>
        <v>44531.22069</v>
      </c>
      <c r="D7048" s="15">
        <f>IFERROR(__xludf.DUMMYFUNCTION("""COMPUTED_VALUE"""),1.028)</f>
        <v>1.028</v>
      </c>
      <c r="E7048" s="16">
        <f>IFERROR(__xludf.DUMMYFUNCTION("""COMPUTED_VALUE"""),64.0)</f>
        <v>64</v>
      </c>
      <c r="F7048" s="19" t="str">
        <f>IFERROR(__xludf.DUMMYFUNCTION("""COMPUTED_VALUE"""),"BLUE")</f>
        <v>BLUE</v>
      </c>
      <c r="G7048" s="20" t="str">
        <f>IFERROR(__xludf.DUMMYFUNCTION("""COMPUTED_VALUE"""),"Uncle Sams Cider (11/12/2021) (Blue)")</f>
        <v>Uncle Sams Cider (11/12/2021) (Blue)</v>
      </c>
      <c r="H7048" s="19"/>
    </row>
    <row r="7049">
      <c r="A7049" s="9"/>
      <c r="B7049" s="15"/>
      <c r="C7049" s="9">
        <f>IFERROR(__xludf.DUMMYFUNCTION("""COMPUTED_VALUE"""),44531.2102708449)</f>
        <v>44531.21027</v>
      </c>
      <c r="D7049" s="15">
        <f>IFERROR(__xludf.DUMMYFUNCTION("""COMPUTED_VALUE"""),1.028)</f>
        <v>1.028</v>
      </c>
      <c r="E7049" s="16">
        <f>IFERROR(__xludf.DUMMYFUNCTION("""COMPUTED_VALUE"""),64.0)</f>
        <v>64</v>
      </c>
      <c r="F7049" s="19" t="str">
        <f>IFERROR(__xludf.DUMMYFUNCTION("""COMPUTED_VALUE"""),"BLUE")</f>
        <v>BLUE</v>
      </c>
      <c r="G7049" s="20" t="str">
        <f>IFERROR(__xludf.DUMMYFUNCTION("""COMPUTED_VALUE"""),"Uncle Sams Cider (11/12/2021) (Blue)")</f>
        <v>Uncle Sams Cider (11/12/2021) (Blue)</v>
      </c>
      <c r="H7049" s="19"/>
    </row>
    <row r="7050">
      <c r="A7050" s="9"/>
      <c r="B7050" s="15"/>
      <c r="C7050" s="9">
        <f>IFERROR(__xludf.DUMMYFUNCTION("""COMPUTED_VALUE"""),44531.199848912)</f>
        <v>44531.19985</v>
      </c>
      <c r="D7050" s="15">
        <f>IFERROR(__xludf.DUMMYFUNCTION("""COMPUTED_VALUE"""),1.028)</f>
        <v>1.028</v>
      </c>
      <c r="E7050" s="16">
        <f>IFERROR(__xludf.DUMMYFUNCTION("""COMPUTED_VALUE"""),64.0)</f>
        <v>64</v>
      </c>
      <c r="F7050" s="19" t="str">
        <f>IFERROR(__xludf.DUMMYFUNCTION("""COMPUTED_VALUE"""),"BLUE")</f>
        <v>BLUE</v>
      </c>
      <c r="G7050" s="20" t="str">
        <f>IFERROR(__xludf.DUMMYFUNCTION("""COMPUTED_VALUE"""),"Uncle Sams Cider (11/12/2021) (Blue)")</f>
        <v>Uncle Sams Cider (11/12/2021) (Blue)</v>
      </c>
      <c r="H7050" s="19"/>
    </row>
    <row r="7051">
      <c r="A7051" s="9"/>
      <c r="B7051" s="15"/>
      <c r="C7051" s="9">
        <f>IFERROR(__xludf.DUMMYFUNCTION("""COMPUTED_VALUE"""),44531.1894268634)</f>
        <v>44531.18943</v>
      </c>
      <c r="D7051" s="15">
        <f>IFERROR(__xludf.DUMMYFUNCTION("""COMPUTED_VALUE"""),1.028)</f>
        <v>1.028</v>
      </c>
      <c r="E7051" s="16">
        <f>IFERROR(__xludf.DUMMYFUNCTION("""COMPUTED_VALUE"""),64.0)</f>
        <v>64</v>
      </c>
      <c r="F7051" s="19" t="str">
        <f>IFERROR(__xludf.DUMMYFUNCTION("""COMPUTED_VALUE"""),"BLUE")</f>
        <v>BLUE</v>
      </c>
      <c r="G7051" s="20" t="str">
        <f>IFERROR(__xludf.DUMMYFUNCTION("""COMPUTED_VALUE"""),"Uncle Sams Cider (11/12/2021) (Blue)")</f>
        <v>Uncle Sams Cider (11/12/2021) (Blue)</v>
      </c>
      <c r="H7051" s="19"/>
    </row>
    <row r="7052">
      <c r="A7052" s="9"/>
      <c r="B7052" s="15"/>
      <c r="C7052" s="9">
        <f>IFERROR(__xludf.DUMMYFUNCTION("""COMPUTED_VALUE"""),44531.1790067592)</f>
        <v>44531.17901</v>
      </c>
      <c r="D7052" s="15">
        <f>IFERROR(__xludf.DUMMYFUNCTION("""COMPUTED_VALUE"""),1.028)</f>
        <v>1.028</v>
      </c>
      <c r="E7052" s="16">
        <f>IFERROR(__xludf.DUMMYFUNCTION("""COMPUTED_VALUE"""),64.0)</f>
        <v>64</v>
      </c>
      <c r="F7052" s="19" t="str">
        <f>IFERROR(__xludf.DUMMYFUNCTION("""COMPUTED_VALUE"""),"BLUE")</f>
        <v>BLUE</v>
      </c>
      <c r="G7052" s="20" t="str">
        <f>IFERROR(__xludf.DUMMYFUNCTION("""COMPUTED_VALUE"""),"Uncle Sams Cider (11/12/2021) (Blue)")</f>
        <v>Uncle Sams Cider (11/12/2021) (Blue)</v>
      </c>
      <c r="H7052" s="19"/>
    </row>
    <row r="7053">
      <c r="A7053" s="9"/>
      <c r="B7053" s="15"/>
      <c r="C7053" s="9">
        <f>IFERROR(__xludf.DUMMYFUNCTION("""COMPUTED_VALUE"""),44531.1685840046)</f>
        <v>44531.16858</v>
      </c>
      <c r="D7053" s="15">
        <f>IFERROR(__xludf.DUMMYFUNCTION("""COMPUTED_VALUE"""),1.028)</f>
        <v>1.028</v>
      </c>
      <c r="E7053" s="16">
        <f>IFERROR(__xludf.DUMMYFUNCTION("""COMPUTED_VALUE"""),64.0)</f>
        <v>64</v>
      </c>
      <c r="F7053" s="19" t="str">
        <f>IFERROR(__xludf.DUMMYFUNCTION("""COMPUTED_VALUE"""),"BLUE")</f>
        <v>BLUE</v>
      </c>
      <c r="G7053" s="20" t="str">
        <f>IFERROR(__xludf.DUMMYFUNCTION("""COMPUTED_VALUE"""),"Uncle Sams Cider (11/12/2021) (Blue)")</f>
        <v>Uncle Sams Cider (11/12/2021) (Blue)</v>
      </c>
      <c r="H7053" s="19"/>
    </row>
    <row r="7054">
      <c r="A7054" s="9"/>
      <c r="B7054" s="15"/>
      <c r="C7054" s="9">
        <f>IFERROR(__xludf.DUMMYFUNCTION("""COMPUTED_VALUE"""),44531.1581628819)</f>
        <v>44531.15816</v>
      </c>
      <c r="D7054" s="15">
        <f>IFERROR(__xludf.DUMMYFUNCTION("""COMPUTED_VALUE"""),1.028)</f>
        <v>1.028</v>
      </c>
      <c r="E7054" s="16">
        <f>IFERROR(__xludf.DUMMYFUNCTION("""COMPUTED_VALUE"""),64.0)</f>
        <v>64</v>
      </c>
      <c r="F7054" s="19" t="str">
        <f>IFERROR(__xludf.DUMMYFUNCTION("""COMPUTED_VALUE"""),"BLUE")</f>
        <v>BLUE</v>
      </c>
      <c r="G7054" s="20" t="str">
        <f>IFERROR(__xludf.DUMMYFUNCTION("""COMPUTED_VALUE"""),"Uncle Sams Cider (11/12/2021) (Blue)")</f>
        <v>Uncle Sams Cider (11/12/2021) (Blue)</v>
      </c>
      <c r="H7054" s="19"/>
    </row>
    <row r="7055">
      <c r="A7055" s="9"/>
      <c r="B7055" s="15"/>
      <c r="C7055" s="9">
        <f>IFERROR(__xludf.DUMMYFUNCTION("""COMPUTED_VALUE"""),44531.1477415046)</f>
        <v>44531.14774</v>
      </c>
      <c r="D7055" s="15">
        <f>IFERROR(__xludf.DUMMYFUNCTION("""COMPUTED_VALUE"""),1.028)</f>
        <v>1.028</v>
      </c>
      <c r="E7055" s="16">
        <f>IFERROR(__xludf.DUMMYFUNCTION("""COMPUTED_VALUE"""),64.0)</f>
        <v>64</v>
      </c>
      <c r="F7055" s="19" t="str">
        <f>IFERROR(__xludf.DUMMYFUNCTION("""COMPUTED_VALUE"""),"BLUE")</f>
        <v>BLUE</v>
      </c>
      <c r="G7055" s="20" t="str">
        <f>IFERROR(__xludf.DUMMYFUNCTION("""COMPUTED_VALUE"""),"Uncle Sams Cider (11/12/2021) (Blue)")</f>
        <v>Uncle Sams Cider (11/12/2021) (Blue)</v>
      </c>
      <c r="H7055" s="19"/>
    </row>
    <row r="7056">
      <c r="A7056" s="9"/>
      <c r="B7056" s="15"/>
      <c r="C7056" s="9">
        <f>IFERROR(__xludf.DUMMYFUNCTION("""COMPUTED_VALUE"""),44531.1373198379)</f>
        <v>44531.13732</v>
      </c>
      <c r="D7056" s="15">
        <f>IFERROR(__xludf.DUMMYFUNCTION("""COMPUTED_VALUE"""),1.028)</f>
        <v>1.028</v>
      </c>
      <c r="E7056" s="16">
        <f>IFERROR(__xludf.DUMMYFUNCTION("""COMPUTED_VALUE"""),64.0)</f>
        <v>64</v>
      </c>
      <c r="F7056" s="19" t="str">
        <f>IFERROR(__xludf.DUMMYFUNCTION("""COMPUTED_VALUE"""),"BLUE")</f>
        <v>BLUE</v>
      </c>
      <c r="G7056" s="20" t="str">
        <f>IFERROR(__xludf.DUMMYFUNCTION("""COMPUTED_VALUE"""),"Uncle Sams Cider (11/12/2021) (Blue)")</f>
        <v>Uncle Sams Cider (11/12/2021) (Blue)</v>
      </c>
      <c r="H7056" s="19"/>
    </row>
    <row r="7057">
      <c r="A7057" s="9"/>
      <c r="B7057" s="15"/>
      <c r="C7057" s="9">
        <f>IFERROR(__xludf.DUMMYFUNCTION("""COMPUTED_VALUE"""),44531.1268969328)</f>
        <v>44531.1269</v>
      </c>
      <c r="D7057" s="15">
        <f>IFERROR(__xludf.DUMMYFUNCTION("""COMPUTED_VALUE"""),1.028)</f>
        <v>1.028</v>
      </c>
      <c r="E7057" s="16">
        <f>IFERROR(__xludf.DUMMYFUNCTION("""COMPUTED_VALUE"""),64.0)</f>
        <v>64</v>
      </c>
      <c r="F7057" s="19" t="str">
        <f>IFERROR(__xludf.DUMMYFUNCTION("""COMPUTED_VALUE"""),"BLUE")</f>
        <v>BLUE</v>
      </c>
      <c r="G7057" s="20" t="str">
        <f>IFERROR(__xludf.DUMMYFUNCTION("""COMPUTED_VALUE"""),"Uncle Sams Cider (11/12/2021) (Blue)")</f>
        <v>Uncle Sams Cider (11/12/2021) (Blue)</v>
      </c>
      <c r="H7057" s="19"/>
    </row>
    <row r="7058">
      <c r="A7058" s="9"/>
      <c r="B7058" s="15"/>
      <c r="C7058" s="9">
        <f>IFERROR(__xludf.DUMMYFUNCTION("""COMPUTED_VALUE"""),44531.1164748958)</f>
        <v>44531.11647</v>
      </c>
      <c r="D7058" s="15">
        <f>IFERROR(__xludf.DUMMYFUNCTION("""COMPUTED_VALUE"""),1.028)</f>
        <v>1.028</v>
      </c>
      <c r="E7058" s="16">
        <f>IFERROR(__xludf.DUMMYFUNCTION("""COMPUTED_VALUE"""),64.0)</f>
        <v>64</v>
      </c>
      <c r="F7058" s="19" t="str">
        <f>IFERROR(__xludf.DUMMYFUNCTION("""COMPUTED_VALUE"""),"BLUE")</f>
        <v>BLUE</v>
      </c>
      <c r="G7058" s="20" t="str">
        <f>IFERROR(__xludf.DUMMYFUNCTION("""COMPUTED_VALUE"""),"Uncle Sams Cider (11/12/2021) (Blue)")</f>
        <v>Uncle Sams Cider (11/12/2021) (Blue)</v>
      </c>
      <c r="H7058" s="19"/>
    </row>
    <row r="7059">
      <c r="A7059" s="9"/>
      <c r="B7059" s="15"/>
      <c r="C7059" s="9">
        <f>IFERROR(__xludf.DUMMYFUNCTION("""COMPUTED_VALUE"""),44531.1060539236)</f>
        <v>44531.10605</v>
      </c>
      <c r="D7059" s="15">
        <f>IFERROR(__xludf.DUMMYFUNCTION("""COMPUTED_VALUE"""),1.028)</f>
        <v>1.028</v>
      </c>
      <c r="E7059" s="16">
        <f>IFERROR(__xludf.DUMMYFUNCTION("""COMPUTED_VALUE"""),64.0)</f>
        <v>64</v>
      </c>
      <c r="F7059" s="19" t="str">
        <f>IFERROR(__xludf.DUMMYFUNCTION("""COMPUTED_VALUE"""),"BLUE")</f>
        <v>BLUE</v>
      </c>
      <c r="G7059" s="20" t="str">
        <f>IFERROR(__xludf.DUMMYFUNCTION("""COMPUTED_VALUE"""),"Uncle Sams Cider (11/12/2021) (Blue)")</f>
        <v>Uncle Sams Cider (11/12/2021) (Blue)</v>
      </c>
      <c r="H7059" s="19"/>
    </row>
    <row r="7060">
      <c r="A7060" s="9"/>
      <c r="B7060" s="15"/>
      <c r="C7060" s="9">
        <f>IFERROR(__xludf.DUMMYFUNCTION("""COMPUTED_VALUE"""),44531.0956328472)</f>
        <v>44531.09563</v>
      </c>
      <c r="D7060" s="15">
        <f>IFERROR(__xludf.DUMMYFUNCTION("""COMPUTED_VALUE"""),1.028)</f>
        <v>1.028</v>
      </c>
      <c r="E7060" s="16">
        <f>IFERROR(__xludf.DUMMYFUNCTION("""COMPUTED_VALUE"""),64.0)</f>
        <v>64</v>
      </c>
      <c r="F7060" s="19" t="str">
        <f>IFERROR(__xludf.DUMMYFUNCTION("""COMPUTED_VALUE"""),"BLUE")</f>
        <v>BLUE</v>
      </c>
      <c r="G7060" s="20" t="str">
        <f>IFERROR(__xludf.DUMMYFUNCTION("""COMPUTED_VALUE"""),"Uncle Sams Cider (11/12/2021) (Blue)")</f>
        <v>Uncle Sams Cider (11/12/2021) (Blue)</v>
      </c>
      <c r="H7060" s="19"/>
    </row>
    <row r="7061">
      <c r="A7061" s="9"/>
      <c r="B7061" s="15"/>
      <c r="C7061" s="9">
        <f>IFERROR(__xludf.DUMMYFUNCTION("""COMPUTED_VALUE"""),44531.0852002546)</f>
        <v>44531.0852</v>
      </c>
      <c r="D7061" s="15">
        <f>IFERROR(__xludf.DUMMYFUNCTION("""COMPUTED_VALUE"""),1.029)</f>
        <v>1.029</v>
      </c>
      <c r="E7061" s="16">
        <f>IFERROR(__xludf.DUMMYFUNCTION("""COMPUTED_VALUE"""),64.0)</f>
        <v>64</v>
      </c>
      <c r="F7061" s="19" t="str">
        <f>IFERROR(__xludf.DUMMYFUNCTION("""COMPUTED_VALUE"""),"BLUE")</f>
        <v>BLUE</v>
      </c>
      <c r="G7061" s="20" t="str">
        <f>IFERROR(__xludf.DUMMYFUNCTION("""COMPUTED_VALUE"""),"Uncle Sams Cider (11/12/2021) (Blue)")</f>
        <v>Uncle Sams Cider (11/12/2021) (Blue)</v>
      </c>
      <c r="H7061" s="19"/>
    </row>
    <row r="7062">
      <c r="A7062" s="9"/>
      <c r="B7062" s="15"/>
      <c r="C7062" s="9">
        <f>IFERROR(__xludf.DUMMYFUNCTION("""COMPUTED_VALUE"""),44531.0747803587)</f>
        <v>44531.07478</v>
      </c>
      <c r="D7062" s="15">
        <f>IFERROR(__xludf.DUMMYFUNCTION("""COMPUTED_VALUE"""),1.028)</f>
        <v>1.028</v>
      </c>
      <c r="E7062" s="16">
        <f>IFERROR(__xludf.DUMMYFUNCTION("""COMPUTED_VALUE"""),64.0)</f>
        <v>64</v>
      </c>
      <c r="F7062" s="19" t="str">
        <f>IFERROR(__xludf.DUMMYFUNCTION("""COMPUTED_VALUE"""),"BLUE")</f>
        <v>BLUE</v>
      </c>
      <c r="G7062" s="20" t="str">
        <f>IFERROR(__xludf.DUMMYFUNCTION("""COMPUTED_VALUE"""),"Uncle Sams Cider (11/12/2021) (Blue)")</f>
        <v>Uncle Sams Cider (11/12/2021) (Blue)</v>
      </c>
      <c r="H7062" s="19"/>
    </row>
    <row r="7063">
      <c r="A7063" s="9"/>
      <c r="B7063" s="15"/>
      <c r="C7063" s="9">
        <f>IFERROR(__xludf.DUMMYFUNCTION("""COMPUTED_VALUE"""),44531.0643607407)</f>
        <v>44531.06436</v>
      </c>
      <c r="D7063" s="15">
        <f>IFERROR(__xludf.DUMMYFUNCTION("""COMPUTED_VALUE"""),1.028)</f>
        <v>1.028</v>
      </c>
      <c r="E7063" s="16">
        <f>IFERROR(__xludf.DUMMYFUNCTION("""COMPUTED_VALUE"""),64.0)</f>
        <v>64</v>
      </c>
      <c r="F7063" s="19" t="str">
        <f>IFERROR(__xludf.DUMMYFUNCTION("""COMPUTED_VALUE"""),"BLUE")</f>
        <v>BLUE</v>
      </c>
      <c r="G7063" s="20" t="str">
        <f>IFERROR(__xludf.DUMMYFUNCTION("""COMPUTED_VALUE"""),"Uncle Sams Cider (11/12/2021) (Blue)")</f>
        <v>Uncle Sams Cider (11/12/2021) (Blue)</v>
      </c>
      <c r="H7063" s="19"/>
    </row>
    <row r="7064">
      <c r="A7064" s="9"/>
      <c r="B7064" s="15"/>
      <c r="C7064" s="9">
        <f>IFERROR(__xludf.DUMMYFUNCTION("""COMPUTED_VALUE"""),44531.0539382291)</f>
        <v>44531.05394</v>
      </c>
      <c r="D7064" s="15">
        <f>IFERROR(__xludf.DUMMYFUNCTION("""COMPUTED_VALUE"""),1.028)</f>
        <v>1.028</v>
      </c>
      <c r="E7064" s="16">
        <f>IFERROR(__xludf.DUMMYFUNCTION("""COMPUTED_VALUE"""),64.0)</f>
        <v>64</v>
      </c>
      <c r="F7064" s="19" t="str">
        <f>IFERROR(__xludf.DUMMYFUNCTION("""COMPUTED_VALUE"""),"BLUE")</f>
        <v>BLUE</v>
      </c>
      <c r="G7064" s="20" t="str">
        <f>IFERROR(__xludf.DUMMYFUNCTION("""COMPUTED_VALUE"""),"Uncle Sams Cider (11/12/2021) (Blue)")</f>
        <v>Uncle Sams Cider (11/12/2021) (Blue)</v>
      </c>
      <c r="H7064" s="19"/>
    </row>
    <row r="7065">
      <c r="A7065" s="9"/>
      <c r="B7065" s="15"/>
      <c r="C7065" s="9">
        <f>IFERROR(__xludf.DUMMYFUNCTION("""COMPUTED_VALUE"""),44531.0435057407)</f>
        <v>44531.04351</v>
      </c>
      <c r="D7065" s="15">
        <f>IFERROR(__xludf.DUMMYFUNCTION("""COMPUTED_VALUE"""),1.029)</f>
        <v>1.029</v>
      </c>
      <c r="E7065" s="16">
        <f>IFERROR(__xludf.DUMMYFUNCTION("""COMPUTED_VALUE"""),64.0)</f>
        <v>64</v>
      </c>
      <c r="F7065" s="19" t="str">
        <f>IFERROR(__xludf.DUMMYFUNCTION("""COMPUTED_VALUE"""),"BLUE")</f>
        <v>BLUE</v>
      </c>
      <c r="G7065" s="20" t="str">
        <f>IFERROR(__xludf.DUMMYFUNCTION("""COMPUTED_VALUE"""),"Uncle Sams Cider (11/12/2021) (Blue)")</f>
        <v>Uncle Sams Cider (11/12/2021) (Blue)</v>
      </c>
      <c r="H7065" s="19"/>
    </row>
    <row r="7066">
      <c r="A7066" s="9"/>
      <c r="B7066" s="15"/>
      <c r="C7066" s="9">
        <f>IFERROR(__xludf.DUMMYFUNCTION("""COMPUTED_VALUE"""),44531.0330840509)</f>
        <v>44531.03308</v>
      </c>
      <c r="D7066" s="15">
        <f>IFERROR(__xludf.DUMMYFUNCTION("""COMPUTED_VALUE"""),1.028)</f>
        <v>1.028</v>
      </c>
      <c r="E7066" s="16">
        <f>IFERROR(__xludf.DUMMYFUNCTION("""COMPUTED_VALUE"""),64.0)</f>
        <v>64</v>
      </c>
      <c r="F7066" s="19" t="str">
        <f>IFERROR(__xludf.DUMMYFUNCTION("""COMPUTED_VALUE"""),"BLUE")</f>
        <v>BLUE</v>
      </c>
      <c r="G7066" s="20" t="str">
        <f>IFERROR(__xludf.DUMMYFUNCTION("""COMPUTED_VALUE"""),"Uncle Sams Cider (11/12/2021) (Blue)")</f>
        <v>Uncle Sams Cider (11/12/2021) (Blue)</v>
      </c>
      <c r="H7066" s="19"/>
    </row>
    <row r="7067">
      <c r="A7067" s="9"/>
      <c r="B7067" s="15"/>
      <c r="C7067" s="9">
        <f>IFERROR(__xludf.DUMMYFUNCTION("""COMPUTED_VALUE"""),44531.02266353)</f>
        <v>44531.02266</v>
      </c>
      <c r="D7067" s="15">
        <f>IFERROR(__xludf.DUMMYFUNCTION("""COMPUTED_VALUE"""),1.028)</f>
        <v>1.028</v>
      </c>
      <c r="E7067" s="16">
        <f>IFERROR(__xludf.DUMMYFUNCTION("""COMPUTED_VALUE"""),64.0)</f>
        <v>64</v>
      </c>
      <c r="F7067" s="19" t="str">
        <f>IFERROR(__xludf.DUMMYFUNCTION("""COMPUTED_VALUE"""),"BLUE")</f>
        <v>BLUE</v>
      </c>
      <c r="G7067" s="20" t="str">
        <f>IFERROR(__xludf.DUMMYFUNCTION("""COMPUTED_VALUE"""),"Uncle Sams Cider (11/12/2021) (Blue)")</f>
        <v>Uncle Sams Cider (11/12/2021) (Blue)</v>
      </c>
      <c r="H7067" s="19"/>
    </row>
    <row r="7068">
      <c r="A7068" s="9"/>
      <c r="B7068" s="15"/>
      <c r="C7068" s="9">
        <f>IFERROR(__xludf.DUMMYFUNCTION("""COMPUTED_VALUE"""),44531.0122422222)</f>
        <v>44531.01224</v>
      </c>
      <c r="D7068" s="15">
        <f>IFERROR(__xludf.DUMMYFUNCTION("""COMPUTED_VALUE"""),1.029)</f>
        <v>1.029</v>
      </c>
      <c r="E7068" s="16">
        <f>IFERROR(__xludf.DUMMYFUNCTION("""COMPUTED_VALUE"""),64.0)</f>
        <v>64</v>
      </c>
      <c r="F7068" s="19" t="str">
        <f>IFERROR(__xludf.DUMMYFUNCTION("""COMPUTED_VALUE"""),"BLUE")</f>
        <v>BLUE</v>
      </c>
      <c r="G7068" s="20" t="str">
        <f>IFERROR(__xludf.DUMMYFUNCTION("""COMPUTED_VALUE"""),"Uncle Sams Cider (11/12/2021) (Blue)")</f>
        <v>Uncle Sams Cider (11/12/2021) (Blue)</v>
      </c>
      <c r="H7068" s="19"/>
    </row>
    <row r="7069">
      <c r="A7069" s="9"/>
      <c r="B7069" s="15"/>
      <c r="C7069" s="9">
        <f>IFERROR(__xludf.DUMMYFUNCTION("""COMPUTED_VALUE"""),44531.0018206712)</f>
        <v>44531.00182</v>
      </c>
      <c r="D7069" s="15">
        <f>IFERROR(__xludf.DUMMYFUNCTION("""COMPUTED_VALUE"""),1.029)</f>
        <v>1.029</v>
      </c>
      <c r="E7069" s="16">
        <f>IFERROR(__xludf.DUMMYFUNCTION("""COMPUTED_VALUE"""),64.0)</f>
        <v>64</v>
      </c>
      <c r="F7069" s="19" t="str">
        <f>IFERROR(__xludf.DUMMYFUNCTION("""COMPUTED_VALUE"""),"BLUE")</f>
        <v>BLUE</v>
      </c>
      <c r="G7069" s="20" t="str">
        <f>IFERROR(__xludf.DUMMYFUNCTION("""COMPUTED_VALUE"""),"Uncle Sams Cider (11/12/2021) (Blue)")</f>
        <v>Uncle Sams Cider (11/12/2021) (Blue)</v>
      </c>
      <c r="H7069" s="19"/>
    </row>
    <row r="7070">
      <c r="A7070" s="9"/>
      <c r="B7070" s="15"/>
      <c r="C7070" s="9">
        <f>IFERROR(__xludf.DUMMYFUNCTION("""COMPUTED_VALUE"""),44530.9913987847)</f>
        <v>44530.9914</v>
      </c>
      <c r="D7070" s="15">
        <f>IFERROR(__xludf.DUMMYFUNCTION("""COMPUTED_VALUE"""),1.029)</f>
        <v>1.029</v>
      </c>
      <c r="E7070" s="16">
        <f>IFERROR(__xludf.DUMMYFUNCTION("""COMPUTED_VALUE"""),64.0)</f>
        <v>64</v>
      </c>
      <c r="F7070" s="19" t="str">
        <f>IFERROR(__xludf.DUMMYFUNCTION("""COMPUTED_VALUE"""),"BLUE")</f>
        <v>BLUE</v>
      </c>
      <c r="G7070" s="20" t="str">
        <f>IFERROR(__xludf.DUMMYFUNCTION("""COMPUTED_VALUE"""),"Uncle Sams Cider (11/12/2021) (Blue)")</f>
        <v>Uncle Sams Cider (11/12/2021) (Blue)</v>
      </c>
      <c r="H7070" s="19"/>
    </row>
    <row r="7071">
      <c r="A7071" s="9"/>
      <c r="B7071" s="15"/>
      <c r="C7071" s="9">
        <f>IFERROR(__xludf.DUMMYFUNCTION("""COMPUTED_VALUE"""),44530.9809792708)</f>
        <v>44530.98098</v>
      </c>
      <c r="D7071" s="15">
        <f>IFERROR(__xludf.DUMMYFUNCTION("""COMPUTED_VALUE"""),1.029)</f>
        <v>1.029</v>
      </c>
      <c r="E7071" s="16">
        <f>IFERROR(__xludf.DUMMYFUNCTION("""COMPUTED_VALUE"""),64.0)</f>
        <v>64</v>
      </c>
      <c r="F7071" s="19" t="str">
        <f>IFERROR(__xludf.DUMMYFUNCTION("""COMPUTED_VALUE"""),"BLUE")</f>
        <v>BLUE</v>
      </c>
      <c r="G7071" s="20" t="str">
        <f>IFERROR(__xludf.DUMMYFUNCTION("""COMPUTED_VALUE"""),"Uncle Sams Cider (11/12/2021) (Blue)")</f>
        <v>Uncle Sams Cider (11/12/2021) (Blue)</v>
      </c>
      <c r="H7071" s="19"/>
    </row>
    <row r="7072">
      <c r="A7072" s="9"/>
      <c r="B7072" s="15"/>
      <c r="C7072" s="9">
        <f>IFERROR(__xludf.DUMMYFUNCTION("""COMPUTED_VALUE"""),44530.9705585879)</f>
        <v>44530.97056</v>
      </c>
      <c r="D7072" s="15">
        <f>IFERROR(__xludf.DUMMYFUNCTION("""COMPUTED_VALUE"""),1.029)</f>
        <v>1.029</v>
      </c>
      <c r="E7072" s="16">
        <f>IFERROR(__xludf.DUMMYFUNCTION("""COMPUTED_VALUE"""),64.0)</f>
        <v>64</v>
      </c>
      <c r="F7072" s="19" t="str">
        <f>IFERROR(__xludf.DUMMYFUNCTION("""COMPUTED_VALUE"""),"BLUE")</f>
        <v>BLUE</v>
      </c>
      <c r="G7072" s="20" t="str">
        <f>IFERROR(__xludf.DUMMYFUNCTION("""COMPUTED_VALUE"""),"Uncle Sams Cider (11/12/2021) (Blue)")</f>
        <v>Uncle Sams Cider (11/12/2021) (Blue)</v>
      </c>
      <c r="H7072" s="19"/>
    </row>
    <row r="7073">
      <c r="A7073" s="9"/>
      <c r="B7073" s="15"/>
      <c r="C7073" s="9">
        <f>IFERROR(__xludf.DUMMYFUNCTION("""COMPUTED_VALUE"""),44530.9601388888)</f>
        <v>44530.96014</v>
      </c>
      <c r="D7073" s="15">
        <f>IFERROR(__xludf.DUMMYFUNCTION("""COMPUTED_VALUE"""),1.028)</f>
        <v>1.028</v>
      </c>
      <c r="E7073" s="16">
        <f>IFERROR(__xludf.DUMMYFUNCTION("""COMPUTED_VALUE"""),64.0)</f>
        <v>64</v>
      </c>
      <c r="F7073" s="19" t="str">
        <f>IFERROR(__xludf.DUMMYFUNCTION("""COMPUTED_VALUE"""),"BLUE")</f>
        <v>BLUE</v>
      </c>
      <c r="G7073" s="20" t="str">
        <f>IFERROR(__xludf.DUMMYFUNCTION("""COMPUTED_VALUE"""),"Uncle Sams Cider (11/12/2021) (Blue)")</f>
        <v>Uncle Sams Cider (11/12/2021) (Blue)</v>
      </c>
      <c r="H7073" s="19"/>
    </row>
    <row r="7074">
      <c r="A7074" s="9"/>
      <c r="B7074" s="15"/>
      <c r="C7074" s="9">
        <f>IFERROR(__xludf.DUMMYFUNCTION("""COMPUTED_VALUE"""),44530.9497170023)</f>
        <v>44530.94972</v>
      </c>
      <c r="D7074" s="15">
        <f>IFERROR(__xludf.DUMMYFUNCTION("""COMPUTED_VALUE"""),1.029)</f>
        <v>1.029</v>
      </c>
      <c r="E7074" s="16">
        <f>IFERROR(__xludf.DUMMYFUNCTION("""COMPUTED_VALUE"""),64.0)</f>
        <v>64</v>
      </c>
      <c r="F7074" s="19" t="str">
        <f>IFERROR(__xludf.DUMMYFUNCTION("""COMPUTED_VALUE"""),"BLUE")</f>
        <v>BLUE</v>
      </c>
      <c r="G7074" s="20" t="str">
        <f>IFERROR(__xludf.DUMMYFUNCTION("""COMPUTED_VALUE"""),"Uncle Sams Cider (11/12/2021) (Blue)")</f>
        <v>Uncle Sams Cider (11/12/2021) (Blue)</v>
      </c>
      <c r="H7074" s="19"/>
    </row>
    <row r="7075">
      <c r="A7075" s="9"/>
      <c r="B7075" s="15"/>
      <c r="C7075" s="9">
        <f>IFERROR(__xludf.DUMMYFUNCTION("""COMPUTED_VALUE"""),44530.9392937731)</f>
        <v>44530.93929</v>
      </c>
      <c r="D7075" s="15">
        <f>IFERROR(__xludf.DUMMYFUNCTION("""COMPUTED_VALUE"""),1.029)</f>
        <v>1.029</v>
      </c>
      <c r="E7075" s="16">
        <f>IFERROR(__xludf.DUMMYFUNCTION("""COMPUTED_VALUE"""),64.0)</f>
        <v>64</v>
      </c>
      <c r="F7075" s="19" t="str">
        <f>IFERROR(__xludf.DUMMYFUNCTION("""COMPUTED_VALUE"""),"BLUE")</f>
        <v>BLUE</v>
      </c>
      <c r="G7075" s="20" t="str">
        <f>IFERROR(__xludf.DUMMYFUNCTION("""COMPUTED_VALUE"""),"Uncle Sams Cider (11/12/2021) (Blue)")</f>
        <v>Uncle Sams Cider (11/12/2021) (Blue)</v>
      </c>
      <c r="H7075" s="19"/>
    </row>
    <row r="7076">
      <c r="A7076" s="9"/>
      <c r="B7076" s="15"/>
      <c r="C7076" s="9">
        <f>IFERROR(__xludf.DUMMYFUNCTION("""COMPUTED_VALUE"""),44530.9288733101)</f>
        <v>44530.92887</v>
      </c>
      <c r="D7076" s="15">
        <f>IFERROR(__xludf.DUMMYFUNCTION("""COMPUTED_VALUE"""),1.029)</f>
        <v>1.029</v>
      </c>
      <c r="E7076" s="16">
        <f>IFERROR(__xludf.DUMMYFUNCTION("""COMPUTED_VALUE"""),64.0)</f>
        <v>64</v>
      </c>
      <c r="F7076" s="19" t="str">
        <f>IFERROR(__xludf.DUMMYFUNCTION("""COMPUTED_VALUE"""),"BLUE")</f>
        <v>BLUE</v>
      </c>
      <c r="G7076" s="20" t="str">
        <f>IFERROR(__xludf.DUMMYFUNCTION("""COMPUTED_VALUE"""),"Uncle Sams Cider (11/12/2021) (Blue)")</f>
        <v>Uncle Sams Cider (11/12/2021) (Blue)</v>
      </c>
      <c r="H7076" s="19"/>
    </row>
    <row r="7077">
      <c r="A7077" s="9"/>
      <c r="B7077" s="15"/>
      <c r="C7077" s="9">
        <f>IFERROR(__xludf.DUMMYFUNCTION("""COMPUTED_VALUE"""),44530.9184534143)</f>
        <v>44530.91845</v>
      </c>
      <c r="D7077" s="15">
        <f>IFERROR(__xludf.DUMMYFUNCTION("""COMPUTED_VALUE"""),1.029)</f>
        <v>1.029</v>
      </c>
      <c r="E7077" s="16">
        <f>IFERROR(__xludf.DUMMYFUNCTION("""COMPUTED_VALUE"""),64.0)</f>
        <v>64</v>
      </c>
      <c r="F7077" s="19" t="str">
        <f>IFERROR(__xludf.DUMMYFUNCTION("""COMPUTED_VALUE"""),"BLUE")</f>
        <v>BLUE</v>
      </c>
      <c r="G7077" s="20" t="str">
        <f>IFERROR(__xludf.DUMMYFUNCTION("""COMPUTED_VALUE"""),"Uncle Sams Cider (11/12/2021) (Blue)")</f>
        <v>Uncle Sams Cider (11/12/2021) (Blue)</v>
      </c>
      <c r="H7077" s="19"/>
    </row>
    <row r="7078">
      <c r="A7078" s="9"/>
      <c r="B7078" s="15"/>
      <c r="C7078" s="9">
        <f>IFERROR(__xludf.DUMMYFUNCTION("""COMPUTED_VALUE"""),44530.9080314004)</f>
        <v>44530.90803</v>
      </c>
      <c r="D7078" s="15">
        <f>IFERROR(__xludf.DUMMYFUNCTION("""COMPUTED_VALUE"""),1.029)</f>
        <v>1.029</v>
      </c>
      <c r="E7078" s="16">
        <f>IFERROR(__xludf.DUMMYFUNCTION("""COMPUTED_VALUE"""),64.0)</f>
        <v>64</v>
      </c>
      <c r="F7078" s="19" t="str">
        <f>IFERROR(__xludf.DUMMYFUNCTION("""COMPUTED_VALUE"""),"BLUE")</f>
        <v>BLUE</v>
      </c>
      <c r="G7078" s="20" t="str">
        <f>IFERROR(__xludf.DUMMYFUNCTION("""COMPUTED_VALUE"""),"Uncle Sams Cider (11/12/2021) (Blue)")</f>
        <v>Uncle Sams Cider (11/12/2021) (Blue)</v>
      </c>
      <c r="H7078" s="19"/>
    </row>
    <row r="7079">
      <c r="A7079" s="9"/>
      <c r="B7079" s="15"/>
      <c r="C7079" s="9">
        <f>IFERROR(__xludf.DUMMYFUNCTION("""COMPUTED_VALUE"""),44530.897600405)</f>
        <v>44530.8976</v>
      </c>
      <c r="D7079" s="15">
        <f>IFERROR(__xludf.DUMMYFUNCTION("""COMPUTED_VALUE"""),1.029)</f>
        <v>1.029</v>
      </c>
      <c r="E7079" s="16">
        <f>IFERROR(__xludf.DUMMYFUNCTION("""COMPUTED_VALUE"""),64.0)</f>
        <v>64</v>
      </c>
      <c r="F7079" s="19" t="str">
        <f>IFERROR(__xludf.DUMMYFUNCTION("""COMPUTED_VALUE"""),"BLUE")</f>
        <v>BLUE</v>
      </c>
      <c r="G7079" s="20" t="str">
        <f>IFERROR(__xludf.DUMMYFUNCTION("""COMPUTED_VALUE"""),"Uncle Sams Cider (11/12/2021) (Blue)")</f>
        <v>Uncle Sams Cider (11/12/2021) (Blue)</v>
      </c>
      <c r="H7079" s="19"/>
    </row>
    <row r="7080">
      <c r="A7080" s="9"/>
      <c r="B7080" s="15"/>
      <c r="C7080" s="9">
        <f>IFERROR(__xludf.DUMMYFUNCTION("""COMPUTED_VALUE"""),44530.8871797569)</f>
        <v>44530.88718</v>
      </c>
      <c r="D7080" s="15">
        <f>IFERROR(__xludf.DUMMYFUNCTION("""COMPUTED_VALUE"""),1.029)</f>
        <v>1.029</v>
      </c>
      <c r="E7080" s="16">
        <f>IFERROR(__xludf.DUMMYFUNCTION("""COMPUTED_VALUE"""),64.0)</f>
        <v>64</v>
      </c>
      <c r="F7080" s="19" t="str">
        <f>IFERROR(__xludf.DUMMYFUNCTION("""COMPUTED_VALUE"""),"BLUE")</f>
        <v>BLUE</v>
      </c>
      <c r="G7080" s="20" t="str">
        <f>IFERROR(__xludf.DUMMYFUNCTION("""COMPUTED_VALUE"""),"Uncle Sams Cider (11/12/2021) (Blue)")</f>
        <v>Uncle Sams Cider (11/12/2021) (Blue)</v>
      </c>
      <c r="H7080" s="19"/>
    </row>
    <row r="7081">
      <c r="A7081" s="9"/>
      <c r="B7081" s="15"/>
      <c r="C7081" s="9">
        <f>IFERROR(__xludf.DUMMYFUNCTION("""COMPUTED_VALUE"""),44530.8767584027)</f>
        <v>44530.87676</v>
      </c>
      <c r="D7081" s="15">
        <f>IFERROR(__xludf.DUMMYFUNCTION("""COMPUTED_VALUE"""),1.029)</f>
        <v>1.029</v>
      </c>
      <c r="E7081" s="16">
        <f>IFERROR(__xludf.DUMMYFUNCTION("""COMPUTED_VALUE"""),64.0)</f>
        <v>64</v>
      </c>
      <c r="F7081" s="19" t="str">
        <f>IFERROR(__xludf.DUMMYFUNCTION("""COMPUTED_VALUE"""),"BLUE")</f>
        <v>BLUE</v>
      </c>
      <c r="G7081" s="20" t="str">
        <f>IFERROR(__xludf.DUMMYFUNCTION("""COMPUTED_VALUE"""),"Uncle Sams Cider (11/12/2021) (Blue)")</f>
        <v>Uncle Sams Cider (11/12/2021) (Blue)</v>
      </c>
      <c r="H7081" s="19"/>
    </row>
    <row r="7082">
      <c r="A7082" s="9"/>
      <c r="B7082" s="15"/>
      <c r="C7082" s="9">
        <f>IFERROR(__xludf.DUMMYFUNCTION("""COMPUTED_VALUE"""),44530.8663383912)</f>
        <v>44530.86634</v>
      </c>
      <c r="D7082" s="15">
        <f>IFERROR(__xludf.DUMMYFUNCTION("""COMPUTED_VALUE"""),1.029)</f>
        <v>1.029</v>
      </c>
      <c r="E7082" s="16">
        <f>IFERROR(__xludf.DUMMYFUNCTION("""COMPUTED_VALUE"""),64.0)</f>
        <v>64</v>
      </c>
      <c r="F7082" s="19" t="str">
        <f>IFERROR(__xludf.DUMMYFUNCTION("""COMPUTED_VALUE"""),"BLUE")</f>
        <v>BLUE</v>
      </c>
      <c r="G7082" s="20" t="str">
        <f>IFERROR(__xludf.DUMMYFUNCTION("""COMPUTED_VALUE"""),"Uncle Sams Cider (11/12/2021) (Blue)")</f>
        <v>Uncle Sams Cider (11/12/2021) (Blue)</v>
      </c>
      <c r="H7082" s="19"/>
    </row>
    <row r="7083">
      <c r="A7083" s="9"/>
      <c r="B7083" s="15"/>
      <c r="C7083" s="9">
        <f>IFERROR(__xludf.DUMMYFUNCTION("""COMPUTED_VALUE"""),44530.8559182175)</f>
        <v>44530.85592</v>
      </c>
      <c r="D7083" s="15">
        <f>IFERROR(__xludf.DUMMYFUNCTION("""COMPUTED_VALUE"""),1.029)</f>
        <v>1.029</v>
      </c>
      <c r="E7083" s="16">
        <f>IFERROR(__xludf.DUMMYFUNCTION("""COMPUTED_VALUE"""),64.0)</f>
        <v>64</v>
      </c>
      <c r="F7083" s="19" t="str">
        <f>IFERROR(__xludf.DUMMYFUNCTION("""COMPUTED_VALUE"""),"BLUE")</f>
        <v>BLUE</v>
      </c>
      <c r="G7083" s="20" t="str">
        <f>IFERROR(__xludf.DUMMYFUNCTION("""COMPUTED_VALUE"""),"Uncle Sams Cider (11/12/2021) (Blue)")</f>
        <v>Uncle Sams Cider (11/12/2021) (Blue)</v>
      </c>
      <c r="H7083" s="19"/>
    </row>
    <row r="7084">
      <c r="A7084" s="9"/>
      <c r="B7084" s="15"/>
      <c r="C7084" s="9">
        <f>IFERROR(__xludf.DUMMYFUNCTION("""COMPUTED_VALUE"""),44530.8454968171)</f>
        <v>44530.8455</v>
      </c>
      <c r="D7084" s="15">
        <f>IFERROR(__xludf.DUMMYFUNCTION("""COMPUTED_VALUE"""),1.029)</f>
        <v>1.029</v>
      </c>
      <c r="E7084" s="16">
        <f>IFERROR(__xludf.DUMMYFUNCTION("""COMPUTED_VALUE"""),64.0)</f>
        <v>64</v>
      </c>
      <c r="F7084" s="19" t="str">
        <f>IFERROR(__xludf.DUMMYFUNCTION("""COMPUTED_VALUE"""),"BLUE")</f>
        <v>BLUE</v>
      </c>
      <c r="G7084" s="20" t="str">
        <f>IFERROR(__xludf.DUMMYFUNCTION("""COMPUTED_VALUE"""),"Uncle Sams Cider (11/12/2021) (Blue)")</f>
        <v>Uncle Sams Cider (11/12/2021) (Blue)</v>
      </c>
      <c r="H7084" s="19"/>
    </row>
    <row r="7085">
      <c r="A7085" s="9"/>
      <c r="B7085" s="15"/>
      <c r="C7085" s="9">
        <f>IFERROR(__xludf.DUMMYFUNCTION("""COMPUTED_VALUE"""),44530.835076412)</f>
        <v>44530.83508</v>
      </c>
      <c r="D7085" s="15">
        <f>IFERROR(__xludf.DUMMYFUNCTION("""COMPUTED_VALUE"""),1.029)</f>
        <v>1.029</v>
      </c>
      <c r="E7085" s="16">
        <f>IFERROR(__xludf.DUMMYFUNCTION("""COMPUTED_VALUE"""),64.0)</f>
        <v>64</v>
      </c>
      <c r="F7085" s="19" t="str">
        <f>IFERROR(__xludf.DUMMYFUNCTION("""COMPUTED_VALUE"""),"BLUE")</f>
        <v>BLUE</v>
      </c>
      <c r="G7085" s="20" t="str">
        <f>IFERROR(__xludf.DUMMYFUNCTION("""COMPUTED_VALUE"""),"Uncle Sams Cider (11/12/2021) (Blue)")</f>
        <v>Uncle Sams Cider (11/12/2021) (Blue)</v>
      </c>
      <c r="H7085" s="19"/>
    </row>
    <row r="7086">
      <c r="A7086" s="9"/>
      <c r="B7086" s="15"/>
      <c r="C7086" s="9">
        <f>IFERROR(__xludf.DUMMYFUNCTION("""COMPUTED_VALUE"""),44530.8246533796)</f>
        <v>44530.82465</v>
      </c>
      <c r="D7086" s="15">
        <f>IFERROR(__xludf.DUMMYFUNCTION("""COMPUTED_VALUE"""),1.029)</f>
        <v>1.029</v>
      </c>
      <c r="E7086" s="16">
        <f>IFERROR(__xludf.DUMMYFUNCTION("""COMPUTED_VALUE"""),64.0)</f>
        <v>64</v>
      </c>
      <c r="F7086" s="19" t="str">
        <f>IFERROR(__xludf.DUMMYFUNCTION("""COMPUTED_VALUE"""),"BLUE")</f>
        <v>BLUE</v>
      </c>
      <c r="G7086" s="20" t="str">
        <f>IFERROR(__xludf.DUMMYFUNCTION("""COMPUTED_VALUE"""),"Uncle Sams Cider (11/12/2021) (Blue)")</f>
        <v>Uncle Sams Cider (11/12/2021) (Blue)</v>
      </c>
      <c r="H7086" s="19"/>
    </row>
    <row r="7087">
      <c r="A7087" s="9"/>
      <c r="B7087" s="15"/>
      <c r="C7087" s="9">
        <f>IFERROR(__xludf.DUMMYFUNCTION("""COMPUTED_VALUE"""),44530.8142340972)</f>
        <v>44530.81423</v>
      </c>
      <c r="D7087" s="15">
        <f>IFERROR(__xludf.DUMMYFUNCTION("""COMPUTED_VALUE"""),1.029)</f>
        <v>1.029</v>
      </c>
      <c r="E7087" s="16">
        <f>IFERROR(__xludf.DUMMYFUNCTION("""COMPUTED_VALUE"""),64.0)</f>
        <v>64</v>
      </c>
      <c r="F7087" s="19" t="str">
        <f>IFERROR(__xludf.DUMMYFUNCTION("""COMPUTED_VALUE"""),"BLUE")</f>
        <v>BLUE</v>
      </c>
      <c r="G7087" s="20" t="str">
        <f>IFERROR(__xludf.DUMMYFUNCTION("""COMPUTED_VALUE"""),"Uncle Sams Cider (11/12/2021) (Blue)")</f>
        <v>Uncle Sams Cider (11/12/2021) (Blue)</v>
      </c>
      <c r="H7087" s="19"/>
    </row>
    <row r="7088">
      <c r="A7088" s="9"/>
      <c r="B7088" s="15"/>
      <c r="C7088" s="9">
        <f>IFERROR(__xludf.DUMMYFUNCTION("""COMPUTED_VALUE"""),44530.8038125463)</f>
        <v>44530.80381</v>
      </c>
      <c r="D7088" s="15">
        <f>IFERROR(__xludf.DUMMYFUNCTION("""COMPUTED_VALUE"""),1.029)</f>
        <v>1.029</v>
      </c>
      <c r="E7088" s="16">
        <f>IFERROR(__xludf.DUMMYFUNCTION("""COMPUTED_VALUE"""),64.0)</f>
        <v>64</v>
      </c>
      <c r="F7088" s="19" t="str">
        <f>IFERROR(__xludf.DUMMYFUNCTION("""COMPUTED_VALUE"""),"BLUE")</f>
        <v>BLUE</v>
      </c>
      <c r="G7088" s="20" t="str">
        <f>IFERROR(__xludf.DUMMYFUNCTION("""COMPUTED_VALUE"""),"Uncle Sams Cider (11/12/2021) (Blue)")</f>
        <v>Uncle Sams Cider (11/12/2021) (Blue)</v>
      </c>
      <c r="H7088" s="19"/>
    </row>
    <row r="7089">
      <c r="A7089" s="9"/>
      <c r="B7089" s="15"/>
      <c r="C7089" s="9">
        <f>IFERROR(__xludf.DUMMYFUNCTION("""COMPUTED_VALUE"""),44530.7933910069)</f>
        <v>44530.79339</v>
      </c>
      <c r="D7089" s="15">
        <f>IFERROR(__xludf.DUMMYFUNCTION("""COMPUTED_VALUE"""),1.029)</f>
        <v>1.029</v>
      </c>
      <c r="E7089" s="16">
        <f>IFERROR(__xludf.DUMMYFUNCTION("""COMPUTED_VALUE"""),64.0)</f>
        <v>64</v>
      </c>
      <c r="F7089" s="19" t="str">
        <f>IFERROR(__xludf.DUMMYFUNCTION("""COMPUTED_VALUE"""),"BLUE")</f>
        <v>BLUE</v>
      </c>
      <c r="G7089" s="20" t="str">
        <f>IFERROR(__xludf.DUMMYFUNCTION("""COMPUTED_VALUE"""),"Uncle Sams Cider (11/12/2021) (Blue)")</f>
        <v>Uncle Sams Cider (11/12/2021) (Blue)</v>
      </c>
      <c r="H7089" s="19"/>
    </row>
    <row r="7090">
      <c r="A7090" s="9"/>
      <c r="B7090" s="15"/>
      <c r="C7090" s="9">
        <f>IFERROR(__xludf.DUMMYFUNCTION("""COMPUTED_VALUE"""),44530.7829704745)</f>
        <v>44530.78297</v>
      </c>
      <c r="D7090" s="15">
        <f>IFERROR(__xludf.DUMMYFUNCTION("""COMPUTED_VALUE"""),1.029)</f>
        <v>1.029</v>
      </c>
      <c r="E7090" s="16">
        <f>IFERROR(__xludf.DUMMYFUNCTION("""COMPUTED_VALUE"""),64.0)</f>
        <v>64</v>
      </c>
      <c r="F7090" s="19" t="str">
        <f>IFERROR(__xludf.DUMMYFUNCTION("""COMPUTED_VALUE"""),"BLUE")</f>
        <v>BLUE</v>
      </c>
      <c r="G7090" s="20" t="str">
        <f>IFERROR(__xludf.DUMMYFUNCTION("""COMPUTED_VALUE"""),"Uncle Sams Cider (11/12/2021) (Blue)")</f>
        <v>Uncle Sams Cider (11/12/2021) (Blue)</v>
      </c>
      <c r="H7090" s="19"/>
    </row>
    <row r="7091">
      <c r="A7091" s="9"/>
      <c r="B7091" s="15"/>
      <c r="C7091" s="9">
        <f>IFERROR(__xludf.DUMMYFUNCTION("""COMPUTED_VALUE"""),44530.7725492939)</f>
        <v>44530.77255</v>
      </c>
      <c r="D7091" s="15">
        <f>IFERROR(__xludf.DUMMYFUNCTION("""COMPUTED_VALUE"""),1.029)</f>
        <v>1.029</v>
      </c>
      <c r="E7091" s="16">
        <f>IFERROR(__xludf.DUMMYFUNCTION("""COMPUTED_VALUE"""),64.0)</f>
        <v>64</v>
      </c>
      <c r="F7091" s="19" t="str">
        <f>IFERROR(__xludf.DUMMYFUNCTION("""COMPUTED_VALUE"""),"BLUE")</f>
        <v>BLUE</v>
      </c>
      <c r="G7091" s="20" t="str">
        <f>IFERROR(__xludf.DUMMYFUNCTION("""COMPUTED_VALUE"""),"Uncle Sams Cider (11/12/2021) (Blue)")</f>
        <v>Uncle Sams Cider (11/12/2021) (Blue)</v>
      </c>
      <c r="H7091" s="19"/>
    </row>
    <row r="7092">
      <c r="A7092" s="9"/>
      <c r="B7092" s="15"/>
      <c r="C7092" s="9">
        <f>IFERROR(__xludf.DUMMYFUNCTION("""COMPUTED_VALUE"""),44530.7621284837)</f>
        <v>44530.76213</v>
      </c>
      <c r="D7092" s="15">
        <f>IFERROR(__xludf.DUMMYFUNCTION("""COMPUTED_VALUE"""),1.029)</f>
        <v>1.029</v>
      </c>
      <c r="E7092" s="16">
        <f>IFERROR(__xludf.DUMMYFUNCTION("""COMPUTED_VALUE"""),64.0)</f>
        <v>64</v>
      </c>
      <c r="F7092" s="19" t="str">
        <f>IFERROR(__xludf.DUMMYFUNCTION("""COMPUTED_VALUE"""),"BLUE")</f>
        <v>BLUE</v>
      </c>
      <c r="G7092" s="20" t="str">
        <f>IFERROR(__xludf.DUMMYFUNCTION("""COMPUTED_VALUE"""),"Uncle Sams Cider (11/12/2021) (Blue)")</f>
        <v>Uncle Sams Cider (11/12/2021) (Blue)</v>
      </c>
      <c r="H7092" s="19"/>
    </row>
    <row r="7093">
      <c r="A7093" s="9"/>
      <c r="B7093" s="15"/>
      <c r="C7093" s="9">
        <f>IFERROR(__xludf.DUMMYFUNCTION("""COMPUTED_VALUE"""),44530.7517087152)</f>
        <v>44530.75171</v>
      </c>
      <c r="D7093" s="15">
        <f>IFERROR(__xludf.DUMMYFUNCTION("""COMPUTED_VALUE"""),1.029)</f>
        <v>1.029</v>
      </c>
      <c r="E7093" s="16">
        <f>IFERROR(__xludf.DUMMYFUNCTION("""COMPUTED_VALUE"""),64.0)</f>
        <v>64</v>
      </c>
      <c r="F7093" s="19" t="str">
        <f>IFERROR(__xludf.DUMMYFUNCTION("""COMPUTED_VALUE"""),"BLUE")</f>
        <v>BLUE</v>
      </c>
      <c r="G7093" s="20" t="str">
        <f>IFERROR(__xludf.DUMMYFUNCTION("""COMPUTED_VALUE"""),"Uncle Sams Cider (11/12/2021) (Blue)")</f>
        <v>Uncle Sams Cider (11/12/2021) (Blue)</v>
      </c>
      <c r="H7093" s="19"/>
    </row>
    <row r="7094">
      <c r="A7094" s="9"/>
      <c r="B7094" s="15"/>
      <c r="C7094" s="9">
        <f>IFERROR(__xludf.DUMMYFUNCTION("""COMPUTED_VALUE"""),44530.7412895486)</f>
        <v>44530.74129</v>
      </c>
      <c r="D7094" s="15">
        <f>IFERROR(__xludf.DUMMYFUNCTION("""COMPUTED_VALUE"""),1.029)</f>
        <v>1.029</v>
      </c>
      <c r="E7094" s="16">
        <f>IFERROR(__xludf.DUMMYFUNCTION("""COMPUTED_VALUE"""),64.0)</f>
        <v>64</v>
      </c>
      <c r="F7094" s="19" t="str">
        <f>IFERROR(__xludf.DUMMYFUNCTION("""COMPUTED_VALUE"""),"BLUE")</f>
        <v>BLUE</v>
      </c>
      <c r="G7094" s="20" t="str">
        <f>IFERROR(__xludf.DUMMYFUNCTION("""COMPUTED_VALUE"""),"Uncle Sams Cider (11/12/2021) (Blue)")</f>
        <v>Uncle Sams Cider (11/12/2021) (Blue)</v>
      </c>
      <c r="H7094" s="19"/>
    </row>
    <row r="7095">
      <c r="A7095" s="9"/>
      <c r="B7095" s="15"/>
      <c r="C7095" s="9">
        <f>IFERROR(__xludf.DUMMYFUNCTION("""COMPUTED_VALUE"""),44530.7308695833)</f>
        <v>44530.73087</v>
      </c>
      <c r="D7095" s="15">
        <f>IFERROR(__xludf.DUMMYFUNCTION("""COMPUTED_VALUE"""),1.029)</f>
        <v>1.029</v>
      </c>
      <c r="E7095" s="16">
        <f>IFERROR(__xludf.DUMMYFUNCTION("""COMPUTED_VALUE"""),64.0)</f>
        <v>64</v>
      </c>
      <c r="F7095" s="19" t="str">
        <f>IFERROR(__xludf.DUMMYFUNCTION("""COMPUTED_VALUE"""),"BLUE")</f>
        <v>BLUE</v>
      </c>
      <c r="G7095" s="20" t="str">
        <f>IFERROR(__xludf.DUMMYFUNCTION("""COMPUTED_VALUE"""),"Uncle Sams Cider (11/12/2021) (Blue)")</f>
        <v>Uncle Sams Cider (11/12/2021) (Blue)</v>
      </c>
      <c r="H7095" s="19"/>
    </row>
    <row r="7096">
      <c r="A7096" s="9"/>
      <c r="B7096" s="15"/>
      <c r="C7096" s="9">
        <f>IFERROR(__xludf.DUMMYFUNCTION("""COMPUTED_VALUE"""),44530.7204467476)</f>
        <v>44530.72045</v>
      </c>
      <c r="D7096" s="15">
        <f>IFERROR(__xludf.DUMMYFUNCTION("""COMPUTED_VALUE"""),1.029)</f>
        <v>1.029</v>
      </c>
      <c r="E7096" s="16">
        <f>IFERROR(__xludf.DUMMYFUNCTION("""COMPUTED_VALUE"""),64.0)</f>
        <v>64</v>
      </c>
      <c r="F7096" s="19" t="str">
        <f>IFERROR(__xludf.DUMMYFUNCTION("""COMPUTED_VALUE"""),"BLUE")</f>
        <v>BLUE</v>
      </c>
      <c r="G7096" s="20" t="str">
        <f>IFERROR(__xludf.DUMMYFUNCTION("""COMPUTED_VALUE"""),"Uncle Sams Cider (11/12/2021) (Blue)")</f>
        <v>Uncle Sams Cider (11/12/2021) (Blue)</v>
      </c>
      <c r="H7096" s="19"/>
    </row>
    <row r="7097">
      <c r="A7097" s="9"/>
      <c r="B7097" s="15"/>
      <c r="C7097" s="9">
        <f>IFERROR(__xludf.DUMMYFUNCTION("""COMPUTED_VALUE"""),44530.7100260185)</f>
        <v>44530.71003</v>
      </c>
      <c r="D7097" s="15">
        <f>IFERROR(__xludf.DUMMYFUNCTION("""COMPUTED_VALUE"""),1.029)</f>
        <v>1.029</v>
      </c>
      <c r="E7097" s="16">
        <f>IFERROR(__xludf.DUMMYFUNCTION("""COMPUTED_VALUE"""),64.0)</f>
        <v>64</v>
      </c>
      <c r="F7097" s="19" t="str">
        <f>IFERROR(__xludf.DUMMYFUNCTION("""COMPUTED_VALUE"""),"BLUE")</f>
        <v>BLUE</v>
      </c>
      <c r="G7097" s="20" t="str">
        <f>IFERROR(__xludf.DUMMYFUNCTION("""COMPUTED_VALUE"""),"Uncle Sams Cider (11/12/2021) (Blue)")</f>
        <v>Uncle Sams Cider (11/12/2021) (Blue)</v>
      </c>
      <c r="H7097" s="19"/>
    </row>
    <row r="7098">
      <c r="A7098" s="9"/>
      <c r="B7098" s="15"/>
      <c r="C7098" s="9">
        <f>IFERROR(__xludf.DUMMYFUNCTION("""COMPUTED_VALUE"""),44530.6996073148)</f>
        <v>44530.69961</v>
      </c>
      <c r="D7098" s="15">
        <f>IFERROR(__xludf.DUMMYFUNCTION("""COMPUTED_VALUE"""),1.029)</f>
        <v>1.029</v>
      </c>
      <c r="E7098" s="16">
        <f>IFERROR(__xludf.DUMMYFUNCTION("""COMPUTED_VALUE"""),64.0)</f>
        <v>64</v>
      </c>
      <c r="F7098" s="19" t="str">
        <f>IFERROR(__xludf.DUMMYFUNCTION("""COMPUTED_VALUE"""),"BLUE")</f>
        <v>BLUE</v>
      </c>
      <c r="G7098" s="20" t="str">
        <f>IFERROR(__xludf.DUMMYFUNCTION("""COMPUTED_VALUE"""),"Uncle Sams Cider (11/12/2021) (Blue)")</f>
        <v>Uncle Sams Cider (11/12/2021) (Blue)</v>
      </c>
      <c r="H7098" s="19"/>
    </row>
    <row r="7099">
      <c r="A7099" s="9"/>
      <c r="B7099" s="15"/>
      <c r="C7099" s="9">
        <f>IFERROR(__xludf.DUMMYFUNCTION("""COMPUTED_VALUE"""),44530.6891891087)</f>
        <v>44530.68919</v>
      </c>
      <c r="D7099" s="15">
        <f>IFERROR(__xludf.DUMMYFUNCTION("""COMPUTED_VALUE"""),1.029)</f>
        <v>1.029</v>
      </c>
      <c r="E7099" s="16">
        <f>IFERROR(__xludf.DUMMYFUNCTION("""COMPUTED_VALUE"""),64.0)</f>
        <v>64</v>
      </c>
      <c r="F7099" s="19" t="str">
        <f>IFERROR(__xludf.DUMMYFUNCTION("""COMPUTED_VALUE"""),"BLUE")</f>
        <v>BLUE</v>
      </c>
      <c r="G7099" s="20" t="str">
        <f>IFERROR(__xludf.DUMMYFUNCTION("""COMPUTED_VALUE"""),"Uncle Sams Cider (11/12/2021) (Blue)")</f>
        <v>Uncle Sams Cider (11/12/2021) (Blue)</v>
      </c>
      <c r="H7099" s="19"/>
    </row>
    <row r="7100">
      <c r="A7100" s="9"/>
      <c r="B7100" s="15"/>
      <c r="C7100" s="9">
        <f>IFERROR(__xludf.DUMMYFUNCTION("""COMPUTED_VALUE"""),44530.6787705555)</f>
        <v>44530.67877</v>
      </c>
      <c r="D7100" s="15">
        <f>IFERROR(__xludf.DUMMYFUNCTION("""COMPUTED_VALUE"""),1.029)</f>
        <v>1.029</v>
      </c>
      <c r="E7100" s="16">
        <f>IFERROR(__xludf.DUMMYFUNCTION("""COMPUTED_VALUE"""),64.0)</f>
        <v>64</v>
      </c>
      <c r="F7100" s="19" t="str">
        <f>IFERROR(__xludf.DUMMYFUNCTION("""COMPUTED_VALUE"""),"BLUE")</f>
        <v>BLUE</v>
      </c>
      <c r="G7100" s="20" t="str">
        <f>IFERROR(__xludf.DUMMYFUNCTION("""COMPUTED_VALUE"""),"Uncle Sams Cider (11/12/2021) (Blue)")</f>
        <v>Uncle Sams Cider (11/12/2021) (Blue)</v>
      </c>
      <c r="H7100" s="19"/>
    </row>
    <row r="7101">
      <c r="A7101" s="9"/>
      <c r="B7101" s="15"/>
      <c r="C7101" s="9">
        <f>IFERROR(__xludf.DUMMYFUNCTION("""COMPUTED_VALUE"""),44530.6683483449)</f>
        <v>44530.66835</v>
      </c>
      <c r="D7101" s="15">
        <f>IFERROR(__xludf.DUMMYFUNCTION("""COMPUTED_VALUE"""),1.029)</f>
        <v>1.029</v>
      </c>
      <c r="E7101" s="16">
        <f>IFERROR(__xludf.DUMMYFUNCTION("""COMPUTED_VALUE"""),64.0)</f>
        <v>64</v>
      </c>
      <c r="F7101" s="19" t="str">
        <f>IFERROR(__xludf.DUMMYFUNCTION("""COMPUTED_VALUE"""),"BLUE")</f>
        <v>BLUE</v>
      </c>
      <c r="G7101" s="20" t="str">
        <f>IFERROR(__xludf.DUMMYFUNCTION("""COMPUTED_VALUE"""),"Uncle Sams Cider (11/12/2021) (Blue)")</f>
        <v>Uncle Sams Cider (11/12/2021) (Blue)</v>
      </c>
      <c r="H7101" s="19"/>
    </row>
    <row r="7102">
      <c r="A7102" s="9"/>
      <c r="B7102" s="15"/>
      <c r="C7102" s="9">
        <f>IFERROR(__xludf.DUMMYFUNCTION("""COMPUTED_VALUE"""),44530.6579263888)</f>
        <v>44530.65793</v>
      </c>
      <c r="D7102" s="15">
        <f>IFERROR(__xludf.DUMMYFUNCTION("""COMPUTED_VALUE"""),1.029)</f>
        <v>1.029</v>
      </c>
      <c r="E7102" s="16">
        <f>IFERROR(__xludf.DUMMYFUNCTION("""COMPUTED_VALUE"""),64.0)</f>
        <v>64</v>
      </c>
      <c r="F7102" s="19" t="str">
        <f>IFERROR(__xludf.DUMMYFUNCTION("""COMPUTED_VALUE"""),"BLUE")</f>
        <v>BLUE</v>
      </c>
      <c r="G7102" s="20" t="str">
        <f>IFERROR(__xludf.DUMMYFUNCTION("""COMPUTED_VALUE"""),"Uncle Sams Cider (11/12/2021) (Blue)")</f>
        <v>Uncle Sams Cider (11/12/2021) (Blue)</v>
      </c>
      <c r="H7102" s="19"/>
    </row>
    <row r="7103">
      <c r="A7103" s="9"/>
      <c r="B7103" s="15"/>
      <c r="C7103" s="9">
        <f>IFERROR(__xludf.DUMMYFUNCTION("""COMPUTED_VALUE"""),44530.647505625)</f>
        <v>44530.64751</v>
      </c>
      <c r="D7103" s="15">
        <f>IFERROR(__xludf.DUMMYFUNCTION("""COMPUTED_VALUE"""),1.029)</f>
        <v>1.029</v>
      </c>
      <c r="E7103" s="16">
        <f>IFERROR(__xludf.DUMMYFUNCTION("""COMPUTED_VALUE"""),64.0)</f>
        <v>64</v>
      </c>
      <c r="F7103" s="19" t="str">
        <f>IFERROR(__xludf.DUMMYFUNCTION("""COMPUTED_VALUE"""),"BLUE")</f>
        <v>BLUE</v>
      </c>
      <c r="G7103" s="20" t="str">
        <f>IFERROR(__xludf.DUMMYFUNCTION("""COMPUTED_VALUE"""),"Uncle Sams Cider (11/12/2021) (Blue)")</f>
        <v>Uncle Sams Cider (11/12/2021) (Blue)</v>
      </c>
      <c r="H7103" s="19"/>
    </row>
    <row r="7104">
      <c r="A7104" s="9"/>
      <c r="B7104" s="15"/>
      <c r="C7104" s="9">
        <f>IFERROR(__xludf.DUMMYFUNCTION("""COMPUTED_VALUE"""),44530.6370844213)</f>
        <v>44530.63708</v>
      </c>
      <c r="D7104" s="15">
        <f>IFERROR(__xludf.DUMMYFUNCTION("""COMPUTED_VALUE"""),1.029)</f>
        <v>1.029</v>
      </c>
      <c r="E7104" s="16">
        <f>IFERROR(__xludf.DUMMYFUNCTION("""COMPUTED_VALUE"""),64.0)</f>
        <v>64</v>
      </c>
      <c r="F7104" s="19" t="str">
        <f>IFERROR(__xludf.DUMMYFUNCTION("""COMPUTED_VALUE"""),"BLUE")</f>
        <v>BLUE</v>
      </c>
      <c r="G7104" s="20" t="str">
        <f>IFERROR(__xludf.DUMMYFUNCTION("""COMPUTED_VALUE"""),"Uncle Sams Cider (11/12/2021) (Blue)")</f>
        <v>Uncle Sams Cider (11/12/2021) (Blue)</v>
      </c>
      <c r="H7104" s="19"/>
    </row>
    <row r="7105">
      <c r="A7105" s="9"/>
      <c r="B7105" s="15"/>
      <c r="C7105" s="9">
        <f>IFERROR(__xludf.DUMMYFUNCTION("""COMPUTED_VALUE"""),44530.6266631018)</f>
        <v>44530.62666</v>
      </c>
      <c r="D7105" s="15">
        <f>IFERROR(__xludf.DUMMYFUNCTION("""COMPUTED_VALUE"""),1.029)</f>
        <v>1.029</v>
      </c>
      <c r="E7105" s="16">
        <f>IFERROR(__xludf.DUMMYFUNCTION("""COMPUTED_VALUE"""),64.0)</f>
        <v>64</v>
      </c>
      <c r="F7105" s="19" t="str">
        <f>IFERROR(__xludf.DUMMYFUNCTION("""COMPUTED_VALUE"""),"BLUE")</f>
        <v>BLUE</v>
      </c>
      <c r="G7105" s="20" t="str">
        <f>IFERROR(__xludf.DUMMYFUNCTION("""COMPUTED_VALUE"""),"Uncle Sams Cider (11/12/2021) (Blue)")</f>
        <v>Uncle Sams Cider (11/12/2021) (Blue)</v>
      </c>
      <c r="H7105" s="19"/>
    </row>
    <row r="7106">
      <c r="A7106" s="9"/>
      <c r="B7106" s="15"/>
      <c r="C7106" s="9">
        <f>IFERROR(__xludf.DUMMYFUNCTION("""COMPUTED_VALUE"""),44530.6162411226)</f>
        <v>44530.61624</v>
      </c>
      <c r="D7106" s="15">
        <f>IFERROR(__xludf.DUMMYFUNCTION("""COMPUTED_VALUE"""),1.029)</f>
        <v>1.029</v>
      </c>
      <c r="E7106" s="16">
        <f>IFERROR(__xludf.DUMMYFUNCTION("""COMPUTED_VALUE"""),64.0)</f>
        <v>64</v>
      </c>
      <c r="F7106" s="19" t="str">
        <f>IFERROR(__xludf.DUMMYFUNCTION("""COMPUTED_VALUE"""),"BLUE")</f>
        <v>BLUE</v>
      </c>
      <c r="G7106" s="20" t="str">
        <f>IFERROR(__xludf.DUMMYFUNCTION("""COMPUTED_VALUE"""),"Uncle Sams Cider (11/12/2021) (Blue)")</f>
        <v>Uncle Sams Cider (11/12/2021) (Blue)</v>
      </c>
      <c r="H7106" s="19"/>
    </row>
    <row r="7107">
      <c r="A7107" s="9"/>
      <c r="B7107" s="15"/>
      <c r="C7107" s="9">
        <f>IFERROR(__xludf.DUMMYFUNCTION("""COMPUTED_VALUE"""),44530.605820081)</f>
        <v>44530.60582</v>
      </c>
      <c r="D7107" s="15">
        <f>IFERROR(__xludf.DUMMYFUNCTION("""COMPUTED_VALUE"""),1.029)</f>
        <v>1.029</v>
      </c>
      <c r="E7107" s="16">
        <f>IFERROR(__xludf.DUMMYFUNCTION("""COMPUTED_VALUE"""),64.0)</f>
        <v>64</v>
      </c>
      <c r="F7107" s="19" t="str">
        <f>IFERROR(__xludf.DUMMYFUNCTION("""COMPUTED_VALUE"""),"BLUE")</f>
        <v>BLUE</v>
      </c>
      <c r="G7107" s="20" t="str">
        <f>IFERROR(__xludf.DUMMYFUNCTION("""COMPUTED_VALUE"""),"Uncle Sams Cider (11/12/2021) (Blue)")</f>
        <v>Uncle Sams Cider (11/12/2021) (Blue)</v>
      </c>
      <c r="H7107" s="19"/>
    </row>
    <row r="7108">
      <c r="A7108" s="9"/>
      <c r="B7108" s="15"/>
      <c r="C7108" s="9">
        <f>IFERROR(__xludf.DUMMYFUNCTION("""COMPUTED_VALUE"""),44530.5953985416)</f>
        <v>44530.5954</v>
      </c>
      <c r="D7108" s="15">
        <f>IFERROR(__xludf.DUMMYFUNCTION("""COMPUTED_VALUE"""),1.029)</f>
        <v>1.029</v>
      </c>
      <c r="E7108" s="16">
        <f>IFERROR(__xludf.DUMMYFUNCTION("""COMPUTED_VALUE"""),64.0)</f>
        <v>64</v>
      </c>
      <c r="F7108" s="19" t="str">
        <f>IFERROR(__xludf.DUMMYFUNCTION("""COMPUTED_VALUE"""),"BLUE")</f>
        <v>BLUE</v>
      </c>
      <c r="G7108" s="20" t="str">
        <f>IFERROR(__xludf.DUMMYFUNCTION("""COMPUTED_VALUE"""),"Uncle Sams Cider (11/12/2021) (Blue)")</f>
        <v>Uncle Sams Cider (11/12/2021) (Blue)</v>
      </c>
      <c r="H7108" s="19"/>
    </row>
    <row r="7109">
      <c r="A7109" s="9"/>
      <c r="B7109" s="15"/>
      <c r="C7109" s="9">
        <f>IFERROR(__xludf.DUMMYFUNCTION("""COMPUTED_VALUE"""),44530.5849776388)</f>
        <v>44530.58498</v>
      </c>
      <c r="D7109" s="15">
        <f>IFERROR(__xludf.DUMMYFUNCTION("""COMPUTED_VALUE"""),1.029)</f>
        <v>1.029</v>
      </c>
      <c r="E7109" s="16">
        <f>IFERROR(__xludf.DUMMYFUNCTION("""COMPUTED_VALUE"""),64.0)</f>
        <v>64</v>
      </c>
      <c r="F7109" s="19" t="str">
        <f>IFERROR(__xludf.DUMMYFUNCTION("""COMPUTED_VALUE"""),"BLUE")</f>
        <v>BLUE</v>
      </c>
      <c r="G7109" s="20" t="str">
        <f>IFERROR(__xludf.DUMMYFUNCTION("""COMPUTED_VALUE"""),"Uncle Sams Cider (11/12/2021) (Blue)")</f>
        <v>Uncle Sams Cider (11/12/2021) (Blue)</v>
      </c>
      <c r="H7109" s="19"/>
    </row>
    <row r="7110">
      <c r="A7110" s="9"/>
      <c r="B7110" s="15"/>
      <c r="C7110" s="9">
        <f>IFERROR(__xludf.DUMMYFUNCTION("""COMPUTED_VALUE"""),44530.5745573148)</f>
        <v>44530.57456</v>
      </c>
      <c r="D7110" s="15">
        <f>IFERROR(__xludf.DUMMYFUNCTION("""COMPUTED_VALUE"""),1.029)</f>
        <v>1.029</v>
      </c>
      <c r="E7110" s="16">
        <f>IFERROR(__xludf.DUMMYFUNCTION("""COMPUTED_VALUE"""),64.0)</f>
        <v>64</v>
      </c>
      <c r="F7110" s="19" t="str">
        <f>IFERROR(__xludf.DUMMYFUNCTION("""COMPUTED_VALUE"""),"BLUE")</f>
        <v>BLUE</v>
      </c>
      <c r="G7110" s="20" t="str">
        <f>IFERROR(__xludf.DUMMYFUNCTION("""COMPUTED_VALUE"""),"Uncle Sams Cider (11/12/2021) (Blue)")</f>
        <v>Uncle Sams Cider (11/12/2021) (Blue)</v>
      </c>
      <c r="H7110" s="19"/>
    </row>
    <row r="7111">
      <c r="A7111" s="9"/>
      <c r="B7111" s="15"/>
      <c r="C7111" s="9">
        <f>IFERROR(__xludf.DUMMYFUNCTION("""COMPUTED_VALUE"""),44530.5641347337)</f>
        <v>44530.56413</v>
      </c>
      <c r="D7111" s="15">
        <f>IFERROR(__xludf.DUMMYFUNCTION("""COMPUTED_VALUE"""),1.029)</f>
        <v>1.029</v>
      </c>
      <c r="E7111" s="16">
        <f>IFERROR(__xludf.DUMMYFUNCTION("""COMPUTED_VALUE"""),64.0)</f>
        <v>64</v>
      </c>
      <c r="F7111" s="19" t="str">
        <f>IFERROR(__xludf.DUMMYFUNCTION("""COMPUTED_VALUE"""),"BLUE")</f>
        <v>BLUE</v>
      </c>
      <c r="G7111" s="20" t="str">
        <f>IFERROR(__xludf.DUMMYFUNCTION("""COMPUTED_VALUE"""),"Uncle Sams Cider (11/12/2021) (Blue)")</f>
        <v>Uncle Sams Cider (11/12/2021) (Blue)</v>
      </c>
      <c r="H7111" s="19"/>
    </row>
    <row r="7112">
      <c r="A7112" s="9"/>
      <c r="B7112" s="15"/>
      <c r="C7112" s="9">
        <f>IFERROR(__xludf.DUMMYFUNCTION("""COMPUTED_VALUE"""),44530.5537124305)</f>
        <v>44530.55371</v>
      </c>
      <c r="D7112" s="15">
        <f>IFERROR(__xludf.DUMMYFUNCTION("""COMPUTED_VALUE"""),1.029)</f>
        <v>1.029</v>
      </c>
      <c r="E7112" s="16">
        <f>IFERROR(__xludf.DUMMYFUNCTION("""COMPUTED_VALUE"""),64.0)</f>
        <v>64</v>
      </c>
      <c r="F7112" s="19" t="str">
        <f>IFERROR(__xludf.DUMMYFUNCTION("""COMPUTED_VALUE"""),"BLUE")</f>
        <v>BLUE</v>
      </c>
      <c r="G7112" s="20" t="str">
        <f>IFERROR(__xludf.DUMMYFUNCTION("""COMPUTED_VALUE"""),"Uncle Sams Cider (11/12/2021) (Blue)")</f>
        <v>Uncle Sams Cider (11/12/2021) (Blue)</v>
      </c>
      <c r="H7112" s="19"/>
    </row>
    <row r="7113">
      <c r="A7113" s="9"/>
      <c r="B7113" s="15"/>
      <c r="C7113" s="9">
        <f>IFERROR(__xludf.DUMMYFUNCTION("""COMPUTED_VALUE"""),44530.5432906481)</f>
        <v>44530.54329</v>
      </c>
      <c r="D7113" s="15">
        <f>IFERROR(__xludf.DUMMYFUNCTION("""COMPUTED_VALUE"""),1.029)</f>
        <v>1.029</v>
      </c>
      <c r="E7113" s="16">
        <f>IFERROR(__xludf.DUMMYFUNCTION("""COMPUTED_VALUE"""),64.0)</f>
        <v>64</v>
      </c>
      <c r="F7113" s="19" t="str">
        <f>IFERROR(__xludf.DUMMYFUNCTION("""COMPUTED_VALUE"""),"BLUE")</f>
        <v>BLUE</v>
      </c>
      <c r="G7113" s="20" t="str">
        <f>IFERROR(__xludf.DUMMYFUNCTION("""COMPUTED_VALUE"""),"Uncle Sams Cider (11/12/2021) (Blue)")</f>
        <v>Uncle Sams Cider (11/12/2021) (Blue)</v>
      </c>
      <c r="H7113" s="19"/>
    </row>
    <row r="7114">
      <c r="A7114" s="9"/>
      <c r="B7114" s="15"/>
      <c r="C7114" s="9">
        <f>IFERROR(__xludf.DUMMYFUNCTION("""COMPUTED_VALUE"""),44530.5328687499)</f>
        <v>44530.53287</v>
      </c>
      <c r="D7114" s="15">
        <f>IFERROR(__xludf.DUMMYFUNCTION("""COMPUTED_VALUE"""),1.029)</f>
        <v>1.029</v>
      </c>
      <c r="E7114" s="16">
        <f>IFERROR(__xludf.DUMMYFUNCTION("""COMPUTED_VALUE"""),64.0)</f>
        <v>64</v>
      </c>
      <c r="F7114" s="19" t="str">
        <f>IFERROR(__xludf.DUMMYFUNCTION("""COMPUTED_VALUE"""),"BLUE")</f>
        <v>BLUE</v>
      </c>
      <c r="G7114" s="20" t="str">
        <f>IFERROR(__xludf.DUMMYFUNCTION("""COMPUTED_VALUE"""),"Uncle Sams Cider (11/12/2021) (Blue)")</f>
        <v>Uncle Sams Cider (11/12/2021) (Blue)</v>
      </c>
      <c r="H7114" s="19"/>
    </row>
    <row r="7115">
      <c r="A7115" s="9"/>
      <c r="B7115" s="15"/>
      <c r="C7115" s="9">
        <f>IFERROR(__xludf.DUMMYFUNCTION("""COMPUTED_VALUE"""),44530.5224491782)</f>
        <v>44530.52245</v>
      </c>
      <c r="D7115" s="15">
        <f>IFERROR(__xludf.DUMMYFUNCTION("""COMPUTED_VALUE"""),1.029)</f>
        <v>1.029</v>
      </c>
      <c r="E7115" s="16">
        <f>IFERROR(__xludf.DUMMYFUNCTION("""COMPUTED_VALUE"""),64.0)</f>
        <v>64</v>
      </c>
      <c r="F7115" s="19" t="str">
        <f>IFERROR(__xludf.DUMMYFUNCTION("""COMPUTED_VALUE"""),"BLUE")</f>
        <v>BLUE</v>
      </c>
      <c r="G7115" s="20" t="str">
        <f>IFERROR(__xludf.DUMMYFUNCTION("""COMPUTED_VALUE"""),"Uncle Sams Cider (11/12/2021) (Blue)")</f>
        <v>Uncle Sams Cider (11/12/2021) (Blue)</v>
      </c>
      <c r="H7115" s="19"/>
    </row>
    <row r="7116">
      <c r="A7116" s="9"/>
      <c r="B7116" s="15"/>
      <c r="C7116" s="9">
        <f>IFERROR(__xludf.DUMMYFUNCTION("""COMPUTED_VALUE"""),44530.5120157291)</f>
        <v>44530.51202</v>
      </c>
      <c r="D7116" s="15">
        <f>IFERROR(__xludf.DUMMYFUNCTION("""COMPUTED_VALUE"""),1.029)</f>
        <v>1.029</v>
      </c>
      <c r="E7116" s="16">
        <f>IFERROR(__xludf.DUMMYFUNCTION("""COMPUTED_VALUE"""),64.0)</f>
        <v>64</v>
      </c>
      <c r="F7116" s="19" t="str">
        <f>IFERROR(__xludf.DUMMYFUNCTION("""COMPUTED_VALUE"""),"BLUE")</f>
        <v>BLUE</v>
      </c>
      <c r="G7116" s="20" t="str">
        <f>IFERROR(__xludf.DUMMYFUNCTION("""COMPUTED_VALUE"""),"Uncle Sams Cider (11/12/2021) (Blue)")</f>
        <v>Uncle Sams Cider (11/12/2021) (Blue)</v>
      </c>
      <c r="H7116" s="19"/>
    </row>
    <row r="7117">
      <c r="A7117" s="9"/>
      <c r="B7117" s="15"/>
      <c r="C7117" s="9">
        <f>IFERROR(__xludf.DUMMYFUNCTION("""COMPUTED_VALUE"""),44530.5015940277)</f>
        <v>44530.50159</v>
      </c>
      <c r="D7117" s="15">
        <f>IFERROR(__xludf.DUMMYFUNCTION("""COMPUTED_VALUE"""),1.029)</f>
        <v>1.029</v>
      </c>
      <c r="E7117" s="16">
        <f>IFERROR(__xludf.DUMMYFUNCTION("""COMPUTED_VALUE"""),64.0)</f>
        <v>64</v>
      </c>
      <c r="F7117" s="19" t="str">
        <f>IFERROR(__xludf.DUMMYFUNCTION("""COMPUTED_VALUE"""),"BLUE")</f>
        <v>BLUE</v>
      </c>
      <c r="G7117" s="20" t="str">
        <f>IFERROR(__xludf.DUMMYFUNCTION("""COMPUTED_VALUE"""),"Uncle Sams Cider (11/12/2021) (Blue)")</f>
        <v>Uncle Sams Cider (11/12/2021) (Blue)</v>
      </c>
      <c r="H7117" s="19"/>
    </row>
    <row r="7118">
      <c r="A7118" s="9"/>
      <c r="B7118" s="15"/>
      <c r="C7118" s="9">
        <f>IFERROR(__xludf.DUMMYFUNCTION("""COMPUTED_VALUE"""),44530.4911725694)</f>
        <v>44530.49117</v>
      </c>
      <c r="D7118" s="15">
        <f>IFERROR(__xludf.DUMMYFUNCTION("""COMPUTED_VALUE"""),1.029)</f>
        <v>1.029</v>
      </c>
      <c r="E7118" s="16">
        <f>IFERROR(__xludf.DUMMYFUNCTION("""COMPUTED_VALUE"""),64.0)</f>
        <v>64</v>
      </c>
      <c r="F7118" s="19" t="str">
        <f>IFERROR(__xludf.DUMMYFUNCTION("""COMPUTED_VALUE"""),"BLUE")</f>
        <v>BLUE</v>
      </c>
      <c r="G7118" s="20" t="str">
        <f>IFERROR(__xludf.DUMMYFUNCTION("""COMPUTED_VALUE"""),"Uncle Sams Cider (11/12/2021) (Blue)")</f>
        <v>Uncle Sams Cider (11/12/2021) (Blue)</v>
      </c>
      <c r="H7118" s="19"/>
    </row>
    <row r="7119">
      <c r="A7119" s="9"/>
      <c r="B7119" s="15"/>
      <c r="C7119" s="9">
        <f>IFERROR(__xludf.DUMMYFUNCTION("""COMPUTED_VALUE"""),44530.480751574)</f>
        <v>44530.48075</v>
      </c>
      <c r="D7119" s="15">
        <f>IFERROR(__xludf.DUMMYFUNCTION("""COMPUTED_VALUE"""),1.029)</f>
        <v>1.029</v>
      </c>
      <c r="E7119" s="16">
        <f>IFERROR(__xludf.DUMMYFUNCTION("""COMPUTED_VALUE"""),64.0)</f>
        <v>64</v>
      </c>
      <c r="F7119" s="19" t="str">
        <f>IFERROR(__xludf.DUMMYFUNCTION("""COMPUTED_VALUE"""),"BLUE")</f>
        <v>BLUE</v>
      </c>
      <c r="G7119" s="20" t="str">
        <f>IFERROR(__xludf.DUMMYFUNCTION("""COMPUTED_VALUE"""),"Uncle Sams Cider (11/12/2021) (Blue)")</f>
        <v>Uncle Sams Cider (11/12/2021) (Blue)</v>
      </c>
      <c r="H7119" s="19"/>
    </row>
    <row r="7120">
      <c r="A7120" s="9"/>
      <c r="B7120" s="15"/>
      <c r="C7120" s="9">
        <f>IFERROR(__xludf.DUMMYFUNCTION("""COMPUTED_VALUE"""),44530.4703306481)</f>
        <v>44530.47033</v>
      </c>
      <c r="D7120" s="15">
        <f>IFERROR(__xludf.DUMMYFUNCTION("""COMPUTED_VALUE"""),1.029)</f>
        <v>1.029</v>
      </c>
      <c r="E7120" s="16">
        <f>IFERROR(__xludf.DUMMYFUNCTION("""COMPUTED_VALUE"""),64.0)</f>
        <v>64</v>
      </c>
      <c r="F7120" s="19" t="str">
        <f>IFERROR(__xludf.DUMMYFUNCTION("""COMPUTED_VALUE"""),"BLUE")</f>
        <v>BLUE</v>
      </c>
      <c r="G7120" s="20" t="str">
        <f>IFERROR(__xludf.DUMMYFUNCTION("""COMPUTED_VALUE"""),"Uncle Sams Cider (11/12/2021) (Blue)")</f>
        <v>Uncle Sams Cider (11/12/2021) (Blue)</v>
      </c>
      <c r="H7120" s="19"/>
    </row>
    <row r="7121">
      <c r="A7121" s="9"/>
      <c r="B7121" s="15"/>
      <c r="C7121" s="9">
        <f>IFERROR(__xludf.DUMMYFUNCTION("""COMPUTED_VALUE"""),44530.4599101388)</f>
        <v>44530.45991</v>
      </c>
      <c r="D7121" s="15">
        <f>IFERROR(__xludf.DUMMYFUNCTION("""COMPUTED_VALUE"""),1.029)</f>
        <v>1.029</v>
      </c>
      <c r="E7121" s="16">
        <f>IFERROR(__xludf.DUMMYFUNCTION("""COMPUTED_VALUE"""),64.0)</f>
        <v>64</v>
      </c>
      <c r="F7121" s="19" t="str">
        <f>IFERROR(__xludf.DUMMYFUNCTION("""COMPUTED_VALUE"""),"BLUE")</f>
        <v>BLUE</v>
      </c>
      <c r="G7121" s="20" t="str">
        <f>IFERROR(__xludf.DUMMYFUNCTION("""COMPUTED_VALUE"""),"Uncle Sams Cider (11/12/2021) (Blue)")</f>
        <v>Uncle Sams Cider (11/12/2021) (Blue)</v>
      </c>
      <c r="H7121" s="19"/>
    </row>
    <row r="7122">
      <c r="A7122" s="9"/>
      <c r="B7122" s="15"/>
      <c r="C7122" s="9">
        <f>IFERROR(__xludf.DUMMYFUNCTION("""COMPUTED_VALUE"""),44530.4494898842)</f>
        <v>44530.44949</v>
      </c>
      <c r="D7122" s="15">
        <f>IFERROR(__xludf.DUMMYFUNCTION("""COMPUTED_VALUE"""),1.029)</f>
        <v>1.029</v>
      </c>
      <c r="E7122" s="16">
        <f>IFERROR(__xludf.DUMMYFUNCTION("""COMPUTED_VALUE"""),64.0)</f>
        <v>64</v>
      </c>
      <c r="F7122" s="19" t="str">
        <f>IFERROR(__xludf.DUMMYFUNCTION("""COMPUTED_VALUE"""),"BLUE")</f>
        <v>BLUE</v>
      </c>
      <c r="G7122" s="20" t="str">
        <f>IFERROR(__xludf.DUMMYFUNCTION("""COMPUTED_VALUE"""),"Uncle Sams Cider (11/12/2021) (Blue)")</f>
        <v>Uncle Sams Cider (11/12/2021) (Blue)</v>
      </c>
      <c r="H7122" s="19"/>
    </row>
    <row r="7123">
      <c r="A7123" s="9"/>
      <c r="B7123" s="15"/>
      <c r="C7123" s="9">
        <f>IFERROR(__xludf.DUMMYFUNCTION("""COMPUTED_VALUE"""),44530.4390692824)</f>
        <v>44530.43907</v>
      </c>
      <c r="D7123" s="15">
        <f>IFERROR(__xludf.DUMMYFUNCTION("""COMPUTED_VALUE"""),1.029)</f>
        <v>1.029</v>
      </c>
      <c r="E7123" s="16">
        <f>IFERROR(__xludf.DUMMYFUNCTION("""COMPUTED_VALUE"""),64.0)</f>
        <v>64</v>
      </c>
      <c r="F7123" s="19" t="str">
        <f>IFERROR(__xludf.DUMMYFUNCTION("""COMPUTED_VALUE"""),"BLUE")</f>
        <v>BLUE</v>
      </c>
      <c r="G7123" s="20" t="str">
        <f>IFERROR(__xludf.DUMMYFUNCTION("""COMPUTED_VALUE"""),"Uncle Sams Cider (11/12/2021) (Blue)")</f>
        <v>Uncle Sams Cider (11/12/2021) (Blue)</v>
      </c>
      <c r="H7123" s="19"/>
    </row>
    <row r="7124">
      <c r="A7124" s="9"/>
      <c r="B7124" s="15"/>
      <c r="C7124" s="9">
        <f>IFERROR(__xludf.DUMMYFUNCTION("""COMPUTED_VALUE"""),44530.4286481712)</f>
        <v>44530.42865</v>
      </c>
      <c r="D7124" s="15">
        <f>IFERROR(__xludf.DUMMYFUNCTION("""COMPUTED_VALUE"""),1.029)</f>
        <v>1.029</v>
      </c>
      <c r="E7124" s="16">
        <f>IFERROR(__xludf.DUMMYFUNCTION("""COMPUTED_VALUE"""),64.0)</f>
        <v>64</v>
      </c>
      <c r="F7124" s="19" t="str">
        <f>IFERROR(__xludf.DUMMYFUNCTION("""COMPUTED_VALUE"""),"BLUE")</f>
        <v>BLUE</v>
      </c>
      <c r="G7124" s="20" t="str">
        <f>IFERROR(__xludf.DUMMYFUNCTION("""COMPUTED_VALUE"""),"Uncle Sams Cider (11/12/2021) (Blue)")</f>
        <v>Uncle Sams Cider (11/12/2021) (Blue)</v>
      </c>
      <c r="H7124" s="19"/>
    </row>
    <row r="7125">
      <c r="A7125" s="9"/>
      <c r="B7125" s="15"/>
      <c r="C7125" s="9">
        <f>IFERROR(__xludf.DUMMYFUNCTION("""COMPUTED_VALUE"""),44530.4182269097)</f>
        <v>44530.41823</v>
      </c>
      <c r="D7125" s="15">
        <f>IFERROR(__xludf.DUMMYFUNCTION("""COMPUTED_VALUE"""),1.029)</f>
        <v>1.029</v>
      </c>
      <c r="E7125" s="16">
        <f>IFERROR(__xludf.DUMMYFUNCTION("""COMPUTED_VALUE"""),64.0)</f>
        <v>64</v>
      </c>
      <c r="F7125" s="19" t="str">
        <f>IFERROR(__xludf.DUMMYFUNCTION("""COMPUTED_VALUE"""),"BLUE")</f>
        <v>BLUE</v>
      </c>
      <c r="G7125" s="20" t="str">
        <f>IFERROR(__xludf.DUMMYFUNCTION("""COMPUTED_VALUE"""),"Uncle Sams Cider (11/12/2021) (Blue)")</f>
        <v>Uncle Sams Cider (11/12/2021) (Blue)</v>
      </c>
      <c r="H7125" s="19"/>
    </row>
    <row r="7126">
      <c r="A7126" s="9"/>
      <c r="B7126" s="15"/>
      <c r="C7126" s="9">
        <f>IFERROR(__xludf.DUMMYFUNCTION("""COMPUTED_VALUE"""),44530.407805081)</f>
        <v>44530.40781</v>
      </c>
      <c r="D7126" s="15">
        <f>IFERROR(__xludf.DUMMYFUNCTION("""COMPUTED_VALUE"""),1.03)</f>
        <v>1.03</v>
      </c>
      <c r="E7126" s="16">
        <f>IFERROR(__xludf.DUMMYFUNCTION("""COMPUTED_VALUE"""),64.0)</f>
        <v>64</v>
      </c>
      <c r="F7126" s="19" t="str">
        <f>IFERROR(__xludf.DUMMYFUNCTION("""COMPUTED_VALUE"""),"BLUE")</f>
        <v>BLUE</v>
      </c>
      <c r="G7126" s="20" t="str">
        <f>IFERROR(__xludf.DUMMYFUNCTION("""COMPUTED_VALUE"""),"Uncle Sams Cider (11/12/2021) (Blue)")</f>
        <v>Uncle Sams Cider (11/12/2021) (Blue)</v>
      </c>
      <c r="H7126" s="19"/>
    </row>
    <row r="7127">
      <c r="A7127" s="9"/>
      <c r="B7127" s="15"/>
      <c r="C7127" s="9">
        <f>IFERROR(__xludf.DUMMYFUNCTION("""COMPUTED_VALUE"""),44530.3973736805)</f>
        <v>44530.39737</v>
      </c>
      <c r="D7127" s="15">
        <f>IFERROR(__xludf.DUMMYFUNCTION("""COMPUTED_VALUE"""),1.03)</f>
        <v>1.03</v>
      </c>
      <c r="E7127" s="16">
        <f>IFERROR(__xludf.DUMMYFUNCTION("""COMPUTED_VALUE"""),64.0)</f>
        <v>64</v>
      </c>
      <c r="F7127" s="19" t="str">
        <f>IFERROR(__xludf.DUMMYFUNCTION("""COMPUTED_VALUE"""),"BLUE")</f>
        <v>BLUE</v>
      </c>
      <c r="G7127" s="20" t="str">
        <f>IFERROR(__xludf.DUMMYFUNCTION("""COMPUTED_VALUE"""),"Uncle Sams Cider (11/12/2021) (Blue)")</f>
        <v>Uncle Sams Cider (11/12/2021) (Blue)</v>
      </c>
      <c r="H7127" s="19"/>
    </row>
    <row r="7128">
      <c r="A7128" s="9"/>
      <c r="B7128" s="15"/>
      <c r="C7128" s="9">
        <f>IFERROR(__xludf.DUMMYFUNCTION("""COMPUTED_VALUE"""),44530.386952662)</f>
        <v>44530.38695</v>
      </c>
      <c r="D7128" s="15">
        <f>IFERROR(__xludf.DUMMYFUNCTION("""COMPUTED_VALUE"""),1.03)</f>
        <v>1.03</v>
      </c>
      <c r="E7128" s="16">
        <f>IFERROR(__xludf.DUMMYFUNCTION("""COMPUTED_VALUE"""),64.0)</f>
        <v>64</v>
      </c>
      <c r="F7128" s="19" t="str">
        <f>IFERROR(__xludf.DUMMYFUNCTION("""COMPUTED_VALUE"""),"BLUE")</f>
        <v>BLUE</v>
      </c>
      <c r="G7128" s="20" t="str">
        <f>IFERROR(__xludf.DUMMYFUNCTION("""COMPUTED_VALUE"""),"Uncle Sams Cider (11/12/2021) (Blue)")</f>
        <v>Uncle Sams Cider (11/12/2021) (Blue)</v>
      </c>
      <c r="H7128" s="19"/>
    </row>
    <row r="7129">
      <c r="A7129" s="9"/>
      <c r="B7129" s="15"/>
      <c r="C7129" s="9">
        <f>IFERROR(__xludf.DUMMYFUNCTION("""COMPUTED_VALUE"""),44530.3765318055)</f>
        <v>44530.37653</v>
      </c>
      <c r="D7129" s="15">
        <f>IFERROR(__xludf.DUMMYFUNCTION("""COMPUTED_VALUE"""),1.03)</f>
        <v>1.03</v>
      </c>
      <c r="E7129" s="16">
        <f>IFERROR(__xludf.DUMMYFUNCTION("""COMPUTED_VALUE"""),64.0)</f>
        <v>64</v>
      </c>
      <c r="F7129" s="19" t="str">
        <f>IFERROR(__xludf.DUMMYFUNCTION("""COMPUTED_VALUE"""),"BLUE")</f>
        <v>BLUE</v>
      </c>
      <c r="G7129" s="20" t="str">
        <f>IFERROR(__xludf.DUMMYFUNCTION("""COMPUTED_VALUE"""),"Uncle Sams Cider (11/12/2021) (Blue)")</f>
        <v>Uncle Sams Cider (11/12/2021) (Blue)</v>
      </c>
      <c r="H7129" s="19"/>
    </row>
    <row r="7130">
      <c r="A7130" s="9"/>
      <c r="B7130" s="15"/>
      <c r="C7130" s="9">
        <f>IFERROR(__xludf.DUMMYFUNCTION("""COMPUTED_VALUE"""),44530.3661121643)</f>
        <v>44530.36611</v>
      </c>
      <c r="D7130" s="15">
        <f>IFERROR(__xludf.DUMMYFUNCTION("""COMPUTED_VALUE"""),1.03)</f>
        <v>1.03</v>
      </c>
      <c r="E7130" s="16">
        <f>IFERROR(__xludf.DUMMYFUNCTION("""COMPUTED_VALUE"""),64.0)</f>
        <v>64</v>
      </c>
      <c r="F7130" s="19" t="str">
        <f>IFERROR(__xludf.DUMMYFUNCTION("""COMPUTED_VALUE"""),"BLUE")</f>
        <v>BLUE</v>
      </c>
      <c r="G7130" s="20" t="str">
        <f>IFERROR(__xludf.DUMMYFUNCTION("""COMPUTED_VALUE"""),"Uncle Sams Cider (11/12/2021) (Blue)")</f>
        <v>Uncle Sams Cider (11/12/2021) (Blue)</v>
      </c>
      <c r="H7130" s="19"/>
    </row>
    <row r="7131">
      <c r="A7131" s="9"/>
      <c r="B7131" s="15"/>
      <c r="C7131" s="9">
        <f>IFERROR(__xludf.DUMMYFUNCTION("""COMPUTED_VALUE"""),44530.3556914583)</f>
        <v>44530.35569</v>
      </c>
      <c r="D7131" s="15">
        <f>IFERROR(__xludf.DUMMYFUNCTION("""COMPUTED_VALUE"""),1.03)</f>
        <v>1.03</v>
      </c>
      <c r="E7131" s="16">
        <f>IFERROR(__xludf.DUMMYFUNCTION("""COMPUTED_VALUE"""),64.0)</f>
        <v>64</v>
      </c>
      <c r="F7131" s="19" t="str">
        <f>IFERROR(__xludf.DUMMYFUNCTION("""COMPUTED_VALUE"""),"BLUE")</f>
        <v>BLUE</v>
      </c>
      <c r="G7131" s="20" t="str">
        <f>IFERROR(__xludf.DUMMYFUNCTION("""COMPUTED_VALUE"""),"Uncle Sams Cider (11/12/2021) (Blue)")</f>
        <v>Uncle Sams Cider (11/12/2021) (Blue)</v>
      </c>
      <c r="H7131" s="19"/>
    </row>
    <row r="7132">
      <c r="A7132" s="9"/>
      <c r="B7132" s="15"/>
      <c r="C7132" s="9">
        <f>IFERROR(__xludf.DUMMYFUNCTION("""COMPUTED_VALUE"""),44530.3452585532)</f>
        <v>44530.34526</v>
      </c>
      <c r="D7132" s="15">
        <f>IFERROR(__xludf.DUMMYFUNCTION("""COMPUTED_VALUE"""),1.029)</f>
        <v>1.029</v>
      </c>
      <c r="E7132" s="16">
        <f>IFERROR(__xludf.DUMMYFUNCTION("""COMPUTED_VALUE"""),64.0)</f>
        <v>64</v>
      </c>
      <c r="F7132" s="19" t="str">
        <f>IFERROR(__xludf.DUMMYFUNCTION("""COMPUTED_VALUE"""),"BLUE")</f>
        <v>BLUE</v>
      </c>
      <c r="G7132" s="20" t="str">
        <f>IFERROR(__xludf.DUMMYFUNCTION("""COMPUTED_VALUE"""),"Uncle Sams Cider (11/12/2021) (Blue)")</f>
        <v>Uncle Sams Cider (11/12/2021) (Blue)</v>
      </c>
      <c r="H7132" s="19"/>
    </row>
    <row r="7133">
      <c r="A7133" s="9"/>
      <c r="B7133" s="15"/>
      <c r="C7133" s="9">
        <f>IFERROR(__xludf.DUMMYFUNCTION("""COMPUTED_VALUE"""),44530.3348370138)</f>
        <v>44530.33484</v>
      </c>
      <c r="D7133" s="15">
        <f>IFERROR(__xludf.DUMMYFUNCTION("""COMPUTED_VALUE"""),1.03)</f>
        <v>1.03</v>
      </c>
      <c r="E7133" s="16">
        <f>IFERROR(__xludf.DUMMYFUNCTION("""COMPUTED_VALUE"""),64.0)</f>
        <v>64</v>
      </c>
      <c r="F7133" s="19" t="str">
        <f>IFERROR(__xludf.DUMMYFUNCTION("""COMPUTED_VALUE"""),"BLUE")</f>
        <v>BLUE</v>
      </c>
      <c r="G7133" s="20" t="str">
        <f>IFERROR(__xludf.DUMMYFUNCTION("""COMPUTED_VALUE"""),"Uncle Sams Cider (11/12/2021) (Blue)")</f>
        <v>Uncle Sams Cider (11/12/2021) (Blue)</v>
      </c>
      <c r="H7133" s="19"/>
    </row>
    <row r="7134">
      <c r="A7134" s="9"/>
      <c r="B7134" s="15"/>
      <c r="C7134" s="9">
        <f>IFERROR(__xludf.DUMMYFUNCTION("""COMPUTED_VALUE"""),44530.3244030324)</f>
        <v>44530.3244</v>
      </c>
      <c r="D7134" s="15">
        <f>IFERROR(__xludf.DUMMYFUNCTION("""COMPUTED_VALUE"""),1.03)</f>
        <v>1.03</v>
      </c>
      <c r="E7134" s="16">
        <f>IFERROR(__xludf.DUMMYFUNCTION("""COMPUTED_VALUE"""),64.0)</f>
        <v>64</v>
      </c>
      <c r="F7134" s="19" t="str">
        <f>IFERROR(__xludf.DUMMYFUNCTION("""COMPUTED_VALUE"""),"BLUE")</f>
        <v>BLUE</v>
      </c>
      <c r="G7134" s="20" t="str">
        <f>IFERROR(__xludf.DUMMYFUNCTION("""COMPUTED_VALUE"""),"Uncle Sams Cider (11/12/2021) (Blue)")</f>
        <v>Uncle Sams Cider (11/12/2021) (Blue)</v>
      </c>
      <c r="H7134" s="19"/>
    </row>
    <row r="7135">
      <c r="A7135" s="9"/>
      <c r="B7135" s="15"/>
      <c r="C7135" s="9">
        <f>IFERROR(__xludf.DUMMYFUNCTION("""COMPUTED_VALUE"""),44530.313980949)</f>
        <v>44530.31398</v>
      </c>
      <c r="D7135" s="15">
        <f>IFERROR(__xludf.DUMMYFUNCTION("""COMPUTED_VALUE"""),1.03)</f>
        <v>1.03</v>
      </c>
      <c r="E7135" s="16">
        <f>IFERROR(__xludf.DUMMYFUNCTION("""COMPUTED_VALUE"""),64.0)</f>
        <v>64</v>
      </c>
      <c r="F7135" s="19" t="str">
        <f>IFERROR(__xludf.DUMMYFUNCTION("""COMPUTED_VALUE"""),"BLUE")</f>
        <v>BLUE</v>
      </c>
      <c r="G7135" s="20" t="str">
        <f>IFERROR(__xludf.DUMMYFUNCTION("""COMPUTED_VALUE"""),"Uncle Sams Cider (11/12/2021) (Blue)")</f>
        <v>Uncle Sams Cider (11/12/2021) (Blue)</v>
      </c>
      <c r="H7135" s="19"/>
    </row>
    <row r="7136">
      <c r="A7136" s="9"/>
      <c r="B7136" s="15"/>
      <c r="C7136" s="9">
        <f>IFERROR(__xludf.DUMMYFUNCTION("""COMPUTED_VALUE"""),44530.3035470833)</f>
        <v>44530.30355</v>
      </c>
      <c r="D7136" s="15">
        <f>IFERROR(__xludf.DUMMYFUNCTION("""COMPUTED_VALUE"""),1.03)</f>
        <v>1.03</v>
      </c>
      <c r="E7136" s="16">
        <f>IFERROR(__xludf.DUMMYFUNCTION("""COMPUTED_VALUE"""),64.0)</f>
        <v>64</v>
      </c>
      <c r="F7136" s="19" t="str">
        <f>IFERROR(__xludf.DUMMYFUNCTION("""COMPUTED_VALUE"""),"BLUE")</f>
        <v>BLUE</v>
      </c>
      <c r="G7136" s="20" t="str">
        <f>IFERROR(__xludf.DUMMYFUNCTION("""COMPUTED_VALUE"""),"Uncle Sams Cider (11/12/2021) (Blue)")</f>
        <v>Uncle Sams Cider (11/12/2021) (Blue)</v>
      </c>
      <c r="H7136" s="19"/>
    </row>
    <row r="7137">
      <c r="A7137" s="9"/>
      <c r="B7137" s="15"/>
      <c r="C7137" s="9">
        <f>IFERROR(__xludf.DUMMYFUNCTION("""COMPUTED_VALUE"""),44530.2931274884)</f>
        <v>44530.29313</v>
      </c>
      <c r="D7137" s="15">
        <f>IFERROR(__xludf.DUMMYFUNCTION("""COMPUTED_VALUE"""),1.03)</f>
        <v>1.03</v>
      </c>
      <c r="E7137" s="16">
        <f>IFERROR(__xludf.DUMMYFUNCTION("""COMPUTED_VALUE"""),64.0)</f>
        <v>64</v>
      </c>
      <c r="F7137" s="19" t="str">
        <f>IFERROR(__xludf.DUMMYFUNCTION("""COMPUTED_VALUE"""),"BLUE")</f>
        <v>BLUE</v>
      </c>
      <c r="G7137" s="20" t="str">
        <f>IFERROR(__xludf.DUMMYFUNCTION("""COMPUTED_VALUE"""),"Uncle Sams Cider (11/12/2021) (Blue)")</f>
        <v>Uncle Sams Cider (11/12/2021) (Blue)</v>
      </c>
      <c r="H7137" s="19"/>
    </row>
    <row r="7138">
      <c r="A7138" s="9"/>
      <c r="B7138" s="15"/>
      <c r="C7138" s="9">
        <f>IFERROR(__xludf.DUMMYFUNCTION("""COMPUTED_VALUE"""),44530.2827063425)</f>
        <v>44530.28271</v>
      </c>
      <c r="D7138" s="15">
        <f>IFERROR(__xludf.DUMMYFUNCTION("""COMPUTED_VALUE"""),1.03)</f>
        <v>1.03</v>
      </c>
      <c r="E7138" s="16">
        <f>IFERROR(__xludf.DUMMYFUNCTION("""COMPUTED_VALUE"""),64.0)</f>
        <v>64</v>
      </c>
      <c r="F7138" s="19" t="str">
        <f>IFERROR(__xludf.DUMMYFUNCTION("""COMPUTED_VALUE"""),"BLUE")</f>
        <v>BLUE</v>
      </c>
      <c r="G7138" s="20" t="str">
        <f>IFERROR(__xludf.DUMMYFUNCTION("""COMPUTED_VALUE"""),"Uncle Sams Cider (11/12/2021) (Blue)")</f>
        <v>Uncle Sams Cider (11/12/2021) (Blue)</v>
      </c>
      <c r="H7138" s="19"/>
    </row>
    <row r="7139">
      <c r="A7139" s="9"/>
      <c r="B7139" s="15"/>
      <c r="C7139" s="9">
        <f>IFERROR(__xludf.DUMMYFUNCTION("""COMPUTED_VALUE"""),44530.2722751157)</f>
        <v>44530.27228</v>
      </c>
      <c r="D7139" s="15">
        <f>IFERROR(__xludf.DUMMYFUNCTION("""COMPUTED_VALUE"""),1.03)</f>
        <v>1.03</v>
      </c>
      <c r="E7139" s="16">
        <f>IFERROR(__xludf.DUMMYFUNCTION("""COMPUTED_VALUE"""),64.0)</f>
        <v>64</v>
      </c>
      <c r="F7139" s="19" t="str">
        <f>IFERROR(__xludf.DUMMYFUNCTION("""COMPUTED_VALUE"""),"BLUE")</f>
        <v>BLUE</v>
      </c>
      <c r="G7139" s="20" t="str">
        <f>IFERROR(__xludf.DUMMYFUNCTION("""COMPUTED_VALUE"""),"Uncle Sams Cider (11/12/2021) (Blue)")</f>
        <v>Uncle Sams Cider (11/12/2021) (Blue)</v>
      </c>
      <c r="H7139" s="19"/>
    </row>
    <row r="7140">
      <c r="A7140" s="9"/>
      <c r="B7140" s="15"/>
      <c r="C7140" s="9">
        <f>IFERROR(__xludf.DUMMYFUNCTION("""COMPUTED_VALUE"""),44530.2618546643)</f>
        <v>44530.26185</v>
      </c>
      <c r="D7140" s="15">
        <f>IFERROR(__xludf.DUMMYFUNCTION("""COMPUTED_VALUE"""),1.03)</f>
        <v>1.03</v>
      </c>
      <c r="E7140" s="16">
        <f>IFERROR(__xludf.DUMMYFUNCTION("""COMPUTED_VALUE"""),64.0)</f>
        <v>64</v>
      </c>
      <c r="F7140" s="19" t="str">
        <f>IFERROR(__xludf.DUMMYFUNCTION("""COMPUTED_VALUE"""),"BLUE")</f>
        <v>BLUE</v>
      </c>
      <c r="G7140" s="20" t="str">
        <f>IFERROR(__xludf.DUMMYFUNCTION("""COMPUTED_VALUE"""),"Uncle Sams Cider (11/12/2021) (Blue)")</f>
        <v>Uncle Sams Cider (11/12/2021) (Blue)</v>
      </c>
      <c r="H7140" s="19"/>
    </row>
    <row r="7141">
      <c r="A7141" s="9"/>
      <c r="B7141" s="15"/>
      <c r="C7141" s="9">
        <f>IFERROR(__xludf.DUMMYFUNCTION("""COMPUTED_VALUE"""),44530.2514242592)</f>
        <v>44530.25142</v>
      </c>
      <c r="D7141" s="15">
        <f>IFERROR(__xludf.DUMMYFUNCTION("""COMPUTED_VALUE"""),1.03)</f>
        <v>1.03</v>
      </c>
      <c r="E7141" s="16">
        <f>IFERROR(__xludf.DUMMYFUNCTION("""COMPUTED_VALUE"""),64.0)</f>
        <v>64</v>
      </c>
      <c r="F7141" s="19" t="str">
        <f>IFERROR(__xludf.DUMMYFUNCTION("""COMPUTED_VALUE"""),"BLUE")</f>
        <v>BLUE</v>
      </c>
      <c r="G7141" s="20" t="str">
        <f>IFERROR(__xludf.DUMMYFUNCTION("""COMPUTED_VALUE"""),"Uncle Sams Cider (11/12/2021) (Blue)")</f>
        <v>Uncle Sams Cider (11/12/2021) (Blue)</v>
      </c>
      <c r="H7141" s="19"/>
    </row>
    <row r="7142">
      <c r="A7142" s="9"/>
      <c r="B7142" s="15"/>
      <c r="C7142" s="9">
        <f>IFERROR(__xludf.DUMMYFUNCTION("""COMPUTED_VALUE"""),44530.2410012268)</f>
        <v>44530.241</v>
      </c>
      <c r="D7142" s="15">
        <f>IFERROR(__xludf.DUMMYFUNCTION("""COMPUTED_VALUE"""),1.03)</f>
        <v>1.03</v>
      </c>
      <c r="E7142" s="16">
        <f>IFERROR(__xludf.DUMMYFUNCTION("""COMPUTED_VALUE"""),64.0)</f>
        <v>64</v>
      </c>
      <c r="F7142" s="19" t="str">
        <f>IFERROR(__xludf.DUMMYFUNCTION("""COMPUTED_VALUE"""),"BLUE")</f>
        <v>BLUE</v>
      </c>
      <c r="G7142" s="20" t="str">
        <f>IFERROR(__xludf.DUMMYFUNCTION("""COMPUTED_VALUE"""),"Uncle Sams Cider (11/12/2021) (Blue)")</f>
        <v>Uncle Sams Cider (11/12/2021) (Blue)</v>
      </c>
      <c r="H7142" s="19"/>
    </row>
    <row r="7143">
      <c r="A7143" s="9"/>
      <c r="B7143" s="15"/>
      <c r="C7143" s="9">
        <f>IFERROR(__xludf.DUMMYFUNCTION("""COMPUTED_VALUE"""),44530.2305794675)</f>
        <v>44530.23058</v>
      </c>
      <c r="D7143" s="15">
        <f>IFERROR(__xludf.DUMMYFUNCTION("""COMPUTED_VALUE"""),1.03)</f>
        <v>1.03</v>
      </c>
      <c r="E7143" s="16">
        <f>IFERROR(__xludf.DUMMYFUNCTION("""COMPUTED_VALUE"""),64.0)</f>
        <v>64</v>
      </c>
      <c r="F7143" s="19" t="str">
        <f>IFERROR(__xludf.DUMMYFUNCTION("""COMPUTED_VALUE"""),"BLUE")</f>
        <v>BLUE</v>
      </c>
      <c r="G7143" s="20" t="str">
        <f>IFERROR(__xludf.DUMMYFUNCTION("""COMPUTED_VALUE"""),"Uncle Sams Cider (11/12/2021) (Blue)")</f>
        <v>Uncle Sams Cider (11/12/2021) (Blue)</v>
      </c>
      <c r="H7143" s="19"/>
    </row>
    <row r="7144">
      <c r="A7144" s="9"/>
      <c r="B7144" s="15"/>
      <c r="C7144" s="9">
        <f>IFERROR(__xludf.DUMMYFUNCTION("""COMPUTED_VALUE"""),44530.2201573263)</f>
        <v>44530.22016</v>
      </c>
      <c r="D7144" s="15">
        <f>IFERROR(__xludf.DUMMYFUNCTION("""COMPUTED_VALUE"""),1.03)</f>
        <v>1.03</v>
      </c>
      <c r="E7144" s="16">
        <f>IFERROR(__xludf.DUMMYFUNCTION("""COMPUTED_VALUE"""),64.0)</f>
        <v>64</v>
      </c>
      <c r="F7144" s="19" t="str">
        <f>IFERROR(__xludf.DUMMYFUNCTION("""COMPUTED_VALUE"""),"BLUE")</f>
        <v>BLUE</v>
      </c>
      <c r="G7144" s="20" t="str">
        <f>IFERROR(__xludf.DUMMYFUNCTION("""COMPUTED_VALUE"""),"Uncle Sams Cider (11/12/2021) (Blue)")</f>
        <v>Uncle Sams Cider (11/12/2021) (Blue)</v>
      </c>
      <c r="H7144" s="19"/>
    </row>
    <row r="7145">
      <c r="A7145" s="9"/>
      <c r="B7145" s="15"/>
      <c r="C7145" s="9">
        <f>IFERROR(__xludf.DUMMYFUNCTION("""COMPUTED_VALUE"""),44530.2097380208)</f>
        <v>44530.20974</v>
      </c>
      <c r="D7145" s="15">
        <f>IFERROR(__xludf.DUMMYFUNCTION("""COMPUTED_VALUE"""),1.03)</f>
        <v>1.03</v>
      </c>
      <c r="E7145" s="16">
        <f>IFERROR(__xludf.DUMMYFUNCTION("""COMPUTED_VALUE"""),64.0)</f>
        <v>64</v>
      </c>
      <c r="F7145" s="19" t="str">
        <f>IFERROR(__xludf.DUMMYFUNCTION("""COMPUTED_VALUE"""),"BLUE")</f>
        <v>BLUE</v>
      </c>
      <c r="G7145" s="20" t="str">
        <f>IFERROR(__xludf.DUMMYFUNCTION("""COMPUTED_VALUE"""),"Uncle Sams Cider (11/12/2021) (Blue)")</f>
        <v>Uncle Sams Cider (11/12/2021) (Blue)</v>
      </c>
      <c r="H7145" s="19"/>
    </row>
    <row r="7146">
      <c r="A7146" s="9"/>
      <c r="B7146" s="15"/>
      <c r="C7146" s="9">
        <f>IFERROR(__xludf.DUMMYFUNCTION("""COMPUTED_VALUE"""),44530.1993159606)</f>
        <v>44530.19932</v>
      </c>
      <c r="D7146" s="15">
        <f>IFERROR(__xludf.DUMMYFUNCTION("""COMPUTED_VALUE"""),1.03)</f>
        <v>1.03</v>
      </c>
      <c r="E7146" s="16">
        <f>IFERROR(__xludf.DUMMYFUNCTION("""COMPUTED_VALUE"""),64.0)</f>
        <v>64</v>
      </c>
      <c r="F7146" s="19" t="str">
        <f>IFERROR(__xludf.DUMMYFUNCTION("""COMPUTED_VALUE"""),"BLUE")</f>
        <v>BLUE</v>
      </c>
      <c r="G7146" s="20" t="str">
        <f>IFERROR(__xludf.DUMMYFUNCTION("""COMPUTED_VALUE"""),"Uncle Sams Cider (11/12/2021) (Blue)")</f>
        <v>Uncle Sams Cider (11/12/2021) (Blue)</v>
      </c>
      <c r="H7146" s="19"/>
    </row>
    <row r="7147">
      <c r="A7147" s="9"/>
      <c r="B7147" s="15"/>
      <c r="C7147" s="9">
        <f>IFERROR(__xludf.DUMMYFUNCTION("""COMPUTED_VALUE"""),44530.1888950462)</f>
        <v>44530.1889</v>
      </c>
      <c r="D7147" s="15">
        <f>IFERROR(__xludf.DUMMYFUNCTION("""COMPUTED_VALUE"""),1.03)</f>
        <v>1.03</v>
      </c>
      <c r="E7147" s="16">
        <f>IFERROR(__xludf.DUMMYFUNCTION("""COMPUTED_VALUE"""),64.0)</f>
        <v>64</v>
      </c>
      <c r="F7147" s="19" t="str">
        <f>IFERROR(__xludf.DUMMYFUNCTION("""COMPUTED_VALUE"""),"BLUE")</f>
        <v>BLUE</v>
      </c>
      <c r="G7147" s="20" t="str">
        <f>IFERROR(__xludf.DUMMYFUNCTION("""COMPUTED_VALUE"""),"Uncle Sams Cider (11/12/2021) (Blue)")</f>
        <v>Uncle Sams Cider (11/12/2021) (Blue)</v>
      </c>
      <c r="H7147" s="19"/>
    </row>
    <row r="7148">
      <c r="A7148" s="9"/>
      <c r="B7148" s="15"/>
      <c r="C7148" s="9">
        <f>IFERROR(__xludf.DUMMYFUNCTION("""COMPUTED_VALUE"""),44530.1784734953)</f>
        <v>44530.17847</v>
      </c>
      <c r="D7148" s="15">
        <f>IFERROR(__xludf.DUMMYFUNCTION("""COMPUTED_VALUE"""),1.03)</f>
        <v>1.03</v>
      </c>
      <c r="E7148" s="16">
        <f>IFERROR(__xludf.DUMMYFUNCTION("""COMPUTED_VALUE"""),64.0)</f>
        <v>64</v>
      </c>
      <c r="F7148" s="19" t="str">
        <f>IFERROR(__xludf.DUMMYFUNCTION("""COMPUTED_VALUE"""),"BLUE")</f>
        <v>BLUE</v>
      </c>
      <c r="G7148" s="20" t="str">
        <f>IFERROR(__xludf.DUMMYFUNCTION("""COMPUTED_VALUE"""),"Uncle Sams Cider (11/12/2021) (Blue)")</f>
        <v>Uncle Sams Cider (11/12/2021) (Blue)</v>
      </c>
      <c r="H7148" s="19"/>
    </row>
    <row r="7149">
      <c r="A7149" s="9"/>
      <c r="B7149" s="15"/>
      <c r="C7149" s="9">
        <f>IFERROR(__xludf.DUMMYFUNCTION("""COMPUTED_VALUE"""),44530.1680430439)</f>
        <v>44530.16804</v>
      </c>
      <c r="D7149" s="15">
        <f>IFERROR(__xludf.DUMMYFUNCTION("""COMPUTED_VALUE"""),1.03)</f>
        <v>1.03</v>
      </c>
      <c r="E7149" s="16">
        <f>IFERROR(__xludf.DUMMYFUNCTION("""COMPUTED_VALUE"""),64.0)</f>
        <v>64</v>
      </c>
      <c r="F7149" s="19" t="str">
        <f>IFERROR(__xludf.DUMMYFUNCTION("""COMPUTED_VALUE"""),"BLUE")</f>
        <v>BLUE</v>
      </c>
      <c r="G7149" s="20" t="str">
        <f>IFERROR(__xludf.DUMMYFUNCTION("""COMPUTED_VALUE"""),"Uncle Sams Cider (11/12/2021) (Blue)")</f>
        <v>Uncle Sams Cider (11/12/2021) (Blue)</v>
      </c>
      <c r="H7149" s="19"/>
    </row>
    <row r="7150">
      <c r="A7150" s="9"/>
      <c r="B7150" s="15"/>
      <c r="C7150" s="9">
        <f>IFERROR(__xludf.DUMMYFUNCTION("""COMPUTED_VALUE"""),44530.1576237731)</f>
        <v>44530.15762</v>
      </c>
      <c r="D7150" s="15">
        <f>IFERROR(__xludf.DUMMYFUNCTION("""COMPUTED_VALUE"""),1.03)</f>
        <v>1.03</v>
      </c>
      <c r="E7150" s="16">
        <f>IFERROR(__xludf.DUMMYFUNCTION("""COMPUTED_VALUE"""),64.0)</f>
        <v>64</v>
      </c>
      <c r="F7150" s="19" t="str">
        <f>IFERROR(__xludf.DUMMYFUNCTION("""COMPUTED_VALUE"""),"BLUE")</f>
        <v>BLUE</v>
      </c>
      <c r="G7150" s="20" t="str">
        <f>IFERROR(__xludf.DUMMYFUNCTION("""COMPUTED_VALUE"""),"Uncle Sams Cider (11/12/2021) (Blue)")</f>
        <v>Uncle Sams Cider (11/12/2021) (Blue)</v>
      </c>
      <c r="H7150" s="19"/>
    </row>
    <row r="7151">
      <c r="A7151" s="9"/>
      <c r="B7151" s="15"/>
      <c r="C7151" s="9">
        <f>IFERROR(__xludf.DUMMYFUNCTION("""COMPUTED_VALUE"""),44530.14720375)</f>
        <v>44530.1472</v>
      </c>
      <c r="D7151" s="15">
        <f>IFERROR(__xludf.DUMMYFUNCTION("""COMPUTED_VALUE"""),1.03)</f>
        <v>1.03</v>
      </c>
      <c r="E7151" s="16">
        <f>IFERROR(__xludf.DUMMYFUNCTION("""COMPUTED_VALUE"""),64.0)</f>
        <v>64</v>
      </c>
      <c r="F7151" s="19" t="str">
        <f>IFERROR(__xludf.DUMMYFUNCTION("""COMPUTED_VALUE"""),"BLUE")</f>
        <v>BLUE</v>
      </c>
      <c r="G7151" s="20" t="str">
        <f>IFERROR(__xludf.DUMMYFUNCTION("""COMPUTED_VALUE"""),"Uncle Sams Cider (11/12/2021) (Blue)")</f>
        <v>Uncle Sams Cider (11/12/2021) (Blue)</v>
      </c>
      <c r="H7151" s="19"/>
    </row>
    <row r="7152">
      <c r="A7152" s="9"/>
      <c r="B7152" s="15"/>
      <c r="C7152" s="9">
        <f>IFERROR(__xludf.DUMMYFUNCTION("""COMPUTED_VALUE"""),44530.1367802662)</f>
        <v>44530.13678</v>
      </c>
      <c r="D7152" s="15">
        <f>IFERROR(__xludf.DUMMYFUNCTION("""COMPUTED_VALUE"""),1.03)</f>
        <v>1.03</v>
      </c>
      <c r="E7152" s="16">
        <f>IFERROR(__xludf.DUMMYFUNCTION("""COMPUTED_VALUE"""),64.0)</f>
        <v>64</v>
      </c>
      <c r="F7152" s="19" t="str">
        <f>IFERROR(__xludf.DUMMYFUNCTION("""COMPUTED_VALUE"""),"BLUE")</f>
        <v>BLUE</v>
      </c>
      <c r="G7152" s="20" t="str">
        <f>IFERROR(__xludf.DUMMYFUNCTION("""COMPUTED_VALUE"""),"Uncle Sams Cider (11/12/2021) (Blue)")</f>
        <v>Uncle Sams Cider (11/12/2021) (Blue)</v>
      </c>
      <c r="H7152" s="19"/>
    </row>
    <row r="7153">
      <c r="A7153" s="9"/>
      <c r="B7153" s="15"/>
      <c r="C7153" s="9">
        <f>IFERROR(__xludf.DUMMYFUNCTION("""COMPUTED_VALUE"""),44530.1263607523)</f>
        <v>44530.12636</v>
      </c>
      <c r="D7153" s="15">
        <f>IFERROR(__xludf.DUMMYFUNCTION("""COMPUTED_VALUE"""),1.03)</f>
        <v>1.03</v>
      </c>
      <c r="E7153" s="16">
        <f>IFERROR(__xludf.DUMMYFUNCTION("""COMPUTED_VALUE"""),64.0)</f>
        <v>64</v>
      </c>
      <c r="F7153" s="19" t="str">
        <f>IFERROR(__xludf.DUMMYFUNCTION("""COMPUTED_VALUE"""),"BLUE")</f>
        <v>BLUE</v>
      </c>
      <c r="G7153" s="20" t="str">
        <f>IFERROR(__xludf.DUMMYFUNCTION("""COMPUTED_VALUE"""),"Uncle Sams Cider (11/12/2021) (Blue)")</f>
        <v>Uncle Sams Cider (11/12/2021) (Blue)</v>
      </c>
      <c r="H7153" s="19"/>
    </row>
    <row r="7154">
      <c r="A7154" s="9"/>
      <c r="B7154" s="15"/>
      <c r="C7154" s="9">
        <f>IFERROR(__xludf.DUMMYFUNCTION("""COMPUTED_VALUE"""),44530.115936956)</f>
        <v>44530.11594</v>
      </c>
      <c r="D7154" s="15">
        <f>IFERROR(__xludf.DUMMYFUNCTION("""COMPUTED_VALUE"""),1.03)</f>
        <v>1.03</v>
      </c>
      <c r="E7154" s="16">
        <f>IFERROR(__xludf.DUMMYFUNCTION("""COMPUTED_VALUE"""),64.0)</f>
        <v>64</v>
      </c>
      <c r="F7154" s="19" t="str">
        <f>IFERROR(__xludf.DUMMYFUNCTION("""COMPUTED_VALUE"""),"BLUE")</f>
        <v>BLUE</v>
      </c>
      <c r="G7154" s="20" t="str">
        <f>IFERROR(__xludf.DUMMYFUNCTION("""COMPUTED_VALUE"""),"Uncle Sams Cider (11/12/2021) (Blue)")</f>
        <v>Uncle Sams Cider (11/12/2021) (Blue)</v>
      </c>
      <c r="H7154" s="19"/>
    </row>
    <row r="7155">
      <c r="A7155" s="9"/>
      <c r="B7155" s="15"/>
      <c r="C7155" s="9">
        <f>IFERROR(__xludf.DUMMYFUNCTION("""COMPUTED_VALUE"""),44530.1055154282)</f>
        <v>44530.10552</v>
      </c>
      <c r="D7155" s="15">
        <f>IFERROR(__xludf.DUMMYFUNCTION("""COMPUTED_VALUE"""),1.03)</f>
        <v>1.03</v>
      </c>
      <c r="E7155" s="16">
        <f>IFERROR(__xludf.DUMMYFUNCTION("""COMPUTED_VALUE"""),64.0)</f>
        <v>64</v>
      </c>
      <c r="F7155" s="19" t="str">
        <f>IFERROR(__xludf.DUMMYFUNCTION("""COMPUTED_VALUE"""),"BLUE")</f>
        <v>BLUE</v>
      </c>
      <c r="G7155" s="20" t="str">
        <f>IFERROR(__xludf.DUMMYFUNCTION("""COMPUTED_VALUE"""),"Uncle Sams Cider (11/12/2021) (Blue)")</f>
        <v>Uncle Sams Cider (11/12/2021) (Blue)</v>
      </c>
      <c r="H7155" s="19"/>
    </row>
    <row r="7156">
      <c r="A7156" s="9"/>
      <c r="B7156" s="15"/>
      <c r="C7156" s="9">
        <f>IFERROR(__xludf.DUMMYFUNCTION("""COMPUTED_VALUE"""),44530.0950941782)</f>
        <v>44530.09509</v>
      </c>
      <c r="D7156" s="15">
        <f>IFERROR(__xludf.DUMMYFUNCTION("""COMPUTED_VALUE"""),1.03)</f>
        <v>1.03</v>
      </c>
      <c r="E7156" s="16">
        <f>IFERROR(__xludf.DUMMYFUNCTION("""COMPUTED_VALUE"""),64.0)</f>
        <v>64</v>
      </c>
      <c r="F7156" s="19" t="str">
        <f>IFERROR(__xludf.DUMMYFUNCTION("""COMPUTED_VALUE"""),"BLUE")</f>
        <v>BLUE</v>
      </c>
      <c r="G7156" s="20" t="str">
        <f>IFERROR(__xludf.DUMMYFUNCTION("""COMPUTED_VALUE"""),"Uncle Sams Cider (11/12/2021) (Blue)")</f>
        <v>Uncle Sams Cider (11/12/2021) (Blue)</v>
      </c>
      <c r="H7156" s="19"/>
    </row>
    <row r="7157">
      <c r="A7157" s="9"/>
      <c r="B7157" s="15"/>
      <c r="C7157" s="9">
        <f>IFERROR(__xludf.DUMMYFUNCTION("""COMPUTED_VALUE"""),44530.0846721064)</f>
        <v>44530.08467</v>
      </c>
      <c r="D7157" s="15">
        <f>IFERROR(__xludf.DUMMYFUNCTION("""COMPUTED_VALUE"""),1.03)</f>
        <v>1.03</v>
      </c>
      <c r="E7157" s="16">
        <f>IFERROR(__xludf.DUMMYFUNCTION("""COMPUTED_VALUE"""),64.0)</f>
        <v>64</v>
      </c>
      <c r="F7157" s="19" t="str">
        <f>IFERROR(__xludf.DUMMYFUNCTION("""COMPUTED_VALUE"""),"BLUE")</f>
        <v>BLUE</v>
      </c>
      <c r="G7157" s="20" t="str">
        <f>IFERROR(__xludf.DUMMYFUNCTION("""COMPUTED_VALUE"""),"Uncle Sams Cider (11/12/2021) (Blue)")</f>
        <v>Uncle Sams Cider (11/12/2021) (Blue)</v>
      </c>
      <c r="H7157" s="19"/>
    </row>
    <row r="7158">
      <c r="A7158" s="9"/>
      <c r="B7158" s="15"/>
      <c r="C7158" s="9">
        <f>IFERROR(__xludf.DUMMYFUNCTION("""COMPUTED_VALUE"""),44530.0742400925)</f>
        <v>44530.07424</v>
      </c>
      <c r="D7158" s="15">
        <f>IFERROR(__xludf.DUMMYFUNCTION("""COMPUTED_VALUE"""),1.03)</f>
        <v>1.03</v>
      </c>
      <c r="E7158" s="16">
        <f>IFERROR(__xludf.DUMMYFUNCTION("""COMPUTED_VALUE"""),64.0)</f>
        <v>64</v>
      </c>
      <c r="F7158" s="19" t="str">
        <f>IFERROR(__xludf.DUMMYFUNCTION("""COMPUTED_VALUE"""),"BLUE")</f>
        <v>BLUE</v>
      </c>
      <c r="G7158" s="20" t="str">
        <f>IFERROR(__xludf.DUMMYFUNCTION("""COMPUTED_VALUE"""),"Uncle Sams Cider (11/12/2021) (Blue)")</f>
        <v>Uncle Sams Cider (11/12/2021) (Blue)</v>
      </c>
      <c r="H7158" s="19"/>
    </row>
    <row r="7159">
      <c r="A7159" s="9"/>
      <c r="B7159" s="15"/>
      <c r="C7159" s="9">
        <f>IFERROR(__xludf.DUMMYFUNCTION("""COMPUTED_VALUE"""),44530.0638190624)</f>
        <v>44530.06382</v>
      </c>
      <c r="D7159" s="15">
        <f>IFERROR(__xludf.DUMMYFUNCTION("""COMPUTED_VALUE"""),1.03)</f>
        <v>1.03</v>
      </c>
      <c r="E7159" s="16">
        <f>IFERROR(__xludf.DUMMYFUNCTION("""COMPUTED_VALUE"""),64.0)</f>
        <v>64</v>
      </c>
      <c r="F7159" s="19" t="str">
        <f>IFERROR(__xludf.DUMMYFUNCTION("""COMPUTED_VALUE"""),"BLUE")</f>
        <v>BLUE</v>
      </c>
      <c r="G7159" s="20" t="str">
        <f>IFERROR(__xludf.DUMMYFUNCTION("""COMPUTED_VALUE"""),"Uncle Sams Cider (11/12/2021) (Blue)")</f>
        <v>Uncle Sams Cider (11/12/2021) (Blue)</v>
      </c>
      <c r="H7159" s="19"/>
    </row>
    <row r="7160">
      <c r="A7160" s="9"/>
      <c r="B7160" s="15"/>
      <c r="C7160" s="9">
        <f>IFERROR(__xludf.DUMMYFUNCTION("""COMPUTED_VALUE"""),44530.0533984259)</f>
        <v>44530.0534</v>
      </c>
      <c r="D7160" s="15">
        <f>IFERROR(__xludf.DUMMYFUNCTION("""COMPUTED_VALUE"""),1.03)</f>
        <v>1.03</v>
      </c>
      <c r="E7160" s="16">
        <f>IFERROR(__xludf.DUMMYFUNCTION("""COMPUTED_VALUE"""),64.0)</f>
        <v>64</v>
      </c>
      <c r="F7160" s="19" t="str">
        <f>IFERROR(__xludf.DUMMYFUNCTION("""COMPUTED_VALUE"""),"BLUE")</f>
        <v>BLUE</v>
      </c>
      <c r="G7160" s="20" t="str">
        <f>IFERROR(__xludf.DUMMYFUNCTION("""COMPUTED_VALUE"""),"Uncle Sams Cider (11/12/2021) (Blue)")</f>
        <v>Uncle Sams Cider (11/12/2021) (Blue)</v>
      </c>
      <c r="H7160" s="19"/>
    </row>
    <row r="7161">
      <c r="A7161" s="9"/>
      <c r="B7161" s="15"/>
      <c r="C7161" s="9">
        <f>IFERROR(__xludf.DUMMYFUNCTION("""COMPUTED_VALUE"""),44530.0429774652)</f>
        <v>44530.04298</v>
      </c>
      <c r="D7161" s="15">
        <f>IFERROR(__xludf.DUMMYFUNCTION("""COMPUTED_VALUE"""),1.03)</f>
        <v>1.03</v>
      </c>
      <c r="E7161" s="16">
        <f>IFERROR(__xludf.DUMMYFUNCTION("""COMPUTED_VALUE"""),64.0)</f>
        <v>64</v>
      </c>
      <c r="F7161" s="19" t="str">
        <f>IFERROR(__xludf.DUMMYFUNCTION("""COMPUTED_VALUE"""),"BLUE")</f>
        <v>BLUE</v>
      </c>
      <c r="G7161" s="20" t="str">
        <f>IFERROR(__xludf.DUMMYFUNCTION("""COMPUTED_VALUE"""),"Uncle Sams Cider (11/12/2021) (Blue)")</f>
        <v>Uncle Sams Cider (11/12/2021) (Blue)</v>
      </c>
      <c r="H7161" s="19"/>
    </row>
    <row r="7162">
      <c r="A7162" s="9"/>
      <c r="B7162" s="15"/>
      <c r="C7162" s="9">
        <f>IFERROR(__xludf.DUMMYFUNCTION("""COMPUTED_VALUE"""),44530.0325548958)</f>
        <v>44530.03255</v>
      </c>
      <c r="D7162" s="15">
        <f>IFERROR(__xludf.DUMMYFUNCTION("""COMPUTED_VALUE"""),1.03)</f>
        <v>1.03</v>
      </c>
      <c r="E7162" s="16">
        <f>IFERROR(__xludf.DUMMYFUNCTION("""COMPUTED_VALUE"""),64.0)</f>
        <v>64</v>
      </c>
      <c r="F7162" s="19" t="str">
        <f>IFERROR(__xludf.DUMMYFUNCTION("""COMPUTED_VALUE"""),"BLUE")</f>
        <v>BLUE</v>
      </c>
      <c r="G7162" s="20" t="str">
        <f>IFERROR(__xludf.DUMMYFUNCTION("""COMPUTED_VALUE"""),"Uncle Sams Cider (11/12/2021) (Blue)")</f>
        <v>Uncle Sams Cider (11/12/2021) (Blue)</v>
      </c>
      <c r="H7162" s="19"/>
    </row>
    <row r="7163">
      <c r="A7163" s="9"/>
      <c r="B7163" s="15"/>
      <c r="C7163" s="9">
        <f>IFERROR(__xludf.DUMMYFUNCTION("""COMPUTED_VALUE"""),44530.0221334259)</f>
        <v>44530.02213</v>
      </c>
      <c r="D7163" s="15">
        <f>IFERROR(__xludf.DUMMYFUNCTION("""COMPUTED_VALUE"""),1.03)</f>
        <v>1.03</v>
      </c>
      <c r="E7163" s="16">
        <f>IFERROR(__xludf.DUMMYFUNCTION("""COMPUTED_VALUE"""),64.0)</f>
        <v>64</v>
      </c>
      <c r="F7163" s="19" t="str">
        <f>IFERROR(__xludf.DUMMYFUNCTION("""COMPUTED_VALUE"""),"BLUE")</f>
        <v>BLUE</v>
      </c>
      <c r="G7163" s="20" t="str">
        <f>IFERROR(__xludf.DUMMYFUNCTION("""COMPUTED_VALUE"""),"Uncle Sams Cider (11/12/2021) (Blue)")</f>
        <v>Uncle Sams Cider (11/12/2021) (Blue)</v>
      </c>
      <c r="H7163" s="19"/>
    </row>
    <row r="7164">
      <c r="A7164" s="9"/>
      <c r="B7164" s="15"/>
      <c r="C7164" s="9">
        <f>IFERROR(__xludf.DUMMYFUNCTION("""COMPUTED_VALUE"""),44530.0117113773)</f>
        <v>44530.01171</v>
      </c>
      <c r="D7164" s="15">
        <f>IFERROR(__xludf.DUMMYFUNCTION("""COMPUTED_VALUE"""),1.03)</f>
        <v>1.03</v>
      </c>
      <c r="E7164" s="16">
        <f>IFERROR(__xludf.DUMMYFUNCTION("""COMPUTED_VALUE"""),64.0)</f>
        <v>64</v>
      </c>
      <c r="F7164" s="19" t="str">
        <f>IFERROR(__xludf.DUMMYFUNCTION("""COMPUTED_VALUE"""),"BLUE")</f>
        <v>BLUE</v>
      </c>
      <c r="G7164" s="20" t="str">
        <f>IFERROR(__xludf.DUMMYFUNCTION("""COMPUTED_VALUE"""),"Uncle Sams Cider (11/12/2021) (Blue)")</f>
        <v>Uncle Sams Cider (11/12/2021) (Blue)</v>
      </c>
      <c r="H7164" s="19"/>
    </row>
    <row r="7165">
      <c r="A7165" s="9"/>
      <c r="B7165" s="15"/>
      <c r="C7165" s="9">
        <f>IFERROR(__xludf.DUMMYFUNCTION("""COMPUTED_VALUE"""),44530.0012889351)</f>
        <v>44530.00129</v>
      </c>
      <c r="D7165" s="15">
        <f>IFERROR(__xludf.DUMMYFUNCTION("""COMPUTED_VALUE"""),1.03)</f>
        <v>1.03</v>
      </c>
      <c r="E7165" s="16">
        <f>IFERROR(__xludf.DUMMYFUNCTION("""COMPUTED_VALUE"""),64.0)</f>
        <v>64</v>
      </c>
      <c r="F7165" s="19" t="str">
        <f>IFERROR(__xludf.DUMMYFUNCTION("""COMPUTED_VALUE"""),"BLUE")</f>
        <v>BLUE</v>
      </c>
      <c r="G7165" s="20" t="str">
        <f>IFERROR(__xludf.DUMMYFUNCTION("""COMPUTED_VALUE"""),"Uncle Sams Cider (11/12/2021) (Blue)")</f>
        <v>Uncle Sams Cider (11/12/2021) (Blue)</v>
      </c>
      <c r="H7165" s="19"/>
    </row>
    <row r="7166">
      <c r="A7166" s="9"/>
      <c r="B7166" s="15"/>
      <c r="C7166" s="9">
        <f>IFERROR(__xludf.DUMMYFUNCTION("""COMPUTED_VALUE"""),44529.9908668055)</f>
        <v>44529.99087</v>
      </c>
      <c r="D7166" s="15">
        <f>IFERROR(__xludf.DUMMYFUNCTION("""COMPUTED_VALUE"""),1.03)</f>
        <v>1.03</v>
      </c>
      <c r="E7166" s="16">
        <f>IFERROR(__xludf.DUMMYFUNCTION("""COMPUTED_VALUE"""),64.0)</f>
        <v>64</v>
      </c>
      <c r="F7166" s="19" t="str">
        <f>IFERROR(__xludf.DUMMYFUNCTION("""COMPUTED_VALUE"""),"BLUE")</f>
        <v>BLUE</v>
      </c>
      <c r="G7166" s="20" t="str">
        <f>IFERROR(__xludf.DUMMYFUNCTION("""COMPUTED_VALUE"""),"Uncle Sams Cider (11/12/2021) (Blue)")</f>
        <v>Uncle Sams Cider (11/12/2021) (Blue)</v>
      </c>
      <c r="H7166" s="19"/>
    </row>
    <row r="7167">
      <c r="A7167" s="9"/>
      <c r="B7167" s="15"/>
      <c r="C7167" s="9">
        <f>IFERROR(__xludf.DUMMYFUNCTION("""COMPUTED_VALUE"""),44529.9804475462)</f>
        <v>44529.98045</v>
      </c>
      <c r="D7167" s="15">
        <f>IFERROR(__xludf.DUMMYFUNCTION("""COMPUTED_VALUE"""),1.03)</f>
        <v>1.03</v>
      </c>
      <c r="E7167" s="16">
        <f>IFERROR(__xludf.DUMMYFUNCTION("""COMPUTED_VALUE"""),64.0)</f>
        <v>64</v>
      </c>
      <c r="F7167" s="19" t="str">
        <f>IFERROR(__xludf.DUMMYFUNCTION("""COMPUTED_VALUE"""),"BLUE")</f>
        <v>BLUE</v>
      </c>
      <c r="G7167" s="20" t="str">
        <f>IFERROR(__xludf.DUMMYFUNCTION("""COMPUTED_VALUE"""),"Uncle Sams Cider (11/12/2021) (Blue)")</f>
        <v>Uncle Sams Cider (11/12/2021) (Blue)</v>
      </c>
      <c r="H7167" s="19"/>
    </row>
    <row r="7168">
      <c r="A7168" s="9"/>
      <c r="B7168" s="15"/>
      <c r="C7168" s="9">
        <f>IFERROR(__xludf.DUMMYFUNCTION("""COMPUTED_VALUE"""),44529.9700254166)</f>
        <v>44529.97003</v>
      </c>
      <c r="D7168" s="15">
        <f>IFERROR(__xludf.DUMMYFUNCTION("""COMPUTED_VALUE"""),1.03)</f>
        <v>1.03</v>
      </c>
      <c r="E7168" s="16">
        <f>IFERROR(__xludf.DUMMYFUNCTION("""COMPUTED_VALUE"""),64.0)</f>
        <v>64</v>
      </c>
      <c r="F7168" s="19" t="str">
        <f>IFERROR(__xludf.DUMMYFUNCTION("""COMPUTED_VALUE"""),"BLUE")</f>
        <v>BLUE</v>
      </c>
      <c r="G7168" s="20" t="str">
        <f>IFERROR(__xludf.DUMMYFUNCTION("""COMPUTED_VALUE"""),"Uncle Sams Cider (11/12/2021) (Blue)")</f>
        <v>Uncle Sams Cider (11/12/2021) (Blue)</v>
      </c>
      <c r="H7168" s="19"/>
    </row>
    <row r="7169">
      <c r="A7169" s="9"/>
      <c r="B7169" s="15"/>
      <c r="C7169" s="9">
        <f>IFERROR(__xludf.DUMMYFUNCTION("""COMPUTED_VALUE"""),44529.9596039004)</f>
        <v>44529.9596</v>
      </c>
      <c r="D7169" s="15">
        <f>IFERROR(__xludf.DUMMYFUNCTION("""COMPUTED_VALUE"""),1.03)</f>
        <v>1.03</v>
      </c>
      <c r="E7169" s="16">
        <f>IFERROR(__xludf.DUMMYFUNCTION("""COMPUTED_VALUE"""),64.0)</f>
        <v>64</v>
      </c>
      <c r="F7169" s="19" t="str">
        <f>IFERROR(__xludf.DUMMYFUNCTION("""COMPUTED_VALUE"""),"BLUE")</f>
        <v>BLUE</v>
      </c>
      <c r="G7169" s="20" t="str">
        <f>IFERROR(__xludf.DUMMYFUNCTION("""COMPUTED_VALUE"""),"Uncle Sams Cider (11/12/2021) (Blue)")</f>
        <v>Uncle Sams Cider (11/12/2021) (Blue)</v>
      </c>
      <c r="H7169" s="19"/>
    </row>
    <row r="7170">
      <c r="A7170" s="9"/>
      <c r="B7170" s="15"/>
      <c r="C7170" s="9">
        <f>IFERROR(__xludf.DUMMYFUNCTION("""COMPUTED_VALUE"""),44529.9491695601)</f>
        <v>44529.94917</v>
      </c>
      <c r="D7170" s="15">
        <f>IFERROR(__xludf.DUMMYFUNCTION("""COMPUTED_VALUE"""),1.03)</f>
        <v>1.03</v>
      </c>
      <c r="E7170" s="16">
        <f>IFERROR(__xludf.DUMMYFUNCTION("""COMPUTED_VALUE"""),64.0)</f>
        <v>64</v>
      </c>
      <c r="F7170" s="19" t="str">
        <f>IFERROR(__xludf.DUMMYFUNCTION("""COMPUTED_VALUE"""),"BLUE")</f>
        <v>BLUE</v>
      </c>
      <c r="G7170" s="20" t="str">
        <f>IFERROR(__xludf.DUMMYFUNCTION("""COMPUTED_VALUE"""),"Uncle Sams Cider (11/12/2021) (Blue)")</f>
        <v>Uncle Sams Cider (11/12/2021) (Blue)</v>
      </c>
      <c r="H7170" s="19"/>
    </row>
    <row r="7171">
      <c r="A7171" s="9"/>
      <c r="B7171" s="15"/>
      <c r="C7171" s="9">
        <f>IFERROR(__xludf.DUMMYFUNCTION("""COMPUTED_VALUE"""),44529.9387490509)</f>
        <v>44529.93875</v>
      </c>
      <c r="D7171" s="15">
        <f>IFERROR(__xludf.DUMMYFUNCTION("""COMPUTED_VALUE"""),1.03)</f>
        <v>1.03</v>
      </c>
      <c r="E7171" s="16">
        <f>IFERROR(__xludf.DUMMYFUNCTION("""COMPUTED_VALUE"""),64.0)</f>
        <v>64</v>
      </c>
      <c r="F7171" s="19" t="str">
        <f>IFERROR(__xludf.DUMMYFUNCTION("""COMPUTED_VALUE"""),"BLUE")</f>
        <v>BLUE</v>
      </c>
      <c r="G7171" s="20" t="str">
        <f>IFERROR(__xludf.DUMMYFUNCTION("""COMPUTED_VALUE"""),"Uncle Sams Cider (11/12/2021) (Blue)")</f>
        <v>Uncle Sams Cider (11/12/2021) (Blue)</v>
      </c>
      <c r="H7171" s="19"/>
    </row>
    <row r="7172">
      <c r="A7172" s="9"/>
      <c r="B7172" s="15"/>
      <c r="C7172" s="9">
        <f>IFERROR(__xludf.DUMMYFUNCTION("""COMPUTED_VALUE"""),44529.9283276851)</f>
        <v>44529.92833</v>
      </c>
      <c r="D7172" s="15">
        <f>IFERROR(__xludf.DUMMYFUNCTION("""COMPUTED_VALUE"""),1.03)</f>
        <v>1.03</v>
      </c>
      <c r="E7172" s="16">
        <f>IFERROR(__xludf.DUMMYFUNCTION("""COMPUTED_VALUE"""),64.0)</f>
        <v>64</v>
      </c>
      <c r="F7172" s="19" t="str">
        <f>IFERROR(__xludf.DUMMYFUNCTION("""COMPUTED_VALUE"""),"BLUE")</f>
        <v>BLUE</v>
      </c>
      <c r="G7172" s="20" t="str">
        <f>IFERROR(__xludf.DUMMYFUNCTION("""COMPUTED_VALUE"""),"Uncle Sams Cider (11/12/2021) (Blue)")</f>
        <v>Uncle Sams Cider (11/12/2021) (Blue)</v>
      </c>
      <c r="H7172" s="19"/>
    </row>
    <row r="7173">
      <c r="A7173" s="9"/>
      <c r="B7173" s="15"/>
      <c r="C7173" s="9">
        <f>IFERROR(__xludf.DUMMYFUNCTION("""COMPUTED_VALUE"""),44529.9179066087)</f>
        <v>44529.91791</v>
      </c>
      <c r="D7173" s="15">
        <f>IFERROR(__xludf.DUMMYFUNCTION("""COMPUTED_VALUE"""),1.03)</f>
        <v>1.03</v>
      </c>
      <c r="E7173" s="16">
        <f>IFERROR(__xludf.DUMMYFUNCTION("""COMPUTED_VALUE"""),64.0)</f>
        <v>64</v>
      </c>
      <c r="F7173" s="19" t="str">
        <f>IFERROR(__xludf.DUMMYFUNCTION("""COMPUTED_VALUE"""),"BLUE")</f>
        <v>BLUE</v>
      </c>
      <c r="G7173" s="20" t="str">
        <f>IFERROR(__xludf.DUMMYFUNCTION("""COMPUTED_VALUE"""),"Uncle Sams Cider (11/12/2021) (Blue)")</f>
        <v>Uncle Sams Cider (11/12/2021) (Blue)</v>
      </c>
      <c r="H7173" s="19"/>
    </row>
    <row r="7174">
      <c r="A7174" s="9"/>
      <c r="B7174" s="15"/>
      <c r="C7174" s="9">
        <f>IFERROR(__xludf.DUMMYFUNCTION("""COMPUTED_VALUE"""),44529.9074845486)</f>
        <v>44529.90748</v>
      </c>
      <c r="D7174" s="15">
        <f>IFERROR(__xludf.DUMMYFUNCTION("""COMPUTED_VALUE"""),1.03)</f>
        <v>1.03</v>
      </c>
      <c r="E7174" s="16">
        <f>IFERROR(__xludf.DUMMYFUNCTION("""COMPUTED_VALUE"""),64.0)</f>
        <v>64</v>
      </c>
      <c r="F7174" s="19" t="str">
        <f>IFERROR(__xludf.DUMMYFUNCTION("""COMPUTED_VALUE"""),"BLUE")</f>
        <v>BLUE</v>
      </c>
      <c r="G7174" s="20" t="str">
        <f>IFERROR(__xludf.DUMMYFUNCTION("""COMPUTED_VALUE"""),"Uncle Sams Cider (11/12/2021) (Blue)")</f>
        <v>Uncle Sams Cider (11/12/2021) (Blue)</v>
      </c>
      <c r="H7174" s="19"/>
    </row>
    <row r="7175">
      <c r="A7175" s="9"/>
      <c r="B7175" s="15"/>
      <c r="C7175" s="9">
        <f>IFERROR(__xludf.DUMMYFUNCTION("""COMPUTED_VALUE"""),44529.8970635416)</f>
        <v>44529.89706</v>
      </c>
      <c r="D7175" s="15">
        <f>IFERROR(__xludf.DUMMYFUNCTION("""COMPUTED_VALUE"""),1.03)</f>
        <v>1.03</v>
      </c>
      <c r="E7175" s="16">
        <f>IFERROR(__xludf.DUMMYFUNCTION("""COMPUTED_VALUE"""),64.0)</f>
        <v>64</v>
      </c>
      <c r="F7175" s="19" t="str">
        <f>IFERROR(__xludf.DUMMYFUNCTION("""COMPUTED_VALUE"""),"BLUE")</f>
        <v>BLUE</v>
      </c>
      <c r="G7175" s="20" t="str">
        <f>IFERROR(__xludf.DUMMYFUNCTION("""COMPUTED_VALUE"""),"Uncle Sams Cider (11/12/2021) (Blue)")</f>
        <v>Uncle Sams Cider (11/12/2021) (Blue)</v>
      </c>
      <c r="H7175" s="19"/>
    </row>
    <row r="7176">
      <c r="A7176" s="9"/>
      <c r="B7176" s="15"/>
      <c r="C7176" s="9">
        <f>IFERROR(__xludf.DUMMYFUNCTION("""COMPUTED_VALUE"""),44529.8866435416)</f>
        <v>44529.88664</v>
      </c>
      <c r="D7176" s="15">
        <f>IFERROR(__xludf.DUMMYFUNCTION("""COMPUTED_VALUE"""),1.03)</f>
        <v>1.03</v>
      </c>
      <c r="E7176" s="16">
        <f>IFERROR(__xludf.DUMMYFUNCTION("""COMPUTED_VALUE"""),64.0)</f>
        <v>64</v>
      </c>
      <c r="F7176" s="19" t="str">
        <f>IFERROR(__xludf.DUMMYFUNCTION("""COMPUTED_VALUE"""),"BLUE")</f>
        <v>BLUE</v>
      </c>
      <c r="G7176" s="20" t="str">
        <f>IFERROR(__xludf.DUMMYFUNCTION("""COMPUTED_VALUE"""),"Uncle Sams Cider (11/12/2021) (Blue)")</f>
        <v>Uncle Sams Cider (11/12/2021) (Blue)</v>
      </c>
      <c r="H7176" s="19"/>
    </row>
    <row r="7177">
      <c r="A7177" s="9"/>
      <c r="B7177" s="15"/>
      <c r="C7177" s="9">
        <f>IFERROR(__xludf.DUMMYFUNCTION("""COMPUTED_VALUE"""),44529.8762213773)</f>
        <v>44529.87622</v>
      </c>
      <c r="D7177" s="15">
        <f>IFERROR(__xludf.DUMMYFUNCTION("""COMPUTED_VALUE"""),1.03)</f>
        <v>1.03</v>
      </c>
      <c r="E7177" s="16">
        <f>IFERROR(__xludf.DUMMYFUNCTION("""COMPUTED_VALUE"""),64.0)</f>
        <v>64</v>
      </c>
      <c r="F7177" s="19" t="str">
        <f>IFERROR(__xludf.DUMMYFUNCTION("""COMPUTED_VALUE"""),"BLUE")</f>
        <v>BLUE</v>
      </c>
      <c r="G7177" s="20" t="str">
        <f>IFERROR(__xludf.DUMMYFUNCTION("""COMPUTED_VALUE"""),"Uncle Sams Cider (11/12/2021) (Blue)")</f>
        <v>Uncle Sams Cider (11/12/2021) (Blue)</v>
      </c>
      <c r="H7177" s="19"/>
    </row>
    <row r="7178">
      <c r="A7178" s="9"/>
      <c r="B7178" s="15"/>
      <c r="C7178" s="9">
        <f>IFERROR(__xludf.DUMMYFUNCTION("""COMPUTED_VALUE"""),44529.8657999189)</f>
        <v>44529.8658</v>
      </c>
      <c r="D7178" s="15">
        <f>IFERROR(__xludf.DUMMYFUNCTION("""COMPUTED_VALUE"""),1.03)</f>
        <v>1.03</v>
      </c>
      <c r="E7178" s="16">
        <f>IFERROR(__xludf.DUMMYFUNCTION("""COMPUTED_VALUE"""),64.0)</f>
        <v>64</v>
      </c>
      <c r="F7178" s="19" t="str">
        <f>IFERROR(__xludf.DUMMYFUNCTION("""COMPUTED_VALUE"""),"BLUE")</f>
        <v>BLUE</v>
      </c>
      <c r="G7178" s="20" t="str">
        <f>IFERROR(__xludf.DUMMYFUNCTION("""COMPUTED_VALUE"""),"Uncle Sams Cider (11/12/2021) (Blue)")</f>
        <v>Uncle Sams Cider (11/12/2021) (Blue)</v>
      </c>
      <c r="H7178" s="19"/>
    </row>
    <row r="7179">
      <c r="A7179" s="9"/>
      <c r="B7179" s="15"/>
      <c r="C7179" s="9">
        <f>IFERROR(__xludf.DUMMYFUNCTION("""COMPUTED_VALUE"""),44529.8553778472)</f>
        <v>44529.85538</v>
      </c>
      <c r="D7179" s="15">
        <f>IFERROR(__xludf.DUMMYFUNCTION("""COMPUTED_VALUE"""),1.03)</f>
        <v>1.03</v>
      </c>
      <c r="E7179" s="16">
        <f>IFERROR(__xludf.DUMMYFUNCTION("""COMPUTED_VALUE"""),64.0)</f>
        <v>64</v>
      </c>
      <c r="F7179" s="19" t="str">
        <f>IFERROR(__xludf.DUMMYFUNCTION("""COMPUTED_VALUE"""),"BLUE")</f>
        <v>BLUE</v>
      </c>
      <c r="G7179" s="20" t="str">
        <f>IFERROR(__xludf.DUMMYFUNCTION("""COMPUTED_VALUE"""),"Uncle Sams Cider (11/12/2021) (Blue)")</f>
        <v>Uncle Sams Cider (11/12/2021) (Blue)</v>
      </c>
      <c r="H7179" s="19"/>
    </row>
    <row r="7180">
      <c r="A7180" s="9"/>
      <c r="B7180" s="15"/>
      <c r="C7180" s="9">
        <f>IFERROR(__xludf.DUMMYFUNCTION("""COMPUTED_VALUE"""),44529.8449569907)</f>
        <v>44529.84496</v>
      </c>
      <c r="D7180" s="15">
        <f>IFERROR(__xludf.DUMMYFUNCTION("""COMPUTED_VALUE"""),1.031)</f>
        <v>1.031</v>
      </c>
      <c r="E7180" s="16">
        <f>IFERROR(__xludf.DUMMYFUNCTION("""COMPUTED_VALUE"""),64.0)</f>
        <v>64</v>
      </c>
      <c r="F7180" s="19" t="str">
        <f>IFERROR(__xludf.DUMMYFUNCTION("""COMPUTED_VALUE"""),"BLUE")</f>
        <v>BLUE</v>
      </c>
      <c r="G7180" s="20" t="str">
        <f>IFERROR(__xludf.DUMMYFUNCTION("""COMPUTED_VALUE"""),"Uncle Sams Cider (11/12/2021) (Blue)")</f>
        <v>Uncle Sams Cider (11/12/2021) (Blue)</v>
      </c>
      <c r="H7180" s="19"/>
    </row>
    <row r="7181">
      <c r="A7181" s="9"/>
      <c r="B7181" s="15"/>
      <c r="C7181" s="9">
        <f>IFERROR(__xludf.DUMMYFUNCTION("""COMPUTED_VALUE"""),44529.8345369444)</f>
        <v>44529.83454</v>
      </c>
      <c r="D7181" s="15">
        <f>IFERROR(__xludf.DUMMYFUNCTION("""COMPUTED_VALUE"""),1.03)</f>
        <v>1.03</v>
      </c>
      <c r="E7181" s="16">
        <f>IFERROR(__xludf.DUMMYFUNCTION("""COMPUTED_VALUE"""),64.0)</f>
        <v>64</v>
      </c>
      <c r="F7181" s="19" t="str">
        <f>IFERROR(__xludf.DUMMYFUNCTION("""COMPUTED_VALUE"""),"BLUE")</f>
        <v>BLUE</v>
      </c>
      <c r="G7181" s="20" t="str">
        <f>IFERROR(__xludf.DUMMYFUNCTION("""COMPUTED_VALUE"""),"Uncle Sams Cider (11/12/2021) (Blue)")</f>
        <v>Uncle Sams Cider (11/12/2021) (Blue)</v>
      </c>
      <c r="H7181" s="19"/>
    </row>
    <row r="7182">
      <c r="A7182" s="9"/>
      <c r="B7182" s="15"/>
      <c r="C7182" s="9">
        <f>IFERROR(__xludf.DUMMYFUNCTION("""COMPUTED_VALUE"""),44529.8241151504)</f>
        <v>44529.82412</v>
      </c>
      <c r="D7182" s="15">
        <f>IFERROR(__xludf.DUMMYFUNCTION("""COMPUTED_VALUE"""),1.03)</f>
        <v>1.03</v>
      </c>
      <c r="E7182" s="16">
        <f>IFERROR(__xludf.DUMMYFUNCTION("""COMPUTED_VALUE"""),64.0)</f>
        <v>64</v>
      </c>
      <c r="F7182" s="19" t="str">
        <f>IFERROR(__xludf.DUMMYFUNCTION("""COMPUTED_VALUE"""),"BLUE")</f>
        <v>BLUE</v>
      </c>
      <c r="G7182" s="20" t="str">
        <f>IFERROR(__xludf.DUMMYFUNCTION("""COMPUTED_VALUE"""),"Uncle Sams Cider (11/12/2021) (Blue)")</f>
        <v>Uncle Sams Cider (11/12/2021) (Blue)</v>
      </c>
      <c r="H7182" s="19"/>
    </row>
    <row r="7183">
      <c r="A7183" s="9"/>
      <c r="B7183" s="15"/>
      <c r="C7183" s="9">
        <f>IFERROR(__xludf.DUMMYFUNCTION("""COMPUTED_VALUE"""),44529.8136940277)</f>
        <v>44529.81369</v>
      </c>
      <c r="D7183" s="15">
        <f>IFERROR(__xludf.DUMMYFUNCTION("""COMPUTED_VALUE"""),1.03)</f>
        <v>1.03</v>
      </c>
      <c r="E7183" s="16">
        <f>IFERROR(__xludf.DUMMYFUNCTION("""COMPUTED_VALUE"""),64.0)</f>
        <v>64</v>
      </c>
      <c r="F7183" s="19" t="str">
        <f>IFERROR(__xludf.DUMMYFUNCTION("""COMPUTED_VALUE"""),"BLUE")</f>
        <v>BLUE</v>
      </c>
      <c r="G7183" s="20" t="str">
        <f>IFERROR(__xludf.DUMMYFUNCTION("""COMPUTED_VALUE"""),"Uncle Sams Cider (11/12/2021) (Blue)")</f>
        <v>Uncle Sams Cider (11/12/2021) (Blue)</v>
      </c>
      <c r="H7183" s="19"/>
    </row>
    <row r="7184">
      <c r="A7184" s="9"/>
      <c r="B7184" s="15"/>
      <c r="C7184" s="9">
        <f>IFERROR(__xludf.DUMMYFUNCTION("""COMPUTED_VALUE"""),44529.8032737384)</f>
        <v>44529.80327</v>
      </c>
      <c r="D7184" s="15">
        <f>IFERROR(__xludf.DUMMYFUNCTION("""COMPUTED_VALUE"""),1.031)</f>
        <v>1.031</v>
      </c>
      <c r="E7184" s="16">
        <f>IFERROR(__xludf.DUMMYFUNCTION("""COMPUTED_VALUE"""),64.0)</f>
        <v>64</v>
      </c>
      <c r="F7184" s="19" t="str">
        <f>IFERROR(__xludf.DUMMYFUNCTION("""COMPUTED_VALUE"""),"BLUE")</f>
        <v>BLUE</v>
      </c>
      <c r="G7184" s="20" t="str">
        <f>IFERROR(__xludf.DUMMYFUNCTION("""COMPUTED_VALUE"""),"Uncle Sams Cider (11/12/2021) (Blue)")</f>
        <v>Uncle Sams Cider (11/12/2021) (Blue)</v>
      </c>
      <c r="H7184" s="19"/>
    </row>
    <row r="7185">
      <c r="A7185" s="9"/>
      <c r="B7185" s="15"/>
      <c r="C7185" s="9">
        <f>IFERROR(__xludf.DUMMYFUNCTION("""COMPUTED_VALUE"""),44529.7928521412)</f>
        <v>44529.79285</v>
      </c>
      <c r="D7185" s="15">
        <f>IFERROR(__xludf.DUMMYFUNCTION("""COMPUTED_VALUE"""),1.031)</f>
        <v>1.031</v>
      </c>
      <c r="E7185" s="16">
        <f>IFERROR(__xludf.DUMMYFUNCTION("""COMPUTED_VALUE"""),64.0)</f>
        <v>64</v>
      </c>
      <c r="F7185" s="19" t="str">
        <f>IFERROR(__xludf.DUMMYFUNCTION("""COMPUTED_VALUE"""),"BLUE")</f>
        <v>BLUE</v>
      </c>
      <c r="G7185" s="20" t="str">
        <f>IFERROR(__xludf.DUMMYFUNCTION("""COMPUTED_VALUE"""),"Uncle Sams Cider (11/12/2021) (Blue)")</f>
        <v>Uncle Sams Cider (11/12/2021) (Blue)</v>
      </c>
      <c r="H7185" s="19"/>
    </row>
    <row r="7186">
      <c r="A7186" s="9"/>
      <c r="B7186" s="15"/>
      <c r="C7186" s="9">
        <f>IFERROR(__xludf.DUMMYFUNCTION("""COMPUTED_VALUE"""),44529.7824321064)</f>
        <v>44529.78243</v>
      </c>
      <c r="D7186" s="15">
        <f>IFERROR(__xludf.DUMMYFUNCTION("""COMPUTED_VALUE"""),1.031)</f>
        <v>1.031</v>
      </c>
      <c r="E7186" s="16">
        <f>IFERROR(__xludf.DUMMYFUNCTION("""COMPUTED_VALUE"""),64.0)</f>
        <v>64</v>
      </c>
      <c r="F7186" s="19" t="str">
        <f>IFERROR(__xludf.DUMMYFUNCTION("""COMPUTED_VALUE"""),"BLUE")</f>
        <v>BLUE</v>
      </c>
      <c r="G7186" s="20" t="str">
        <f>IFERROR(__xludf.DUMMYFUNCTION("""COMPUTED_VALUE"""),"Uncle Sams Cider (11/12/2021) (Blue)")</f>
        <v>Uncle Sams Cider (11/12/2021) (Blue)</v>
      </c>
      <c r="H7186" s="19"/>
    </row>
    <row r="7187">
      <c r="A7187" s="9"/>
      <c r="B7187" s="15"/>
      <c r="C7187" s="9">
        <f>IFERROR(__xludf.DUMMYFUNCTION("""COMPUTED_VALUE"""),44529.7720093865)</f>
        <v>44529.77201</v>
      </c>
      <c r="D7187" s="15">
        <f>IFERROR(__xludf.DUMMYFUNCTION("""COMPUTED_VALUE"""),1.031)</f>
        <v>1.031</v>
      </c>
      <c r="E7187" s="16">
        <f>IFERROR(__xludf.DUMMYFUNCTION("""COMPUTED_VALUE"""),64.0)</f>
        <v>64</v>
      </c>
      <c r="F7187" s="19" t="str">
        <f>IFERROR(__xludf.DUMMYFUNCTION("""COMPUTED_VALUE"""),"BLUE")</f>
        <v>BLUE</v>
      </c>
      <c r="G7187" s="20" t="str">
        <f>IFERROR(__xludf.DUMMYFUNCTION("""COMPUTED_VALUE"""),"Uncle Sams Cider (11/12/2021) (Blue)")</f>
        <v>Uncle Sams Cider (11/12/2021) (Blue)</v>
      </c>
      <c r="H7187" s="19"/>
    </row>
    <row r="7188">
      <c r="A7188" s="9"/>
      <c r="B7188" s="15"/>
      <c r="C7188" s="9">
        <f>IFERROR(__xludf.DUMMYFUNCTION("""COMPUTED_VALUE"""),44529.7615888425)</f>
        <v>44529.76159</v>
      </c>
      <c r="D7188" s="15">
        <f>IFERROR(__xludf.DUMMYFUNCTION("""COMPUTED_VALUE"""),1.03)</f>
        <v>1.03</v>
      </c>
      <c r="E7188" s="16">
        <f>IFERROR(__xludf.DUMMYFUNCTION("""COMPUTED_VALUE"""),64.0)</f>
        <v>64</v>
      </c>
      <c r="F7188" s="19" t="str">
        <f>IFERROR(__xludf.DUMMYFUNCTION("""COMPUTED_VALUE"""),"BLUE")</f>
        <v>BLUE</v>
      </c>
      <c r="G7188" s="20" t="str">
        <f>IFERROR(__xludf.DUMMYFUNCTION("""COMPUTED_VALUE"""),"Uncle Sams Cider (11/12/2021) (Blue)")</f>
        <v>Uncle Sams Cider (11/12/2021) (Blue)</v>
      </c>
      <c r="H7188" s="19"/>
    </row>
    <row r="7189">
      <c r="A7189" s="9"/>
      <c r="B7189" s="15"/>
      <c r="C7189" s="9">
        <f>IFERROR(__xludf.DUMMYFUNCTION("""COMPUTED_VALUE"""),44529.7511675578)</f>
        <v>44529.75117</v>
      </c>
      <c r="D7189" s="15">
        <f>IFERROR(__xludf.DUMMYFUNCTION("""COMPUTED_VALUE"""),1.031)</f>
        <v>1.031</v>
      </c>
      <c r="E7189" s="16">
        <f>IFERROR(__xludf.DUMMYFUNCTION("""COMPUTED_VALUE"""),64.0)</f>
        <v>64</v>
      </c>
      <c r="F7189" s="19" t="str">
        <f>IFERROR(__xludf.DUMMYFUNCTION("""COMPUTED_VALUE"""),"BLUE")</f>
        <v>BLUE</v>
      </c>
      <c r="G7189" s="20" t="str">
        <f>IFERROR(__xludf.DUMMYFUNCTION("""COMPUTED_VALUE"""),"Uncle Sams Cider (11/12/2021) (Blue)")</f>
        <v>Uncle Sams Cider (11/12/2021) (Blue)</v>
      </c>
      <c r="H7189" s="19"/>
    </row>
    <row r="7190">
      <c r="A7190" s="9"/>
      <c r="B7190" s="15"/>
      <c r="C7190" s="9">
        <f>IFERROR(__xludf.DUMMYFUNCTION("""COMPUTED_VALUE"""),44529.730323287)</f>
        <v>44529.73032</v>
      </c>
      <c r="D7190" s="15">
        <f>IFERROR(__xludf.DUMMYFUNCTION("""COMPUTED_VALUE"""),1.031)</f>
        <v>1.031</v>
      </c>
      <c r="E7190" s="16">
        <f>IFERROR(__xludf.DUMMYFUNCTION("""COMPUTED_VALUE"""),64.0)</f>
        <v>64</v>
      </c>
      <c r="F7190" s="19" t="str">
        <f>IFERROR(__xludf.DUMMYFUNCTION("""COMPUTED_VALUE"""),"BLUE")</f>
        <v>BLUE</v>
      </c>
      <c r="G7190" s="20" t="str">
        <f>IFERROR(__xludf.DUMMYFUNCTION("""COMPUTED_VALUE"""),"Uncle Sams Cider (11/12/2021) (Blue)")</f>
        <v>Uncle Sams Cider (11/12/2021) (Blue)</v>
      </c>
      <c r="H7190" s="19"/>
    </row>
    <row r="7191">
      <c r="A7191" s="9"/>
      <c r="B7191" s="15"/>
      <c r="C7191" s="9">
        <f>IFERROR(__xludf.DUMMYFUNCTION("""COMPUTED_VALUE"""),44529.7199030671)</f>
        <v>44529.7199</v>
      </c>
      <c r="D7191" s="15">
        <f>IFERROR(__xludf.DUMMYFUNCTION("""COMPUTED_VALUE"""),1.031)</f>
        <v>1.031</v>
      </c>
      <c r="E7191" s="16">
        <f>IFERROR(__xludf.DUMMYFUNCTION("""COMPUTED_VALUE"""),64.0)</f>
        <v>64</v>
      </c>
      <c r="F7191" s="19" t="str">
        <f>IFERROR(__xludf.DUMMYFUNCTION("""COMPUTED_VALUE"""),"BLUE")</f>
        <v>BLUE</v>
      </c>
      <c r="G7191" s="20" t="str">
        <f>IFERROR(__xludf.DUMMYFUNCTION("""COMPUTED_VALUE"""),"Uncle Sams Cider (11/12/2021) (Blue)")</f>
        <v>Uncle Sams Cider (11/12/2021) (Blue)</v>
      </c>
      <c r="H7191" s="19"/>
    </row>
    <row r="7192">
      <c r="A7192" s="9"/>
      <c r="B7192" s="15"/>
      <c r="C7192" s="9">
        <f>IFERROR(__xludf.DUMMYFUNCTION("""COMPUTED_VALUE"""),44529.7094705208)</f>
        <v>44529.70947</v>
      </c>
      <c r="D7192" s="15">
        <f>IFERROR(__xludf.DUMMYFUNCTION("""COMPUTED_VALUE"""),1.031)</f>
        <v>1.031</v>
      </c>
      <c r="E7192" s="16">
        <f>IFERROR(__xludf.DUMMYFUNCTION("""COMPUTED_VALUE"""),64.0)</f>
        <v>64</v>
      </c>
      <c r="F7192" s="19" t="str">
        <f>IFERROR(__xludf.DUMMYFUNCTION("""COMPUTED_VALUE"""),"BLUE")</f>
        <v>BLUE</v>
      </c>
      <c r="G7192" s="20" t="str">
        <f>IFERROR(__xludf.DUMMYFUNCTION("""COMPUTED_VALUE"""),"Uncle Sams Cider (11/12/2021) (Blue)")</f>
        <v>Uncle Sams Cider (11/12/2021) (Blue)</v>
      </c>
      <c r="H7192" s="19"/>
    </row>
    <row r="7193">
      <c r="A7193" s="9"/>
      <c r="B7193" s="15"/>
      <c r="C7193" s="9">
        <f>IFERROR(__xludf.DUMMYFUNCTION("""COMPUTED_VALUE"""),44529.6990508333)</f>
        <v>44529.69905</v>
      </c>
      <c r="D7193" s="15">
        <f>IFERROR(__xludf.DUMMYFUNCTION("""COMPUTED_VALUE"""),1.03)</f>
        <v>1.03</v>
      </c>
      <c r="E7193" s="16">
        <f>IFERROR(__xludf.DUMMYFUNCTION("""COMPUTED_VALUE"""),64.0)</f>
        <v>64</v>
      </c>
      <c r="F7193" s="19" t="str">
        <f>IFERROR(__xludf.DUMMYFUNCTION("""COMPUTED_VALUE"""),"BLUE")</f>
        <v>BLUE</v>
      </c>
      <c r="G7193" s="20" t="str">
        <f>IFERROR(__xludf.DUMMYFUNCTION("""COMPUTED_VALUE"""),"Uncle Sams Cider (11/12/2021) (Blue)")</f>
        <v>Uncle Sams Cider (11/12/2021) (Blue)</v>
      </c>
      <c r="H7193" s="19"/>
    </row>
    <row r="7194">
      <c r="A7194" s="9"/>
      <c r="B7194" s="15"/>
      <c r="C7194" s="9">
        <f>IFERROR(__xludf.DUMMYFUNCTION("""COMPUTED_VALUE"""),44529.6886294675)</f>
        <v>44529.68863</v>
      </c>
      <c r="D7194" s="15">
        <f>IFERROR(__xludf.DUMMYFUNCTION("""COMPUTED_VALUE"""),1.031)</f>
        <v>1.031</v>
      </c>
      <c r="E7194" s="16">
        <f>IFERROR(__xludf.DUMMYFUNCTION("""COMPUTED_VALUE"""),64.0)</f>
        <v>64</v>
      </c>
      <c r="F7194" s="19" t="str">
        <f>IFERROR(__xludf.DUMMYFUNCTION("""COMPUTED_VALUE"""),"BLUE")</f>
        <v>BLUE</v>
      </c>
      <c r="G7194" s="20" t="str">
        <f>IFERROR(__xludf.DUMMYFUNCTION("""COMPUTED_VALUE"""),"Uncle Sams Cider (11/12/2021) (Blue)")</f>
        <v>Uncle Sams Cider (11/12/2021) (Blue)</v>
      </c>
      <c r="H7194" s="19"/>
    </row>
    <row r="7195">
      <c r="A7195" s="9"/>
      <c r="B7195" s="15"/>
      <c r="C7195" s="9">
        <f>IFERROR(__xludf.DUMMYFUNCTION("""COMPUTED_VALUE"""),44529.6782081712)</f>
        <v>44529.67821</v>
      </c>
      <c r="D7195" s="15">
        <f>IFERROR(__xludf.DUMMYFUNCTION("""COMPUTED_VALUE"""),1.031)</f>
        <v>1.031</v>
      </c>
      <c r="E7195" s="16">
        <f>IFERROR(__xludf.DUMMYFUNCTION("""COMPUTED_VALUE"""),64.0)</f>
        <v>64</v>
      </c>
      <c r="F7195" s="19" t="str">
        <f>IFERROR(__xludf.DUMMYFUNCTION("""COMPUTED_VALUE"""),"BLUE")</f>
        <v>BLUE</v>
      </c>
      <c r="G7195" s="20" t="str">
        <f>IFERROR(__xludf.DUMMYFUNCTION("""COMPUTED_VALUE"""),"Uncle Sams Cider (11/12/2021) (Blue)")</f>
        <v>Uncle Sams Cider (11/12/2021) (Blue)</v>
      </c>
      <c r="H7195" s="19"/>
    </row>
    <row r="7196">
      <c r="A7196" s="9"/>
      <c r="B7196" s="15"/>
      <c r="C7196" s="9">
        <f>IFERROR(__xludf.DUMMYFUNCTION("""COMPUTED_VALUE"""),44529.6677874421)</f>
        <v>44529.66779</v>
      </c>
      <c r="D7196" s="15">
        <f>IFERROR(__xludf.DUMMYFUNCTION("""COMPUTED_VALUE"""),1.031)</f>
        <v>1.031</v>
      </c>
      <c r="E7196" s="16">
        <f>IFERROR(__xludf.DUMMYFUNCTION("""COMPUTED_VALUE"""),64.0)</f>
        <v>64</v>
      </c>
      <c r="F7196" s="19" t="str">
        <f>IFERROR(__xludf.DUMMYFUNCTION("""COMPUTED_VALUE"""),"BLUE")</f>
        <v>BLUE</v>
      </c>
      <c r="G7196" s="20" t="str">
        <f>IFERROR(__xludf.DUMMYFUNCTION("""COMPUTED_VALUE"""),"Uncle Sams Cider (11/12/2021) (Blue)")</f>
        <v>Uncle Sams Cider (11/12/2021) (Blue)</v>
      </c>
      <c r="H7196" s="19"/>
    </row>
    <row r="7197">
      <c r="A7197" s="9"/>
      <c r="B7197" s="15"/>
      <c r="C7197" s="9">
        <f>IFERROR(__xludf.DUMMYFUNCTION("""COMPUTED_VALUE"""),44529.6573684027)</f>
        <v>44529.65737</v>
      </c>
      <c r="D7197" s="15">
        <f>IFERROR(__xludf.DUMMYFUNCTION("""COMPUTED_VALUE"""),1.031)</f>
        <v>1.031</v>
      </c>
      <c r="E7197" s="16">
        <f>IFERROR(__xludf.DUMMYFUNCTION("""COMPUTED_VALUE"""),64.0)</f>
        <v>64</v>
      </c>
      <c r="F7197" s="19" t="str">
        <f>IFERROR(__xludf.DUMMYFUNCTION("""COMPUTED_VALUE"""),"BLUE")</f>
        <v>BLUE</v>
      </c>
      <c r="G7197" s="20" t="str">
        <f>IFERROR(__xludf.DUMMYFUNCTION("""COMPUTED_VALUE"""),"Uncle Sams Cider (11/12/2021) (Blue)")</f>
        <v>Uncle Sams Cider (11/12/2021) (Blue)</v>
      </c>
      <c r="H7197" s="19"/>
    </row>
    <row r="7198">
      <c r="A7198" s="9"/>
      <c r="B7198" s="15"/>
      <c r="C7198" s="9">
        <f>IFERROR(__xludf.DUMMYFUNCTION("""COMPUTED_VALUE"""),44529.6469488425)</f>
        <v>44529.64695</v>
      </c>
      <c r="D7198" s="15">
        <f>IFERROR(__xludf.DUMMYFUNCTION("""COMPUTED_VALUE"""),1.031)</f>
        <v>1.031</v>
      </c>
      <c r="E7198" s="16">
        <f>IFERROR(__xludf.DUMMYFUNCTION("""COMPUTED_VALUE"""),64.0)</f>
        <v>64</v>
      </c>
      <c r="F7198" s="19" t="str">
        <f>IFERROR(__xludf.DUMMYFUNCTION("""COMPUTED_VALUE"""),"BLUE")</f>
        <v>BLUE</v>
      </c>
      <c r="G7198" s="20" t="str">
        <f>IFERROR(__xludf.DUMMYFUNCTION("""COMPUTED_VALUE"""),"Uncle Sams Cider (11/12/2021) (Blue)")</f>
        <v>Uncle Sams Cider (11/12/2021) (Blue)</v>
      </c>
      <c r="H7198" s="19"/>
    </row>
    <row r="7199">
      <c r="A7199" s="9"/>
      <c r="B7199" s="15"/>
      <c r="C7199" s="9">
        <f>IFERROR(__xludf.DUMMYFUNCTION("""COMPUTED_VALUE"""),44529.6365278124)</f>
        <v>44529.63653</v>
      </c>
      <c r="D7199" s="15">
        <f>IFERROR(__xludf.DUMMYFUNCTION("""COMPUTED_VALUE"""),1.031)</f>
        <v>1.031</v>
      </c>
      <c r="E7199" s="16">
        <f>IFERROR(__xludf.DUMMYFUNCTION("""COMPUTED_VALUE"""),64.0)</f>
        <v>64</v>
      </c>
      <c r="F7199" s="19" t="str">
        <f>IFERROR(__xludf.DUMMYFUNCTION("""COMPUTED_VALUE"""),"BLUE")</f>
        <v>BLUE</v>
      </c>
      <c r="G7199" s="20" t="str">
        <f>IFERROR(__xludf.DUMMYFUNCTION("""COMPUTED_VALUE"""),"Uncle Sams Cider (11/12/2021) (Blue)")</f>
        <v>Uncle Sams Cider (11/12/2021) (Blue)</v>
      </c>
      <c r="H7199" s="19"/>
    </row>
    <row r="7200">
      <c r="A7200" s="9"/>
      <c r="B7200" s="15"/>
      <c r="C7200" s="9">
        <f>IFERROR(__xludf.DUMMYFUNCTION("""COMPUTED_VALUE"""),44529.6261068981)</f>
        <v>44529.62611</v>
      </c>
      <c r="D7200" s="15">
        <f>IFERROR(__xludf.DUMMYFUNCTION("""COMPUTED_VALUE"""),1.031)</f>
        <v>1.031</v>
      </c>
      <c r="E7200" s="16">
        <f>IFERROR(__xludf.DUMMYFUNCTION("""COMPUTED_VALUE"""),64.0)</f>
        <v>64</v>
      </c>
      <c r="F7200" s="19" t="str">
        <f>IFERROR(__xludf.DUMMYFUNCTION("""COMPUTED_VALUE"""),"BLUE")</f>
        <v>BLUE</v>
      </c>
      <c r="G7200" s="20" t="str">
        <f>IFERROR(__xludf.DUMMYFUNCTION("""COMPUTED_VALUE"""),"Uncle Sams Cider (11/12/2021) (Blue)")</f>
        <v>Uncle Sams Cider (11/12/2021) (Blue)</v>
      </c>
      <c r="H7200" s="19"/>
    </row>
    <row r="7201">
      <c r="A7201" s="9"/>
      <c r="B7201" s="15"/>
      <c r="C7201" s="9">
        <f>IFERROR(__xludf.DUMMYFUNCTION("""COMPUTED_VALUE"""),44529.6156845601)</f>
        <v>44529.61568</v>
      </c>
      <c r="D7201" s="15">
        <f>IFERROR(__xludf.DUMMYFUNCTION("""COMPUTED_VALUE"""),1.031)</f>
        <v>1.031</v>
      </c>
      <c r="E7201" s="16">
        <f>IFERROR(__xludf.DUMMYFUNCTION("""COMPUTED_VALUE"""),64.0)</f>
        <v>64</v>
      </c>
      <c r="F7201" s="19" t="str">
        <f>IFERROR(__xludf.DUMMYFUNCTION("""COMPUTED_VALUE"""),"BLUE")</f>
        <v>BLUE</v>
      </c>
      <c r="G7201" s="20" t="str">
        <f>IFERROR(__xludf.DUMMYFUNCTION("""COMPUTED_VALUE"""),"Uncle Sams Cider (11/12/2021) (Blue)")</f>
        <v>Uncle Sams Cider (11/12/2021) (Blue)</v>
      </c>
      <c r="H7201" s="19"/>
    </row>
    <row r="7202">
      <c r="A7202" s="9"/>
      <c r="B7202" s="15"/>
      <c r="C7202" s="9">
        <f>IFERROR(__xludf.DUMMYFUNCTION("""COMPUTED_VALUE"""),44529.6052624305)</f>
        <v>44529.60526</v>
      </c>
      <c r="D7202" s="15">
        <f>IFERROR(__xludf.DUMMYFUNCTION("""COMPUTED_VALUE"""),1.031)</f>
        <v>1.031</v>
      </c>
      <c r="E7202" s="16">
        <f>IFERROR(__xludf.DUMMYFUNCTION("""COMPUTED_VALUE"""),64.0)</f>
        <v>64</v>
      </c>
      <c r="F7202" s="19" t="str">
        <f>IFERROR(__xludf.DUMMYFUNCTION("""COMPUTED_VALUE"""),"BLUE")</f>
        <v>BLUE</v>
      </c>
      <c r="G7202" s="20" t="str">
        <f>IFERROR(__xludf.DUMMYFUNCTION("""COMPUTED_VALUE"""),"Uncle Sams Cider (11/12/2021) (Blue)")</f>
        <v>Uncle Sams Cider (11/12/2021) (Blue)</v>
      </c>
      <c r="H7202" s="19"/>
    </row>
    <row r="7203">
      <c r="A7203" s="9"/>
      <c r="B7203" s="15"/>
      <c r="C7203" s="9">
        <f>IFERROR(__xludf.DUMMYFUNCTION("""COMPUTED_VALUE"""),44529.5948392245)</f>
        <v>44529.59484</v>
      </c>
      <c r="D7203" s="15">
        <f>IFERROR(__xludf.DUMMYFUNCTION("""COMPUTED_VALUE"""),1.031)</f>
        <v>1.031</v>
      </c>
      <c r="E7203" s="16">
        <f>IFERROR(__xludf.DUMMYFUNCTION("""COMPUTED_VALUE"""),64.0)</f>
        <v>64</v>
      </c>
      <c r="F7203" s="19" t="str">
        <f>IFERROR(__xludf.DUMMYFUNCTION("""COMPUTED_VALUE"""),"BLUE")</f>
        <v>BLUE</v>
      </c>
      <c r="G7203" s="20" t="str">
        <f>IFERROR(__xludf.DUMMYFUNCTION("""COMPUTED_VALUE"""),"Uncle Sams Cider (11/12/2021) (Blue)")</f>
        <v>Uncle Sams Cider (11/12/2021) (Blue)</v>
      </c>
      <c r="H7203" s="19"/>
    </row>
    <row r="7204">
      <c r="A7204" s="9"/>
      <c r="B7204" s="15"/>
      <c r="C7204" s="9">
        <f>IFERROR(__xludf.DUMMYFUNCTION("""COMPUTED_VALUE"""),44529.5844193287)</f>
        <v>44529.58442</v>
      </c>
      <c r="D7204" s="15">
        <f>IFERROR(__xludf.DUMMYFUNCTION("""COMPUTED_VALUE"""),1.031)</f>
        <v>1.031</v>
      </c>
      <c r="E7204" s="16">
        <f>IFERROR(__xludf.DUMMYFUNCTION("""COMPUTED_VALUE"""),64.0)</f>
        <v>64</v>
      </c>
      <c r="F7204" s="19" t="str">
        <f>IFERROR(__xludf.DUMMYFUNCTION("""COMPUTED_VALUE"""),"BLUE")</f>
        <v>BLUE</v>
      </c>
      <c r="G7204" s="20" t="str">
        <f>IFERROR(__xludf.DUMMYFUNCTION("""COMPUTED_VALUE"""),"Uncle Sams Cider (11/12/2021) (Blue)")</f>
        <v>Uncle Sams Cider (11/12/2021) (Blue)</v>
      </c>
      <c r="H7204" s="19"/>
    </row>
    <row r="7205">
      <c r="A7205" s="9"/>
      <c r="B7205" s="15"/>
      <c r="C7205" s="9">
        <f>IFERROR(__xludf.DUMMYFUNCTION("""COMPUTED_VALUE"""),44529.5740005208)</f>
        <v>44529.574</v>
      </c>
      <c r="D7205" s="15">
        <f>IFERROR(__xludf.DUMMYFUNCTION("""COMPUTED_VALUE"""),1.031)</f>
        <v>1.031</v>
      </c>
      <c r="E7205" s="16">
        <f>IFERROR(__xludf.DUMMYFUNCTION("""COMPUTED_VALUE"""),64.0)</f>
        <v>64</v>
      </c>
      <c r="F7205" s="19" t="str">
        <f>IFERROR(__xludf.DUMMYFUNCTION("""COMPUTED_VALUE"""),"BLUE")</f>
        <v>BLUE</v>
      </c>
      <c r="G7205" s="20" t="str">
        <f>IFERROR(__xludf.DUMMYFUNCTION("""COMPUTED_VALUE"""),"Uncle Sams Cider (11/12/2021) (Blue)")</f>
        <v>Uncle Sams Cider (11/12/2021) (Blue)</v>
      </c>
      <c r="H7205" s="19"/>
    </row>
    <row r="7206">
      <c r="A7206" s="9"/>
      <c r="B7206" s="15"/>
      <c r="C7206" s="9">
        <f>IFERROR(__xludf.DUMMYFUNCTION("""COMPUTED_VALUE"""),44529.5635672685)</f>
        <v>44529.56357</v>
      </c>
      <c r="D7206" s="15">
        <f>IFERROR(__xludf.DUMMYFUNCTION("""COMPUTED_VALUE"""),1.031)</f>
        <v>1.031</v>
      </c>
      <c r="E7206" s="16">
        <f>IFERROR(__xludf.DUMMYFUNCTION("""COMPUTED_VALUE"""),64.0)</f>
        <v>64</v>
      </c>
      <c r="F7206" s="19" t="str">
        <f>IFERROR(__xludf.DUMMYFUNCTION("""COMPUTED_VALUE"""),"BLUE")</f>
        <v>BLUE</v>
      </c>
      <c r="G7206" s="20" t="str">
        <f>IFERROR(__xludf.DUMMYFUNCTION("""COMPUTED_VALUE"""),"Uncle Sams Cider (11/12/2021) (Blue)")</f>
        <v>Uncle Sams Cider (11/12/2021) (Blue)</v>
      </c>
      <c r="H7206" s="19"/>
    </row>
    <row r="7207">
      <c r="A7207" s="9"/>
      <c r="B7207" s="15"/>
      <c r="C7207" s="9">
        <f>IFERROR(__xludf.DUMMYFUNCTION("""COMPUTED_VALUE"""),44529.5531457523)</f>
        <v>44529.55315</v>
      </c>
      <c r="D7207" s="15">
        <f>IFERROR(__xludf.DUMMYFUNCTION("""COMPUTED_VALUE"""),1.031)</f>
        <v>1.031</v>
      </c>
      <c r="E7207" s="16">
        <f>IFERROR(__xludf.DUMMYFUNCTION("""COMPUTED_VALUE"""),64.0)</f>
        <v>64</v>
      </c>
      <c r="F7207" s="19" t="str">
        <f>IFERROR(__xludf.DUMMYFUNCTION("""COMPUTED_VALUE"""),"BLUE")</f>
        <v>BLUE</v>
      </c>
      <c r="G7207" s="20" t="str">
        <f>IFERROR(__xludf.DUMMYFUNCTION("""COMPUTED_VALUE"""),"Uncle Sams Cider (11/12/2021) (Blue)")</f>
        <v>Uncle Sams Cider (11/12/2021) (Blue)</v>
      </c>
      <c r="H7207" s="19"/>
    </row>
    <row r="7208">
      <c r="A7208" s="9"/>
      <c r="B7208" s="15"/>
      <c r="C7208" s="9">
        <f>IFERROR(__xludf.DUMMYFUNCTION("""COMPUTED_VALUE"""),44529.5427261574)</f>
        <v>44529.54273</v>
      </c>
      <c r="D7208" s="15">
        <f>IFERROR(__xludf.DUMMYFUNCTION("""COMPUTED_VALUE"""),1.031)</f>
        <v>1.031</v>
      </c>
      <c r="E7208" s="16">
        <f>IFERROR(__xludf.DUMMYFUNCTION("""COMPUTED_VALUE"""),64.0)</f>
        <v>64</v>
      </c>
      <c r="F7208" s="19" t="str">
        <f>IFERROR(__xludf.DUMMYFUNCTION("""COMPUTED_VALUE"""),"BLUE")</f>
        <v>BLUE</v>
      </c>
      <c r="G7208" s="20" t="str">
        <f>IFERROR(__xludf.DUMMYFUNCTION("""COMPUTED_VALUE"""),"Uncle Sams Cider (11/12/2021) (Blue)")</f>
        <v>Uncle Sams Cider (11/12/2021) (Blue)</v>
      </c>
      <c r="H7208" s="19"/>
    </row>
    <row r="7209">
      <c r="A7209" s="9"/>
      <c r="B7209" s="15"/>
      <c r="C7209" s="9">
        <f>IFERROR(__xludf.DUMMYFUNCTION("""COMPUTED_VALUE"""),44529.5323049305)</f>
        <v>44529.5323</v>
      </c>
      <c r="D7209" s="15">
        <f>IFERROR(__xludf.DUMMYFUNCTION("""COMPUTED_VALUE"""),1.031)</f>
        <v>1.031</v>
      </c>
      <c r="E7209" s="16">
        <f>IFERROR(__xludf.DUMMYFUNCTION("""COMPUTED_VALUE"""),64.0)</f>
        <v>64</v>
      </c>
      <c r="F7209" s="19" t="str">
        <f>IFERROR(__xludf.DUMMYFUNCTION("""COMPUTED_VALUE"""),"BLUE")</f>
        <v>BLUE</v>
      </c>
      <c r="G7209" s="20" t="str">
        <f>IFERROR(__xludf.DUMMYFUNCTION("""COMPUTED_VALUE"""),"Uncle Sams Cider (11/12/2021) (Blue)")</f>
        <v>Uncle Sams Cider (11/12/2021) (Blue)</v>
      </c>
      <c r="H7209" s="19"/>
    </row>
    <row r="7210">
      <c r="A7210" s="9"/>
      <c r="B7210" s="15"/>
      <c r="C7210" s="9">
        <f>IFERROR(__xludf.DUMMYFUNCTION("""COMPUTED_VALUE"""),44529.5218848379)</f>
        <v>44529.52188</v>
      </c>
      <c r="D7210" s="15">
        <f>IFERROR(__xludf.DUMMYFUNCTION("""COMPUTED_VALUE"""),1.031)</f>
        <v>1.031</v>
      </c>
      <c r="E7210" s="16">
        <f>IFERROR(__xludf.DUMMYFUNCTION("""COMPUTED_VALUE"""),64.0)</f>
        <v>64</v>
      </c>
      <c r="F7210" s="19" t="str">
        <f>IFERROR(__xludf.DUMMYFUNCTION("""COMPUTED_VALUE"""),"BLUE")</f>
        <v>BLUE</v>
      </c>
      <c r="G7210" s="20" t="str">
        <f>IFERROR(__xludf.DUMMYFUNCTION("""COMPUTED_VALUE"""),"Uncle Sams Cider (11/12/2021) (Blue)")</f>
        <v>Uncle Sams Cider (11/12/2021) (Blue)</v>
      </c>
      <c r="H7210" s="19"/>
    </row>
    <row r="7211">
      <c r="A7211" s="9"/>
      <c r="B7211" s="15"/>
      <c r="C7211" s="9">
        <f>IFERROR(__xludf.DUMMYFUNCTION("""COMPUTED_VALUE"""),44529.5114658564)</f>
        <v>44529.51147</v>
      </c>
      <c r="D7211" s="15">
        <f>IFERROR(__xludf.DUMMYFUNCTION("""COMPUTED_VALUE"""),1.031)</f>
        <v>1.031</v>
      </c>
      <c r="E7211" s="16">
        <f>IFERROR(__xludf.DUMMYFUNCTION("""COMPUTED_VALUE"""),64.0)</f>
        <v>64</v>
      </c>
      <c r="F7211" s="19" t="str">
        <f>IFERROR(__xludf.DUMMYFUNCTION("""COMPUTED_VALUE"""),"BLUE")</f>
        <v>BLUE</v>
      </c>
      <c r="G7211" s="20" t="str">
        <f>IFERROR(__xludf.DUMMYFUNCTION("""COMPUTED_VALUE"""),"Uncle Sams Cider (11/12/2021) (Blue)")</f>
        <v>Uncle Sams Cider (11/12/2021) (Blue)</v>
      </c>
      <c r="H7211" s="19"/>
    </row>
    <row r="7212">
      <c r="A7212" s="9"/>
      <c r="B7212" s="15"/>
      <c r="C7212" s="9">
        <f>IFERROR(__xludf.DUMMYFUNCTION("""COMPUTED_VALUE"""),44529.500999618)</f>
        <v>44529.501</v>
      </c>
      <c r="D7212" s="15">
        <f>IFERROR(__xludf.DUMMYFUNCTION("""COMPUTED_VALUE"""),1.031)</f>
        <v>1.031</v>
      </c>
      <c r="E7212" s="16">
        <f>IFERROR(__xludf.DUMMYFUNCTION("""COMPUTED_VALUE"""),64.0)</f>
        <v>64</v>
      </c>
      <c r="F7212" s="19" t="str">
        <f>IFERROR(__xludf.DUMMYFUNCTION("""COMPUTED_VALUE"""),"BLUE")</f>
        <v>BLUE</v>
      </c>
      <c r="G7212" s="20" t="str">
        <f>IFERROR(__xludf.DUMMYFUNCTION("""COMPUTED_VALUE"""),"Uncle Sams Cider (11/12/2021) (Blue)")</f>
        <v>Uncle Sams Cider (11/12/2021) (Blue)</v>
      </c>
      <c r="H7212" s="19"/>
    </row>
    <row r="7213">
      <c r="A7213" s="9"/>
      <c r="B7213" s="15"/>
      <c r="C7213" s="9">
        <f>IFERROR(__xludf.DUMMYFUNCTION("""COMPUTED_VALUE"""),44529.490566956)</f>
        <v>44529.49057</v>
      </c>
      <c r="D7213" s="15">
        <f>IFERROR(__xludf.DUMMYFUNCTION("""COMPUTED_VALUE"""),1.031)</f>
        <v>1.031</v>
      </c>
      <c r="E7213" s="16">
        <f>IFERROR(__xludf.DUMMYFUNCTION("""COMPUTED_VALUE"""),64.0)</f>
        <v>64</v>
      </c>
      <c r="F7213" s="19" t="str">
        <f>IFERROR(__xludf.DUMMYFUNCTION("""COMPUTED_VALUE"""),"BLUE")</f>
        <v>BLUE</v>
      </c>
      <c r="G7213" s="20" t="str">
        <f>IFERROR(__xludf.DUMMYFUNCTION("""COMPUTED_VALUE"""),"Uncle Sams Cider (11/12/2021) (Blue)")</f>
        <v>Uncle Sams Cider (11/12/2021) (Blue)</v>
      </c>
      <c r="H7213" s="19"/>
    </row>
    <row r="7214">
      <c r="A7214" s="9"/>
      <c r="B7214" s="15"/>
      <c r="C7214" s="9">
        <f>IFERROR(__xludf.DUMMYFUNCTION("""COMPUTED_VALUE"""),44529.4801348958)</f>
        <v>44529.48013</v>
      </c>
      <c r="D7214" s="15">
        <f>IFERROR(__xludf.DUMMYFUNCTION("""COMPUTED_VALUE"""),1.031)</f>
        <v>1.031</v>
      </c>
      <c r="E7214" s="16">
        <f>IFERROR(__xludf.DUMMYFUNCTION("""COMPUTED_VALUE"""),64.0)</f>
        <v>64</v>
      </c>
      <c r="F7214" s="19" t="str">
        <f>IFERROR(__xludf.DUMMYFUNCTION("""COMPUTED_VALUE"""),"BLUE")</f>
        <v>BLUE</v>
      </c>
      <c r="G7214" s="20" t="str">
        <f>IFERROR(__xludf.DUMMYFUNCTION("""COMPUTED_VALUE"""),"Uncle Sams Cider (11/12/2021) (Blue)")</f>
        <v>Uncle Sams Cider (11/12/2021) (Blue)</v>
      </c>
      <c r="H7214" s="19"/>
    </row>
    <row r="7215">
      <c r="A7215" s="9"/>
      <c r="B7215" s="15"/>
      <c r="C7215" s="9">
        <f>IFERROR(__xludf.DUMMYFUNCTION("""COMPUTED_VALUE"""),44529.4697115277)</f>
        <v>44529.46971</v>
      </c>
      <c r="D7215" s="15">
        <f>IFERROR(__xludf.DUMMYFUNCTION("""COMPUTED_VALUE"""),1.031)</f>
        <v>1.031</v>
      </c>
      <c r="E7215" s="16">
        <f>IFERROR(__xludf.DUMMYFUNCTION("""COMPUTED_VALUE"""),64.0)</f>
        <v>64</v>
      </c>
      <c r="F7215" s="19" t="str">
        <f>IFERROR(__xludf.DUMMYFUNCTION("""COMPUTED_VALUE"""),"BLUE")</f>
        <v>BLUE</v>
      </c>
      <c r="G7215" s="20" t="str">
        <f>IFERROR(__xludf.DUMMYFUNCTION("""COMPUTED_VALUE"""),"Uncle Sams Cider (11/12/2021) (Blue)")</f>
        <v>Uncle Sams Cider (11/12/2021) (Blue)</v>
      </c>
      <c r="H7215" s="19"/>
    </row>
    <row r="7216">
      <c r="A7216" s="9"/>
      <c r="B7216" s="15"/>
      <c r="C7216" s="9">
        <f>IFERROR(__xludf.DUMMYFUNCTION("""COMPUTED_VALUE"""),44529.4592781018)</f>
        <v>44529.45928</v>
      </c>
      <c r="D7216" s="15">
        <f>IFERROR(__xludf.DUMMYFUNCTION("""COMPUTED_VALUE"""),1.031)</f>
        <v>1.031</v>
      </c>
      <c r="E7216" s="16">
        <f>IFERROR(__xludf.DUMMYFUNCTION("""COMPUTED_VALUE"""),65.0)</f>
        <v>65</v>
      </c>
      <c r="F7216" s="19" t="str">
        <f>IFERROR(__xludf.DUMMYFUNCTION("""COMPUTED_VALUE"""),"BLUE")</f>
        <v>BLUE</v>
      </c>
      <c r="G7216" s="20" t="str">
        <f>IFERROR(__xludf.DUMMYFUNCTION("""COMPUTED_VALUE"""),"Uncle Sams Cider (11/12/2021) (Blue)")</f>
        <v>Uncle Sams Cider (11/12/2021) (Blue)</v>
      </c>
      <c r="H7216" s="19"/>
    </row>
    <row r="7217">
      <c r="A7217" s="9"/>
      <c r="B7217" s="15"/>
      <c r="C7217" s="9">
        <f>IFERROR(__xludf.DUMMYFUNCTION("""COMPUTED_VALUE"""),44529.4488569328)</f>
        <v>44529.44886</v>
      </c>
      <c r="D7217" s="15">
        <f>IFERROR(__xludf.DUMMYFUNCTION("""COMPUTED_VALUE"""),1.031)</f>
        <v>1.031</v>
      </c>
      <c r="E7217" s="16">
        <f>IFERROR(__xludf.DUMMYFUNCTION("""COMPUTED_VALUE"""),64.0)</f>
        <v>64</v>
      </c>
      <c r="F7217" s="19" t="str">
        <f>IFERROR(__xludf.DUMMYFUNCTION("""COMPUTED_VALUE"""),"BLUE")</f>
        <v>BLUE</v>
      </c>
      <c r="G7217" s="20" t="str">
        <f>IFERROR(__xludf.DUMMYFUNCTION("""COMPUTED_VALUE"""),"Uncle Sams Cider (11/12/2021) (Blue)")</f>
        <v>Uncle Sams Cider (11/12/2021) (Blue)</v>
      </c>
      <c r="H7217" s="19"/>
    </row>
    <row r="7218">
      <c r="A7218" s="9"/>
      <c r="B7218" s="15"/>
      <c r="C7218" s="9">
        <f>IFERROR(__xludf.DUMMYFUNCTION("""COMPUTED_VALUE"""),44529.4384226504)</f>
        <v>44529.43842</v>
      </c>
      <c r="D7218" s="15">
        <f>IFERROR(__xludf.DUMMYFUNCTION("""COMPUTED_VALUE"""),1.031)</f>
        <v>1.031</v>
      </c>
      <c r="E7218" s="16">
        <f>IFERROR(__xludf.DUMMYFUNCTION("""COMPUTED_VALUE"""),64.0)</f>
        <v>64</v>
      </c>
      <c r="F7218" s="19" t="str">
        <f>IFERROR(__xludf.DUMMYFUNCTION("""COMPUTED_VALUE"""),"BLUE")</f>
        <v>BLUE</v>
      </c>
      <c r="G7218" s="20" t="str">
        <f>IFERROR(__xludf.DUMMYFUNCTION("""COMPUTED_VALUE"""),"Uncle Sams Cider (11/12/2021) (Blue)")</f>
        <v>Uncle Sams Cider (11/12/2021) (Blue)</v>
      </c>
      <c r="H7218" s="19"/>
    </row>
    <row r="7219">
      <c r="A7219" s="9"/>
      <c r="B7219" s="15"/>
      <c r="C7219" s="9">
        <f>IFERROR(__xludf.DUMMYFUNCTION("""COMPUTED_VALUE"""),44529.427990868)</f>
        <v>44529.42799</v>
      </c>
      <c r="D7219" s="15">
        <f>IFERROR(__xludf.DUMMYFUNCTION("""COMPUTED_VALUE"""),1.031)</f>
        <v>1.031</v>
      </c>
      <c r="E7219" s="16">
        <f>IFERROR(__xludf.DUMMYFUNCTION("""COMPUTED_VALUE"""),64.0)</f>
        <v>64</v>
      </c>
      <c r="F7219" s="19" t="str">
        <f>IFERROR(__xludf.DUMMYFUNCTION("""COMPUTED_VALUE"""),"BLUE")</f>
        <v>BLUE</v>
      </c>
      <c r="G7219" s="20" t="str">
        <f>IFERROR(__xludf.DUMMYFUNCTION("""COMPUTED_VALUE"""),"Uncle Sams Cider (11/12/2021) (Blue)")</f>
        <v>Uncle Sams Cider (11/12/2021) (Blue)</v>
      </c>
      <c r="H7219" s="19"/>
    </row>
    <row r="7220">
      <c r="A7220" s="9"/>
      <c r="B7220" s="15"/>
      <c r="C7220" s="9">
        <f>IFERROR(__xludf.DUMMYFUNCTION("""COMPUTED_VALUE"""),44529.4175695833)</f>
        <v>44529.41757</v>
      </c>
      <c r="D7220" s="15">
        <f>IFERROR(__xludf.DUMMYFUNCTION("""COMPUTED_VALUE"""),1.031)</f>
        <v>1.031</v>
      </c>
      <c r="E7220" s="16">
        <f>IFERROR(__xludf.DUMMYFUNCTION("""COMPUTED_VALUE"""),65.0)</f>
        <v>65</v>
      </c>
      <c r="F7220" s="19" t="str">
        <f>IFERROR(__xludf.DUMMYFUNCTION("""COMPUTED_VALUE"""),"BLUE")</f>
        <v>BLUE</v>
      </c>
      <c r="G7220" s="20" t="str">
        <f>IFERROR(__xludf.DUMMYFUNCTION("""COMPUTED_VALUE"""),"Uncle Sams Cider (11/12/2021) (Blue)")</f>
        <v>Uncle Sams Cider (11/12/2021) (Blue)</v>
      </c>
      <c r="H7220" s="19"/>
    </row>
    <row r="7221">
      <c r="A7221" s="9"/>
      <c r="B7221" s="15"/>
      <c r="C7221" s="9">
        <f>IFERROR(__xludf.DUMMYFUNCTION("""COMPUTED_VALUE"""),44529.4071481597)</f>
        <v>44529.40715</v>
      </c>
      <c r="D7221" s="15">
        <f>IFERROR(__xludf.DUMMYFUNCTION("""COMPUTED_VALUE"""),1.031)</f>
        <v>1.031</v>
      </c>
      <c r="E7221" s="16">
        <f>IFERROR(__xludf.DUMMYFUNCTION("""COMPUTED_VALUE"""),64.0)</f>
        <v>64</v>
      </c>
      <c r="F7221" s="19" t="str">
        <f>IFERROR(__xludf.DUMMYFUNCTION("""COMPUTED_VALUE"""),"BLUE")</f>
        <v>BLUE</v>
      </c>
      <c r="G7221" s="20" t="str">
        <f>IFERROR(__xludf.DUMMYFUNCTION("""COMPUTED_VALUE"""),"Uncle Sams Cider (11/12/2021) (Blue)")</f>
        <v>Uncle Sams Cider (11/12/2021) (Blue)</v>
      </c>
      <c r="H7221" s="19"/>
    </row>
    <row r="7222">
      <c r="A7222" s="9"/>
      <c r="B7222" s="15"/>
      <c r="C7222" s="9">
        <f>IFERROR(__xludf.DUMMYFUNCTION("""COMPUTED_VALUE"""),44529.3967270486)</f>
        <v>44529.39673</v>
      </c>
      <c r="D7222" s="15">
        <f>IFERROR(__xludf.DUMMYFUNCTION("""COMPUTED_VALUE"""),1.031)</f>
        <v>1.031</v>
      </c>
      <c r="E7222" s="16">
        <f>IFERROR(__xludf.DUMMYFUNCTION("""COMPUTED_VALUE"""),64.0)</f>
        <v>64</v>
      </c>
      <c r="F7222" s="19" t="str">
        <f>IFERROR(__xludf.DUMMYFUNCTION("""COMPUTED_VALUE"""),"BLUE")</f>
        <v>BLUE</v>
      </c>
      <c r="G7222" s="20" t="str">
        <f>IFERROR(__xludf.DUMMYFUNCTION("""COMPUTED_VALUE"""),"Uncle Sams Cider (11/12/2021) (Blue)")</f>
        <v>Uncle Sams Cider (11/12/2021) (Blue)</v>
      </c>
      <c r="H7222" s="19"/>
    </row>
    <row r="7223">
      <c r="A7223" s="9"/>
      <c r="B7223" s="15"/>
      <c r="C7223" s="9">
        <f>IFERROR(__xludf.DUMMYFUNCTION("""COMPUTED_VALUE"""),44529.3863076157)</f>
        <v>44529.38631</v>
      </c>
      <c r="D7223" s="15">
        <f>IFERROR(__xludf.DUMMYFUNCTION("""COMPUTED_VALUE"""),1.031)</f>
        <v>1.031</v>
      </c>
      <c r="E7223" s="16">
        <f>IFERROR(__xludf.DUMMYFUNCTION("""COMPUTED_VALUE"""),65.0)</f>
        <v>65</v>
      </c>
      <c r="F7223" s="19" t="str">
        <f>IFERROR(__xludf.DUMMYFUNCTION("""COMPUTED_VALUE"""),"BLUE")</f>
        <v>BLUE</v>
      </c>
      <c r="G7223" s="20" t="str">
        <f>IFERROR(__xludf.DUMMYFUNCTION("""COMPUTED_VALUE"""),"Uncle Sams Cider (11/12/2021) (Blue)")</f>
        <v>Uncle Sams Cider (11/12/2021) (Blue)</v>
      </c>
      <c r="H7223" s="19"/>
    </row>
    <row r="7224">
      <c r="A7224" s="9"/>
      <c r="B7224" s="15"/>
      <c r="C7224" s="9">
        <f>IFERROR(__xludf.DUMMYFUNCTION("""COMPUTED_VALUE"""),44529.3758862731)</f>
        <v>44529.37589</v>
      </c>
      <c r="D7224" s="15">
        <f>IFERROR(__xludf.DUMMYFUNCTION("""COMPUTED_VALUE"""),1.031)</f>
        <v>1.031</v>
      </c>
      <c r="E7224" s="16">
        <f>IFERROR(__xludf.DUMMYFUNCTION("""COMPUTED_VALUE"""),65.0)</f>
        <v>65</v>
      </c>
      <c r="F7224" s="19" t="str">
        <f>IFERROR(__xludf.DUMMYFUNCTION("""COMPUTED_VALUE"""),"BLUE")</f>
        <v>BLUE</v>
      </c>
      <c r="G7224" s="20" t="str">
        <f>IFERROR(__xludf.DUMMYFUNCTION("""COMPUTED_VALUE"""),"Uncle Sams Cider (11/12/2021) (Blue)")</f>
        <v>Uncle Sams Cider (11/12/2021) (Blue)</v>
      </c>
      <c r="H7224" s="19"/>
    </row>
    <row r="7225">
      <c r="A7225" s="9"/>
      <c r="B7225" s="15"/>
      <c r="C7225" s="9">
        <f>IFERROR(__xludf.DUMMYFUNCTION("""COMPUTED_VALUE"""),44529.3654639004)</f>
        <v>44529.36546</v>
      </c>
      <c r="D7225" s="15">
        <f>IFERROR(__xludf.DUMMYFUNCTION("""COMPUTED_VALUE"""),1.031)</f>
        <v>1.031</v>
      </c>
      <c r="E7225" s="16">
        <f>IFERROR(__xludf.DUMMYFUNCTION("""COMPUTED_VALUE"""),65.0)</f>
        <v>65</v>
      </c>
      <c r="F7225" s="19" t="str">
        <f>IFERROR(__xludf.DUMMYFUNCTION("""COMPUTED_VALUE"""),"BLUE")</f>
        <v>BLUE</v>
      </c>
      <c r="G7225" s="20" t="str">
        <f>IFERROR(__xludf.DUMMYFUNCTION("""COMPUTED_VALUE"""),"Uncle Sams Cider (11/12/2021) (Blue)")</f>
        <v>Uncle Sams Cider (11/12/2021) (Blue)</v>
      </c>
      <c r="H7225" s="19"/>
    </row>
    <row r="7226">
      <c r="A7226" s="9"/>
      <c r="B7226" s="15"/>
      <c r="C7226" s="9">
        <f>IFERROR(__xludf.DUMMYFUNCTION("""COMPUTED_VALUE"""),44529.3550418402)</f>
        <v>44529.35504</v>
      </c>
      <c r="D7226" s="15">
        <f>IFERROR(__xludf.DUMMYFUNCTION("""COMPUTED_VALUE"""),1.031)</f>
        <v>1.031</v>
      </c>
      <c r="E7226" s="16">
        <f>IFERROR(__xludf.DUMMYFUNCTION("""COMPUTED_VALUE"""),64.0)</f>
        <v>64</v>
      </c>
      <c r="F7226" s="19" t="str">
        <f>IFERROR(__xludf.DUMMYFUNCTION("""COMPUTED_VALUE"""),"BLUE")</f>
        <v>BLUE</v>
      </c>
      <c r="G7226" s="20" t="str">
        <f>IFERROR(__xludf.DUMMYFUNCTION("""COMPUTED_VALUE"""),"Uncle Sams Cider (11/12/2021) (Blue)")</f>
        <v>Uncle Sams Cider (11/12/2021) (Blue)</v>
      </c>
      <c r="H7226" s="19"/>
    </row>
    <row r="7227">
      <c r="A7227" s="9"/>
      <c r="B7227" s="15"/>
      <c r="C7227" s="9">
        <f>IFERROR(__xludf.DUMMYFUNCTION("""COMPUTED_VALUE"""),44529.3446210648)</f>
        <v>44529.34462</v>
      </c>
      <c r="D7227" s="15">
        <f>IFERROR(__xludf.DUMMYFUNCTION("""COMPUTED_VALUE"""),1.031)</f>
        <v>1.031</v>
      </c>
      <c r="E7227" s="16">
        <f>IFERROR(__xludf.DUMMYFUNCTION("""COMPUTED_VALUE"""),65.0)</f>
        <v>65</v>
      </c>
      <c r="F7227" s="19" t="str">
        <f>IFERROR(__xludf.DUMMYFUNCTION("""COMPUTED_VALUE"""),"BLUE")</f>
        <v>BLUE</v>
      </c>
      <c r="G7227" s="20" t="str">
        <f>IFERROR(__xludf.DUMMYFUNCTION("""COMPUTED_VALUE"""),"Uncle Sams Cider (11/12/2021) (Blue)")</f>
        <v>Uncle Sams Cider (11/12/2021) (Blue)</v>
      </c>
      <c r="H7227" s="19"/>
    </row>
    <row r="7228">
      <c r="A7228" s="9"/>
      <c r="B7228" s="15"/>
      <c r="C7228" s="9">
        <f>IFERROR(__xludf.DUMMYFUNCTION("""COMPUTED_VALUE"""),44529.3342018634)</f>
        <v>44529.3342</v>
      </c>
      <c r="D7228" s="15">
        <f>IFERROR(__xludf.DUMMYFUNCTION("""COMPUTED_VALUE"""),1.031)</f>
        <v>1.031</v>
      </c>
      <c r="E7228" s="16">
        <f>IFERROR(__xludf.DUMMYFUNCTION("""COMPUTED_VALUE"""),65.0)</f>
        <v>65</v>
      </c>
      <c r="F7228" s="19" t="str">
        <f>IFERROR(__xludf.DUMMYFUNCTION("""COMPUTED_VALUE"""),"BLUE")</f>
        <v>BLUE</v>
      </c>
      <c r="G7228" s="20" t="str">
        <f>IFERROR(__xludf.DUMMYFUNCTION("""COMPUTED_VALUE"""),"Uncle Sams Cider (11/12/2021) (Blue)")</f>
        <v>Uncle Sams Cider (11/12/2021) (Blue)</v>
      </c>
      <c r="H7228" s="19"/>
    </row>
    <row r="7229">
      <c r="A7229" s="9"/>
      <c r="B7229" s="15"/>
      <c r="C7229" s="9">
        <f>IFERROR(__xludf.DUMMYFUNCTION("""COMPUTED_VALUE"""),44529.323781412)</f>
        <v>44529.32378</v>
      </c>
      <c r="D7229" s="15">
        <f>IFERROR(__xludf.DUMMYFUNCTION("""COMPUTED_VALUE"""),1.031)</f>
        <v>1.031</v>
      </c>
      <c r="E7229" s="16">
        <f>IFERROR(__xludf.DUMMYFUNCTION("""COMPUTED_VALUE"""),64.0)</f>
        <v>64</v>
      </c>
      <c r="F7229" s="19" t="str">
        <f>IFERROR(__xludf.DUMMYFUNCTION("""COMPUTED_VALUE"""),"BLUE")</f>
        <v>BLUE</v>
      </c>
      <c r="G7229" s="20" t="str">
        <f>IFERROR(__xludf.DUMMYFUNCTION("""COMPUTED_VALUE"""),"Uncle Sams Cider (11/12/2021) (Blue)")</f>
        <v>Uncle Sams Cider (11/12/2021) (Blue)</v>
      </c>
      <c r="H7229" s="19"/>
    </row>
    <row r="7230">
      <c r="A7230" s="9"/>
      <c r="B7230" s="15"/>
      <c r="C7230" s="9">
        <f>IFERROR(__xludf.DUMMYFUNCTION("""COMPUTED_VALUE"""),44529.3133609027)</f>
        <v>44529.31336</v>
      </c>
      <c r="D7230" s="15">
        <f>IFERROR(__xludf.DUMMYFUNCTION("""COMPUTED_VALUE"""),1.031)</f>
        <v>1.031</v>
      </c>
      <c r="E7230" s="16">
        <f>IFERROR(__xludf.DUMMYFUNCTION("""COMPUTED_VALUE"""),64.0)</f>
        <v>64</v>
      </c>
      <c r="F7230" s="19" t="str">
        <f>IFERROR(__xludf.DUMMYFUNCTION("""COMPUTED_VALUE"""),"BLUE")</f>
        <v>BLUE</v>
      </c>
      <c r="G7230" s="20" t="str">
        <f>IFERROR(__xludf.DUMMYFUNCTION("""COMPUTED_VALUE"""),"Uncle Sams Cider (11/12/2021) (Blue)")</f>
        <v>Uncle Sams Cider (11/12/2021) (Blue)</v>
      </c>
      <c r="H7230" s="19"/>
    </row>
    <row r="7231">
      <c r="A7231" s="9"/>
      <c r="B7231" s="15"/>
      <c r="C7231" s="9">
        <f>IFERROR(__xludf.DUMMYFUNCTION("""COMPUTED_VALUE"""),44529.302941331)</f>
        <v>44529.30294</v>
      </c>
      <c r="D7231" s="15">
        <f>IFERROR(__xludf.DUMMYFUNCTION("""COMPUTED_VALUE"""),1.031)</f>
        <v>1.031</v>
      </c>
      <c r="E7231" s="16">
        <f>IFERROR(__xludf.DUMMYFUNCTION("""COMPUTED_VALUE"""),65.0)</f>
        <v>65</v>
      </c>
      <c r="F7231" s="19" t="str">
        <f>IFERROR(__xludf.DUMMYFUNCTION("""COMPUTED_VALUE"""),"BLUE")</f>
        <v>BLUE</v>
      </c>
      <c r="G7231" s="20" t="str">
        <f>IFERROR(__xludf.DUMMYFUNCTION("""COMPUTED_VALUE"""),"Uncle Sams Cider (11/12/2021) (Blue)")</f>
        <v>Uncle Sams Cider (11/12/2021) (Blue)</v>
      </c>
      <c r="H7231" s="19"/>
    </row>
    <row r="7232">
      <c r="A7232" s="9"/>
      <c r="B7232" s="15"/>
      <c r="C7232" s="9">
        <f>IFERROR(__xludf.DUMMYFUNCTION("""COMPUTED_VALUE"""),44529.2925211689)</f>
        <v>44529.29252</v>
      </c>
      <c r="D7232" s="15">
        <f>IFERROR(__xludf.DUMMYFUNCTION("""COMPUTED_VALUE"""),1.031)</f>
        <v>1.031</v>
      </c>
      <c r="E7232" s="16">
        <f>IFERROR(__xludf.DUMMYFUNCTION("""COMPUTED_VALUE"""),64.0)</f>
        <v>64</v>
      </c>
      <c r="F7232" s="19" t="str">
        <f>IFERROR(__xludf.DUMMYFUNCTION("""COMPUTED_VALUE"""),"BLUE")</f>
        <v>BLUE</v>
      </c>
      <c r="G7232" s="20" t="str">
        <f>IFERROR(__xludf.DUMMYFUNCTION("""COMPUTED_VALUE"""),"Uncle Sams Cider (11/12/2021) (Blue)")</f>
        <v>Uncle Sams Cider (11/12/2021) (Blue)</v>
      </c>
      <c r="H7232" s="19"/>
    </row>
    <row r="7233">
      <c r="A7233" s="9"/>
      <c r="B7233" s="15"/>
      <c r="C7233" s="9">
        <f>IFERROR(__xludf.DUMMYFUNCTION("""COMPUTED_VALUE"""),44529.2821010763)</f>
        <v>44529.2821</v>
      </c>
      <c r="D7233" s="15">
        <f>IFERROR(__xludf.DUMMYFUNCTION("""COMPUTED_VALUE"""),1.031)</f>
        <v>1.031</v>
      </c>
      <c r="E7233" s="16">
        <f>IFERROR(__xludf.DUMMYFUNCTION("""COMPUTED_VALUE"""),65.0)</f>
        <v>65</v>
      </c>
      <c r="F7233" s="19" t="str">
        <f>IFERROR(__xludf.DUMMYFUNCTION("""COMPUTED_VALUE"""),"BLUE")</f>
        <v>BLUE</v>
      </c>
      <c r="G7233" s="20" t="str">
        <f>IFERROR(__xludf.DUMMYFUNCTION("""COMPUTED_VALUE"""),"Uncle Sams Cider (11/12/2021) (Blue)")</f>
        <v>Uncle Sams Cider (11/12/2021) (Blue)</v>
      </c>
      <c r="H7233" s="19"/>
    </row>
    <row r="7234">
      <c r="A7234" s="9"/>
      <c r="B7234" s="15"/>
      <c r="C7234" s="9">
        <f>IFERROR(__xludf.DUMMYFUNCTION("""COMPUTED_VALUE"""),44529.2716795949)</f>
        <v>44529.27168</v>
      </c>
      <c r="D7234" s="15">
        <f>IFERROR(__xludf.DUMMYFUNCTION("""COMPUTED_VALUE"""),1.031)</f>
        <v>1.031</v>
      </c>
      <c r="E7234" s="16">
        <f>IFERROR(__xludf.DUMMYFUNCTION("""COMPUTED_VALUE"""),65.0)</f>
        <v>65</v>
      </c>
      <c r="F7234" s="19" t="str">
        <f>IFERROR(__xludf.DUMMYFUNCTION("""COMPUTED_VALUE"""),"BLUE")</f>
        <v>BLUE</v>
      </c>
      <c r="G7234" s="20" t="str">
        <f>IFERROR(__xludf.DUMMYFUNCTION("""COMPUTED_VALUE"""),"Uncle Sams Cider (11/12/2021) (Blue)")</f>
        <v>Uncle Sams Cider (11/12/2021) (Blue)</v>
      </c>
      <c r="H7234" s="19"/>
    </row>
    <row r="7235">
      <c r="A7235" s="9"/>
      <c r="B7235" s="15"/>
      <c r="C7235" s="9">
        <f>IFERROR(__xludf.DUMMYFUNCTION("""COMPUTED_VALUE"""),44529.2612590046)</f>
        <v>44529.26126</v>
      </c>
      <c r="D7235" s="15">
        <f>IFERROR(__xludf.DUMMYFUNCTION("""COMPUTED_VALUE"""),1.031)</f>
        <v>1.031</v>
      </c>
      <c r="E7235" s="16">
        <f>IFERROR(__xludf.DUMMYFUNCTION("""COMPUTED_VALUE"""),65.0)</f>
        <v>65</v>
      </c>
      <c r="F7235" s="19" t="str">
        <f>IFERROR(__xludf.DUMMYFUNCTION("""COMPUTED_VALUE"""),"BLUE")</f>
        <v>BLUE</v>
      </c>
      <c r="G7235" s="20" t="str">
        <f>IFERROR(__xludf.DUMMYFUNCTION("""COMPUTED_VALUE"""),"Uncle Sams Cider (11/12/2021) (Blue)")</f>
        <v>Uncle Sams Cider (11/12/2021) (Blue)</v>
      </c>
      <c r="H7235" s="19"/>
    </row>
    <row r="7236">
      <c r="A7236" s="9"/>
      <c r="B7236" s="15"/>
      <c r="C7236" s="9">
        <f>IFERROR(__xludf.DUMMYFUNCTION("""COMPUTED_VALUE"""),44529.2508366782)</f>
        <v>44529.25084</v>
      </c>
      <c r="D7236" s="15">
        <f>IFERROR(__xludf.DUMMYFUNCTION("""COMPUTED_VALUE"""),1.031)</f>
        <v>1.031</v>
      </c>
      <c r="E7236" s="16">
        <f>IFERROR(__xludf.DUMMYFUNCTION("""COMPUTED_VALUE"""),65.0)</f>
        <v>65</v>
      </c>
      <c r="F7236" s="19" t="str">
        <f>IFERROR(__xludf.DUMMYFUNCTION("""COMPUTED_VALUE"""),"BLUE")</f>
        <v>BLUE</v>
      </c>
      <c r="G7236" s="20" t="str">
        <f>IFERROR(__xludf.DUMMYFUNCTION("""COMPUTED_VALUE"""),"Uncle Sams Cider (11/12/2021) (Blue)")</f>
        <v>Uncle Sams Cider (11/12/2021) (Blue)</v>
      </c>
      <c r="H7236" s="19"/>
    </row>
    <row r="7237">
      <c r="A7237" s="9"/>
      <c r="B7237" s="15"/>
      <c r="C7237" s="9">
        <f>IFERROR(__xludf.DUMMYFUNCTION("""COMPUTED_VALUE"""),44529.2404036574)</f>
        <v>44529.2404</v>
      </c>
      <c r="D7237" s="15">
        <f>IFERROR(__xludf.DUMMYFUNCTION("""COMPUTED_VALUE"""),1.031)</f>
        <v>1.031</v>
      </c>
      <c r="E7237" s="16">
        <f>IFERROR(__xludf.DUMMYFUNCTION("""COMPUTED_VALUE"""),65.0)</f>
        <v>65</v>
      </c>
      <c r="F7237" s="19" t="str">
        <f>IFERROR(__xludf.DUMMYFUNCTION("""COMPUTED_VALUE"""),"BLUE")</f>
        <v>BLUE</v>
      </c>
      <c r="G7237" s="20" t="str">
        <f>IFERROR(__xludf.DUMMYFUNCTION("""COMPUTED_VALUE"""),"Uncle Sams Cider (11/12/2021) (Blue)")</f>
        <v>Uncle Sams Cider (11/12/2021) (Blue)</v>
      </c>
      <c r="H7237" s="19"/>
    </row>
    <row r="7238">
      <c r="A7238" s="9"/>
      <c r="B7238" s="15"/>
      <c r="C7238" s="9">
        <f>IFERROR(__xludf.DUMMYFUNCTION("""COMPUTED_VALUE"""),44529.2299822685)</f>
        <v>44529.22998</v>
      </c>
      <c r="D7238" s="15">
        <f>IFERROR(__xludf.DUMMYFUNCTION("""COMPUTED_VALUE"""),1.032)</f>
        <v>1.032</v>
      </c>
      <c r="E7238" s="16">
        <f>IFERROR(__xludf.DUMMYFUNCTION("""COMPUTED_VALUE"""),65.0)</f>
        <v>65</v>
      </c>
      <c r="F7238" s="19" t="str">
        <f>IFERROR(__xludf.DUMMYFUNCTION("""COMPUTED_VALUE"""),"BLUE")</f>
        <v>BLUE</v>
      </c>
      <c r="G7238" s="20" t="str">
        <f>IFERROR(__xludf.DUMMYFUNCTION("""COMPUTED_VALUE"""),"Uncle Sams Cider (11/12/2021) (Blue)")</f>
        <v>Uncle Sams Cider (11/12/2021) (Blue)</v>
      </c>
      <c r="H7238" s="19"/>
    </row>
    <row r="7239">
      <c r="A7239" s="9"/>
      <c r="B7239" s="15"/>
      <c r="C7239" s="9">
        <f>IFERROR(__xludf.DUMMYFUNCTION("""COMPUTED_VALUE"""),44529.2195622106)</f>
        <v>44529.21956</v>
      </c>
      <c r="D7239" s="15">
        <f>IFERROR(__xludf.DUMMYFUNCTION("""COMPUTED_VALUE"""),1.031)</f>
        <v>1.031</v>
      </c>
      <c r="E7239" s="16">
        <f>IFERROR(__xludf.DUMMYFUNCTION("""COMPUTED_VALUE"""),65.0)</f>
        <v>65</v>
      </c>
      <c r="F7239" s="19" t="str">
        <f>IFERROR(__xludf.DUMMYFUNCTION("""COMPUTED_VALUE"""),"BLUE")</f>
        <v>BLUE</v>
      </c>
      <c r="G7239" s="20" t="str">
        <f>IFERROR(__xludf.DUMMYFUNCTION("""COMPUTED_VALUE"""),"Uncle Sams Cider (11/12/2021) (Blue)")</f>
        <v>Uncle Sams Cider (11/12/2021) (Blue)</v>
      </c>
      <c r="H7239" s="19"/>
    </row>
    <row r="7240">
      <c r="A7240" s="9"/>
      <c r="B7240" s="15"/>
      <c r="C7240" s="9">
        <f>IFERROR(__xludf.DUMMYFUNCTION("""COMPUTED_VALUE"""),44529.2091400694)</f>
        <v>44529.20914</v>
      </c>
      <c r="D7240" s="15">
        <f>IFERROR(__xludf.DUMMYFUNCTION("""COMPUTED_VALUE"""),1.031)</f>
        <v>1.031</v>
      </c>
      <c r="E7240" s="16">
        <f>IFERROR(__xludf.DUMMYFUNCTION("""COMPUTED_VALUE"""),65.0)</f>
        <v>65</v>
      </c>
      <c r="F7240" s="19" t="str">
        <f>IFERROR(__xludf.DUMMYFUNCTION("""COMPUTED_VALUE"""),"BLUE")</f>
        <v>BLUE</v>
      </c>
      <c r="G7240" s="20" t="str">
        <f>IFERROR(__xludf.DUMMYFUNCTION("""COMPUTED_VALUE"""),"Uncle Sams Cider (11/12/2021) (Blue)")</f>
        <v>Uncle Sams Cider (11/12/2021) (Blue)</v>
      </c>
      <c r="H7240" s="19"/>
    </row>
    <row r="7241">
      <c r="A7241" s="9"/>
      <c r="B7241" s="15"/>
      <c r="C7241" s="9">
        <f>IFERROR(__xludf.DUMMYFUNCTION("""COMPUTED_VALUE"""),44529.1987062731)</f>
        <v>44529.19871</v>
      </c>
      <c r="D7241" s="15">
        <f>IFERROR(__xludf.DUMMYFUNCTION("""COMPUTED_VALUE"""),1.031)</f>
        <v>1.031</v>
      </c>
      <c r="E7241" s="16">
        <f>IFERROR(__xludf.DUMMYFUNCTION("""COMPUTED_VALUE"""),65.0)</f>
        <v>65</v>
      </c>
      <c r="F7241" s="19" t="str">
        <f>IFERROR(__xludf.DUMMYFUNCTION("""COMPUTED_VALUE"""),"BLUE")</f>
        <v>BLUE</v>
      </c>
      <c r="G7241" s="20" t="str">
        <f>IFERROR(__xludf.DUMMYFUNCTION("""COMPUTED_VALUE"""),"Uncle Sams Cider (11/12/2021) (Blue)")</f>
        <v>Uncle Sams Cider (11/12/2021) (Blue)</v>
      </c>
      <c r="H7241" s="19"/>
    </row>
    <row r="7242">
      <c r="A7242" s="9"/>
      <c r="B7242" s="15"/>
      <c r="C7242" s="9">
        <f>IFERROR(__xludf.DUMMYFUNCTION("""COMPUTED_VALUE"""),44529.1882861805)</f>
        <v>44529.18829</v>
      </c>
      <c r="D7242" s="15">
        <f>IFERROR(__xludf.DUMMYFUNCTION("""COMPUTED_VALUE"""),1.032)</f>
        <v>1.032</v>
      </c>
      <c r="E7242" s="16">
        <f>IFERROR(__xludf.DUMMYFUNCTION("""COMPUTED_VALUE"""),65.0)</f>
        <v>65</v>
      </c>
      <c r="F7242" s="19" t="str">
        <f>IFERROR(__xludf.DUMMYFUNCTION("""COMPUTED_VALUE"""),"BLUE")</f>
        <v>BLUE</v>
      </c>
      <c r="G7242" s="20" t="str">
        <f>IFERROR(__xludf.DUMMYFUNCTION("""COMPUTED_VALUE"""),"Uncle Sams Cider (11/12/2021) (Blue)")</f>
        <v>Uncle Sams Cider (11/12/2021) (Blue)</v>
      </c>
      <c r="H7242" s="19"/>
    </row>
    <row r="7243">
      <c r="A7243" s="9"/>
      <c r="B7243" s="15"/>
      <c r="C7243" s="9">
        <f>IFERROR(__xludf.DUMMYFUNCTION("""COMPUTED_VALUE"""),44529.1778653009)</f>
        <v>44529.17787</v>
      </c>
      <c r="D7243" s="15">
        <f>IFERROR(__xludf.DUMMYFUNCTION("""COMPUTED_VALUE"""),1.032)</f>
        <v>1.032</v>
      </c>
      <c r="E7243" s="16">
        <f>IFERROR(__xludf.DUMMYFUNCTION("""COMPUTED_VALUE"""),65.0)</f>
        <v>65</v>
      </c>
      <c r="F7243" s="19" t="str">
        <f>IFERROR(__xludf.DUMMYFUNCTION("""COMPUTED_VALUE"""),"BLUE")</f>
        <v>BLUE</v>
      </c>
      <c r="G7243" s="20" t="str">
        <f>IFERROR(__xludf.DUMMYFUNCTION("""COMPUTED_VALUE"""),"Uncle Sams Cider (11/12/2021) (Blue)")</f>
        <v>Uncle Sams Cider (11/12/2021) (Blue)</v>
      </c>
      <c r="H7243" s="19"/>
    </row>
    <row r="7244">
      <c r="A7244" s="9"/>
      <c r="B7244" s="15"/>
      <c r="C7244" s="9">
        <f>IFERROR(__xludf.DUMMYFUNCTION("""COMPUTED_VALUE"""),44529.1674444675)</f>
        <v>44529.16744</v>
      </c>
      <c r="D7244" s="15">
        <f>IFERROR(__xludf.DUMMYFUNCTION("""COMPUTED_VALUE"""),1.032)</f>
        <v>1.032</v>
      </c>
      <c r="E7244" s="16">
        <f>IFERROR(__xludf.DUMMYFUNCTION("""COMPUTED_VALUE"""),64.0)</f>
        <v>64</v>
      </c>
      <c r="F7244" s="19" t="str">
        <f>IFERROR(__xludf.DUMMYFUNCTION("""COMPUTED_VALUE"""),"BLUE")</f>
        <v>BLUE</v>
      </c>
      <c r="G7244" s="20" t="str">
        <f>IFERROR(__xludf.DUMMYFUNCTION("""COMPUTED_VALUE"""),"Uncle Sams Cider (11/12/2021) (Blue)")</f>
        <v>Uncle Sams Cider (11/12/2021) (Blue)</v>
      </c>
      <c r="H7244" s="19"/>
    </row>
    <row r="7245">
      <c r="A7245" s="9"/>
      <c r="B7245" s="15"/>
      <c r="C7245" s="9">
        <f>IFERROR(__xludf.DUMMYFUNCTION("""COMPUTED_VALUE"""),44529.1570221643)</f>
        <v>44529.15702</v>
      </c>
      <c r="D7245" s="15">
        <f>IFERROR(__xludf.DUMMYFUNCTION("""COMPUTED_VALUE"""),1.032)</f>
        <v>1.032</v>
      </c>
      <c r="E7245" s="16">
        <f>IFERROR(__xludf.DUMMYFUNCTION("""COMPUTED_VALUE"""),65.0)</f>
        <v>65</v>
      </c>
      <c r="F7245" s="19" t="str">
        <f>IFERROR(__xludf.DUMMYFUNCTION("""COMPUTED_VALUE"""),"BLUE")</f>
        <v>BLUE</v>
      </c>
      <c r="G7245" s="20" t="str">
        <f>IFERROR(__xludf.DUMMYFUNCTION("""COMPUTED_VALUE"""),"Uncle Sams Cider (11/12/2021) (Blue)")</f>
        <v>Uncle Sams Cider (11/12/2021) (Blue)</v>
      </c>
      <c r="H7245" s="19"/>
    </row>
    <row r="7246">
      <c r="A7246" s="9"/>
      <c r="B7246" s="15"/>
      <c r="C7246" s="9">
        <f>IFERROR(__xludf.DUMMYFUNCTION("""COMPUTED_VALUE"""),44529.1465888888)</f>
        <v>44529.14659</v>
      </c>
      <c r="D7246" s="15">
        <f>IFERROR(__xludf.DUMMYFUNCTION("""COMPUTED_VALUE"""),1.032)</f>
        <v>1.032</v>
      </c>
      <c r="E7246" s="16">
        <f>IFERROR(__xludf.DUMMYFUNCTION("""COMPUTED_VALUE"""),65.0)</f>
        <v>65</v>
      </c>
      <c r="F7246" s="19" t="str">
        <f>IFERROR(__xludf.DUMMYFUNCTION("""COMPUTED_VALUE"""),"BLUE")</f>
        <v>BLUE</v>
      </c>
      <c r="G7246" s="20" t="str">
        <f>IFERROR(__xludf.DUMMYFUNCTION("""COMPUTED_VALUE"""),"Uncle Sams Cider (11/12/2021) (Blue)")</f>
        <v>Uncle Sams Cider (11/12/2021) (Blue)</v>
      </c>
      <c r="H7246" s="19"/>
    </row>
    <row r="7247">
      <c r="A7247" s="9"/>
      <c r="B7247" s="15"/>
      <c r="C7247" s="9">
        <f>IFERROR(__xludf.DUMMYFUNCTION("""COMPUTED_VALUE"""),44529.1361671643)</f>
        <v>44529.13617</v>
      </c>
      <c r="D7247" s="15">
        <f>IFERROR(__xludf.DUMMYFUNCTION("""COMPUTED_VALUE"""),1.032)</f>
        <v>1.032</v>
      </c>
      <c r="E7247" s="16">
        <f>IFERROR(__xludf.DUMMYFUNCTION("""COMPUTED_VALUE"""),65.0)</f>
        <v>65</v>
      </c>
      <c r="F7247" s="19" t="str">
        <f>IFERROR(__xludf.DUMMYFUNCTION("""COMPUTED_VALUE"""),"BLUE")</f>
        <v>BLUE</v>
      </c>
      <c r="G7247" s="20" t="str">
        <f>IFERROR(__xludf.DUMMYFUNCTION("""COMPUTED_VALUE"""),"Uncle Sams Cider (11/12/2021) (Blue)")</f>
        <v>Uncle Sams Cider (11/12/2021) (Blue)</v>
      </c>
      <c r="H7247" s="19"/>
    </row>
    <row r="7248">
      <c r="A7248" s="9"/>
      <c r="B7248" s="15"/>
      <c r="C7248" s="9">
        <f>IFERROR(__xludf.DUMMYFUNCTION("""COMPUTED_VALUE"""),44529.1257465046)</f>
        <v>44529.12575</v>
      </c>
      <c r="D7248" s="15">
        <f>IFERROR(__xludf.DUMMYFUNCTION("""COMPUTED_VALUE"""),1.032)</f>
        <v>1.032</v>
      </c>
      <c r="E7248" s="16">
        <f>IFERROR(__xludf.DUMMYFUNCTION("""COMPUTED_VALUE"""),65.0)</f>
        <v>65</v>
      </c>
      <c r="F7248" s="19" t="str">
        <f>IFERROR(__xludf.DUMMYFUNCTION("""COMPUTED_VALUE"""),"BLUE")</f>
        <v>BLUE</v>
      </c>
      <c r="G7248" s="20" t="str">
        <f>IFERROR(__xludf.DUMMYFUNCTION("""COMPUTED_VALUE"""),"Uncle Sams Cider (11/12/2021) (Blue)")</f>
        <v>Uncle Sams Cider (11/12/2021) (Blue)</v>
      </c>
      <c r="H7248" s="19"/>
    </row>
    <row r="7249">
      <c r="A7249" s="9"/>
      <c r="B7249" s="15"/>
      <c r="C7249" s="9">
        <f>IFERROR(__xludf.DUMMYFUNCTION("""COMPUTED_VALUE"""),44529.1153255555)</f>
        <v>44529.11533</v>
      </c>
      <c r="D7249" s="15">
        <f>IFERROR(__xludf.DUMMYFUNCTION("""COMPUTED_VALUE"""),1.032)</f>
        <v>1.032</v>
      </c>
      <c r="E7249" s="16">
        <f>IFERROR(__xludf.DUMMYFUNCTION("""COMPUTED_VALUE"""),65.0)</f>
        <v>65</v>
      </c>
      <c r="F7249" s="19" t="str">
        <f>IFERROR(__xludf.DUMMYFUNCTION("""COMPUTED_VALUE"""),"BLUE")</f>
        <v>BLUE</v>
      </c>
      <c r="G7249" s="20" t="str">
        <f>IFERROR(__xludf.DUMMYFUNCTION("""COMPUTED_VALUE"""),"Uncle Sams Cider (11/12/2021) (Blue)")</f>
        <v>Uncle Sams Cider (11/12/2021) (Blue)</v>
      </c>
      <c r="H7249" s="19"/>
    </row>
    <row r="7250">
      <c r="A7250" s="9"/>
      <c r="B7250" s="15"/>
      <c r="C7250" s="9">
        <f>IFERROR(__xludf.DUMMYFUNCTION("""COMPUTED_VALUE"""),44529.104905405)</f>
        <v>44529.10491</v>
      </c>
      <c r="D7250" s="15">
        <f>IFERROR(__xludf.DUMMYFUNCTION("""COMPUTED_VALUE"""),1.032)</f>
        <v>1.032</v>
      </c>
      <c r="E7250" s="16">
        <f>IFERROR(__xludf.DUMMYFUNCTION("""COMPUTED_VALUE"""),65.0)</f>
        <v>65</v>
      </c>
      <c r="F7250" s="19" t="str">
        <f>IFERROR(__xludf.DUMMYFUNCTION("""COMPUTED_VALUE"""),"BLUE")</f>
        <v>BLUE</v>
      </c>
      <c r="G7250" s="20" t="str">
        <f>IFERROR(__xludf.DUMMYFUNCTION("""COMPUTED_VALUE"""),"Uncle Sams Cider (11/12/2021) (Blue)")</f>
        <v>Uncle Sams Cider (11/12/2021) (Blue)</v>
      </c>
      <c r="H7250" s="19"/>
    </row>
    <row r="7251">
      <c r="A7251" s="9"/>
      <c r="B7251" s="15"/>
      <c r="C7251" s="9">
        <f>IFERROR(__xludf.DUMMYFUNCTION("""COMPUTED_VALUE"""),44529.0944737962)</f>
        <v>44529.09447</v>
      </c>
      <c r="D7251" s="15">
        <f>IFERROR(__xludf.DUMMYFUNCTION("""COMPUTED_VALUE"""),1.032)</f>
        <v>1.032</v>
      </c>
      <c r="E7251" s="16">
        <f>IFERROR(__xludf.DUMMYFUNCTION("""COMPUTED_VALUE"""),65.0)</f>
        <v>65</v>
      </c>
      <c r="F7251" s="19" t="str">
        <f>IFERROR(__xludf.DUMMYFUNCTION("""COMPUTED_VALUE"""),"BLUE")</f>
        <v>BLUE</v>
      </c>
      <c r="G7251" s="20" t="str">
        <f>IFERROR(__xludf.DUMMYFUNCTION("""COMPUTED_VALUE"""),"Uncle Sams Cider (11/12/2021) (Blue)")</f>
        <v>Uncle Sams Cider (11/12/2021) (Blue)</v>
      </c>
      <c r="H7251" s="19"/>
    </row>
    <row r="7252">
      <c r="A7252" s="9"/>
      <c r="B7252" s="15"/>
      <c r="C7252" s="9">
        <f>IFERROR(__xludf.DUMMYFUNCTION("""COMPUTED_VALUE"""),44529.0840523495)</f>
        <v>44529.08405</v>
      </c>
      <c r="D7252" s="15">
        <f>IFERROR(__xludf.DUMMYFUNCTION("""COMPUTED_VALUE"""),1.032)</f>
        <v>1.032</v>
      </c>
      <c r="E7252" s="16">
        <f>IFERROR(__xludf.DUMMYFUNCTION("""COMPUTED_VALUE"""),65.0)</f>
        <v>65</v>
      </c>
      <c r="F7252" s="19" t="str">
        <f>IFERROR(__xludf.DUMMYFUNCTION("""COMPUTED_VALUE"""),"BLUE")</f>
        <v>BLUE</v>
      </c>
      <c r="G7252" s="20" t="str">
        <f>IFERROR(__xludf.DUMMYFUNCTION("""COMPUTED_VALUE"""),"Uncle Sams Cider (11/12/2021) (Blue)")</f>
        <v>Uncle Sams Cider (11/12/2021) (Blue)</v>
      </c>
      <c r="H7252" s="19"/>
    </row>
    <row r="7253">
      <c r="A7253" s="9"/>
      <c r="B7253" s="15"/>
      <c r="C7253" s="9">
        <f>IFERROR(__xludf.DUMMYFUNCTION("""COMPUTED_VALUE"""),44529.0736320717)</f>
        <v>44529.07363</v>
      </c>
      <c r="D7253" s="15">
        <f>IFERROR(__xludf.DUMMYFUNCTION("""COMPUTED_VALUE"""),1.032)</f>
        <v>1.032</v>
      </c>
      <c r="E7253" s="16">
        <f>IFERROR(__xludf.DUMMYFUNCTION("""COMPUTED_VALUE"""),65.0)</f>
        <v>65</v>
      </c>
      <c r="F7253" s="19" t="str">
        <f>IFERROR(__xludf.DUMMYFUNCTION("""COMPUTED_VALUE"""),"BLUE")</f>
        <v>BLUE</v>
      </c>
      <c r="G7253" s="20" t="str">
        <f>IFERROR(__xludf.DUMMYFUNCTION("""COMPUTED_VALUE"""),"Uncle Sams Cider (11/12/2021) (Blue)")</f>
        <v>Uncle Sams Cider (11/12/2021) (Blue)</v>
      </c>
      <c r="H7253" s="19"/>
    </row>
    <row r="7254">
      <c r="A7254" s="9"/>
      <c r="B7254" s="15"/>
      <c r="C7254" s="9">
        <f>IFERROR(__xludf.DUMMYFUNCTION("""COMPUTED_VALUE"""),44529.0632105439)</f>
        <v>44529.06321</v>
      </c>
      <c r="D7254" s="15">
        <f>IFERROR(__xludf.DUMMYFUNCTION("""COMPUTED_VALUE"""),1.032)</f>
        <v>1.032</v>
      </c>
      <c r="E7254" s="16">
        <f>IFERROR(__xludf.DUMMYFUNCTION("""COMPUTED_VALUE"""),65.0)</f>
        <v>65</v>
      </c>
      <c r="F7254" s="19" t="str">
        <f>IFERROR(__xludf.DUMMYFUNCTION("""COMPUTED_VALUE"""),"BLUE")</f>
        <v>BLUE</v>
      </c>
      <c r="G7254" s="20" t="str">
        <f>IFERROR(__xludf.DUMMYFUNCTION("""COMPUTED_VALUE"""),"Uncle Sams Cider (11/12/2021) (Blue)")</f>
        <v>Uncle Sams Cider (11/12/2021) (Blue)</v>
      </c>
      <c r="H7254" s="19"/>
    </row>
    <row r="7255">
      <c r="A7255" s="9"/>
      <c r="B7255" s="15"/>
      <c r="C7255" s="9">
        <f>IFERROR(__xludf.DUMMYFUNCTION("""COMPUTED_VALUE"""),44529.0527911689)</f>
        <v>44529.05279</v>
      </c>
      <c r="D7255" s="15">
        <f>IFERROR(__xludf.DUMMYFUNCTION("""COMPUTED_VALUE"""),1.032)</f>
        <v>1.032</v>
      </c>
      <c r="E7255" s="16">
        <f>IFERROR(__xludf.DUMMYFUNCTION("""COMPUTED_VALUE"""),65.0)</f>
        <v>65</v>
      </c>
      <c r="F7255" s="19" t="str">
        <f>IFERROR(__xludf.DUMMYFUNCTION("""COMPUTED_VALUE"""),"BLUE")</f>
        <v>BLUE</v>
      </c>
      <c r="G7255" s="20" t="str">
        <f>IFERROR(__xludf.DUMMYFUNCTION("""COMPUTED_VALUE"""),"Uncle Sams Cider (11/12/2021) (Blue)")</f>
        <v>Uncle Sams Cider (11/12/2021) (Blue)</v>
      </c>
      <c r="H7255" s="19"/>
    </row>
    <row r="7256">
      <c r="A7256" s="9"/>
      <c r="B7256" s="15"/>
      <c r="C7256" s="9">
        <f>IFERROR(__xludf.DUMMYFUNCTION("""COMPUTED_VALUE"""),44529.0423686574)</f>
        <v>44529.04237</v>
      </c>
      <c r="D7256" s="15">
        <f>IFERROR(__xludf.DUMMYFUNCTION("""COMPUTED_VALUE"""),1.032)</f>
        <v>1.032</v>
      </c>
      <c r="E7256" s="16">
        <f>IFERROR(__xludf.DUMMYFUNCTION("""COMPUTED_VALUE"""),65.0)</f>
        <v>65</v>
      </c>
      <c r="F7256" s="19" t="str">
        <f>IFERROR(__xludf.DUMMYFUNCTION("""COMPUTED_VALUE"""),"BLUE")</f>
        <v>BLUE</v>
      </c>
      <c r="G7256" s="20" t="str">
        <f>IFERROR(__xludf.DUMMYFUNCTION("""COMPUTED_VALUE"""),"Uncle Sams Cider (11/12/2021) (Blue)")</f>
        <v>Uncle Sams Cider (11/12/2021) (Blue)</v>
      </c>
      <c r="H7256" s="19"/>
    </row>
    <row r="7257">
      <c r="A7257" s="9"/>
      <c r="B7257" s="15"/>
      <c r="C7257" s="9">
        <f>IFERROR(__xludf.DUMMYFUNCTION("""COMPUTED_VALUE"""),44529.0319478935)</f>
        <v>44529.03195</v>
      </c>
      <c r="D7257" s="15">
        <f>IFERROR(__xludf.DUMMYFUNCTION("""COMPUTED_VALUE"""),1.032)</f>
        <v>1.032</v>
      </c>
      <c r="E7257" s="16">
        <f>IFERROR(__xludf.DUMMYFUNCTION("""COMPUTED_VALUE"""),65.0)</f>
        <v>65</v>
      </c>
      <c r="F7257" s="19" t="str">
        <f>IFERROR(__xludf.DUMMYFUNCTION("""COMPUTED_VALUE"""),"BLUE")</f>
        <v>BLUE</v>
      </c>
      <c r="G7257" s="20" t="str">
        <f>IFERROR(__xludf.DUMMYFUNCTION("""COMPUTED_VALUE"""),"Uncle Sams Cider (11/12/2021) (Blue)")</f>
        <v>Uncle Sams Cider (11/12/2021) (Blue)</v>
      </c>
      <c r="H7257" s="19"/>
    </row>
    <row r="7258">
      <c r="A7258" s="9"/>
      <c r="B7258" s="15"/>
      <c r="C7258" s="9">
        <f>IFERROR(__xludf.DUMMYFUNCTION("""COMPUTED_VALUE"""),44529.0215262847)</f>
        <v>44529.02153</v>
      </c>
      <c r="D7258" s="15">
        <f>IFERROR(__xludf.DUMMYFUNCTION("""COMPUTED_VALUE"""),1.032)</f>
        <v>1.032</v>
      </c>
      <c r="E7258" s="16">
        <f>IFERROR(__xludf.DUMMYFUNCTION("""COMPUTED_VALUE"""),65.0)</f>
        <v>65</v>
      </c>
      <c r="F7258" s="19" t="str">
        <f>IFERROR(__xludf.DUMMYFUNCTION("""COMPUTED_VALUE"""),"BLUE")</f>
        <v>BLUE</v>
      </c>
      <c r="G7258" s="20" t="str">
        <f>IFERROR(__xludf.DUMMYFUNCTION("""COMPUTED_VALUE"""),"Uncle Sams Cider (11/12/2021) (Blue)")</f>
        <v>Uncle Sams Cider (11/12/2021) (Blue)</v>
      </c>
      <c r="H7258" s="19"/>
    </row>
    <row r="7259">
      <c r="A7259" s="9"/>
      <c r="B7259" s="15"/>
      <c r="C7259" s="9">
        <f>IFERROR(__xludf.DUMMYFUNCTION("""COMPUTED_VALUE"""),44529.0111040277)</f>
        <v>44529.0111</v>
      </c>
      <c r="D7259" s="15">
        <f>IFERROR(__xludf.DUMMYFUNCTION("""COMPUTED_VALUE"""),1.032)</f>
        <v>1.032</v>
      </c>
      <c r="E7259" s="16">
        <f>IFERROR(__xludf.DUMMYFUNCTION("""COMPUTED_VALUE"""),65.0)</f>
        <v>65</v>
      </c>
      <c r="F7259" s="19" t="str">
        <f>IFERROR(__xludf.DUMMYFUNCTION("""COMPUTED_VALUE"""),"BLUE")</f>
        <v>BLUE</v>
      </c>
      <c r="G7259" s="20" t="str">
        <f>IFERROR(__xludf.DUMMYFUNCTION("""COMPUTED_VALUE"""),"Uncle Sams Cider (11/12/2021) (Blue)")</f>
        <v>Uncle Sams Cider (11/12/2021) (Blue)</v>
      </c>
      <c r="H7259" s="19"/>
    </row>
    <row r="7260">
      <c r="A7260" s="9"/>
      <c r="B7260" s="15"/>
      <c r="C7260" s="9">
        <f>IFERROR(__xludf.DUMMYFUNCTION("""COMPUTED_VALUE"""),44529.000682905)</f>
        <v>44529.00068</v>
      </c>
      <c r="D7260" s="15">
        <f>IFERROR(__xludf.DUMMYFUNCTION("""COMPUTED_VALUE"""),1.032)</f>
        <v>1.032</v>
      </c>
      <c r="E7260" s="16">
        <f>IFERROR(__xludf.DUMMYFUNCTION("""COMPUTED_VALUE"""),65.0)</f>
        <v>65</v>
      </c>
      <c r="F7260" s="19" t="str">
        <f>IFERROR(__xludf.DUMMYFUNCTION("""COMPUTED_VALUE"""),"BLUE")</f>
        <v>BLUE</v>
      </c>
      <c r="G7260" s="20" t="str">
        <f>IFERROR(__xludf.DUMMYFUNCTION("""COMPUTED_VALUE"""),"Uncle Sams Cider (11/12/2021) (Blue)")</f>
        <v>Uncle Sams Cider (11/12/2021) (Blue)</v>
      </c>
      <c r="H7260" s="19"/>
    </row>
    <row r="7261">
      <c r="A7261" s="9"/>
      <c r="B7261" s="15"/>
      <c r="C7261" s="9">
        <f>IFERROR(__xludf.DUMMYFUNCTION("""COMPUTED_VALUE"""),44528.9902624768)</f>
        <v>44528.99026</v>
      </c>
      <c r="D7261" s="15">
        <f>IFERROR(__xludf.DUMMYFUNCTION("""COMPUTED_VALUE"""),1.032)</f>
        <v>1.032</v>
      </c>
      <c r="E7261" s="16">
        <f>IFERROR(__xludf.DUMMYFUNCTION("""COMPUTED_VALUE"""),65.0)</f>
        <v>65</v>
      </c>
      <c r="F7261" s="19" t="str">
        <f>IFERROR(__xludf.DUMMYFUNCTION("""COMPUTED_VALUE"""),"BLUE")</f>
        <v>BLUE</v>
      </c>
      <c r="G7261" s="20" t="str">
        <f>IFERROR(__xludf.DUMMYFUNCTION("""COMPUTED_VALUE"""),"Uncle Sams Cider (11/12/2021) (Blue)")</f>
        <v>Uncle Sams Cider (11/12/2021) (Blue)</v>
      </c>
      <c r="H7261" s="19"/>
    </row>
    <row r="7262">
      <c r="A7262" s="9"/>
      <c r="B7262" s="15"/>
      <c r="C7262" s="9">
        <f>IFERROR(__xludf.DUMMYFUNCTION("""COMPUTED_VALUE"""),44528.9798433796)</f>
        <v>44528.97984</v>
      </c>
      <c r="D7262" s="15">
        <f>IFERROR(__xludf.DUMMYFUNCTION("""COMPUTED_VALUE"""),1.032)</f>
        <v>1.032</v>
      </c>
      <c r="E7262" s="16">
        <f>IFERROR(__xludf.DUMMYFUNCTION("""COMPUTED_VALUE"""),65.0)</f>
        <v>65</v>
      </c>
      <c r="F7262" s="19" t="str">
        <f>IFERROR(__xludf.DUMMYFUNCTION("""COMPUTED_VALUE"""),"BLUE")</f>
        <v>BLUE</v>
      </c>
      <c r="G7262" s="20" t="str">
        <f>IFERROR(__xludf.DUMMYFUNCTION("""COMPUTED_VALUE"""),"Uncle Sams Cider (11/12/2021) (Blue)")</f>
        <v>Uncle Sams Cider (11/12/2021) (Blue)</v>
      </c>
      <c r="H7262" s="19"/>
    </row>
    <row r="7263">
      <c r="A7263" s="9"/>
      <c r="B7263" s="15"/>
      <c r="C7263" s="9">
        <f>IFERROR(__xludf.DUMMYFUNCTION("""COMPUTED_VALUE"""),44528.9694220138)</f>
        <v>44528.96942</v>
      </c>
      <c r="D7263" s="15">
        <f>IFERROR(__xludf.DUMMYFUNCTION("""COMPUTED_VALUE"""),1.032)</f>
        <v>1.032</v>
      </c>
      <c r="E7263" s="16">
        <f>IFERROR(__xludf.DUMMYFUNCTION("""COMPUTED_VALUE"""),65.0)</f>
        <v>65</v>
      </c>
      <c r="F7263" s="19" t="str">
        <f>IFERROR(__xludf.DUMMYFUNCTION("""COMPUTED_VALUE"""),"BLUE")</f>
        <v>BLUE</v>
      </c>
      <c r="G7263" s="20" t="str">
        <f>IFERROR(__xludf.DUMMYFUNCTION("""COMPUTED_VALUE"""),"Uncle Sams Cider (11/12/2021) (Blue)")</f>
        <v>Uncle Sams Cider (11/12/2021) (Blue)</v>
      </c>
      <c r="H7263" s="19"/>
    </row>
    <row r="7264">
      <c r="A7264" s="9"/>
      <c r="B7264" s="15"/>
      <c r="C7264" s="9">
        <f>IFERROR(__xludf.DUMMYFUNCTION("""COMPUTED_VALUE"""),44528.9590010416)</f>
        <v>44528.959</v>
      </c>
      <c r="D7264" s="15">
        <f>IFERROR(__xludf.DUMMYFUNCTION("""COMPUTED_VALUE"""),1.032)</f>
        <v>1.032</v>
      </c>
      <c r="E7264" s="16">
        <f>IFERROR(__xludf.DUMMYFUNCTION("""COMPUTED_VALUE"""),65.0)</f>
        <v>65</v>
      </c>
      <c r="F7264" s="19" t="str">
        <f>IFERROR(__xludf.DUMMYFUNCTION("""COMPUTED_VALUE"""),"BLUE")</f>
        <v>BLUE</v>
      </c>
      <c r="G7264" s="20" t="str">
        <f>IFERROR(__xludf.DUMMYFUNCTION("""COMPUTED_VALUE"""),"Uncle Sams Cider (11/12/2021) (Blue)")</f>
        <v>Uncle Sams Cider (11/12/2021) (Blue)</v>
      </c>
      <c r="H7264" s="19"/>
    </row>
    <row r="7265">
      <c r="A7265" s="9"/>
      <c r="B7265" s="15"/>
      <c r="C7265" s="9">
        <f>IFERROR(__xludf.DUMMYFUNCTION("""COMPUTED_VALUE"""),44528.9485815625)</f>
        <v>44528.94858</v>
      </c>
      <c r="D7265" s="15">
        <f>IFERROR(__xludf.DUMMYFUNCTION("""COMPUTED_VALUE"""),1.032)</f>
        <v>1.032</v>
      </c>
      <c r="E7265" s="16">
        <f>IFERROR(__xludf.DUMMYFUNCTION("""COMPUTED_VALUE"""),65.0)</f>
        <v>65</v>
      </c>
      <c r="F7265" s="19" t="str">
        <f>IFERROR(__xludf.DUMMYFUNCTION("""COMPUTED_VALUE"""),"BLUE")</f>
        <v>BLUE</v>
      </c>
      <c r="G7265" s="20" t="str">
        <f>IFERROR(__xludf.DUMMYFUNCTION("""COMPUTED_VALUE"""),"Uncle Sams Cider (11/12/2021) (Blue)")</f>
        <v>Uncle Sams Cider (11/12/2021) (Blue)</v>
      </c>
      <c r="H7265" s="19"/>
    </row>
    <row r="7266">
      <c r="A7266" s="9"/>
      <c r="B7266" s="15"/>
      <c r="C7266" s="9">
        <f>IFERROR(__xludf.DUMMYFUNCTION("""COMPUTED_VALUE"""),44528.9381613425)</f>
        <v>44528.93816</v>
      </c>
      <c r="D7266" s="15">
        <f>IFERROR(__xludf.DUMMYFUNCTION("""COMPUTED_VALUE"""),1.032)</f>
        <v>1.032</v>
      </c>
      <c r="E7266" s="16">
        <f>IFERROR(__xludf.DUMMYFUNCTION("""COMPUTED_VALUE"""),65.0)</f>
        <v>65</v>
      </c>
      <c r="F7266" s="19" t="str">
        <f>IFERROR(__xludf.DUMMYFUNCTION("""COMPUTED_VALUE"""),"BLUE")</f>
        <v>BLUE</v>
      </c>
      <c r="G7266" s="20" t="str">
        <f>IFERROR(__xludf.DUMMYFUNCTION("""COMPUTED_VALUE"""),"Uncle Sams Cider (11/12/2021) (Blue)")</f>
        <v>Uncle Sams Cider (11/12/2021) (Blue)</v>
      </c>
      <c r="H7266" s="19"/>
    </row>
    <row r="7267">
      <c r="A7267" s="9"/>
      <c r="B7267" s="15"/>
      <c r="C7267" s="9">
        <f>IFERROR(__xludf.DUMMYFUNCTION("""COMPUTED_VALUE"""),44528.9277395833)</f>
        <v>44528.92774</v>
      </c>
      <c r="D7267" s="15">
        <f>IFERROR(__xludf.DUMMYFUNCTION("""COMPUTED_VALUE"""),1.032)</f>
        <v>1.032</v>
      </c>
      <c r="E7267" s="16">
        <f>IFERROR(__xludf.DUMMYFUNCTION("""COMPUTED_VALUE"""),65.0)</f>
        <v>65</v>
      </c>
      <c r="F7267" s="19" t="str">
        <f>IFERROR(__xludf.DUMMYFUNCTION("""COMPUTED_VALUE"""),"BLUE")</f>
        <v>BLUE</v>
      </c>
      <c r="G7267" s="20" t="str">
        <f>IFERROR(__xludf.DUMMYFUNCTION("""COMPUTED_VALUE"""),"Uncle Sams Cider (11/12/2021) (Blue)")</f>
        <v>Uncle Sams Cider (11/12/2021) (Blue)</v>
      </c>
      <c r="H7267" s="19"/>
    </row>
    <row r="7268">
      <c r="A7268" s="9"/>
      <c r="B7268" s="15"/>
      <c r="C7268" s="9">
        <f>IFERROR(__xludf.DUMMYFUNCTION("""COMPUTED_VALUE"""),44528.9173183912)</f>
        <v>44528.91732</v>
      </c>
      <c r="D7268" s="15">
        <f>IFERROR(__xludf.DUMMYFUNCTION("""COMPUTED_VALUE"""),1.032)</f>
        <v>1.032</v>
      </c>
      <c r="E7268" s="16">
        <f>IFERROR(__xludf.DUMMYFUNCTION("""COMPUTED_VALUE"""),65.0)</f>
        <v>65</v>
      </c>
      <c r="F7268" s="19" t="str">
        <f>IFERROR(__xludf.DUMMYFUNCTION("""COMPUTED_VALUE"""),"BLUE")</f>
        <v>BLUE</v>
      </c>
      <c r="G7268" s="20" t="str">
        <f>IFERROR(__xludf.DUMMYFUNCTION("""COMPUTED_VALUE"""),"Uncle Sams Cider (11/12/2021) (Blue)")</f>
        <v>Uncle Sams Cider (11/12/2021) (Blue)</v>
      </c>
      <c r="H7268" s="19"/>
    </row>
    <row r="7269">
      <c r="A7269" s="9"/>
      <c r="B7269" s="15"/>
      <c r="C7269" s="9">
        <f>IFERROR(__xludf.DUMMYFUNCTION("""COMPUTED_VALUE"""),44528.9068988078)</f>
        <v>44528.9069</v>
      </c>
      <c r="D7269" s="15">
        <f>IFERROR(__xludf.DUMMYFUNCTION("""COMPUTED_VALUE"""),1.032)</f>
        <v>1.032</v>
      </c>
      <c r="E7269" s="16">
        <f>IFERROR(__xludf.DUMMYFUNCTION("""COMPUTED_VALUE"""),65.0)</f>
        <v>65</v>
      </c>
      <c r="F7269" s="19" t="str">
        <f>IFERROR(__xludf.DUMMYFUNCTION("""COMPUTED_VALUE"""),"BLUE")</f>
        <v>BLUE</v>
      </c>
      <c r="G7269" s="20" t="str">
        <f>IFERROR(__xludf.DUMMYFUNCTION("""COMPUTED_VALUE"""),"Uncle Sams Cider (11/12/2021) (Blue)")</f>
        <v>Uncle Sams Cider (11/12/2021) (Blue)</v>
      </c>
      <c r="H7269" s="19"/>
    </row>
    <row r="7270">
      <c r="A7270" s="9"/>
      <c r="B7270" s="15"/>
      <c r="C7270" s="9">
        <f>IFERROR(__xludf.DUMMYFUNCTION("""COMPUTED_VALUE"""),44528.8964532291)</f>
        <v>44528.89645</v>
      </c>
      <c r="D7270" s="15">
        <f>IFERROR(__xludf.DUMMYFUNCTION("""COMPUTED_VALUE"""),1.032)</f>
        <v>1.032</v>
      </c>
      <c r="E7270" s="16">
        <f>IFERROR(__xludf.DUMMYFUNCTION("""COMPUTED_VALUE"""),65.0)</f>
        <v>65</v>
      </c>
      <c r="F7270" s="19" t="str">
        <f>IFERROR(__xludf.DUMMYFUNCTION("""COMPUTED_VALUE"""),"BLUE")</f>
        <v>BLUE</v>
      </c>
      <c r="G7270" s="20" t="str">
        <f>IFERROR(__xludf.DUMMYFUNCTION("""COMPUTED_VALUE"""),"Uncle Sams Cider (11/12/2021) (Blue)")</f>
        <v>Uncle Sams Cider (11/12/2021) (Blue)</v>
      </c>
      <c r="H7270" s="19"/>
    </row>
    <row r="7271">
      <c r="A7271" s="9"/>
      <c r="B7271" s="15"/>
      <c r="C7271" s="9">
        <f>IFERROR(__xludf.DUMMYFUNCTION("""COMPUTED_VALUE"""),44528.8860315046)</f>
        <v>44528.88603</v>
      </c>
      <c r="D7271" s="15">
        <f>IFERROR(__xludf.DUMMYFUNCTION("""COMPUTED_VALUE"""),1.032)</f>
        <v>1.032</v>
      </c>
      <c r="E7271" s="16">
        <f>IFERROR(__xludf.DUMMYFUNCTION("""COMPUTED_VALUE"""),65.0)</f>
        <v>65</v>
      </c>
      <c r="F7271" s="19" t="str">
        <f>IFERROR(__xludf.DUMMYFUNCTION("""COMPUTED_VALUE"""),"BLUE")</f>
        <v>BLUE</v>
      </c>
      <c r="G7271" s="20" t="str">
        <f>IFERROR(__xludf.DUMMYFUNCTION("""COMPUTED_VALUE"""),"Uncle Sams Cider (11/12/2021) (Blue)")</f>
        <v>Uncle Sams Cider (11/12/2021) (Blue)</v>
      </c>
      <c r="H7271" s="19"/>
    </row>
    <row r="7272">
      <c r="A7272" s="9"/>
      <c r="B7272" s="15"/>
      <c r="C7272" s="9">
        <f>IFERROR(__xludf.DUMMYFUNCTION("""COMPUTED_VALUE"""),44528.8755624189)</f>
        <v>44528.87556</v>
      </c>
      <c r="D7272" s="15">
        <f>IFERROR(__xludf.DUMMYFUNCTION("""COMPUTED_VALUE"""),1.032)</f>
        <v>1.032</v>
      </c>
      <c r="E7272" s="16">
        <f>IFERROR(__xludf.DUMMYFUNCTION("""COMPUTED_VALUE"""),65.0)</f>
        <v>65</v>
      </c>
      <c r="F7272" s="19" t="str">
        <f>IFERROR(__xludf.DUMMYFUNCTION("""COMPUTED_VALUE"""),"BLUE")</f>
        <v>BLUE</v>
      </c>
      <c r="G7272" s="20" t="str">
        <f>IFERROR(__xludf.DUMMYFUNCTION("""COMPUTED_VALUE"""),"Uncle Sams Cider (11/12/2021) (Blue)")</f>
        <v>Uncle Sams Cider (11/12/2021) (Blue)</v>
      </c>
      <c r="H7272" s="19"/>
    </row>
    <row r="7273">
      <c r="A7273" s="9"/>
      <c r="B7273" s="15"/>
      <c r="C7273" s="9">
        <f>IFERROR(__xludf.DUMMYFUNCTION("""COMPUTED_VALUE"""),44528.8651422453)</f>
        <v>44528.86514</v>
      </c>
      <c r="D7273" s="15">
        <f>IFERROR(__xludf.DUMMYFUNCTION("""COMPUTED_VALUE"""),1.032)</f>
        <v>1.032</v>
      </c>
      <c r="E7273" s="16">
        <f>IFERROR(__xludf.DUMMYFUNCTION("""COMPUTED_VALUE"""),65.0)</f>
        <v>65</v>
      </c>
      <c r="F7273" s="19" t="str">
        <f>IFERROR(__xludf.DUMMYFUNCTION("""COMPUTED_VALUE"""),"BLUE")</f>
        <v>BLUE</v>
      </c>
      <c r="G7273" s="20" t="str">
        <f>IFERROR(__xludf.DUMMYFUNCTION("""COMPUTED_VALUE"""),"Uncle Sams Cider (11/12/2021) (Blue)")</f>
        <v>Uncle Sams Cider (11/12/2021) (Blue)</v>
      </c>
      <c r="H7273" s="19"/>
    </row>
    <row r="7274">
      <c r="A7274" s="9"/>
      <c r="B7274" s="15"/>
      <c r="C7274" s="9">
        <f>IFERROR(__xludf.DUMMYFUNCTION("""COMPUTED_VALUE"""),44528.8547223958)</f>
        <v>44528.85472</v>
      </c>
      <c r="D7274" s="15">
        <f>IFERROR(__xludf.DUMMYFUNCTION("""COMPUTED_VALUE"""),1.032)</f>
        <v>1.032</v>
      </c>
      <c r="E7274" s="16">
        <f>IFERROR(__xludf.DUMMYFUNCTION("""COMPUTED_VALUE"""),65.0)</f>
        <v>65</v>
      </c>
      <c r="F7274" s="19" t="str">
        <f>IFERROR(__xludf.DUMMYFUNCTION("""COMPUTED_VALUE"""),"BLUE")</f>
        <v>BLUE</v>
      </c>
      <c r="G7274" s="20" t="str">
        <f>IFERROR(__xludf.DUMMYFUNCTION("""COMPUTED_VALUE"""),"Uncle Sams Cider (11/12/2021) (Blue)")</f>
        <v>Uncle Sams Cider (11/12/2021) (Blue)</v>
      </c>
      <c r="H7274" s="19"/>
    </row>
    <row r="7275">
      <c r="A7275" s="9"/>
      <c r="B7275" s="15"/>
      <c r="C7275" s="9">
        <f>IFERROR(__xludf.DUMMYFUNCTION("""COMPUTED_VALUE"""),44528.8443022222)</f>
        <v>44528.8443</v>
      </c>
      <c r="D7275" s="15">
        <f>IFERROR(__xludf.DUMMYFUNCTION("""COMPUTED_VALUE"""),1.032)</f>
        <v>1.032</v>
      </c>
      <c r="E7275" s="16">
        <f>IFERROR(__xludf.DUMMYFUNCTION("""COMPUTED_VALUE"""),65.0)</f>
        <v>65</v>
      </c>
      <c r="F7275" s="19" t="str">
        <f>IFERROR(__xludf.DUMMYFUNCTION("""COMPUTED_VALUE"""),"BLUE")</f>
        <v>BLUE</v>
      </c>
      <c r="G7275" s="20" t="str">
        <f>IFERROR(__xludf.DUMMYFUNCTION("""COMPUTED_VALUE"""),"Uncle Sams Cider (11/12/2021) (Blue)")</f>
        <v>Uncle Sams Cider (11/12/2021) (Blue)</v>
      </c>
      <c r="H7275" s="19"/>
    </row>
    <row r="7276">
      <c r="A7276" s="9"/>
      <c r="B7276" s="15"/>
      <c r="C7276" s="9">
        <f>IFERROR(__xludf.DUMMYFUNCTION("""COMPUTED_VALUE"""),44528.8338795486)</f>
        <v>44528.83388</v>
      </c>
      <c r="D7276" s="15">
        <f>IFERROR(__xludf.DUMMYFUNCTION("""COMPUTED_VALUE"""),1.032)</f>
        <v>1.032</v>
      </c>
      <c r="E7276" s="16">
        <f>IFERROR(__xludf.DUMMYFUNCTION("""COMPUTED_VALUE"""),65.0)</f>
        <v>65</v>
      </c>
      <c r="F7276" s="19" t="str">
        <f>IFERROR(__xludf.DUMMYFUNCTION("""COMPUTED_VALUE"""),"BLUE")</f>
        <v>BLUE</v>
      </c>
      <c r="G7276" s="20" t="str">
        <f>IFERROR(__xludf.DUMMYFUNCTION("""COMPUTED_VALUE"""),"Uncle Sams Cider (11/12/2021) (Blue)")</f>
        <v>Uncle Sams Cider (11/12/2021) (Blue)</v>
      </c>
      <c r="H7276" s="19"/>
    </row>
    <row r="7277">
      <c r="A7277" s="9"/>
      <c r="B7277" s="15"/>
      <c r="C7277" s="9">
        <f>IFERROR(__xludf.DUMMYFUNCTION("""COMPUTED_VALUE"""),44528.82345853)</f>
        <v>44528.82346</v>
      </c>
      <c r="D7277" s="15">
        <f>IFERROR(__xludf.DUMMYFUNCTION("""COMPUTED_VALUE"""),1.032)</f>
        <v>1.032</v>
      </c>
      <c r="E7277" s="16">
        <f>IFERROR(__xludf.DUMMYFUNCTION("""COMPUTED_VALUE"""),65.0)</f>
        <v>65</v>
      </c>
      <c r="F7277" s="19" t="str">
        <f>IFERROR(__xludf.DUMMYFUNCTION("""COMPUTED_VALUE"""),"BLUE")</f>
        <v>BLUE</v>
      </c>
      <c r="G7277" s="20" t="str">
        <f>IFERROR(__xludf.DUMMYFUNCTION("""COMPUTED_VALUE"""),"Uncle Sams Cider (11/12/2021) (Blue)")</f>
        <v>Uncle Sams Cider (11/12/2021) (Blue)</v>
      </c>
      <c r="H7277" s="19"/>
    </row>
    <row r="7278">
      <c r="A7278" s="9"/>
      <c r="B7278" s="15"/>
      <c r="C7278" s="9">
        <f>IFERROR(__xludf.DUMMYFUNCTION("""COMPUTED_VALUE"""),44528.8130380787)</f>
        <v>44528.81304</v>
      </c>
      <c r="D7278" s="15">
        <f>IFERROR(__xludf.DUMMYFUNCTION("""COMPUTED_VALUE"""),1.032)</f>
        <v>1.032</v>
      </c>
      <c r="E7278" s="16">
        <f>IFERROR(__xludf.DUMMYFUNCTION("""COMPUTED_VALUE"""),65.0)</f>
        <v>65</v>
      </c>
      <c r="F7278" s="19" t="str">
        <f>IFERROR(__xludf.DUMMYFUNCTION("""COMPUTED_VALUE"""),"BLUE")</f>
        <v>BLUE</v>
      </c>
      <c r="G7278" s="20" t="str">
        <f>IFERROR(__xludf.DUMMYFUNCTION("""COMPUTED_VALUE"""),"Uncle Sams Cider (11/12/2021) (Blue)")</f>
        <v>Uncle Sams Cider (11/12/2021) (Blue)</v>
      </c>
      <c r="H7278" s="19"/>
    </row>
    <row r="7279">
      <c r="A7279" s="9"/>
      <c r="B7279" s="15"/>
      <c r="C7279" s="9">
        <f>IFERROR(__xludf.DUMMYFUNCTION("""COMPUTED_VALUE"""),44528.8026164583)</f>
        <v>44528.80262</v>
      </c>
      <c r="D7279" s="15">
        <f>IFERROR(__xludf.DUMMYFUNCTION("""COMPUTED_VALUE"""),1.032)</f>
        <v>1.032</v>
      </c>
      <c r="E7279" s="16">
        <f>IFERROR(__xludf.DUMMYFUNCTION("""COMPUTED_VALUE"""),65.0)</f>
        <v>65</v>
      </c>
      <c r="F7279" s="19" t="str">
        <f>IFERROR(__xludf.DUMMYFUNCTION("""COMPUTED_VALUE"""),"BLUE")</f>
        <v>BLUE</v>
      </c>
      <c r="G7279" s="20" t="str">
        <f>IFERROR(__xludf.DUMMYFUNCTION("""COMPUTED_VALUE"""),"Uncle Sams Cider (11/12/2021) (Blue)")</f>
        <v>Uncle Sams Cider (11/12/2021) (Blue)</v>
      </c>
      <c r="H7279" s="19"/>
    </row>
    <row r="7280">
      <c r="A7280" s="9"/>
      <c r="B7280" s="15"/>
      <c r="C7280" s="9">
        <f>IFERROR(__xludf.DUMMYFUNCTION("""COMPUTED_VALUE"""),44528.7921953125)</f>
        <v>44528.7922</v>
      </c>
      <c r="D7280" s="15">
        <f>IFERROR(__xludf.DUMMYFUNCTION("""COMPUTED_VALUE"""),1.032)</f>
        <v>1.032</v>
      </c>
      <c r="E7280" s="16">
        <f>IFERROR(__xludf.DUMMYFUNCTION("""COMPUTED_VALUE"""),65.0)</f>
        <v>65</v>
      </c>
      <c r="F7280" s="19" t="str">
        <f>IFERROR(__xludf.DUMMYFUNCTION("""COMPUTED_VALUE"""),"BLUE")</f>
        <v>BLUE</v>
      </c>
      <c r="G7280" s="20" t="str">
        <f>IFERROR(__xludf.DUMMYFUNCTION("""COMPUTED_VALUE"""),"Uncle Sams Cider (11/12/2021) (Blue)")</f>
        <v>Uncle Sams Cider (11/12/2021) (Blue)</v>
      </c>
      <c r="H7280" s="19"/>
    </row>
    <row r="7281">
      <c r="A7281" s="9"/>
      <c r="B7281" s="15"/>
      <c r="C7281" s="9">
        <f>IFERROR(__xludf.DUMMYFUNCTION("""COMPUTED_VALUE"""),44528.7817749768)</f>
        <v>44528.78177</v>
      </c>
      <c r="D7281" s="15">
        <f>IFERROR(__xludf.DUMMYFUNCTION("""COMPUTED_VALUE"""),1.032)</f>
        <v>1.032</v>
      </c>
      <c r="E7281" s="16">
        <f>IFERROR(__xludf.DUMMYFUNCTION("""COMPUTED_VALUE"""),65.0)</f>
        <v>65</v>
      </c>
      <c r="F7281" s="19" t="str">
        <f>IFERROR(__xludf.DUMMYFUNCTION("""COMPUTED_VALUE"""),"BLUE")</f>
        <v>BLUE</v>
      </c>
      <c r="G7281" s="20" t="str">
        <f>IFERROR(__xludf.DUMMYFUNCTION("""COMPUTED_VALUE"""),"Uncle Sams Cider (11/12/2021) (Blue)")</f>
        <v>Uncle Sams Cider (11/12/2021) (Blue)</v>
      </c>
      <c r="H7281" s="19"/>
    </row>
    <row r="7282">
      <c r="A7282" s="9"/>
      <c r="B7282" s="15"/>
      <c r="C7282" s="9">
        <f>IFERROR(__xludf.DUMMYFUNCTION("""COMPUTED_VALUE"""),44528.7713548379)</f>
        <v>44528.77135</v>
      </c>
      <c r="D7282" s="15">
        <f>IFERROR(__xludf.DUMMYFUNCTION("""COMPUTED_VALUE"""),1.032)</f>
        <v>1.032</v>
      </c>
      <c r="E7282" s="16">
        <f>IFERROR(__xludf.DUMMYFUNCTION("""COMPUTED_VALUE"""),65.0)</f>
        <v>65</v>
      </c>
      <c r="F7282" s="19" t="str">
        <f>IFERROR(__xludf.DUMMYFUNCTION("""COMPUTED_VALUE"""),"BLUE")</f>
        <v>BLUE</v>
      </c>
      <c r="G7282" s="20" t="str">
        <f>IFERROR(__xludf.DUMMYFUNCTION("""COMPUTED_VALUE"""),"Uncle Sams Cider (11/12/2021) (Blue)")</f>
        <v>Uncle Sams Cider (11/12/2021) (Blue)</v>
      </c>
      <c r="H7282" s="19"/>
    </row>
    <row r="7283">
      <c r="A7283" s="9"/>
      <c r="B7283" s="15"/>
      <c r="C7283" s="9">
        <f>IFERROR(__xludf.DUMMYFUNCTION("""COMPUTED_VALUE"""),44528.7609328703)</f>
        <v>44528.76093</v>
      </c>
      <c r="D7283" s="15">
        <f>IFERROR(__xludf.DUMMYFUNCTION("""COMPUTED_VALUE"""),1.032)</f>
        <v>1.032</v>
      </c>
      <c r="E7283" s="16">
        <f>IFERROR(__xludf.DUMMYFUNCTION("""COMPUTED_VALUE"""),65.0)</f>
        <v>65</v>
      </c>
      <c r="F7283" s="19" t="str">
        <f>IFERROR(__xludf.DUMMYFUNCTION("""COMPUTED_VALUE"""),"BLUE")</f>
        <v>BLUE</v>
      </c>
      <c r="G7283" s="20" t="str">
        <f>IFERROR(__xludf.DUMMYFUNCTION("""COMPUTED_VALUE"""),"Uncle Sams Cider (11/12/2021) (Blue)")</f>
        <v>Uncle Sams Cider (11/12/2021) (Blue)</v>
      </c>
      <c r="H7283" s="19"/>
    </row>
    <row r="7284">
      <c r="A7284" s="9"/>
      <c r="B7284" s="15"/>
      <c r="C7284" s="9">
        <f>IFERROR(__xludf.DUMMYFUNCTION("""COMPUTED_VALUE"""),44528.7505102777)</f>
        <v>44528.75051</v>
      </c>
      <c r="D7284" s="15">
        <f>IFERROR(__xludf.DUMMYFUNCTION("""COMPUTED_VALUE"""),1.032)</f>
        <v>1.032</v>
      </c>
      <c r="E7284" s="16">
        <f>IFERROR(__xludf.DUMMYFUNCTION("""COMPUTED_VALUE"""),65.0)</f>
        <v>65</v>
      </c>
      <c r="F7284" s="19" t="str">
        <f>IFERROR(__xludf.DUMMYFUNCTION("""COMPUTED_VALUE"""),"BLUE")</f>
        <v>BLUE</v>
      </c>
      <c r="G7284" s="20" t="str">
        <f>IFERROR(__xludf.DUMMYFUNCTION("""COMPUTED_VALUE"""),"Uncle Sams Cider (11/12/2021) (Blue)")</f>
        <v>Uncle Sams Cider (11/12/2021) (Blue)</v>
      </c>
      <c r="H7284" s="19"/>
    </row>
    <row r="7285">
      <c r="A7285" s="9"/>
      <c r="B7285" s="15"/>
      <c r="C7285" s="9">
        <f>IFERROR(__xludf.DUMMYFUNCTION("""COMPUTED_VALUE"""),44528.7400895833)</f>
        <v>44528.74009</v>
      </c>
      <c r="D7285" s="15">
        <f>IFERROR(__xludf.DUMMYFUNCTION("""COMPUTED_VALUE"""),1.032)</f>
        <v>1.032</v>
      </c>
      <c r="E7285" s="16">
        <f>IFERROR(__xludf.DUMMYFUNCTION("""COMPUTED_VALUE"""),65.0)</f>
        <v>65</v>
      </c>
      <c r="F7285" s="19" t="str">
        <f>IFERROR(__xludf.DUMMYFUNCTION("""COMPUTED_VALUE"""),"BLUE")</f>
        <v>BLUE</v>
      </c>
      <c r="G7285" s="20" t="str">
        <f>IFERROR(__xludf.DUMMYFUNCTION("""COMPUTED_VALUE"""),"Uncle Sams Cider (11/12/2021) (Blue)")</f>
        <v>Uncle Sams Cider (11/12/2021) (Blue)</v>
      </c>
      <c r="H7285" s="19"/>
    </row>
    <row r="7286">
      <c r="A7286" s="9"/>
      <c r="B7286" s="15"/>
      <c r="C7286" s="9">
        <f>IFERROR(__xludf.DUMMYFUNCTION("""COMPUTED_VALUE"""),44528.7296701041)</f>
        <v>44528.72967</v>
      </c>
      <c r="D7286" s="15">
        <f>IFERROR(__xludf.DUMMYFUNCTION("""COMPUTED_VALUE"""),1.032)</f>
        <v>1.032</v>
      </c>
      <c r="E7286" s="16">
        <f>IFERROR(__xludf.DUMMYFUNCTION("""COMPUTED_VALUE"""),65.0)</f>
        <v>65</v>
      </c>
      <c r="F7286" s="19" t="str">
        <f>IFERROR(__xludf.DUMMYFUNCTION("""COMPUTED_VALUE"""),"BLUE")</f>
        <v>BLUE</v>
      </c>
      <c r="G7286" s="20" t="str">
        <f>IFERROR(__xludf.DUMMYFUNCTION("""COMPUTED_VALUE"""),"Uncle Sams Cider (11/12/2021) (Blue)")</f>
        <v>Uncle Sams Cider (11/12/2021) (Blue)</v>
      </c>
      <c r="H7286" s="19"/>
    </row>
    <row r="7287">
      <c r="A7287" s="9"/>
      <c r="B7287" s="15"/>
      <c r="C7287" s="9">
        <f>IFERROR(__xludf.DUMMYFUNCTION("""COMPUTED_VALUE"""),44528.7192481828)</f>
        <v>44528.71925</v>
      </c>
      <c r="D7287" s="15">
        <f>IFERROR(__xludf.DUMMYFUNCTION("""COMPUTED_VALUE"""),1.032)</f>
        <v>1.032</v>
      </c>
      <c r="E7287" s="16">
        <f>IFERROR(__xludf.DUMMYFUNCTION("""COMPUTED_VALUE"""),65.0)</f>
        <v>65</v>
      </c>
      <c r="F7287" s="19" t="str">
        <f>IFERROR(__xludf.DUMMYFUNCTION("""COMPUTED_VALUE"""),"BLUE")</f>
        <v>BLUE</v>
      </c>
      <c r="G7287" s="20" t="str">
        <f>IFERROR(__xludf.DUMMYFUNCTION("""COMPUTED_VALUE"""),"Uncle Sams Cider (11/12/2021) (Blue)")</f>
        <v>Uncle Sams Cider (11/12/2021) (Blue)</v>
      </c>
      <c r="H7287" s="19"/>
    </row>
    <row r="7288">
      <c r="A7288" s="9"/>
      <c r="B7288" s="15"/>
      <c r="C7288" s="9">
        <f>IFERROR(__xludf.DUMMYFUNCTION("""COMPUTED_VALUE"""),44528.7088274189)</f>
        <v>44528.70883</v>
      </c>
      <c r="D7288" s="15">
        <f>IFERROR(__xludf.DUMMYFUNCTION("""COMPUTED_VALUE"""),1.032)</f>
        <v>1.032</v>
      </c>
      <c r="E7288" s="16">
        <f>IFERROR(__xludf.DUMMYFUNCTION("""COMPUTED_VALUE"""),65.0)</f>
        <v>65</v>
      </c>
      <c r="F7288" s="19" t="str">
        <f>IFERROR(__xludf.DUMMYFUNCTION("""COMPUTED_VALUE"""),"BLUE")</f>
        <v>BLUE</v>
      </c>
      <c r="G7288" s="20" t="str">
        <f>IFERROR(__xludf.DUMMYFUNCTION("""COMPUTED_VALUE"""),"Uncle Sams Cider (11/12/2021) (Blue)")</f>
        <v>Uncle Sams Cider (11/12/2021) (Blue)</v>
      </c>
      <c r="H7288" s="19"/>
    </row>
    <row r="7289">
      <c r="A7289" s="9"/>
      <c r="B7289" s="15"/>
      <c r="C7289" s="9">
        <f>IFERROR(__xludf.DUMMYFUNCTION("""COMPUTED_VALUE"""),44528.6984060416)</f>
        <v>44528.69841</v>
      </c>
      <c r="D7289" s="15">
        <f>IFERROR(__xludf.DUMMYFUNCTION("""COMPUTED_VALUE"""),1.032)</f>
        <v>1.032</v>
      </c>
      <c r="E7289" s="16">
        <f>IFERROR(__xludf.DUMMYFUNCTION("""COMPUTED_VALUE"""),65.0)</f>
        <v>65</v>
      </c>
      <c r="F7289" s="19" t="str">
        <f>IFERROR(__xludf.DUMMYFUNCTION("""COMPUTED_VALUE"""),"BLUE")</f>
        <v>BLUE</v>
      </c>
      <c r="G7289" s="20" t="str">
        <f>IFERROR(__xludf.DUMMYFUNCTION("""COMPUTED_VALUE"""),"Uncle Sams Cider (11/12/2021) (Blue)")</f>
        <v>Uncle Sams Cider (11/12/2021) (Blue)</v>
      </c>
      <c r="H7289" s="19"/>
    </row>
    <row r="7290">
      <c r="A7290" s="9"/>
      <c r="B7290" s="15"/>
      <c r="C7290" s="9">
        <f>IFERROR(__xludf.DUMMYFUNCTION("""COMPUTED_VALUE"""),44528.6879844791)</f>
        <v>44528.68798</v>
      </c>
      <c r="D7290" s="15">
        <f>IFERROR(__xludf.DUMMYFUNCTION("""COMPUTED_VALUE"""),1.032)</f>
        <v>1.032</v>
      </c>
      <c r="E7290" s="16">
        <f>IFERROR(__xludf.DUMMYFUNCTION("""COMPUTED_VALUE"""),65.0)</f>
        <v>65</v>
      </c>
      <c r="F7290" s="19" t="str">
        <f>IFERROR(__xludf.DUMMYFUNCTION("""COMPUTED_VALUE"""),"BLUE")</f>
        <v>BLUE</v>
      </c>
      <c r="G7290" s="20" t="str">
        <f>IFERROR(__xludf.DUMMYFUNCTION("""COMPUTED_VALUE"""),"Uncle Sams Cider (11/12/2021) (Blue)")</f>
        <v>Uncle Sams Cider (11/12/2021) (Blue)</v>
      </c>
      <c r="H7290" s="19"/>
    </row>
    <row r="7291">
      <c r="A7291" s="9"/>
      <c r="B7291" s="15"/>
      <c r="C7291" s="9">
        <f>IFERROR(__xludf.DUMMYFUNCTION("""COMPUTED_VALUE"""),44528.6775628472)</f>
        <v>44528.67756</v>
      </c>
      <c r="D7291" s="15">
        <f>IFERROR(__xludf.DUMMYFUNCTION("""COMPUTED_VALUE"""),1.033)</f>
        <v>1.033</v>
      </c>
      <c r="E7291" s="16">
        <f>IFERROR(__xludf.DUMMYFUNCTION("""COMPUTED_VALUE"""),65.0)</f>
        <v>65</v>
      </c>
      <c r="F7291" s="19" t="str">
        <f>IFERROR(__xludf.DUMMYFUNCTION("""COMPUTED_VALUE"""),"BLUE")</f>
        <v>BLUE</v>
      </c>
      <c r="G7291" s="20" t="str">
        <f>IFERROR(__xludf.DUMMYFUNCTION("""COMPUTED_VALUE"""),"Uncle Sams Cider (11/12/2021) (Blue)")</f>
        <v>Uncle Sams Cider (11/12/2021) (Blue)</v>
      </c>
      <c r="H7291" s="19"/>
    </row>
    <row r="7292">
      <c r="A7292" s="9"/>
      <c r="B7292" s="15"/>
      <c r="C7292" s="9">
        <f>IFERROR(__xludf.DUMMYFUNCTION("""COMPUTED_VALUE"""),44528.6671404166)</f>
        <v>44528.66714</v>
      </c>
      <c r="D7292" s="15">
        <f>IFERROR(__xludf.DUMMYFUNCTION("""COMPUTED_VALUE"""),1.032)</f>
        <v>1.032</v>
      </c>
      <c r="E7292" s="16">
        <f>IFERROR(__xludf.DUMMYFUNCTION("""COMPUTED_VALUE"""),65.0)</f>
        <v>65</v>
      </c>
      <c r="F7292" s="19" t="str">
        <f>IFERROR(__xludf.DUMMYFUNCTION("""COMPUTED_VALUE"""),"BLUE")</f>
        <v>BLUE</v>
      </c>
      <c r="G7292" s="20" t="str">
        <f>IFERROR(__xludf.DUMMYFUNCTION("""COMPUTED_VALUE"""),"Uncle Sams Cider (11/12/2021) (Blue)")</f>
        <v>Uncle Sams Cider (11/12/2021) (Blue)</v>
      </c>
      <c r="H7292" s="19"/>
    </row>
    <row r="7293">
      <c r="A7293" s="9"/>
      <c r="B7293" s="15"/>
      <c r="C7293" s="9">
        <f>IFERROR(__xludf.DUMMYFUNCTION("""COMPUTED_VALUE"""),44528.6567206944)</f>
        <v>44528.65672</v>
      </c>
      <c r="D7293" s="15">
        <f>IFERROR(__xludf.DUMMYFUNCTION("""COMPUTED_VALUE"""),1.032)</f>
        <v>1.032</v>
      </c>
      <c r="E7293" s="16">
        <f>IFERROR(__xludf.DUMMYFUNCTION("""COMPUTED_VALUE"""),65.0)</f>
        <v>65</v>
      </c>
      <c r="F7293" s="19" t="str">
        <f>IFERROR(__xludf.DUMMYFUNCTION("""COMPUTED_VALUE"""),"BLUE")</f>
        <v>BLUE</v>
      </c>
      <c r="G7293" s="20" t="str">
        <f>IFERROR(__xludf.DUMMYFUNCTION("""COMPUTED_VALUE"""),"Uncle Sams Cider (11/12/2021) (Blue)")</f>
        <v>Uncle Sams Cider (11/12/2021) (Blue)</v>
      </c>
      <c r="H7293" s="19"/>
    </row>
    <row r="7294">
      <c r="A7294" s="9"/>
      <c r="B7294" s="15"/>
      <c r="C7294" s="9">
        <f>IFERROR(__xludf.DUMMYFUNCTION("""COMPUTED_VALUE"""),44528.6462997685)</f>
        <v>44528.6463</v>
      </c>
      <c r="D7294" s="15">
        <f>IFERROR(__xludf.DUMMYFUNCTION("""COMPUTED_VALUE"""),1.032)</f>
        <v>1.032</v>
      </c>
      <c r="E7294" s="16">
        <f>IFERROR(__xludf.DUMMYFUNCTION("""COMPUTED_VALUE"""),65.0)</f>
        <v>65</v>
      </c>
      <c r="F7294" s="19" t="str">
        <f>IFERROR(__xludf.DUMMYFUNCTION("""COMPUTED_VALUE"""),"BLUE")</f>
        <v>BLUE</v>
      </c>
      <c r="G7294" s="20" t="str">
        <f>IFERROR(__xludf.DUMMYFUNCTION("""COMPUTED_VALUE"""),"Uncle Sams Cider (11/12/2021) (Blue)")</f>
        <v>Uncle Sams Cider (11/12/2021) (Blue)</v>
      </c>
      <c r="H7294" s="19"/>
    </row>
    <row r="7295">
      <c r="A7295" s="9"/>
      <c r="B7295" s="15"/>
      <c r="C7295" s="9">
        <f>IFERROR(__xludf.DUMMYFUNCTION("""COMPUTED_VALUE"""),44528.6358795023)</f>
        <v>44528.63588</v>
      </c>
      <c r="D7295" s="15">
        <f>IFERROR(__xludf.DUMMYFUNCTION("""COMPUTED_VALUE"""),1.032)</f>
        <v>1.032</v>
      </c>
      <c r="E7295" s="16">
        <f>IFERROR(__xludf.DUMMYFUNCTION("""COMPUTED_VALUE"""),65.0)</f>
        <v>65</v>
      </c>
      <c r="F7295" s="19" t="str">
        <f>IFERROR(__xludf.DUMMYFUNCTION("""COMPUTED_VALUE"""),"BLUE")</f>
        <v>BLUE</v>
      </c>
      <c r="G7295" s="20" t="str">
        <f>IFERROR(__xludf.DUMMYFUNCTION("""COMPUTED_VALUE"""),"Uncle Sams Cider (11/12/2021) (Blue)")</f>
        <v>Uncle Sams Cider (11/12/2021) (Blue)</v>
      </c>
      <c r="H7295" s="19"/>
    </row>
    <row r="7296">
      <c r="A7296" s="9"/>
      <c r="B7296" s="15"/>
      <c r="C7296" s="9">
        <f>IFERROR(__xludf.DUMMYFUNCTION("""COMPUTED_VALUE"""),44528.6254469097)</f>
        <v>44528.62545</v>
      </c>
      <c r="D7296" s="15">
        <f>IFERROR(__xludf.DUMMYFUNCTION("""COMPUTED_VALUE"""),1.032)</f>
        <v>1.032</v>
      </c>
      <c r="E7296" s="16">
        <f>IFERROR(__xludf.DUMMYFUNCTION("""COMPUTED_VALUE"""),65.0)</f>
        <v>65</v>
      </c>
      <c r="F7296" s="19" t="str">
        <f>IFERROR(__xludf.DUMMYFUNCTION("""COMPUTED_VALUE"""),"BLUE")</f>
        <v>BLUE</v>
      </c>
      <c r="G7296" s="20" t="str">
        <f>IFERROR(__xludf.DUMMYFUNCTION("""COMPUTED_VALUE"""),"Uncle Sams Cider (11/12/2021) (Blue)")</f>
        <v>Uncle Sams Cider (11/12/2021) (Blue)</v>
      </c>
      <c r="H7296" s="19"/>
    </row>
    <row r="7297">
      <c r="A7297" s="9"/>
      <c r="B7297" s="15"/>
      <c r="C7297" s="9">
        <f>IFERROR(__xludf.DUMMYFUNCTION("""COMPUTED_VALUE"""),44528.6150248263)</f>
        <v>44528.61502</v>
      </c>
      <c r="D7297" s="15">
        <f>IFERROR(__xludf.DUMMYFUNCTION("""COMPUTED_VALUE"""),1.033)</f>
        <v>1.033</v>
      </c>
      <c r="E7297" s="16">
        <f>IFERROR(__xludf.DUMMYFUNCTION("""COMPUTED_VALUE"""),65.0)</f>
        <v>65</v>
      </c>
      <c r="F7297" s="19" t="str">
        <f>IFERROR(__xludf.DUMMYFUNCTION("""COMPUTED_VALUE"""),"BLUE")</f>
        <v>BLUE</v>
      </c>
      <c r="G7297" s="20" t="str">
        <f>IFERROR(__xludf.DUMMYFUNCTION("""COMPUTED_VALUE"""),"Uncle Sams Cider (11/12/2021) (Blue)")</f>
        <v>Uncle Sams Cider (11/12/2021) (Blue)</v>
      </c>
      <c r="H7297" s="19"/>
    </row>
    <row r="7298">
      <c r="A7298" s="9"/>
      <c r="B7298" s="15"/>
      <c r="C7298" s="9">
        <f>IFERROR(__xludf.DUMMYFUNCTION("""COMPUTED_VALUE"""),44528.6046032754)</f>
        <v>44528.6046</v>
      </c>
      <c r="D7298" s="15">
        <f>IFERROR(__xludf.DUMMYFUNCTION("""COMPUTED_VALUE"""),1.032)</f>
        <v>1.032</v>
      </c>
      <c r="E7298" s="16">
        <f>IFERROR(__xludf.DUMMYFUNCTION("""COMPUTED_VALUE"""),65.0)</f>
        <v>65</v>
      </c>
      <c r="F7298" s="19" t="str">
        <f>IFERROR(__xludf.DUMMYFUNCTION("""COMPUTED_VALUE"""),"BLUE")</f>
        <v>BLUE</v>
      </c>
      <c r="G7298" s="20" t="str">
        <f>IFERROR(__xludf.DUMMYFUNCTION("""COMPUTED_VALUE"""),"Uncle Sams Cider (11/12/2021) (Blue)")</f>
        <v>Uncle Sams Cider (11/12/2021) (Blue)</v>
      </c>
      <c r="H7298" s="19"/>
    </row>
    <row r="7299">
      <c r="A7299" s="9"/>
      <c r="B7299" s="15"/>
      <c r="C7299" s="9">
        <f>IFERROR(__xludf.DUMMYFUNCTION("""COMPUTED_VALUE"""),44528.5941818171)</f>
        <v>44528.59418</v>
      </c>
      <c r="D7299" s="15">
        <f>IFERROR(__xludf.DUMMYFUNCTION("""COMPUTED_VALUE"""),1.033)</f>
        <v>1.033</v>
      </c>
      <c r="E7299" s="16">
        <f>IFERROR(__xludf.DUMMYFUNCTION("""COMPUTED_VALUE"""),65.0)</f>
        <v>65</v>
      </c>
      <c r="F7299" s="19" t="str">
        <f>IFERROR(__xludf.DUMMYFUNCTION("""COMPUTED_VALUE"""),"BLUE")</f>
        <v>BLUE</v>
      </c>
      <c r="G7299" s="20" t="str">
        <f>IFERROR(__xludf.DUMMYFUNCTION("""COMPUTED_VALUE"""),"Uncle Sams Cider (11/12/2021) (Blue)")</f>
        <v>Uncle Sams Cider (11/12/2021) (Blue)</v>
      </c>
      <c r="H7299" s="19"/>
    </row>
    <row r="7300">
      <c r="A7300" s="9"/>
      <c r="B7300" s="15"/>
      <c r="C7300" s="9">
        <f>IFERROR(__xludf.DUMMYFUNCTION("""COMPUTED_VALUE"""),44528.5837615509)</f>
        <v>44528.58376</v>
      </c>
      <c r="D7300" s="15">
        <f>IFERROR(__xludf.DUMMYFUNCTION("""COMPUTED_VALUE"""),1.032)</f>
        <v>1.032</v>
      </c>
      <c r="E7300" s="16">
        <f>IFERROR(__xludf.DUMMYFUNCTION("""COMPUTED_VALUE"""),65.0)</f>
        <v>65</v>
      </c>
      <c r="F7300" s="19" t="str">
        <f>IFERROR(__xludf.DUMMYFUNCTION("""COMPUTED_VALUE"""),"BLUE")</f>
        <v>BLUE</v>
      </c>
      <c r="G7300" s="20" t="str">
        <f>IFERROR(__xludf.DUMMYFUNCTION("""COMPUTED_VALUE"""),"Uncle Sams Cider (11/12/2021) (Blue)")</f>
        <v>Uncle Sams Cider (11/12/2021) (Blue)</v>
      </c>
      <c r="H7300" s="19"/>
    </row>
    <row r="7301">
      <c r="A7301" s="9"/>
      <c r="B7301" s="15"/>
      <c r="C7301" s="9">
        <f>IFERROR(__xludf.DUMMYFUNCTION("""COMPUTED_VALUE"""),44528.573341655)</f>
        <v>44528.57334</v>
      </c>
      <c r="D7301" s="15">
        <f>IFERROR(__xludf.DUMMYFUNCTION("""COMPUTED_VALUE"""),1.033)</f>
        <v>1.033</v>
      </c>
      <c r="E7301" s="16">
        <f>IFERROR(__xludf.DUMMYFUNCTION("""COMPUTED_VALUE"""),65.0)</f>
        <v>65</v>
      </c>
      <c r="F7301" s="19" t="str">
        <f>IFERROR(__xludf.DUMMYFUNCTION("""COMPUTED_VALUE"""),"BLUE")</f>
        <v>BLUE</v>
      </c>
      <c r="G7301" s="20" t="str">
        <f>IFERROR(__xludf.DUMMYFUNCTION("""COMPUTED_VALUE"""),"Uncle Sams Cider (11/12/2021) (Blue)")</f>
        <v>Uncle Sams Cider (11/12/2021) (Blue)</v>
      </c>
      <c r="H7301" s="19"/>
    </row>
    <row r="7302">
      <c r="A7302" s="9"/>
      <c r="B7302" s="15"/>
      <c r="C7302" s="9">
        <f>IFERROR(__xludf.DUMMYFUNCTION("""COMPUTED_VALUE"""),44528.5629199537)</f>
        <v>44528.56292</v>
      </c>
      <c r="D7302" s="15">
        <f>IFERROR(__xludf.DUMMYFUNCTION("""COMPUTED_VALUE"""),1.033)</f>
        <v>1.033</v>
      </c>
      <c r="E7302" s="16">
        <f>IFERROR(__xludf.DUMMYFUNCTION("""COMPUTED_VALUE"""),65.0)</f>
        <v>65</v>
      </c>
      <c r="F7302" s="19" t="str">
        <f>IFERROR(__xludf.DUMMYFUNCTION("""COMPUTED_VALUE"""),"BLUE")</f>
        <v>BLUE</v>
      </c>
      <c r="G7302" s="20" t="str">
        <f>IFERROR(__xludf.DUMMYFUNCTION("""COMPUTED_VALUE"""),"Uncle Sams Cider (11/12/2021) (Blue)")</f>
        <v>Uncle Sams Cider (11/12/2021) (Blue)</v>
      </c>
      <c r="H7302" s="19"/>
    </row>
    <row r="7303">
      <c r="A7303" s="9"/>
      <c r="B7303" s="15"/>
      <c r="C7303" s="9">
        <f>IFERROR(__xludf.DUMMYFUNCTION("""COMPUTED_VALUE"""),44528.5524987847)</f>
        <v>44528.5525</v>
      </c>
      <c r="D7303" s="15">
        <f>IFERROR(__xludf.DUMMYFUNCTION("""COMPUTED_VALUE"""),1.033)</f>
        <v>1.033</v>
      </c>
      <c r="E7303" s="16">
        <f>IFERROR(__xludf.DUMMYFUNCTION("""COMPUTED_VALUE"""),65.0)</f>
        <v>65</v>
      </c>
      <c r="F7303" s="19" t="str">
        <f>IFERROR(__xludf.DUMMYFUNCTION("""COMPUTED_VALUE"""),"BLUE")</f>
        <v>BLUE</v>
      </c>
      <c r="G7303" s="20" t="str">
        <f>IFERROR(__xludf.DUMMYFUNCTION("""COMPUTED_VALUE"""),"Uncle Sams Cider (11/12/2021) (Blue)")</f>
        <v>Uncle Sams Cider (11/12/2021) (Blue)</v>
      </c>
      <c r="H7303" s="19"/>
    </row>
    <row r="7304">
      <c r="A7304" s="9"/>
      <c r="B7304" s="15"/>
      <c r="C7304" s="9">
        <f>IFERROR(__xludf.DUMMYFUNCTION("""COMPUTED_VALUE"""),44528.5420563773)</f>
        <v>44528.54206</v>
      </c>
      <c r="D7304" s="15">
        <f>IFERROR(__xludf.DUMMYFUNCTION("""COMPUTED_VALUE"""),1.033)</f>
        <v>1.033</v>
      </c>
      <c r="E7304" s="16">
        <f>IFERROR(__xludf.DUMMYFUNCTION("""COMPUTED_VALUE"""),65.0)</f>
        <v>65</v>
      </c>
      <c r="F7304" s="19" t="str">
        <f>IFERROR(__xludf.DUMMYFUNCTION("""COMPUTED_VALUE"""),"BLUE")</f>
        <v>BLUE</v>
      </c>
      <c r="G7304" s="20" t="str">
        <f>IFERROR(__xludf.DUMMYFUNCTION("""COMPUTED_VALUE"""),"Uncle Sams Cider (11/12/2021) (Blue)")</f>
        <v>Uncle Sams Cider (11/12/2021) (Blue)</v>
      </c>
      <c r="H7304" s="19"/>
    </row>
    <row r="7305">
      <c r="A7305" s="9"/>
      <c r="B7305" s="15"/>
      <c r="C7305" s="9">
        <f>IFERROR(__xludf.DUMMYFUNCTION("""COMPUTED_VALUE"""),44528.5316359837)</f>
        <v>44528.53164</v>
      </c>
      <c r="D7305" s="15">
        <f>IFERROR(__xludf.DUMMYFUNCTION("""COMPUTED_VALUE"""),1.033)</f>
        <v>1.033</v>
      </c>
      <c r="E7305" s="16">
        <f>IFERROR(__xludf.DUMMYFUNCTION("""COMPUTED_VALUE"""),65.0)</f>
        <v>65</v>
      </c>
      <c r="F7305" s="19" t="str">
        <f>IFERROR(__xludf.DUMMYFUNCTION("""COMPUTED_VALUE"""),"BLUE")</f>
        <v>BLUE</v>
      </c>
      <c r="G7305" s="20" t="str">
        <f>IFERROR(__xludf.DUMMYFUNCTION("""COMPUTED_VALUE"""),"Uncle Sams Cider (11/12/2021) (Blue)")</f>
        <v>Uncle Sams Cider (11/12/2021) (Blue)</v>
      </c>
      <c r="H7305" s="19"/>
    </row>
    <row r="7306">
      <c r="A7306" s="9"/>
      <c r="B7306" s="15"/>
      <c r="C7306" s="9">
        <f>IFERROR(__xludf.DUMMYFUNCTION("""COMPUTED_VALUE"""),44528.5212155787)</f>
        <v>44528.52122</v>
      </c>
      <c r="D7306" s="15">
        <f>IFERROR(__xludf.DUMMYFUNCTION("""COMPUTED_VALUE"""),1.033)</f>
        <v>1.033</v>
      </c>
      <c r="E7306" s="16">
        <f>IFERROR(__xludf.DUMMYFUNCTION("""COMPUTED_VALUE"""),65.0)</f>
        <v>65</v>
      </c>
      <c r="F7306" s="19" t="str">
        <f>IFERROR(__xludf.DUMMYFUNCTION("""COMPUTED_VALUE"""),"BLUE")</f>
        <v>BLUE</v>
      </c>
      <c r="G7306" s="20" t="str">
        <f>IFERROR(__xludf.DUMMYFUNCTION("""COMPUTED_VALUE"""),"Uncle Sams Cider (11/12/2021) (Blue)")</f>
        <v>Uncle Sams Cider (11/12/2021) (Blue)</v>
      </c>
      <c r="H7306" s="19"/>
    </row>
    <row r="7307">
      <c r="A7307" s="9"/>
      <c r="B7307" s="15"/>
      <c r="C7307" s="9">
        <f>IFERROR(__xludf.DUMMYFUNCTION("""COMPUTED_VALUE"""),44528.5107944444)</f>
        <v>44528.51079</v>
      </c>
      <c r="D7307" s="15">
        <f>IFERROR(__xludf.DUMMYFUNCTION("""COMPUTED_VALUE"""),1.033)</f>
        <v>1.033</v>
      </c>
      <c r="E7307" s="16">
        <f>IFERROR(__xludf.DUMMYFUNCTION("""COMPUTED_VALUE"""),65.0)</f>
        <v>65</v>
      </c>
      <c r="F7307" s="19" t="str">
        <f>IFERROR(__xludf.DUMMYFUNCTION("""COMPUTED_VALUE"""),"BLUE")</f>
        <v>BLUE</v>
      </c>
      <c r="G7307" s="20" t="str">
        <f>IFERROR(__xludf.DUMMYFUNCTION("""COMPUTED_VALUE"""),"Uncle Sams Cider (11/12/2021) (Blue)")</f>
        <v>Uncle Sams Cider (11/12/2021) (Blue)</v>
      </c>
      <c r="H7307" s="19"/>
    </row>
    <row r="7308">
      <c r="A7308" s="9"/>
      <c r="B7308" s="15"/>
      <c r="C7308" s="9">
        <f>IFERROR(__xludf.DUMMYFUNCTION("""COMPUTED_VALUE"""),44528.5003752546)</f>
        <v>44528.50038</v>
      </c>
      <c r="D7308" s="15">
        <f>IFERROR(__xludf.DUMMYFUNCTION("""COMPUTED_VALUE"""),1.033)</f>
        <v>1.033</v>
      </c>
      <c r="E7308" s="16">
        <f>IFERROR(__xludf.DUMMYFUNCTION("""COMPUTED_VALUE"""),65.0)</f>
        <v>65</v>
      </c>
      <c r="F7308" s="19" t="str">
        <f>IFERROR(__xludf.DUMMYFUNCTION("""COMPUTED_VALUE"""),"BLUE")</f>
        <v>BLUE</v>
      </c>
      <c r="G7308" s="20" t="str">
        <f>IFERROR(__xludf.DUMMYFUNCTION("""COMPUTED_VALUE"""),"Uncle Sams Cider (11/12/2021) (Blue)")</f>
        <v>Uncle Sams Cider (11/12/2021) (Blue)</v>
      </c>
      <c r="H7308" s="19"/>
    </row>
    <row r="7309">
      <c r="A7309" s="9"/>
      <c r="B7309" s="15"/>
      <c r="C7309" s="9">
        <f>IFERROR(__xludf.DUMMYFUNCTION("""COMPUTED_VALUE"""),44528.4899556365)</f>
        <v>44528.48996</v>
      </c>
      <c r="D7309" s="15">
        <f>IFERROR(__xludf.DUMMYFUNCTION("""COMPUTED_VALUE"""),1.033)</f>
        <v>1.033</v>
      </c>
      <c r="E7309" s="16">
        <f>IFERROR(__xludf.DUMMYFUNCTION("""COMPUTED_VALUE"""),65.0)</f>
        <v>65</v>
      </c>
      <c r="F7309" s="19" t="str">
        <f>IFERROR(__xludf.DUMMYFUNCTION("""COMPUTED_VALUE"""),"BLUE")</f>
        <v>BLUE</v>
      </c>
      <c r="G7309" s="20" t="str">
        <f>IFERROR(__xludf.DUMMYFUNCTION("""COMPUTED_VALUE"""),"Uncle Sams Cider (11/12/2021) (Blue)")</f>
        <v>Uncle Sams Cider (11/12/2021) (Blue)</v>
      </c>
      <c r="H7309" s="19"/>
    </row>
    <row r="7310">
      <c r="A7310" s="9"/>
      <c r="B7310" s="15"/>
      <c r="C7310" s="9">
        <f>IFERROR(__xludf.DUMMYFUNCTION("""COMPUTED_VALUE"""),44528.479523831)</f>
        <v>44528.47952</v>
      </c>
      <c r="D7310" s="15">
        <f>IFERROR(__xludf.DUMMYFUNCTION("""COMPUTED_VALUE"""),1.033)</f>
        <v>1.033</v>
      </c>
      <c r="E7310" s="16">
        <f>IFERROR(__xludf.DUMMYFUNCTION("""COMPUTED_VALUE"""),65.0)</f>
        <v>65</v>
      </c>
      <c r="F7310" s="19" t="str">
        <f>IFERROR(__xludf.DUMMYFUNCTION("""COMPUTED_VALUE"""),"BLUE")</f>
        <v>BLUE</v>
      </c>
      <c r="G7310" s="20" t="str">
        <f>IFERROR(__xludf.DUMMYFUNCTION("""COMPUTED_VALUE"""),"Uncle Sams Cider (11/12/2021) (Blue)")</f>
        <v>Uncle Sams Cider (11/12/2021) (Blue)</v>
      </c>
      <c r="H7310" s="19"/>
    </row>
    <row r="7311">
      <c r="A7311" s="9"/>
      <c r="B7311" s="15"/>
      <c r="C7311" s="9">
        <f>IFERROR(__xludf.DUMMYFUNCTION("""COMPUTED_VALUE"""),44528.4691040162)</f>
        <v>44528.4691</v>
      </c>
      <c r="D7311" s="15">
        <f>IFERROR(__xludf.DUMMYFUNCTION("""COMPUTED_VALUE"""),1.033)</f>
        <v>1.033</v>
      </c>
      <c r="E7311" s="16">
        <f>IFERROR(__xludf.DUMMYFUNCTION("""COMPUTED_VALUE"""),65.0)</f>
        <v>65</v>
      </c>
      <c r="F7311" s="19" t="str">
        <f>IFERROR(__xludf.DUMMYFUNCTION("""COMPUTED_VALUE"""),"BLUE")</f>
        <v>BLUE</v>
      </c>
      <c r="G7311" s="20" t="str">
        <f>IFERROR(__xludf.DUMMYFUNCTION("""COMPUTED_VALUE"""),"Uncle Sams Cider (11/12/2021) (Blue)")</f>
        <v>Uncle Sams Cider (11/12/2021) (Blue)</v>
      </c>
      <c r="H7311" s="19"/>
    </row>
    <row r="7312">
      <c r="A7312" s="9"/>
      <c r="B7312" s="15"/>
      <c r="C7312" s="9">
        <f>IFERROR(__xludf.DUMMYFUNCTION("""COMPUTED_VALUE"""),44528.4586823611)</f>
        <v>44528.45868</v>
      </c>
      <c r="D7312" s="15">
        <f>IFERROR(__xludf.DUMMYFUNCTION("""COMPUTED_VALUE"""),1.033)</f>
        <v>1.033</v>
      </c>
      <c r="E7312" s="16">
        <f>IFERROR(__xludf.DUMMYFUNCTION("""COMPUTED_VALUE"""),65.0)</f>
        <v>65</v>
      </c>
      <c r="F7312" s="19" t="str">
        <f>IFERROR(__xludf.DUMMYFUNCTION("""COMPUTED_VALUE"""),"BLUE")</f>
        <v>BLUE</v>
      </c>
      <c r="G7312" s="20" t="str">
        <f>IFERROR(__xludf.DUMMYFUNCTION("""COMPUTED_VALUE"""),"Uncle Sams Cider (11/12/2021) (Blue)")</f>
        <v>Uncle Sams Cider (11/12/2021) (Blue)</v>
      </c>
      <c r="H7312" s="19"/>
    </row>
    <row r="7313">
      <c r="A7313" s="9"/>
      <c r="B7313" s="15"/>
      <c r="C7313" s="9">
        <f>IFERROR(__xludf.DUMMYFUNCTION("""COMPUTED_VALUE"""),44528.4482632986)</f>
        <v>44528.44826</v>
      </c>
      <c r="D7313" s="15">
        <f>IFERROR(__xludf.DUMMYFUNCTION("""COMPUTED_VALUE"""),1.033)</f>
        <v>1.033</v>
      </c>
      <c r="E7313" s="16">
        <f>IFERROR(__xludf.DUMMYFUNCTION("""COMPUTED_VALUE"""),65.0)</f>
        <v>65</v>
      </c>
      <c r="F7313" s="19" t="str">
        <f>IFERROR(__xludf.DUMMYFUNCTION("""COMPUTED_VALUE"""),"BLUE")</f>
        <v>BLUE</v>
      </c>
      <c r="G7313" s="20" t="str">
        <f>IFERROR(__xludf.DUMMYFUNCTION("""COMPUTED_VALUE"""),"Uncle Sams Cider (11/12/2021) (Blue)")</f>
        <v>Uncle Sams Cider (11/12/2021) (Blue)</v>
      </c>
      <c r="H7313" s="19"/>
    </row>
    <row r="7314">
      <c r="A7314" s="9"/>
      <c r="B7314" s="15"/>
      <c r="C7314" s="9">
        <f>IFERROR(__xludf.DUMMYFUNCTION("""COMPUTED_VALUE"""),44528.4378420949)</f>
        <v>44528.43784</v>
      </c>
      <c r="D7314" s="15">
        <f>IFERROR(__xludf.DUMMYFUNCTION("""COMPUTED_VALUE"""),1.033)</f>
        <v>1.033</v>
      </c>
      <c r="E7314" s="16">
        <f>IFERROR(__xludf.DUMMYFUNCTION("""COMPUTED_VALUE"""),65.0)</f>
        <v>65</v>
      </c>
      <c r="F7314" s="19" t="str">
        <f>IFERROR(__xludf.DUMMYFUNCTION("""COMPUTED_VALUE"""),"BLUE")</f>
        <v>BLUE</v>
      </c>
      <c r="G7314" s="20" t="str">
        <f>IFERROR(__xludf.DUMMYFUNCTION("""COMPUTED_VALUE"""),"Uncle Sams Cider (11/12/2021) (Blue)")</f>
        <v>Uncle Sams Cider (11/12/2021) (Blue)</v>
      </c>
      <c r="H7314" s="19"/>
    </row>
    <row r="7315">
      <c r="A7315" s="9"/>
      <c r="B7315" s="15"/>
      <c r="C7315" s="9">
        <f>IFERROR(__xludf.DUMMYFUNCTION("""COMPUTED_VALUE"""),44528.4274203356)</f>
        <v>44528.42742</v>
      </c>
      <c r="D7315" s="15">
        <f>IFERROR(__xludf.DUMMYFUNCTION("""COMPUTED_VALUE"""),1.033)</f>
        <v>1.033</v>
      </c>
      <c r="E7315" s="16">
        <f>IFERROR(__xludf.DUMMYFUNCTION("""COMPUTED_VALUE"""),65.0)</f>
        <v>65</v>
      </c>
      <c r="F7315" s="19" t="str">
        <f>IFERROR(__xludf.DUMMYFUNCTION("""COMPUTED_VALUE"""),"BLUE")</f>
        <v>BLUE</v>
      </c>
      <c r="G7315" s="20" t="str">
        <f>IFERROR(__xludf.DUMMYFUNCTION("""COMPUTED_VALUE"""),"Uncle Sams Cider (11/12/2021) (Blue)")</f>
        <v>Uncle Sams Cider (11/12/2021) (Blue)</v>
      </c>
      <c r="H7315" s="19"/>
    </row>
    <row r="7316">
      <c r="A7316" s="9"/>
      <c r="B7316" s="15"/>
      <c r="C7316" s="9">
        <f>IFERROR(__xludf.DUMMYFUNCTION("""COMPUTED_VALUE"""),44528.4169882986)</f>
        <v>44528.41699</v>
      </c>
      <c r="D7316" s="15">
        <f>IFERROR(__xludf.DUMMYFUNCTION("""COMPUTED_VALUE"""),1.033)</f>
        <v>1.033</v>
      </c>
      <c r="E7316" s="16">
        <f>IFERROR(__xludf.DUMMYFUNCTION("""COMPUTED_VALUE"""),65.0)</f>
        <v>65</v>
      </c>
      <c r="F7316" s="19" t="str">
        <f>IFERROR(__xludf.DUMMYFUNCTION("""COMPUTED_VALUE"""),"BLUE")</f>
        <v>BLUE</v>
      </c>
      <c r="G7316" s="20" t="str">
        <f>IFERROR(__xludf.DUMMYFUNCTION("""COMPUTED_VALUE"""),"Uncle Sams Cider (11/12/2021) (Blue)")</f>
        <v>Uncle Sams Cider (11/12/2021) (Blue)</v>
      </c>
      <c r="H7316" s="19"/>
    </row>
    <row r="7317">
      <c r="A7317" s="9"/>
      <c r="B7317" s="15"/>
      <c r="C7317" s="9">
        <f>IFERROR(__xludf.DUMMYFUNCTION("""COMPUTED_VALUE"""),44528.4065679745)</f>
        <v>44528.40657</v>
      </c>
      <c r="D7317" s="15">
        <f>IFERROR(__xludf.DUMMYFUNCTION("""COMPUTED_VALUE"""),1.033)</f>
        <v>1.033</v>
      </c>
      <c r="E7317" s="16">
        <f>IFERROR(__xludf.DUMMYFUNCTION("""COMPUTED_VALUE"""),65.0)</f>
        <v>65</v>
      </c>
      <c r="F7317" s="19" t="str">
        <f>IFERROR(__xludf.DUMMYFUNCTION("""COMPUTED_VALUE"""),"BLUE")</f>
        <v>BLUE</v>
      </c>
      <c r="G7317" s="20" t="str">
        <f>IFERROR(__xludf.DUMMYFUNCTION("""COMPUTED_VALUE"""),"Uncle Sams Cider (11/12/2021) (Blue)")</f>
        <v>Uncle Sams Cider (11/12/2021) (Blue)</v>
      </c>
      <c r="H7317" s="19"/>
    </row>
    <row r="7318">
      <c r="A7318" s="9"/>
      <c r="B7318" s="15"/>
      <c r="C7318" s="9">
        <f>IFERROR(__xludf.DUMMYFUNCTION("""COMPUTED_VALUE"""),44528.3961456944)</f>
        <v>44528.39615</v>
      </c>
      <c r="D7318" s="15">
        <f>IFERROR(__xludf.DUMMYFUNCTION("""COMPUTED_VALUE"""),1.033)</f>
        <v>1.033</v>
      </c>
      <c r="E7318" s="16">
        <f>IFERROR(__xludf.DUMMYFUNCTION("""COMPUTED_VALUE"""),65.0)</f>
        <v>65</v>
      </c>
      <c r="F7318" s="19" t="str">
        <f>IFERROR(__xludf.DUMMYFUNCTION("""COMPUTED_VALUE"""),"BLUE")</f>
        <v>BLUE</v>
      </c>
      <c r="G7318" s="20" t="str">
        <f>IFERROR(__xludf.DUMMYFUNCTION("""COMPUTED_VALUE"""),"Uncle Sams Cider (11/12/2021) (Blue)")</f>
        <v>Uncle Sams Cider (11/12/2021) (Blue)</v>
      </c>
      <c r="H7318" s="19"/>
    </row>
    <row r="7319">
      <c r="A7319" s="9"/>
      <c r="B7319" s="15"/>
      <c r="C7319" s="9">
        <f>IFERROR(__xludf.DUMMYFUNCTION("""COMPUTED_VALUE"""),44528.3857236458)</f>
        <v>44528.38572</v>
      </c>
      <c r="D7319" s="15">
        <f>IFERROR(__xludf.DUMMYFUNCTION("""COMPUTED_VALUE"""),1.033)</f>
        <v>1.033</v>
      </c>
      <c r="E7319" s="16">
        <f>IFERROR(__xludf.DUMMYFUNCTION("""COMPUTED_VALUE"""),65.0)</f>
        <v>65</v>
      </c>
      <c r="F7319" s="19" t="str">
        <f>IFERROR(__xludf.DUMMYFUNCTION("""COMPUTED_VALUE"""),"BLUE")</f>
        <v>BLUE</v>
      </c>
      <c r="G7319" s="20" t="str">
        <f>IFERROR(__xludf.DUMMYFUNCTION("""COMPUTED_VALUE"""),"Uncle Sams Cider (11/12/2021) (Blue)")</f>
        <v>Uncle Sams Cider (11/12/2021) (Blue)</v>
      </c>
      <c r="H7319" s="19"/>
    </row>
    <row r="7320">
      <c r="A7320" s="9"/>
      <c r="B7320" s="15"/>
      <c r="C7320" s="9">
        <f>IFERROR(__xludf.DUMMYFUNCTION("""COMPUTED_VALUE"""),44528.3753040393)</f>
        <v>44528.3753</v>
      </c>
      <c r="D7320" s="15">
        <f>IFERROR(__xludf.DUMMYFUNCTION("""COMPUTED_VALUE"""),1.033)</f>
        <v>1.033</v>
      </c>
      <c r="E7320" s="16">
        <f>IFERROR(__xludf.DUMMYFUNCTION("""COMPUTED_VALUE"""),65.0)</f>
        <v>65</v>
      </c>
      <c r="F7320" s="19" t="str">
        <f>IFERROR(__xludf.DUMMYFUNCTION("""COMPUTED_VALUE"""),"BLUE")</f>
        <v>BLUE</v>
      </c>
      <c r="G7320" s="20" t="str">
        <f>IFERROR(__xludf.DUMMYFUNCTION("""COMPUTED_VALUE"""),"Uncle Sams Cider (11/12/2021) (Blue)")</f>
        <v>Uncle Sams Cider (11/12/2021) (Blue)</v>
      </c>
      <c r="H7320" s="19"/>
    </row>
    <row r="7321">
      <c r="A7321" s="9"/>
      <c r="B7321" s="15"/>
      <c r="C7321" s="9">
        <f>IFERROR(__xludf.DUMMYFUNCTION("""COMPUTED_VALUE"""),44528.3648703587)</f>
        <v>44528.36487</v>
      </c>
      <c r="D7321" s="15">
        <f>IFERROR(__xludf.DUMMYFUNCTION("""COMPUTED_VALUE"""),1.033)</f>
        <v>1.033</v>
      </c>
      <c r="E7321" s="16">
        <f>IFERROR(__xludf.DUMMYFUNCTION("""COMPUTED_VALUE"""),65.0)</f>
        <v>65</v>
      </c>
      <c r="F7321" s="19" t="str">
        <f>IFERROR(__xludf.DUMMYFUNCTION("""COMPUTED_VALUE"""),"BLUE")</f>
        <v>BLUE</v>
      </c>
      <c r="G7321" s="20" t="str">
        <f>IFERROR(__xludf.DUMMYFUNCTION("""COMPUTED_VALUE"""),"Uncle Sams Cider (11/12/2021) (Blue)")</f>
        <v>Uncle Sams Cider (11/12/2021) (Blue)</v>
      </c>
      <c r="H7321" s="19"/>
    </row>
    <row r="7322">
      <c r="A7322" s="9"/>
      <c r="B7322" s="15"/>
      <c r="C7322" s="9">
        <f>IFERROR(__xludf.DUMMYFUNCTION("""COMPUTED_VALUE"""),44528.3544501273)</f>
        <v>44528.35445</v>
      </c>
      <c r="D7322" s="15">
        <f>IFERROR(__xludf.DUMMYFUNCTION("""COMPUTED_VALUE"""),1.033)</f>
        <v>1.033</v>
      </c>
      <c r="E7322" s="16">
        <f>IFERROR(__xludf.DUMMYFUNCTION("""COMPUTED_VALUE"""),65.0)</f>
        <v>65</v>
      </c>
      <c r="F7322" s="19" t="str">
        <f>IFERROR(__xludf.DUMMYFUNCTION("""COMPUTED_VALUE"""),"BLUE")</f>
        <v>BLUE</v>
      </c>
      <c r="G7322" s="20" t="str">
        <f>IFERROR(__xludf.DUMMYFUNCTION("""COMPUTED_VALUE"""),"Uncle Sams Cider (11/12/2021) (Blue)")</f>
        <v>Uncle Sams Cider (11/12/2021) (Blue)</v>
      </c>
      <c r="H7322" s="19"/>
    </row>
    <row r="7323">
      <c r="A7323" s="9"/>
      <c r="B7323" s="15"/>
      <c r="C7323" s="9">
        <f>IFERROR(__xludf.DUMMYFUNCTION("""COMPUTED_VALUE"""),44528.3440282638)</f>
        <v>44528.34403</v>
      </c>
      <c r="D7323" s="15">
        <f>IFERROR(__xludf.DUMMYFUNCTION("""COMPUTED_VALUE"""),1.033)</f>
        <v>1.033</v>
      </c>
      <c r="E7323" s="16">
        <f>IFERROR(__xludf.DUMMYFUNCTION("""COMPUTED_VALUE"""),65.0)</f>
        <v>65</v>
      </c>
      <c r="F7323" s="19" t="str">
        <f>IFERROR(__xludf.DUMMYFUNCTION("""COMPUTED_VALUE"""),"BLUE")</f>
        <v>BLUE</v>
      </c>
      <c r="G7323" s="20" t="str">
        <f>IFERROR(__xludf.DUMMYFUNCTION("""COMPUTED_VALUE"""),"Uncle Sams Cider (11/12/2021) (Blue)")</f>
        <v>Uncle Sams Cider (11/12/2021) (Blue)</v>
      </c>
      <c r="H7323" s="19"/>
    </row>
    <row r="7324">
      <c r="A7324" s="9"/>
      <c r="B7324" s="15"/>
      <c r="C7324" s="9">
        <f>IFERROR(__xludf.DUMMYFUNCTION("""COMPUTED_VALUE"""),44528.333607037)</f>
        <v>44528.33361</v>
      </c>
      <c r="D7324" s="15">
        <f>IFERROR(__xludf.DUMMYFUNCTION("""COMPUTED_VALUE"""),1.033)</f>
        <v>1.033</v>
      </c>
      <c r="E7324" s="16">
        <f>IFERROR(__xludf.DUMMYFUNCTION("""COMPUTED_VALUE"""),65.0)</f>
        <v>65</v>
      </c>
      <c r="F7324" s="19" t="str">
        <f>IFERROR(__xludf.DUMMYFUNCTION("""COMPUTED_VALUE"""),"BLUE")</f>
        <v>BLUE</v>
      </c>
      <c r="G7324" s="20" t="str">
        <f>IFERROR(__xludf.DUMMYFUNCTION("""COMPUTED_VALUE"""),"Uncle Sams Cider (11/12/2021) (Blue)")</f>
        <v>Uncle Sams Cider (11/12/2021) (Blue)</v>
      </c>
      <c r="H7324" s="19"/>
    </row>
    <row r="7325">
      <c r="A7325" s="9"/>
      <c r="B7325" s="15"/>
      <c r="C7325" s="9">
        <f>IFERROR(__xludf.DUMMYFUNCTION("""COMPUTED_VALUE"""),44528.3231860879)</f>
        <v>44528.32319</v>
      </c>
      <c r="D7325" s="15">
        <f>IFERROR(__xludf.DUMMYFUNCTION("""COMPUTED_VALUE"""),1.033)</f>
        <v>1.033</v>
      </c>
      <c r="E7325" s="16">
        <f>IFERROR(__xludf.DUMMYFUNCTION("""COMPUTED_VALUE"""),65.0)</f>
        <v>65</v>
      </c>
      <c r="F7325" s="19" t="str">
        <f>IFERROR(__xludf.DUMMYFUNCTION("""COMPUTED_VALUE"""),"BLUE")</f>
        <v>BLUE</v>
      </c>
      <c r="G7325" s="20" t="str">
        <f>IFERROR(__xludf.DUMMYFUNCTION("""COMPUTED_VALUE"""),"Uncle Sams Cider (11/12/2021) (Blue)")</f>
        <v>Uncle Sams Cider (11/12/2021) (Blue)</v>
      </c>
      <c r="H7325" s="19"/>
    </row>
    <row r="7326">
      <c r="A7326" s="9"/>
      <c r="B7326" s="15"/>
      <c r="C7326" s="9">
        <f>IFERROR(__xludf.DUMMYFUNCTION("""COMPUTED_VALUE"""),44528.3127670486)</f>
        <v>44528.31277</v>
      </c>
      <c r="D7326" s="15">
        <f>IFERROR(__xludf.DUMMYFUNCTION("""COMPUTED_VALUE"""),1.033)</f>
        <v>1.033</v>
      </c>
      <c r="E7326" s="16">
        <f>IFERROR(__xludf.DUMMYFUNCTION("""COMPUTED_VALUE"""),65.0)</f>
        <v>65</v>
      </c>
      <c r="F7326" s="19" t="str">
        <f>IFERROR(__xludf.DUMMYFUNCTION("""COMPUTED_VALUE"""),"BLUE")</f>
        <v>BLUE</v>
      </c>
      <c r="G7326" s="20" t="str">
        <f>IFERROR(__xludf.DUMMYFUNCTION("""COMPUTED_VALUE"""),"Uncle Sams Cider (11/12/2021) (Blue)")</f>
        <v>Uncle Sams Cider (11/12/2021) (Blue)</v>
      </c>
      <c r="H7326" s="19"/>
    </row>
    <row r="7327">
      <c r="A7327" s="9"/>
      <c r="B7327" s="15"/>
      <c r="C7327" s="9">
        <f>IFERROR(__xludf.DUMMYFUNCTION("""COMPUTED_VALUE"""),44528.3023455324)</f>
        <v>44528.30235</v>
      </c>
      <c r="D7327" s="15">
        <f>IFERROR(__xludf.DUMMYFUNCTION("""COMPUTED_VALUE"""),1.033)</f>
        <v>1.033</v>
      </c>
      <c r="E7327" s="16">
        <f>IFERROR(__xludf.DUMMYFUNCTION("""COMPUTED_VALUE"""),65.0)</f>
        <v>65</v>
      </c>
      <c r="F7327" s="19" t="str">
        <f>IFERROR(__xludf.DUMMYFUNCTION("""COMPUTED_VALUE"""),"BLUE")</f>
        <v>BLUE</v>
      </c>
      <c r="G7327" s="20" t="str">
        <f>IFERROR(__xludf.DUMMYFUNCTION("""COMPUTED_VALUE"""),"Uncle Sams Cider (11/12/2021) (Blue)")</f>
        <v>Uncle Sams Cider (11/12/2021) (Blue)</v>
      </c>
      <c r="H7327" s="19"/>
    </row>
    <row r="7328">
      <c r="A7328" s="9"/>
      <c r="B7328" s="15"/>
      <c r="C7328" s="9">
        <f>IFERROR(__xludf.DUMMYFUNCTION("""COMPUTED_VALUE"""),44528.2919129976)</f>
        <v>44528.29191</v>
      </c>
      <c r="D7328" s="15">
        <f>IFERROR(__xludf.DUMMYFUNCTION("""COMPUTED_VALUE"""),1.033)</f>
        <v>1.033</v>
      </c>
      <c r="E7328" s="16">
        <f>IFERROR(__xludf.DUMMYFUNCTION("""COMPUTED_VALUE"""),65.0)</f>
        <v>65</v>
      </c>
      <c r="F7328" s="19" t="str">
        <f>IFERROR(__xludf.DUMMYFUNCTION("""COMPUTED_VALUE"""),"BLUE")</f>
        <v>BLUE</v>
      </c>
      <c r="G7328" s="20" t="str">
        <f>IFERROR(__xludf.DUMMYFUNCTION("""COMPUTED_VALUE"""),"Uncle Sams Cider (11/12/2021) (Blue)")</f>
        <v>Uncle Sams Cider (11/12/2021) (Blue)</v>
      </c>
      <c r="H7328" s="19"/>
    </row>
    <row r="7329">
      <c r="A7329" s="9"/>
      <c r="B7329" s="15"/>
      <c r="C7329" s="9">
        <f>IFERROR(__xludf.DUMMYFUNCTION("""COMPUTED_VALUE"""),44528.2814910069)</f>
        <v>44528.28149</v>
      </c>
      <c r="D7329" s="15">
        <f>IFERROR(__xludf.DUMMYFUNCTION("""COMPUTED_VALUE"""),1.033)</f>
        <v>1.033</v>
      </c>
      <c r="E7329" s="16">
        <f>IFERROR(__xludf.DUMMYFUNCTION("""COMPUTED_VALUE"""),65.0)</f>
        <v>65</v>
      </c>
      <c r="F7329" s="19" t="str">
        <f>IFERROR(__xludf.DUMMYFUNCTION("""COMPUTED_VALUE"""),"BLUE")</f>
        <v>BLUE</v>
      </c>
      <c r="G7329" s="20" t="str">
        <f>IFERROR(__xludf.DUMMYFUNCTION("""COMPUTED_VALUE"""),"Uncle Sams Cider (11/12/2021) (Blue)")</f>
        <v>Uncle Sams Cider (11/12/2021) (Blue)</v>
      </c>
      <c r="H7329" s="19"/>
    </row>
    <row r="7330">
      <c r="A7330" s="9"/>
      <c r="B7330" s="15"/>
      <c r="C7330" s="9">
        <f>IFERROR(__xludf.DUMMYFUNCTION("""COMPUTED_VALUE"""),44528.2710567361)</f>
        <v>44528.27106</v>
      </c>
      <c r="D7330" s="15">
        <f>IFERROR(__xludf.DUMMYFUNCTION("""COMPUTED_VALUE"""),1.033)</f>
        <v>1.033</v>
      </c>
      <c r="E7330" s="16">
        <f>IFERROR(__xludf.DUMMYFUNCTION("""COMPUTED_VALUE"""),65.0)</f>
        <v>65</v>
      </c>
      <c r="F7330" s="19" t="str">
        <f>IFERROR(__xludf.DUMMYFUNCTION("""COMPUTED_VALUE"""),"BLUE")</f>
        <v>BLUE</v>
      </c>
      <c r="G7330" s="20" t="str">
        <f>IFERROR(__xludf.DUMMYFUNCTION("""COMPUTED_VALUE"""),"Uncle Sams Cider (11/12/2021) (Blue)")</f>
        <v>Uncle Sams Cider (11/12/2021) (Blue)</v>
      </c>
      <c r="H7330" s="19"/>
    </row>
    <row r="7331">
      <c r="A7331" s="9"/>
      <c r="B7331" s="15"/>
      <c r="C7331" s="9">
        <f>IFERROR(__xludf.DUMMYFUNCTION("""COMPUTED_VALUE"""),44528.2606360995)</f>
        <v>44528.26064</v>
      </c>
      <c r="D7331" s="15">
        <f>IFERROR(__xludf.DUMMYFUNCTION("""COMPUTED_VALUE"""),1.033)</f>
        <v>1.033</v>
      </c>
      <c r="E7331" s="16">
        <f>IFERROR(__xludf.DUMMYFUNCTION("""COMPUTED_VALUE"""),65.0)</f>
        <v>65</v>
      </c>
      <c r="F7331" s="19" t="str">
        <f>IFERROR(__xludf.DUMMYFUNCTION("""COMPUTED_VALUE"""),"BLUE")</f>
        <v>BLUE</v>
      </c>
      <c r="G7331" s="20" t="str">
        <f>IFERROR(__xludf.DUMMYFUNCTION("""COMPUTED_VALUE"""),"Uncle Sams Cider (11/12/2021) (Blue)")</f>
        <v>Uncle Sams Cider (11/12/2021) (Blue)</v>
      </c>
      <c r="H7331" s="19"/>
    </row>
    <row r="7332">
      <c r="A7332" s="9"/>
      <c r="B7332" s="15"/>
      <c r="C7332" s="9">
        <f>IFERROR(__xludf.DUMMYFUNCTION("""COMPUTED_VALUE"""),44528.250214699)</f>
        <v>44528.25021</v>
      </c>
      <c r="D7332" s="15">
        <f>IFERROR(__xludf.DUMMYFUNCTION("""COMPUTED_VALUE"""),1.033)</f>
        <v>1.033</v>
      </c>
      <c r="E7332" s="16">
        <f>IFERROR(__xludf.DUMMYFUNCTION("""COMPUTED_VALUE"""),65.0)</f>
        <v>65</v>
      </c>
      <c r="F7332" s="19" t="str">
        <f>IFERROR(__xludf.DUMMYFUNCTION("""COMPUTED_VALUE"""),"BLUE")</f>
        <v>BLUE</v>
      </c>
      <c r="G7332" s="20" t="str">
        <f>IFERROR(__xludf.DUMMYFUNCTION("""COMPUTED_VALUE"""),"Uncle Sams Cider (11/12/2021) (Blue)")</f>
        <v>Uncle Sams Cider (11/12/2021) (Blue)</v>
      </c>
      <c r="H7332" s="19"/>
    </row>
    <row r="7333">
      <c r="A7333" s="9"/>
      <c r="B7333" s="15"/>
      <c r="C7333" s="9">
        <f>IFERROR(__xludf.DUMMYFUNCTION("""COMPUTED_VALUE"""),44528.239792743)</f>
        <v>44528.23979</v>
      </c>
      <c r="D7333" s="15">
        <f>IFERROR(__xludf.DUMMYFUNCTION("""COMPUTED_VALUE"""),1.033)</f>
        <v>1.033</v>
      </c>
      <c r="E7333" s="16">
        <f>IFERROR(__xludf.DUMMYFUNCTION("""COMPUTED_VALUE"""),65.0)</f>
        <v>65</v>
      </c>
      <c r="F7333" s="19" t="str">
        <f>IFERROR(__xludf.DUMMYFUNCTION("""COMPUTED_VALUE"""),"BLUE")</f>
        <v>BLUE</v>
      </c>
      <c r="G7333" s="20" t="str">
        <f>IFERROR(__xludf.DUMMYFUNCTION("""COMPUTED_VALUE"""),"Uncle Sams Cider (11/12/2021) (Blue)")</f>
        <v>Uncle Sams Cider (11/12/2021) (Blue)</v>
      </c>
      <c r="H7333" s="19"/>
    </row>
    <row r="7334">
      <c r="A7334" s="9"/>
      <c r="B7334" s="15"/>
      <c r="C7334" s="9">
        <f>IFERROR(__xludf.DUMMYFUNCTION("""COMPUTED_VALUE"""),44528.2293709027)</f>
        <v>44528.22937</v>
      </c>
      <c r="D7334" s="15">
        <f>IFERROR(__xludf.DUMMYFUNCTION("""COMPUTED_VALUE"""),1.033)</f>
        <v>1.033</v>
      </c>
      <c r="E7334" s="16">
        <f>IFERROR(__xludf.DUMMYFUNCTION("""COMPUTED_VALUE"""),65.0)</f>
        <v>65</v>
      </c>
      <c r="F7334" s="19" t="str">
        <f>IFERROR(__xludf.DUMMYFUNCTION("""COMPUTED_VALUE"""),"BLUE")</f>
        <v>BLUE</v>
      </c>
      <c r="G7334" s="20" t="str">
        <f>IFERROR(__xludf.DUMMYFUNCTION("""COMPUTED_VALUE"""),"Uncle Sams Cider (11/12/2021) (Blue)")</f>
        <v>Uncle Sams Cider (11/12/2021) (Blue)</v>
      </c>
      <c r="H7334" s="19"/>
    </row>
    <row r="7335">
      <c r="A7335" s="9"/>
      <c r="B7335" s="15"/>
      <c r="C7335" s="9">
        <f>IFERROR(__xludf.DUMMYFUNCTION("""COMPUTED_VALUE"""),44528.2189389351)</f>
        <v>44528.21894</v>
      </c>
      <c r="D7335" s="15">
        <f>IFERROR(__xludf.DUMMYFUNCTION("""COMPUTED_VALUE"""),1.033)</f>
        <v>1.033</v>
      </c>
      <c r="E7335" s="16">
        <f>IFERROR(__xludf.DUMMYFUNCTION("""COMPUTED_VALUE"""),65.0)</f>
        <v>65</v>
      </c>
      <c r="F7335" s="19" t="str">
        <f>IFERROR(__xludf.DUMMYFUNCTION("""COMPUTED_VALUE"""),"BLUE")</f>
        <v>BLUE</v>
      </c>
      <c r="G7335" s="20" t="str">
        <f>IFERROR(__xludf.DUMMYFUNCTION("""COMPUTED_VALUE"""),"Uncle Sams Cider (11/12/2021) (Blue)")</f>
        <v>Uncle Sams Cider (11/12/2021) (Blue)</v>
      </c>
      <c r="H7335" s="19"/>
    </row>
    <row r="7336">
      <c r="A7336" s="9"/>
      <c r="B7336" s="15"/>
      <c r="C7336" s="9">
        <f>IFERROR(__xludf.DUMMYFUNCTION("""COMPUTED_VALUE"""),44528.2085047338)</f>
        <v>44528.2085</v>
      </c>
      <c r="D7336" s="15">
        <f>IFERROR(__xludf.DUMMYFUNCTION("""COMPUTED_VALUE"""),1.033)</f>
        <v>1.033</v>
      </c>
      <c r="E7336" s="16">
        <f>IFERROR(__xludf.DUMMYFUNCTION("""COMPUTED_VALUE"""),65.0)</f>
        <v>65</v>
      </c>
      <c r="F7336" s="19" t="str">
        <f>IFERROR(__xludf.DUMMYFUNCTION("""COMPUTED_VALUE"""),"BLUE")</f>
        <v>BLUE</v>
      </c>
      <c r="G7336" s="20" t="str">
        <f>IFERROR(__xludf.DUMMYFUNCTION("""COMPUTED_VALUE"""),"Uncle Sams Cider (11/12/2021) (Blue)")</f>
        <v>Uncle Sams Cider (11/12/2021) (Blue)</v>
      </c>
      <c r="H7336" s="19"/>
    </row>
    <row r="7337">
      <c r="A7337" s="9"/>
      <c r="B7337" s="15"/>
      <c r="C7337" s="9">
        <f>IFERROR(__xludf.DUMMYFUNCTION("""COMPUTED_VALUE"""),44528.1980841087)</f>
        <v>44528.19808</v>
      </c>
      <c r="D7337" s="15">
        <f>IFERROR(__xludf.DUMMYFUNCTION("""COMPUTED_VALUE"""),1.033)</f>
        <v>1.033</v>
      </c>
      <c r="E7337" s="16">
        <f>IFERROR(__xludf.DUMMYFUNCTION("""COMPUTED_VALUE"""),65.0)</f>
        <v>65</v>
      </c>
      <c r="F7337" s="19" t="str">
        <f>IFERROR(__xludf.DUMMYFUNCTION("""COMPUTED_VALUE"""),"BLUE")</f>
        <v>BLUE</v>
      </c>
      <c r="G7337" s="20" t="str">
        <f>IFERROR(__xludf.DUMMYFUNCTION("""COMPUTED_VALUE"""),"Uncle Sams Cider (11/12/2021) (Blue)")</f>
        <v>Uncle Sams Cider (11/12/2021) (Blue)</v>
      </c>
      <c r="H7337" s="19"/>
    </row>
    <row r="7338">
      <c r="A7338" s="9"/>
      <c r="B7338" s="15"/>
      <c r="C7338" s="9">
        <f>IFERROR(__xludf.DUMMYFUNCTION("""COMPUTED_VALUE"""),44528.1876644213)</f>
        <v>44528.18766</v>
      </c>
      <c r="D7338" s="15">
        <f>IFERROR(__xludf.DUMMYFUNCTION("""COMPUTED_VALUE"""),1.033)</f>
        <v>1.033</v>
      </c>
      <c r="E7338" s="16">
        <f>IFERROR(__xludf.DUMMYFUNCTION("""COMPUTED_VALUE"""),65.0)</f>
        <v>65</v>
      </c>
      <c r="F7338" s="19" t="str">
        <f>IFERROR(__xludf.DUMMYFUNCTION("""COMPUTED_VALUE"""),"BLUE")</f>
        <v>BLUE</v>
      </c>
      <c r="G7338" s="20" t="str">
        <f>IFERROR(__xludf.DUMMYFUNCTION("""COMPUTED_VALUE"""),"Uncle Sams Cider (11/12/2021) (Blue)")</f>
        <v>Uncle Sams Cider (11/12/2021) (Blue)</v>
      </c>
      <c r="H7338" s="19"/>
    </row>
    <row r="7339">
      <c r="A7339" s="9"/>
      <c r="B7339" s="15"/>
      <c r="C7339" s="9">
        <f>IFERROR(__xludf.DUMMYFUNCTION("""COMPUTED_VALUE"""),44528.1772429398)</f>
        <v>44528.17724</v>
      </c>
      <c r="D7339" s="15">
        <f>IFERROR(__xludf.DUMMYFUNCTION("""COMPUTED_VALUE"""),1.033)</f>
        <v>1.033</v>
      </c>
      <c r="E7339" s="16">
        <f>IFERROR(__xludf.DUMMYFUNCTION("""COMPUTED_VALUE"""),65.0)</f>
        <v>65</v>
      </c>
      <c r="F7339" s="19" t="str">
        <f>IFERROR(__xludf.DUMMYFUNCTION("""COMPUTED_VALUE"""),"BLUE")</f>
        <v>BLUE</v>
      </c>
      <c r="G7339" s="20" t="str">
        <f>IFERROR(__xludf.DUMMYFUNCTION("""COMPUTED_VALUE"""),"Uncle Sams Cider (11/12/2021) (Blue)")</f>
        <v>Uncle Sams Cider (11/12/2021) (Blue)</v>
      </c>
      <c r="H7339" s="19"/>
    </row>
    <row r="7340">
      <c r="A7340" s="9"/>
      <c r="B7340" s="15"/>
      <c r="C7340" s="9">
        <f>IFERROR(__xludf.DUMMYFUNCTION("""COMPUTED_VALUE"""),44528.166823287)</f>
        <v>44528.16682</v>
      </c>
      <c r="D7340" s="15">
        <f>IFERROR(__xludf.DUMMYFUNCTION("""COMPUTED_VALUE"""),1.033)</f>
        <v>1.033</v>
      </c>
      <c r="E7340" s="16">
        <f>IFERROR(__xludf.DUMMYFUNCTION("""COMPUTED_VALUE"""),65.0)</f>
        <v>65</v>
      </c>
      <c r="F7340" s="19" t="str">
        <f>IFERROR(__xludf.DUMMYFUNCTION("""COMPUTED_VALUE"""),"BLUE")</f>
        <v>BLUE</v>
      </c>
      <c r="G7340" s="20" t="str">
        <f>IFERROR(__xludf.DUMMYFUNCTION("""COMPUTED_VALUE"""),"Uncle Sams Cider (11/12/2021) (Blue)")</f>
        <v>Uncle Sams Cider (11/12/2021) (Blue)</v>
      </c>
      <c r="H7340" s="19"/>
    </row>
    <row r="7341">
      <c r="A7341" s="9"/>
      <c r="B7341" s="15"/>
      <c r="C7341" s="9">
        <f>IFERROR(__xludf.DUMMYFUNCTION("""COMPUTED_VALUE"""),44528.1564023148)</f>
        <v>44528.1564</v>
      </c>
      <c r="D7341" s="15">
        <f>IFERROR(__xludf.DUMMYFUNCTION("""COMPUTED_VALUE"""),1.033)</f>
        <v>1.033</v>
      </c>
      <c r="E7341" s="16">
        <f>IFERROR(__xludf.DUMMYFUNCTION("""COMPUTED_VALUE"""),65.0)</f>
        <v>65</v>
      </c>
      <c r="F7341" s="19" t="str">
        <f>IFERROR(__xludf.DUMMYFUNCTION("""COMPUTED_VALUE"""),"BLUE")</f>
        <v>BLUE</v>
      </c>
      <c r="G7341" s="20" t="str">
        <f>IFERROR(__xludf.DUMMYFUNCTION("""COMPUTED_VALUE"""),"Uncle Sams Cider (11/12/2021) (Blue)")</f>
        <v>Uncle Sams Cider (11/12/2021) (Blue)</v>
      </c>
      <c r="H7341" s="19"/>
    </row>
    <row r="7342">
      <c r="A7342" s="9"/>
      <c r="B7342" s="15"/>
      <c r="C7342" s="9">
        <f>IFERROR(__xludf.DUMMYFUNCTION("""COMPUTED_VALUE"""),44528.1459793287)</f>
        <v>44528.14598</v>
      </c>
      <c r="D7342" s="15">
        <f>IFERROR(__xludf.DUMMYFUNCTION("""COMPUTED_VALUE"""),1.033)</f>
        <v>1.033</v>
      </c>
      <c r="E7342" s="16">
        <f>IFERROR(__xludf.DUMMYFUNCTION("""COMPUTED_VALUE"""),65.0)</f>
        <v>65</v>
      </c>
      <c r="F7342" s="19" t="str">
        <f>IFERROR(__xludf.DUMMYFUNCTION("""COMPUTED_VALUE"""),"BLUE")</f>
        <v>BLUE</v>
      </c>
      <c r="G7342" s="20" t="str">
        <f>IFERROR(__xludf.DUMMYFUNCTION("""COMPUTED_VALUE"""),"Uncle Sams Cider (11/12/2021) (Blue)")</f>
        <v>Uncle Sams Cider (11/12/2021) (Blue)</v>
      </c>
      <c r="H7342" s="19"/>
    </row>
    <row r="7343">
      <c r="A7343" s="9"/>
      <c r="B7343" s="15"/>
      <c r="C7343" s="9">
        <f>IFERROR(__xludf.DUMMYFUNCTION("""COMPUTED_VALUE"""),44528.1355586805)</f>
        <v>44528.13556</v>
      </c>
      <c r="D7343" s="15">
        <f>IFERROR(__xludf.DUMMYFUNCTION("""COMPUTED_VALUE"""),1.033)</f>
        <v>1.033</v>
      </c>
      <c r="E7343" s="16">
        <f>IFERROR(__xludf.DUMMYFUNCTION("""COMPUTED_VALUE"""),65.0)</f>
        <v>65</v>
      </c>
      <c r="F7343" s="19" t="str">
        <f>IFERROR(__xludf.DUMMYFUNCTION("""COMPUTED_VALUE"""),"BLUE")</f>
        <v>BLUE</v>
      </c>
      <c r="G7343" s="20" t="str">
        <f>IFERROR(__xludf.DUMMYFUNCTION("""COMPUTED_VALUE"""),"Uncle Sams Cider (11/12/2021) (Blue)")</f>
        <v>Uncle Sams Cider (11/12/2021) (Blue)</v>
      </c>
      <c r="H7343" s="19"/>
    </row>
    <row r="7344">
      <c r="A7344" s="9"/>
      <c r="B7344" s="15"/>
      <c r="C7344" s="9">
        <f>IFERROR(__xludf.DUMMYFUNCTION("""COMPUTED_VALUE"""),44528.1251248495)</f>
        <v>44528.12512</v>
      </c>
      <c r="D7344" s="15">
        <f>IFERROR(__xludf.DUMMYFUNCTION("""COMPUTED_VALUE"""),1.033)</f>
        <v>1.033</v>
      </c>
      <c r="E7344" s="16">
        <f>IFERROR(__xludf.DUMMYFUNCTION("""COMPUTED_VALUE"""),65.0)</f>
        <v>65</v>
      </c>
      <c r="F7344" s="19" t="str">
        <f>IFERROR(__xludf.DUMMYFUNCTION("""COMPUTED_VALUE"""),"BLUE")</f>
        <v>BLUE</v>
      </c>
      <c r="G7344" s="20" t="str">
        <f>IFERROR(__xludf.DUMMYFUNCTION("""COMPUTED_VALUE"""),"Uncle Sams Cider (11/12/2021) (Blue)")</f>
        <v>Uncle Sams Cider (11/12/2021) (Blue)</v>
      </c>
      <c r="H7344" s="19"/>
    </row>
    <row r="7345">
      <c r="A7345" s="9"/>
      <c r="B7345" s="15"/>
      <c r="C7345" s="9">
        <f>IFERROR(__xludf.DUMMYFUNCTION("""COMPUTED_VALUE"""),44528.1147035648)</f>
        <v>44528.1147</v>
      </c>
      <c r="D7345" s="15">
        <f>IFERROR(__xludf.DUMMYFUNCTION("""COMPUTED_VALUE"""),1.033)</f>
        <v>1.033</v>
      </c>
      <c r="E7345" s="16">
        <f>IFERROR(__xludf.DUMMYFUNCTION("""COMPUTED_VALUE"""),65.0)</f>
        <v>65</v>
      </c>
      <c r="F7345" s="19" t="str">
        <f>IFERROR(__xludf.DUMMYFUNCTION("""COMPUTED_VALUE"""),"BLUE")</f>
        <v>BLUE</v>
      </c>
      <c r="G7345" s="20" t="str">
        <f>IFERROR(__xludf.DUMMYFUNCTION("""COMPUTED_VALUE"""),"Uncle Sams Cider (11/12/2021) (Blue)")</f>
        <v>Uncle Sams Cider (11/12/2021) (Blue)</v>
      </c>
      <c r="H7345" s="19"/>
    </row>
    <row r="7346">
      <c r="A7346" s="9"/>
      <c r="B7346" s="15"/>
      <c r="C7346" s="9">
        <f>IFERROR(__xludf.DUMMYFUNCTION("""COMPUTED_VALUE"""),44528.1042818634)</f>
        <v>44528.10428</v>
      </c>
      <c r="D7346" s="15">
        <f>IFERROR(__xludf.DUMMYFUNCTION("""COMPUTED_VALUE"""),1.033)</f>
        <v>1.033</v>
      </c>
      <c r="E7346" s="16">
        <f>IFERROR(__xludf.DUMMYFUNCTION("""COMPUTED_VALUE"""),65.0)</f>
        <v>65</v>
      </c>
      <c r="F7346" s="19" t="str">
        <f>IFERROR(__xludf.DUMMYFUNCTION("""COMPUTED_VALUE"""),"BLUE")</f>
        <v>BLUE</v>
      </c>
      <c r="G7346" s="20" t="str">
        <f>IFERROR(__xludf.DUMMYFUNCTION("""COMPUTED_VALUE"""),"Uncle Sams Cider (11/12/2021) (Blue)")</f>
        <v>Uncle Sams Cider (11/12/2021) (Blue)</v>
      </c>
      <c r="H7346" s="19"/>
    </row>
    <row r="7347">
      <c r="A7347" s="9"/>
      <c r="B7347" s="15"/>
      <c r="C7347" s="9">
        <f>IFERROR(__xludf.DUMMYFUNCTION("""COMPUTED_VALUE"""),44528.0938602662)</f>
        <v>44528.09386</v>
      </c>
      <c r="D7347" s="15">
        <f>IFERROR(__xludf.DUMMYFUNCTION("""COMPUTED_VALUE"""),1.033)</f>
        <v>1.033</v>
      </c>
      <c r="E7347" s="16">
        <f>IFERROR(__xludf.DUMMYFUNCTION("""COMPUTED_VALUE"""),65.0)</f>
        <v>65</v>
      </c>
      <c r="F7347" s="19" t="str">
        <f>IFERROR(__xludf.DUMMYFUNCTION("""COMPUTED_VALUE"""),"BLUE")</f>
        <v>BLUE</v>
      </c>
      <c r="G7347" s="20" t="str">
        <f>IFERROR(__xludf.DUMMYFUNCTION("""COMPUTED_VALUE"""),"Uncle Sams Cider (11/12/2021) (Blue)")</f>
        <v>Uncle Sams Cider (11/12/2021) (Blue)</v>
      </c>
      <c r="H7347" s="19"/>
    </row>
    <row r="7348">
      <c r="A7348" s="9"/>
      <c r="B7348" s="15"/>
      <c r="C7348" s="9">
        <f>IFERROR(__xludf.DUMMYFUNCTION("""COMPUTED_VALUE"""),44528.0834295486)</f>
        <v>44528.08343</v>
      </c>
      <c r="D7348" s="15">
        <f>IFERROR(__xludf.DUMMYFUNCTION("""COMPUTED_VALUE"""),1.033)</f>
        <v>1.033</v>
      </c>
      <c r="E7348" s="16">
        <f>IFERROR(__xludf.DUMMYFUNCTION("""COMPUTED_VALUE"""),65.0)</f>
        <v>65</v>
      </c>
      <c r="F7348" s="19" t="str">
        <f>IFERROR(__xludf.DUMMYFUNCTION("""COMPUTED_VALUE"""),"BLUE")</f>
        <v>BLUE</v>
      </c>
      <c r="G7348" s="20" t="str">
        <f>IFERROR(__xludf.DUMMYFUNCTION("""COMPUTED_VALUE"""),"Uncle Sams Cider (11/12/2021) (Blue)")</f>
        <v>Uncle Sams Cider (11/12/2021) (Blue)</v>
      </c>
      <c r="H7348" s="19"/>
    </row>
    <row r="7349">
      <c r="A7349" s="9"/>
      <c r="B7349" s="15"/>
      <c r="C7349" s="9">
        <f>IFERROR(__xludf.DUMMYFUNCTION("""COMPUTED_VALUE"""),44528.0730092939)</f>
        <v>44528.07301</v>
      </c>
      <c r="D7349" s="15">
        <f>IFERROR(__xludf.DUMMYFUNCTION("""COMPUTED_VALUE"""),1.034)</f>
        <v>1.034</v>
      </c>
      <c r="E7349" s="16">
        <f>IFERROR(__xludf.DUMMYFUNCTION("""COMPUTED_VALUE"""),65.0)</f>
        <v>65</v>
      </c>
      <c r="F7349" s="19" t="str">
        <f>IFERROR(__xludf.DUMMYFUNCTION("""COMPUTED_VALUE"""),"BLUE")</f>
        <v>BLUE</v>
      </c>
      <c r="G7349" s="20" t="str">
        <f>IFERROR(__xludf.DUMMYFUNCTION("""COMPUTED_VALUE"""),"Uncle Sams Cider (11/12/2021) (Blue)")</f>
        <v>Uncle Sams Cider (11/12/2021) (Blue)</v>
      </c>
      <c r="H7349" s="19"/>
    </row>
    <row r="7350">
      <c r="A7350" s="9"/>
      <c r="B7350" s="15"/>
      <c r="C7350" s="9">
        <f>IFERROR(__xludf.DUMMYFUNCTION("""COMPUTED_VALUE"""),44528.0625872916)</f>
        <v>44528.06259</v>
      </c>
      <c r="D7350" s="15">
        <f>IFERROR(__xludf.DUMMYFUNCTION("""COMPUTED_VALUE"""),1.033)</f>
        <v>1.033</v>
      </c>
      <c r="E7350" s="16">
        <f>IFERROR(__xludf.DUMMYFUNCTION("""COMPUTED_VALUE"""),65.0)</f>
        <v>65</v>
      </c>
      <c r="F7350" s="19" t="str">
        <f>IFERROR(__xludf.DUMMYFUNCTION("""COMPUTED_VALUE"""),"BLUE")</f>
        <v>BLUE</v>
      </c>
      <c r="G7350" s="20" t="str">
        <f>IFERROR(__xludf.DUMMYFUNCTION("""COMPUTED_VALUE"""),"Uncle Sams Cider (11/12/2021) (Blue)")</f>
        <v>Uncle Sams Cider (11/12/2021) (Blue)</v>
      </c>
      <c r="H7350" s="19"/>
    </row>
    <row r="7351">
      <c r="A7351" s="9"/>
      <c r="B7351" s="15"/>
      <c r="C7351" s="9">
        <f>IFERROR(__xludf.DUMMYFUNCTION("""COMPUTED_VALUE"""),44528.0521656134)</f>
        <v>44528.05217</v>
      </c>
      <c r="D7351" s="15">
        <f>IFERROR(__xludf.DUMMYFUNCTION("""COMPUTED_VALUE"""),1.033)</f>
        <v>1.033</v>
      </c>
      <c r="E7351" s="16">
        <f>IFERROR(__xludf.DUMMYFUNCTION("""COMPUTED_VALUE"""),65.0)</f>
        <v>65</v>
      </c>
      <c r="F7351" s="19" t="str">
        <f>IFERROR(__xludf.DUMMYFUNCTION("""COMPUTED_VALUE"""),"BLUE")</f>
        <v>BLUE</v>
      </c>
      <c r="G7351" s="20" t="str">
        <f>IFERROR(__xludf.DUMMYFUNCTION("""COMPUTED_VALUE"""),"Uncle Sams Cider (11/12/2021) (Blue)")</f>
        <v>Uncle Sams Cider (11/12/2021) (Blue)</v>
      </c>
      <c r="H7351" s="19"/>
    </row>
    <row r="7352">
      <c r="A7352" s="9"/>
      <c r="B7352" s="15"/>
      <c r="C7352" s="9">
        <f>IFERROR(__xludf.DUMMYFUNCTION("""COMPUTED_VALUE"""),44528.041743206)</f>
        <v>44528.04174</v>
      </c>
      <c r="D7352" s="15">
        <f>IFERROR(__xludf.DUMMYFUNCTION("""COMPUTED_VALUE"""),1.034)</f>
        <v>1.034</v>
      </c>
      <c r="E7352" s="16">
        <f>IFERROR(__xludf.DUMMYFUNCTION("""COMPUTED_VALUE"""),65.0)</f>
        <v>65</v>
      </c>
      <c r="F7352" s="19" t="str">
        <f>IFERROR(__xludf.DUMMYFUNCTION("""COMPUTED_VALUE"""),"BLUE")</f>
        <v>BLUE</v>
      </c>
      <c r="G7352" s="20" t="str">
        <f>IFERROR(__xludf.DUMMYFUNCTION("""COMPUTED_VALUE"""),"Uncle Sams Cider (11/12/2021) (Blue)")</f>
        <v>Uncle Sams Cider (11/12/2021) (Blue)</v>
      </c>
      <c r="H7352" s="19"/>
    </row>
    <row r="7353">
      <c r="A7353" s="9"/>
      <c r="B7353" s="15"/>
      <c r="C7353" s="9">
        <f>IFERROR(__xludf.DUMMYFUNCTION("""COMPUTED_VALUE"""),44528.0313240046)</f>
        <v>44528.03132</v>
      </c>
      <c r="D7353" s="15">
        <f>IFERROR(__xludf.DUMMYFUNCTION("""COMPUTED_VALUE"""),1.034)</f>
        <v>1.034</v>
      </c>
      <c r="E7353" s="16">
        <f>IFERROR(__xludf.DUMMYFUNCTION("""COMPUTED_VALUE"""),65.0)</f>
        <v>65</v>
      </c>
      <c r="F7353" s="19" t="str">
        <f>IFERROR(__xludf.DUMMYFUNCTION("""COMPUTED_VALUE"""),"BLUE")</f>
        <v>BLUE</v>
      </c>
      <c r="G7353" s="20" t="str">
        <f>IFERROR(__xludf.DUMMYFUNCTION("""COMPUTED_VALUE"""),"Uncle Sams Cider (11/12/2021) (Blue)")</f>
        <v>Uncle Sams Cider (11/12/2021) (Blue)</v>
      </c>
      <c r="H7353" s="19"/>
    </row>
    <row r="7354">
      <c r="A7354" s="9"/>
      <c r="B7354" s="15"/>
      <c r="C7354" s="9">
        <f>IFERROR(__xludf.DUMMYFUNCTION("""COMPUTED_VALUE"""),44528.0208906481)</f>
        <v>44528.02089</v>
      </c>
      <c r="D7354" s="15">
        <f>IFERROR(__xludf.DUMMYFUNCTION("""COMPUTED_VALUE"""),1.034)</f>
        <v>1.034</v>
      </c>
      <c r="E7354" s="16">
        <f>IFERROR(__xludf.DUMMYFUNCTION("""COMPUTED_VALUE"""),65.0)</f>
        <v>65</v>
      </c>
      <c r="F7354" s="19" t="str">
        <f>IFERROR(__xludf.DUMMYFUNCTION("""COMPUTED_VALUE"""),"BLUE")</f>
        <v>BLUE</v>
      </c>
      <c r="G7354" s="20" t="str">
        <f>IFERROR(__xludf.DUMMYFUNCTION("""COMPUTED_VALUE"""),"Uncle Sams Cider (11/12/2021) (Blue)")</f>
        <v>Uncle Sams Cider (11/12/2021) (Blue)</v>
      </c>
      <c r="H7354" s="19"/>
    </row>
    <row r="7355">
      <c r="A7355" s="9"/>
      <c r="B7355" s="15"/>
      <c r="C7355" s="9">
        <f>IFERROR(__xludf.DUMMYFUNCTION("""COMPUTED_VALUE"""),44528.0104715509)</f>
        <v>44528.01047</v>
      </c>
      <c r="D7355" s="15">
        <f>IFERROR(__xludf.DUMMYFUNCTION("""COMPUTED_VALUE"""),1.034)</f>
        <v>1.034</v>
      </c>
      <c r="E7355" s="16">
        <f>IFERROR(__xludf.DUMMYFUNCTION("""COMPUTED_VALUE"""),65.0)</f>
        <v>65</v>
      </c>
      <c r="F7355" s="19" t="str">
        <f>IFERROR(__xludf.DUMMYFUNCTION("""COMPUTED_VALUE"""),"BLUE")</f>
        <v>BLUE</v>
      </c>
      <c r="G7355" s="20" t="str">
        <f>IFERROR(__xludf.DUMMYFUNCTION("""COMPUTED_VALUE"""),"Uncle Sams Cider (11/12/2021) (Blue)")</f>
        <v>Uncle Sams Cider (11/12/2021) (Blue)</v>
      </c>
      <c r="H7355" s="19"/>
    </row>
    <row r="7356">
      <c r="A7356" s="9"/>
      <c r="B7356" s="15"/>
      <c r="C7356" s="9">
        <f>IFERROR(__xludf.DUMMYFUNCTION("""COMPUTED_VALUE"""),44528.0000508217)</f>
        <v>44528.00005</v>
      </c>
      <c r="D7356" s="15">
        <f>IFERROR(__xludf.DUMMYFUNCTION("""COMPUTED_VALUE"""),1.034)</f>
        <v>1.034</v>
      </c>
      <c r="E7356" s="16">
        <f>IFERROR(__xludf.DUMMYFUNCTION("""COMPUTED_VALUE"""),65.0)</f>
        <v>65</v>
      </c>
      <c r="F7356" s="19" t="str">
        <f>IFERROR(__xludf.DUMMYFUNCTION("""COMPUTED_VALUE"""),"BLUE")</f>
        <v>BLUE</v>
      </c>
      <c r="G7356" s="20" t="str">
        <f>IFERROR(__xludf.DUMMYFUNCTION("""COMPUTED_VALUE"""),"Uncle Sams Cider (11/12/2021) (Blue)")</f>
        <v>Uncle Sams Cider (11/12/2021) (Blue)</v>
      </c>
      <c r="H7356" s="19"/>
    </row>
    <row r="7357">
      <c r="A7357" s="9"/>
      <c r="B7357" s="15"/>
      <c r="C7357" s="9">
        <f>IFERROR(__xludf.DUMMYFUNCTION("""COMPUTED_VALUE"""),44527.9896282986)</f>
        <v>44527.98963</v>
      </c>
      <c r="D7357" s="15">
        <f>IFERROR(__xludf.DUMMYFUNCTION("""COMPUTED_VALUE"""),1.033)</f>
        <v>1.033</v>
      </c>
      <c r="E7357" s="16">
        <f>IFERROR(__xludf.DUMMYFUNCTION("""COMPUTED_VALUE"""),65.0)</f>
        <v>65</v>
      </c>
      <c r="F7357" s="19" t="str">
        <f>IFERROR(__xludf.DUMMYFUNCTION("""COMPUTED_VALUE"""),"BLUE")</f>
        <v>BLUE</v>
      </c>
      <c r="G7357" s="20" t="str">
        <f>IFERROR(__xludf.DUMMYFUNCTION("""COMPUTED_VALUE"""),"Uncle Sams Cider (11/12/2021) (Blue)")</f>
        <v>Uncle Sams Cider (11/12/2021) (Blue)</v>
      </c>
      <c r="H7357" s="19"/>
    </row>
    <row r="7358">
      <c r="A7358" s="9"/>
      <c r="B7358" s="15"/>
      <c r="C7358" s="9">
        <f>IFERROR(__xludf.DUMMYFUNCTION("""COMPUTED_VALUE"""),44527.9792060416)</f>
        <v>44527.97921</v>
      </c>
      <c r="D7358" s="15">
        <f>IFERROR(__xludf.DUMMYFUNCTION("""COMPUTED_VALUE"""),1.034)</f>
        <v>1.034</v>
      </c>
      <c r="E7358" s="16">
        <f>IFERROR(__xludf.DUMMYFUNCTION("""COMPUTED_VALUE"""),65.0)</f>
        <v>65</v>
      </c>
      <c r="F7358" s="19" t="str">
        <f>IFERROR(__xludf.DUMMYFUNCTION("""COMPUTED_VALUE"""),"BLUE")</f>
        <v>BLUE</v>
      </c>
      <c r="G7358" s="20" t="str">
        <f>IFERROR(__xludf.DUMMYFUNCTION("""COMPUTED_VALUE"""),"Uncle Sams Cider (11/12/2021) (Blue)")</f>
        <v>Uncle Sams Cider (11/12/2021) (Blue)</v>
      </c>
      <c r="H7358" s="19"/>
    </row>
    <row r="7359">
      <c r="A7359" s="9"/>
      <c r="B7359" s="15"/>
      <c r="C7359" s="9">
        <f>IFERROR(__xludf.DUMMYFUNCTION("""COMPUTED_VALUE"""),44527.9687842361)</f>
        <v>44527.96878</v>
      </c>
      <c r="D7359" s="15">
        <f>IFERROR(__xludf.DUMMYFUNCTION("""COMPUTED_VALUE"""),1.034)</f>
        <v>1.034</v>
      </c>
      <c r="E7359" s="16">
        <f>IFERROR(__xludf.DUMMYFUNCTION("""COMPUTED_VALUE"""),65.0)</f>
        <v>65</v>
      </c>
      <c r="F7359" s="19" t="str">
        <f>IFERROR(__xludf.DUMMYFUNCTION("""COMPUTED_VALUE"""),"BLUE")</f>
        <v>BLUE</v>
      </c>
      <c r="G7359" s="20" t="str">
        <f>IFERROR(__xludf.DUMMYFUNCTION("""COMPUTED_VALUE"""),"Uncle Sams Cider (11/12/2021) (Blue)")</f>
        <v>Uncle Sams Cider (11/12/2021) (Blue)</v>
      </c>
      <c r="H7359" s="19"/>
    </row>
    <row r="7360">
      <c r="A7360" s="9"/>
      <c r="B7360" s="15"/>
      <c r="C7360" s="9">
        <f>IFERROR(__xludf.DUMMYFUNCTION("""COMPUTED_VALUE"""),44527.9583626041)</f>
        <v>44527.95836</v>
      </c>
      <c r="D7360" s="15">
        <f>IFERROR(__xludf.DUMMYFUNCTION("""COMPUTED_VALUE"""),1.034)</f>
        <v>1.034</v>
      </c>
      <c r="E7360" s="16">
        <f>IFERROR(__xludf.DUMMYFUNCTION("""COMPUTED_VALUE"""),65.0)</f>
        <v>65</v>
      </c>
      <c r="F7360" s="19" t="str">
        <f>IFERROR(__xludf.DUMMYFUNCTION("""COMPUTED_VALUE"""),"BLUE")</f>
        <v>BLUE</v>
      </c>
      <c r="G7360" s="20" t="str">
        <f>IFERROR(__xludf.DUMMYFUNCTION("""COMPUTED_VALUE"""),"Uncle Sams Cider (11/12/2021) (Blue)")</f>
        <v>Uncle Sams Cider (11/12/2021) (Blue)</v>
      </c>
      <c r="H7360" s="19"/>
    </row>
    <row r="7361">
      <c r="A7361" s="9"/>
      <c r="B7361" s="15"/>
      <c r="C7361" s="9">
        <f>IFERROR(__xludf.DUMMYFUNCTION("""COMPUTED_VALUE"""),44527.947928831)</f>
        <v>44527.94793</v>
      </c>
      <c r="D7361" s="15">
        <f>IFERROR(__xludf.DUMMYFUNCTION("""COMPUTED_VALUE"""),1.034)</f>
        <v>1.034</v>
      </c>
      <c r="E7361" s="16">
        <f>IFERROR(__xludf.DUMMYFUNCTION("""COMPUTED_VALUE"""),65.0)</f>
        <v>65</v>
      </c>
      <c r="F7361" s="19" t="str">
        <f>IFERROR(__xludf.DUMMYFUNCTION("""COMPUTED_VALUE"""),"BLUE")</f>
        <v>BLUE</v>
      </c>
      <c r="G7361" s="20" t="str">
        <f>IFERROR(__xludf.DUMMYFUNCTION("""COMPUTED_VALUE"""),"Uncle Sams Cider (11/12/2021) (Blue)")</f>
        <v>Uncle Sams Cider (11/12/2021) (Blue)</v>
      </c>
      <c r="H7361" s="19"/>
    </row>
    <row r="7362">
      <c r="A7362" s="9"/>
      <c r="B7362" s="15"/>
      <c r="C7362" s="9">
        <f>IFERROR(__xludf.DUMMYFUNCTION("""COMPUTED_VALUE"""),44527.9375085763)</f>
        <v>44527.93751</v>
      </c>
      <c r="D7362" s="15">
        <f>IFERROR(__xludf.DUMMYFUNCTION("""COMPUTED_VALUE"""),1.034)</f>
        <v>1.034</v>
      </c>
      <c r="E7362" s="16">
        <f>IFERROR(__xludf.DUMMYFUNCTION("""COMPUTED_VALUE"""),65.0)</f>
        <v>65</v>
      </c>
      <c r="F7362" s="19" t="str">
        <f>IFERROR(__xludf.DUMMYFUNCTION("""COMPUTED_VALUE"""),"BLUE")</f>
        <v>BLUE</v>
      </c>
      <c r="G7362" s="20" t="str">
        <f>IFERROR(__xludf.DUMMYFUNCTION("""COMPUTED_VALUE"""),"Uncle Sams Cider (11/12/2021) (Blue)")</f>
        <v>Uncle Sams Cider (11/12/2021) (Blue)</v>
      </c>
      <c r="H7362" s="19"/>
    </row>
    <row r="7363">
      <c r="A7363" s="9"/>
      <c r="B7363" s="15"/>
      <c r="C7363" s="9">
        <f>IFERROR(__xludf.DUMMYFUNCTION("""COMPUTED_VALUE"""),44527.9270882291)</f>
        <v>44527.92709</v>
      </c>
      <c r="D7363" s="15">
        <f>IFERROR(__xludf.DUMMYFUNCTION("""COMPUTED_VALUE"""),1.034)</f>
        <v>1.034</v>
      </c>
      <c r="E7363" s="16">
        <f>IFERROR(__xludf.DUMMYFUNCTION("""COMPUTED_VALUE"""),65.0)</f>
        <v>65</v>
      </c>
      <c r="F7363" s="19" t="str">
        <f>IFERROR(__xludf.DUMMYFUNCTION("""COMPUTED_VALUE"""),"BLUE")</f>
        <v>BLUE</v>
      </c>
      <c r="G7363" s="20" t="str">
        <f>IFERROR(__xludf.DUMMYFUNCTION("""COMPUTED_VALUE"""),"Uncle Sams Cider (11/12/2021) (Blue)")</f>
        <v>Uncle Sams Cider (11/12/2021) (Blue)</v>
      </c>
      <c r="H7363" s="19"/>
    </row>
    <row r="7364">
      <c r="A7364" s="9"/>
      <c r="B7364" s="15"/>
      <c r="C7364" s="9">
        <f>IFERROR(__xludf.DUMMYFUNCTION("""COMPUTED_VALUE"""),44527.9166681944)</f>
        <v>44527.91667</v>
      </c>
      <c r="D7364" s="15">
        <f>IFERROR(__xludf.DUMMYFUNCTION("""COMPUTED_VALUE"""),1.034)</f>
        <v>1.034</v>
      </c>
      <c r="E7364" s="16">
        <f>IFERROR(__xludf.DUMMYFUNCTION("""COMPUTED_VALUE"""),65.0)</f>
        <v>65</v>
      </c>
      <c r="F7364" s="19" t="str">
        <f>IFERROR(__xludf.DUMMYFUNCTION("""COMPUTED_VALUE"""),"BLUE")</f>
        <v>BLUE</v>
      </c>
      <c r="G7364" s="20" t="str">
        <f>IFERROR(__xludf.DUMMYFUNCTION("""COMPUTED_VALUE"""),"Uncle Sams Cider (11/12/2021) (Blue)")</f>
        <v>Uncle Sams Cider (11/12/2021) (Blue)</v>
      </c>
      <c r="H7364" s="19"/>
    </row>
    <row r="7365">
      <c r="A7365" s="9"/>
      <c r="B7365" s="15"/>
      <c r="C7365" s="9">
        <f>IFERROR(__xludf.DUMMYFUNCTION("""COMPUTED_VALUE"""),44527.9062473495)</f>
        <v>44527.90625</v>
      </c>
      <c r="D7365" s="15">
        <f>IFERROR(__xludf.DUMMYFUNCTION("""COMPUTED_VALUE"""),1.034)</f>
        <v>1.034</v>
      </c>
      <c r="E7365" s="16">
        <f>IFERROR(__xludf.DUMMYFUNCTION("""COMPUTED_VALUE"""),65.0)</f>
        <v>65</v>
      </c>
      <c r="F7365" s="19" t="str">
        <f>IFERROR(__xludf.DUMMYFUNCTION("""COMPUTED_VALUE"""),"BLUE")</f>
        <v>BLUE</v>
      </c>
      <c r="G7365" s="20" t="str">
        <f>IFERROR(__xludf.DUMMYFUNCTION("""COMPUTED_VALUE"""),"Uncle Sams Cider (11/12/2021) (Blue)")</f>
        <v>Uncle Sams Cider (11/12/2021) (Blue)</v>
      </c>
      <c r="H7365" s="19"/>
    </row>
    <row r="7366">
      <c r="A7366" s="9"/>
      <c r="B7366" s="15"/>
      <c r="C7366" s="9">
        <f>IFERROR(__xludf.DUMMYFUNCTION("""COMPUTED_VALUE"""),44527.8958271064)</f>
        <v>44527.89583</v>
      </c>
      <c r="D7366" s="15">
        <f>IFERROR(__xludf.DUMMYFUNCTION("""COMPUTED_VALUE"""),1.034)</f>
        <v>1.034</v>
      </c>
      <c r="E7366" s="16">
        <f>IFERROR(__xludf.DUMMYFUNCTION("""COMPUTED_VALUE"""),65.0)</f>
        <v>65</v>
      </c>
      <c r="F7366" s="19" t="str">
        <f>IFERROR(__xludf.DUMMYFUNCTION("""COMPUTED_VALUE"""),"BLUE")</f>
        <v>BLUE</v>
      </c>
      <c r="G7366" s="20" t="str">
        <f>IFERROR(__xludf.DUMMYFUNCTION("""COMPUTED_VALUE"""),"Uncle Sams Cider (11/12/2021) (Blue)")</f>
        <v>Uncle Sams Cider (11/12/2021) (Blue)</v>
      </c>
      <c r="H7366" s="19"/>
    </row>
    <row r="7367">
      <c r="A7367" s="9"/>
      <c r="B7367" s="15"/>
      <c r="C7367" s="9">
        <f>IFERROR(__xludf.DUMMYFUNCTION("""COMPUTED_VALUE"""),44527.8854064583)</f>
        <v>44527.88541</v>
      </c>
      <c r="D7367" s="15">
        <f>IFERROR(__xludf.DUMMYFUNCTION("""COMPUTED_VALUE"""),1.034)</f>
        <v>1.034</v>
      </c>
      <c r="E7367" s="16">
        <f>IFERROR(__xludf.DUMMYFUNCTION("""COMPUTED_VALUE"""),65.0)</f>
        <v>65</v>
      </c>
      <c r="F7367" s="19" t="str">
        <f>IFERROR(__xludf.DUMMYFUNCTION("""COMPUTED_VALUE"""),"BLUE")</f>
        <v>BLUE</v>
      </c>
      <c r="G7367" s="20" t="str">
        <f>IFERROR(__xludf.DUMMYFUNCTION("""COMPUTED_VALUE"""),"Uncle Sams Cider (11/12/2021) (Blue)")</f>
        <v>Uncle Sams Cider (11/12/2021) (Blue)</v>
      </c>
      <c r="H7367" s="19"/>
    </row>
    <row r="7368">
      <c r="A7368" s="9"/>
      <c r="B7368" s="15"/>
      <c r="C7368" s="9">
        <f>IFERROR(__xludf.DUMMYFUNCTION("""COMPUTED_VALUE"""),44527.8749859143)</f>
        <v>44527.87499</v>
      </c>
      <c r="D7368" s="15">
        <f>IFERROR(__xludf.DUMMYFUNCTION("""COMPUTED_VALUE"""),1.034)</f>
        <v>1.034</v>
      </c>
      <c r="E7368" s="16">
        <f>IFERROR(__xludf.DUMMYFUNCTION("""COMPUTED_VALUE"""),65.0)</f>
        <v>65</v>
      </c>
      <c r="F7368" s="19" t="str">
        <f>IFERROR(__xludf.DUMMYFUNCTION("""COMPUTED_VALUE"""),"BLUE")</f>
        <v>BLUE</v>
      </c>
      <c r="G7368" s="20" t="str">
        <f>IFERROR(__xludf.DUMMYFUNCTION("""COMPUTED_VALUE"""),"Uncle Sams Cider (11/12/2021) (Blue)")</f>
        <v>Uncle Sams Cider (11/12/2021) (Blue)</v>
      </c>
      <c r="H7368" s="19"/>
    </row>
    <row r="7369">
      <c r="A7369" s="9"/>
      <c r="B7369" s="15"/>
      <c r="C7369" s="9">
        <f>IFERROR(__xludf.DUMMYFUNCTION("""COMPUTED_VALUE"""),44527.8645665625)</f>
        <v>44527.86457</v>
      </c>
      <c r="D7369" s="15">
        <f>IFERROR(__xludf.DUMMYFUNCTION("""COMPUTED_VALUE"""),1.034)</f>
        <v>1.034</v>
      </c>
      <c r="E7369" s="16">
        <f>IFERROR(__xludf.DUMMYFUNCTION("""COMPUTED_VALUE"""),65.0)</f>
        <v>65</v>
      </c>
      <c r="F7369" s="19" t="str">
        <f>IFERROR(__xludf.DUMMYFUNCTION("""COMPUTED_VALUE"""),"BLUE")</f>
        <v>BLUE</v>
      </c>
      <c r="G7369" s="20" t="str">
        <f>IFERROR(__xludf.DUMMYFUNCTION("""COMPUTED_VALUE"""),"Uncle Sams Cider (11/12/2021) (Blue)")</f>
        <v>Uncle Sams Cider (11/12/2021) (Blue)</v>
      </c>
      <c r="H7369" s="19"/>
    </row>
    <row r="7370">
      <c r="A7370" s="9"/>
      <c r="B7370" s="15"/>
      <c r="C7370" s="9">
        <f>IFERROR(__xludf.DUMMYFUNCTION("""COMPUTED_VALUE"""),44527.854145081)</f>
        <v>44527.85415</v>
      </c>
      <c r="D7370" s="15">
        <f>IFERROR(__xludf.DUMMYFUNCTION("""COMPUTED_VALUE"""),1.034)</f>
        <v>1.034</v>
      </c>
      <c r="E7370" s="16">
        <f>IFERROR(__xludf.DUMMYFUNCTION("""COMPUTED_VALUE"""),65.0)</f>
        <v>65</v>
      </c>
      <c r="F7370" s="19" t="str">
        <f>IFERROR(__xludf.DUMMYFUNCTION("""COMPUTED_VALUE"""),"BLUE")</f>
        <v>BLUE</v>
      </c>
      <c r="G7370" s="20" t="str">
        <f>IFERROR(__xludf.DUMMYFUNCTION("""COMPUTED_VALUE"""),"Uncle Sams Cider (11/12/2021) (Blue)")</f>
        <v>Uncle Sams Cider (11/12/2021) (Blue)</v>
      </c>
      <c r="H7370" s="19"/>
    </row>
    <row r="7371">
      <c r="A7371" s="9"/>
      <c r="B7371" s="15"/>
      <c r="C7371" s="9">
        <f>IFERROR(__xludf.DUMMYFUNCTION("""COMPUTED_VALUE"""),44527.8437229861)</f>
        <v>44527.84372</v>
      </c>
      <c r="D7371" s="15">
        <f>IFERROR(__xludf.DUMMYFUNCTION("""COMPUTED_VALUE"""),1.034)</f>
        <v>1.034</v>
      </c>
      <c r="E7371" s="16">
        <f>IFERROR(__xludf.DUMMYFUNCTION("""COMPUTED_VALUE"""),65.0)</f>
        <v>65</v>
      </c>
      <c r="F7371" s="19" t="str">
        <f>IFERROR(__xludf.DUMMYFUNCTION("""COMPUTED_VALUE"""),"BLUE")</f>
        <v>BLUE</v>
      </c>
      <c r="G7371" s="20" t="str">
        <f>IFERROR(__xludf.DUMMYFUNCTION("""COMPUTED_VALUE"""),"Uncle Sams Cider (11/12/2021) (Blue)")</f>
        <v>Uncle Sams Cider (11/12/2021) (Blue)</v>
      </c>
      <c r="H7371" s="19"/>
    </row>
    <row r="7372">
      <c r="A7372" s="9"/>
      <c r="B7372" s="15"/>
      <c r="C7372" s="9">
        <f>IFERROR(__xludf.DUMMYFUNCTION("""COMPUTED_VALUE"""),44527.833301493)</f>
        <v>44527.8333</v>
      </c>
      <c r="D7372" s="15">
        <f>IFERROR(__xludf.DUMMYFUNCTION("""COMPUTED_VALUE"""),1.034)</f>
        <v>1.034</v>
      </c>
      <c r="E7372" s="16">
        <f>IFERROR(__xludf.DUMMYFUNCTION("""COMPUTED_VALUE"""),65.0)</f>
        <v>65</v>
      </c>
      <c r="F7372" s="19" t="str">
        <f>IFERROR(__xludf.DUMMYFUNCTION("""COMPUTED_VALUE"""),"BLUE")</f>
        <v>BLUE</v>
      </c>
      <c r="G7372" s="20" t="str">
        <f>IFERROR(__xludf.DUMMYFUNCTION("""COMPUTED_VALUE"""),"Uncle Sams Cider (11/12/2021) (Blue)")</f>
        <v>Uncle Sams Cider (11/12/2021) (Blue)</v>
      </c>
      <c r="H7372" s="19"/>
    </row>
    <row r="7373">
      <c r="A7373" s="9"/>
      <c r="B7373" s="15"/>
      <c r="C7373" s="9">
        <f>IFERROR(__xludf.DUMMYFUNCTION("""COMPUTED_VALUE"""),44527.8228791435)</f>
        <v>44527.82288</v>
      </c>
      <c r="D7373" s="15">
        <f>IFERROR(__xludf.DUMMYFUNCTION("""COMPUTED_VALUE"""),1.034)</f>
        <v>1.034</v>
      </c>
      <c r="E7373" s="16">
        <f>IFERROR(__xludf.DUMMYFUNCTION("""COMPUTED_VALUE"""),65.0)</f>
        <v>65</v>
      </c>
      <c r="F7373" s="19" t="str">
        <f>IFERROR(__xludf.DUMMYFUNCTION("""COMPUTED_VALUE"""),"BLUE")</f>
        <v>BLUE</v>
      </c>
      <c r="G7373" s="20" t="str">
        <f>IFERROR(__xludf.DUMMYFUNCTION("""COMPUTED_VALUE"""),"Uncle Sams Cider (11/12/2021) (Blue)")</f>
        <v>Uncle Sams Cider (11/12/2021) (Blue)</v>
      </c>
      <c r="H7373" s="19"/>
    </row>
    <row r="7374">
      <c r="A7374" s="9"/>
      <c r="B7374" s="15"/>
      <c r="C7374" s="9">
        <f>IFERROR(__xludf.DUMMYFUNCTION("""COMPUTED_VALUE"""),44527.8124560069)</f>
        <v>44527.81246</v>
      </c>
      <c r="D7374" s="15">
        <f>IFERROR(__xludf.DUMMYFUNCTION("""COMPUTED_VALUE"""),1.034)</f>
        <v>1.034</v>
      </c>
      <c r="E7374" s="16">
        <f>IFERROR(__xludf.DUMMYFUNCTION("""COMPUTED_VALUE"""),65.0)</f>
        <v>65</v>
      </c>
      <c r="F7374" s="19" t="str">
        <f>IFERROR(__xludf.DUMMYFUNCTION("""COMPUTED_VALUE"""),"BLUE")</f>
        <v>BLUE</v>
      </c>
      <c r="G7374" s="20" t="str">
        <f>IFERROR(__xludf.DUMMYFUNCTION("""COMPUTED_VALUE"""),"Uncle Sams Cider (11/12/2021) (Blue)")</f>
        <v>Uncle Sams Cider (11/12/2021) (Blue)</v>
      </c>
      <c r="H7374" s="19"/>
    </row>
    <row r="7375">
      <c r="A7375" s="9"/>
      <c r="B7375" s="15"/>
      <c r="C7375" s="9">
        <f>IFERROR(__xludf.DUMMYFUNCTION("""COMPUTED_VALUE"""),44527.8020349305)</f>
        <v>44527.80203</v>
      </c>
      <c r="D7375" s="15">
        <f>IFERROR(__xludf.DUMMYFUNCTION("""COMPUTED_VALUE"""),1.034)</f>
        <v>1.034</v>
      </c>
      <c r="E7375" s="16">
        <f>IFERROR(__xludf.DUMMYFUNCTION("""COMPUTED_VALUE"""),65.0)</f>
        <v>65</v>
      </c>
      <c r="F7375" s="19" t="str">
        <f>IFERROR(__xludf.DUMMYFUNCTION("""COMPUTED_VALUE"""),"BLUE")</f>
        <v>BLUE</v>
      </c>
      <c r="G7375" s="20" t="str">
        <f>IFERROR(__xludf.DUMMYFUNCTION("""COMPUTED_VALUE"""),"Uncle Sams Cider (11/12/2021) (Blue)")</f>
        <v>Uncle Sams Cider (11/12/2021) (Blue)</v>
      </c>
      <c r="H7375" s="19"/>
    </row>
    <row r="7376">
      <c r="A7376" s="9"/>
      <c r="B7376" s="15"/>
      <c r="C7376" s="9">
        <f>IFERROR(__xludf.DUMMYFUNCTION("""COMPUTED_VALUE"""),44527.7916137847)</f>
        <v>44527.79161</v>
      </c>
      <c r="D7376" s="15">
        <f>IFERROR(__xludf.DUMMYFUNCTION("""COMPUTED_VALUE"""),1.034)</f>
        <v>1.034</v>
      </c>
      <c r="E7376" s="16">
        <f>IFERROR(__xludf.DUMMYFUNCTION("""COMPUTED_VALUE"""),65.0)</f>
        <v>65</v>
      </c>
      <c r="F7376" s="19" t="str">
        <f>IFERROR(__xludf.DUMMYFUNCTION("""COMPUTED_VALUE"""),"BLUE")</f>
        <v>BLUE</v>
      </c>
      <c r="G7376" s="20" t="str">
        <f>IFERROR(__xludf.DUMMYFUNCTION("""COMPUTED_VALUE"""),"Uncle Sams Cider (11/12/2021) (Blue)")</f>
        <v>Uncle Sams Cider (11/12/2021) (Blue)</v>
      </c>
      <c r="H7376" s="19"/>
    </row>
    <row r="7377">
      <c r="A7377" s="9"/>
      <c r="B7377" s="15"/>
      <c r="C7377" s="9">
        <f>IFERROR(__xludf.DUMMYFUNCTION("""COMPUTED_VALUE"""),44527.7811925347)</f>
        <v>44527.78119</v>
      </c>
      <c r="D7377" s="15">
        <f>IFERROR(__xludf.DUMMYFUNCTION("""COMPUTED_VALUE"""),1.034)</f>
        <v>1.034</v>
      </c>
      <c r="E7377" s="16">
        <f>IFERROR(__xludf.DUMMYFUNCTION("""COMPUTED_VALUE"""),65.0)</f>
        <v>65</v>
      </c>
      <c r="F7377" s="19" t="str">
        <f>IFERROR(__xludf.DUMMYFUNCTION("""COMPUTED_VALUE"""),"BLUE")</f>
        <v>BLUE</v>
      </c>
      <c r="G7377" s="20" t="str">
        <f>IFERROR(__xludf.DUMMYFUNCTION("""COMPUTED_VALUE"""),"Uncle Sams Cider (11/12/2021) (Blue)")</f>
        <v>Uncle Sams Cider (11/12/2021) (Blue)</v>
      </c>
      <c r="H7377" s="19"/>
    </row>
    <row r="7378">
      <c r="A7378" s="9"/>
      <c r="B7378" s="15"/>
      <c r="C7378" s="9">
        <f>IFERROR(__xludf.DUMMYFUNCTION("""COMPUTED_VALUE"""),44527.7707703472)</f>
        <v>44527.77077</v>
      </c>
      <c r="D7378" s="15">
        <f>IFERROR(__xludf.DUMMYFUNCTION("""COMPUTED_VALUE"""),1.034)</f>
        <v>1.034</v>
      </c>
      <c r="E7378" s="16">
        <f>IFERROR(__xludf.DUMMYFUNCTION("""COMPUTED_VALUE"""),65.0)</f>
        <v>65</v>
      </c>
      <c r="F7378" s="19" t="str">
        <f>IFERROR(__xludf.DUMMYFUNCTION("""COMPUTED_VALUE"""),"BLUE")</f>
        <v>BLUE</v>
      </c>
      <c r="G7378" s="20" t="str">
        <f>IFERROR(__xludf.DUMMYFUNCTION("""COMPUTED_VALUE"""),"Uncle Sams Cider (11/12/2021) (Blue)")</f>
        <v>Uncle Sams Cider (11/12/2021) (Blue)</v>
      </c>
      <c r="H7378" s="19"/>
    </row>
    <row r="7379">
      <c r="A7379" s="9"/>
      <c r="B7379" s="15"/>
      <c r="C7379" s="9">
        <f>IFERROR(__xludf.DUMMYFUNCTION("""COMPUTED_VALUE"""),44527.7603482986)</f>
        <v>44527.76035</v>
      </c>
      <c r="D7379" s="15">
        <f>IFERROR(__xludf.DUMMYFUNCTION("""COMPUTED_VALUE"""),1.034)</f>
        <v>1.034</v>
      </c>
      <c r="E7379" s="16">
        <f>IFERROR(__xludf.DUMMYFUNCTION("""COMPUTED_VALUE"""),65.0)</f>
        <v>65</v>
      </c>
      <c r="F7379" s="19" t="str">
        <f>IFERROR(__xludf.DUMMYFUNCTION("""COMPUTED_VALUE"""),"BLUE")</f>
        <v>BLUE</v>
      </c>
      <c r="G7379" s="20" t="str">
        <f>IFERROR(__xludf.DUMMYFUNCTION("""COMPUTED_VALUE"""),"Uncle Sams Cider (11/12/2021) (Blue)")</f>
        <v>Uncle Sams Cider (11/12/2021) (Blue)</v>
      </c>
      <c r="H7379" s="19"/>
    </row>
    <row r="7380">
      <c r="A7380" s="9"/>
      <c r="B7380" s="15"/>
      <c r="C7380" s="9">
        <f>IFERROR(__xludf.DUMMYFUNCTION("""COMPUTED_VALUE"""),44527.7499280555)</f>
        <v>44527.74993</v>
      </c>
      <c r="D7380" s="15">
        <f>IFERROR(__xludf.DUMMYFUNCTION("""COMPUTED_VALUE"""),1.034)</f>
        <v>1.034</v>
      </c>
      <c r="E7380" s="16">
        <f>IFERROR(__xludf.DUMMYFUNCTION("""COMPUTED_VALUE"""),65.0)</f>
        <v>65</v>
      </c>
      <c r="F7380" s="19" t="str">
        <f>IFERROR(__xludf.DUMMYFUNCTION("""COMPUTED_VALUE"""),"BLUE")</f>
        <v>BLUE</v>
      </c>
      <c r="G7380" s="20" t="str">
        <f>IFERROR(__xludf.DUMMYFUNCTION("""COMPUTED_VALUE"""),"Uncle Sams Cider (11/12/2021) (Blue)")</f>
        <v>Uncle Sams Cider (11/12/2021) (Blue)</v>
      </c>
      <c r="H7380" s="19"/>
    </row>
    <row r="7381">
      <c r="A7381" s="9"/>
      <c r="B7381" s="15"/>
      <c r="C7381" s="9">
        <f>IFERROR(__xludf.DUMMYFUNCTION("""COMPUTED_VALUE"""),44527.7395058101)</f>
        <v>44527.73951</v>
      </c>
      <c r="D7381" s="15">
        <f>IFERROR(__xludf.DUMMYFUNCTION("""COMPUTED_VALUE"""),1.034)</f>
        <v>1.034</v>
      </c>
      <c r="E7381" s="16">
        <f>IFERROR(__xludf.DUMMYFUNCTION("""COMPUTED_VALUE"""),65.0)</f>
        <v>65</v>
      </c>
      <c r="F7381" s="19" t="str">
        <f>IFERROR(__xludf.DUMMYFUNCTION("""COMPUTED_VALUE"""),"BLUE")</f>
        <v>BLUE</v>
      </c>
      <c r="G7381" s="20" t="str">
        <f>IFERROR(__xludf.DUMMYFUNCTION("""COMPUTED_VALUE"""),"Uncle Sams Cider (11/12/2021) (Blue)")</f>
        <v>Uncle Sams Cider (11/12/2021) (Blue)</v>
      </c>
      <c r="H7381" s="19"/>
    </row>
    <row r="7382">
      <c r="A7382" s="9"/>
      <c r="B7382" s="15"/>
      <c r="C7382" s="9">
        <f>IFERROR(__xludf.DUMMYFUNCTION("""COMPUTED_VALUE"""),44527.7290862268)</f>
        <v>44527.72909</v>
      </c>
      <c r="D7382" s="15">
        <f>IFERROR(__xludf.DUMMYFUNCTION("""COMPUTED_VALUE"""),1.034)</f>
        <v>1.034</v>
      </c>
      <c r="E7382" s="16">
        <f>IFERROR(__xludf.DUMMYFUNCTION("""COMPUTED_VALUE"""),65.0)</f>
        <v>65</v>
      </c>
      <c r="F7382" s="19" t="str">
        <f>IFERROR(__xludf.DUMMYFUNCTION("""COMPUTED_VALUE"""),"BLUE")</f>
        <v>BLUE</v>
      </c>
      <c r="G7382" s="20" t="str">
        <f>IFERROR(__xludf.DUMMYFUNCTION("""COMPUTED_VALUE"""),"Uncle Sams Cider (11/12/2021) (Blue)")</f>
        <v>Uncle Sams Cider (11/12/2021) (Blue)</v>
      </c>
      <c r="H7382" s="19"/>
    </row>
    <row r="7383">
      <c r="A7383" s="9"/>
      <c r="B7383" s="15"/>
      <c r="C7383" s="9">
        <f>IFERROR(__xludf.DUMMYFUNCTION("""COMPUTED_VALUE"""),44527.7186668055)</f>
        <v>44527.71867</v>
      </c>
      <c r="D7383" s="15">
        <f>IFERROR(__xludf.DUMMYFUNCTION("""COMPUTED_VALUE"""),1.034)</f>
        <v>1.034</v>
      </c>
      <c r="E7383" s="16">
        <f>IFERROR(__xludf.DUMMYFUNCTION("""COMPUTED_VALUE"""),65.0)</f>
        <v>65</v>
      </c>
      <c r="F7383" s="19" t="str">
        <f>IFERROR(__xludf.DUMMYFUNCTION("""COMPUTED_VALUE"""),"BLUE")</f>
        <v>BLUE</v>
      </c>
      <c r="G7383" s="20" t="str">
        <f>IFERROR(__xludf.DUMMYFUNCTION("""COMPUTED_VALUE"""),"Uncle Sams Cider (11/12/2021) (Blue)")</f>
        <v>Uncle Sams Cider (11/12/2021) (Blue)</v>
      </c>
      <c r="H7383" s="19"/>
    </row>
    <row r="7384">
      <c r="A7384" s="9"/>
      <c r="B7384" s="15"/>
      <c r="C7384" s="9">
        <f>IFERROR(__xludf.DUMMYFUNCTION("""COMPUTED_VALUE"""),44527.7082438541)</f>
        <v>44527.70824</v>
      </c>
      <c r="D7384" s="15">
        <f>IFERROR(__xludf.DUMMYFUNCTION("""COMPUTED_VALUE"""),1.034)</f>
        <v>1.034</v>
      </c>
      <c r="E7384" s="16">
        <f>IFERROR(__xludf.DUMMYFUNCTION("""COMPUTED_VALUE"""),65.0)</f>
        <v>65</v>
      </c>
      <c r="F7384" s="19" t="str">
        <f>IFERROR(__xludf.DUMMYFUNCTION("""COMPUTED_VALUE"""),"BLUE")</f>
        <v>BLUE</v>
      </c>
      <c r="G7384" s="20" t="str">
        <f>IFERROR(__xludf.DUMMYFUNCTION("""COMPUTED_VALUE"""),"Uncle Sams Cider (11/12/2021) (Blue)")</f>
        <v>Uncle Sams Cider (11/12/2021) (Blue)</v>
      </c>
      <c r="H7384" s="19"/>
    </row>
    <row r="7385">
      <c r="A7385" s="9"/>
      <c r="B7385" s="15"/>
      <c r="C7385" s="9">
        <f>IFERROR(__xludf.DUMMYFUNCTION("""COMPUTED_VALUE"""),44527.6978111689)</f>
        <v>44527.69781</v>
      </c>
      <c r="D7385" s="15">
        <f>IFERROR(__xludf.DUMMYFUNCTION("""COMPUTED_VALUE"""),1.034)</f>
        <v>1.034</v>
      </c>
      <c r="E7385" s="16">
        <f>IFERROR(__xludf.DUMMYFUNCTION("""COMPUTED_VALUE"""),65.0)</f>
        <v>65</v>
      </c>
      <c r="F7385" s="19" t="str">
        <f>IFERROR(__xludf.DUMMYFUNCTION("""COMPUTED_VALUE"""),"BLUE")</f>
        <v>BLUE</v>
      </c>
      <c r="G7385" s="20" t="str">
        <f>IFERROR(__xludf.DUMMYFUNCTION("""COMPUTED_VALUE"""),"Uncle Sams Cider (11/12/2021) (Blue)")</f>
        <v>Uncle Sams Cider (11/12/2021) (Blue)</v>
      </c>
      <c r="H7385" s="19"/>
    </row>
    <row r="7386">
      <c r="A7386" s="9"/>
      <c r="B7386" s="15"/>
      <c r="C7386" s="9">
        <f>IFERROR(__xludf.DUMMYFUNCTION("""COMPUTED_VALUE"""),44527.6873895023)</f>
        <v>44527.68739</v>
      </c>
      <c r="D7386" s="15">
        <f>IFERROR(__xludf.DUMMYFUNCTION("""COMPUTED_VALUE"""),1.034)</f>
        <v>1.034</v>
      </c>
      <c r="E7386" s="16">
        <f>IFERROR(__xludf.DUMMYFUNCTION("""COMPUTED_VALUE"""),65.0)</f>
        <v>65</v>
      </c>
      <c r="F7386" s="19" t="str">
        <f>IFERROR(__xludf.DUMMYFUNCTION("""COMPUTED_VALUE"""),"BLUE")</f>
        <v>BLUE</v>
      </c>
      <c r="G7386" s="20" t="str">
        <f>IFERROR(__xludf.DUMMYFUNCTION("""COMPUTED_VALUE"""),"Uncle Sams Cider (11/12/2021) (Blue)")</f>
        <v>Uncle Sams Cider (11/12/2021) (Blue)</v>
      </c>
      <c r="H7386" s="19"/>
    </row>
    <row r="7387">
      <c r="A7387" s="9"/>
      <c r="B7387" s="15"/>
      <c r="C7387" s="9">
        <f>IFERROR(__xludf.DUMMYFUNCTION("""COMPUTED_VALUE"""),44527.6769686458)</f>
        <v>44527.67697</v>
      </c>
      <c r="D7387" s="15">
        <f>IFERROR(__xludf.DUMMYFUNCTION("""COMPUTED_VALUE"""),1.034)</f>
        <v>1.034</v>
      </c>
      <c r="E7387" s="16">
        <f>IFERROR(__xludf.DUMMYFUNCTION("""COMPUTED_VALUE"""),65.0)</f>
        <v>65</v>
      </c>
      <c r="F7387" s="19" t="str">
        <f>IFERROR(__xludf.DUMMYFUNCTION("""COMPUTED_VALUE"""),"BLUE")</f>
        <v>BLUE</v>
      </c>
      <c r="G7387" s="20" t="str">
        <f>IFERROR(__xludf.DUMMYFUNCTION("""COMPUTED_VALUE"""),"Uncle Sams Cider (11/12/2021) (Blue)")</f>
        <v>Uncle Sams Cider (11/12/2021) (Blue)</v>
      </c>
      <c r="H7387" s="19"/>
    </row>
    <row r="7388">
      <c r="A7388" s="9"/>
      <c r="B7388" s="15"/>
      <c r="C7388" s="9">
        <f>IFERROR(__xludf.DUMMYFUNCTION("""COMPUTED_VALUE"""),44527.6665469213)</f>
        <v>44527.66655</v>
      </c>
      <c r="D7388" s="15">
        <f>IFERROR(__xludf.DUMMYFUNCTION("""COMPUTED_VALUE"""),1.034)</f>
        <v>1.034</v>
      </c>
      <c r="E7388" s="16">
        <f>IFERROR(__xludf.DUMMYFUNCTION("""COMPUTED_VALUE"""),65.0)</f>
        <v>65</v>
      </c>
      <c r="F7388" s="19" t="str">
        <f>IFERROR(__xludf.DUMMYFUNCTION("""COMPUTED_VALUE"""),"BLUE")</f>
        <v>BLUE</v>
      </c>
      <c r="G7388" s="20" t="str">
        <f>IFERROR(__xludf.DUMMYFUNCTION("""COMPUTED_VALUE"""),"Uncle Sams Cider (11/12/2021) (Blue)")</f>
        <v>Uncle Sams Cider (11/12/2021) (Blue)</v>
      </c>
      <c r="H7388" s="19"/>
    </row>
    <row r="7389">
      <c r="A7389" s="9"/>
      <c r="B7389" s="15"/>
      <c r="C7389" s="9">
        <f>IFERROR(__xludf.DUMMYFUNCTION("""COMPUTED_VALUE"""),44527.6561249652)</f>
        <v>44527.65612</v>
      </c>
      <c r="D7389" s="15">
        <f>IFERROR(__xludf.DUMMYFUNCTION("""COMPUTED_VALUE"""),1.034)</f>
        <v>1.034</v>
      </c>
      <c r="E7389" s="16">
        <f>IFERROR(__xludf.DUMMYFUNCTION("""COMPUTED_VALUE"""),65.0)</f>
        <v>65</v>
      </c>
      <c r="F7389" s="19" t="str">
        <f>IFERROR(__xludf.DUMMYFUNCTION("""COMPUTED_VALUE"""),"BLUE")</f>
        <v>BLUE</v>
      </c>
      <c r="G7389" s="20" t="str">
        <f>IFERROR(__xludf.DUMMYFUNCTION("""COMPUTED_VALUE"""),"Uncle Sams Cider (11/12/2021) (Blue)")</f>
        <v>Uncle Sams Cider (11/12/2021) (Blue)</v>
      </c>
      <c r="H7389" s="19"/>
    </row>
    <row r="7390">
      <c r="A7390" s="9"/>
      <c r="B7390" s="15"/>
      <c r="C7390" s="9">
        <f>IFERROR(__xludf.DUMMYFUNCTION("""COMPUTED_VALUE"""),44527.6457039351)</f>
        <v>44527.6457</v>
      </c>
      <c r="D7390" s="15">
        <f>IFERROR(__xludf.DUMMYFUNCTION("""COMPUTED_VALUE"""),1.034)</f>
        <v>1.034</v>
      </c>
      <c r="E7390" s="16">
        <f>IFERROR(__xludf.DUMMYFUNCTION("""COMPUTED_VALUE"""),65.0)</f>
        <v>65</v>
      </c>
      <c r="F7390" s="19" t="str">
        <f>IFERROR(__xludf.DUMMYFUNCTION("""COMPUTED_VALUE"""),"BLUE")</f>
        <v>BLUE</v>
      </c>
      <c r="G7390" s="20" t="str">
        <f>IFERROR(__xludf.DUMMYFUNCTION("""COMPUTED_VALUE"""),"Uncle Sams Cider (11/12/2021) (Blue)")</f>
        <v>Uncle Sams Cider (11/12/2021) (Blue)</v>
      </c>
      <c r="H7390" s="19"/>
    </row>
    <row r="7391">
      <c r="A7391" s="9"/>
      <c r="B7391" s="15"/>
      <c r="C7391" s="9">
        <f>IFERROR(__xludf.DUMMYFUNCTION("""COMPUTED_VALUE"""),44527.6352831018)</f>
        <v>44527.63528</v>
      </c>
      <c r="D7391" s="15">
        <f>IFERROR(__xludf.DUMMYFUNCTION("""COMPUTED_VALUE"""),1.034)</f>
        <v>1.034</v>
      </c>
      <c r="E7391" s="16">
        <f>IFERROR(__xludf.DUMMYFUNCTION("""COMPUTED_VALUE"""),65.0)</f>
        <v>65</v>
      </c>
      <c r="F7391" s="19" t="str">
        <f>IFERROR(__xludf.DUMMYFUNCTION("""COMPUTED_VALUE"""),"BLUE")</f>
        <v>BLUE</v>
      </c>
      <c r="G7391" s="20" t="str">
        <f>IFERROR(__xludf.DUMMYFUNCTION("""COMPUTED_VALUE"""),"Uncle Sams Cider (11/12/2021) (Blue)")</f>
        <v>Uncle Sams Cider (11/12/2021) (Blue)</v>
      </c>
      <c r="H7391" s="19"/>
    </row>
    <row r="7392">
      <c r="A7392" s="9"/>
      <c r="B7392" s="15"/>
      <c r="C7392" s="9">
        <f>IFERROR(__xludf.DUMMYFUNCTION("""COMPUTED_VALUE"""),44527.6248611458)</f>
        <v>44527.62486</v>
      </c>
      <c r="D7392" s="15">
        <f>IFERROR(__xludf.DUMMYFUNCTION("""COMPUTED_VALUE"""),1.034)</f>
        <v>1.034</v>
      </c>
      <c r="E7392" s="16">
        <f>IFERROR(__xludf.DUMMYFUNCTION("""COMPUTED_VALUE"""),65.0)</f>
        <v>65</v>
      </c>
      <c r="F7392" s="19" t="str">
        <f>IFERROR(__xludf.DUMMYFUNCTION("""COMPUTED_VALUE"""),"BLUE")</f>
        <v>BLUE</v>
      </c>
      <c r="G7392" s="20" t="str">
        <f>IFERROR(__xludf.DUMMYFUNCTION("""COMPUTED_VALUE"""),"Uncle Sams Cider (11/12/2021) (Blue)")</f>
        <v>Uncle Sams Cider (11/12/2021) (Blue)</v>
      </c>
      <c r="H7392" s="19"/>
    </row>
    <row r="7393">
      <c r="A7393" s="9"/>
      <c r="B7393" s="15"/>
      <c r="C7393" s="9">
        <f>IFERROR(__xludf.DUMMYFUNCTION("""COMPUTED_VALUE"""),44527.6144413078)</f>
        <v>44527.61444</v>
      </c>
      <c r="D7393" s="15">
        <f>IFERROR(__xludf.DUMMYFUNCTION("""COMPUTED_VALUE"""),1.034)</f>
        <v>1.034</v>
      </c>
      <c r="E7393" s="16">
        <f>IFERROR(__xludf.DUMMYFUNCTION("""COMPUTED_VALUE"""),65.0)</f>
        <v>65</v>
      </c>
      <c r="F7393" s="19" t="str">
        <f>IFERROR(__xludf.DUMMYFUNCTION("""COMPUTED_VALUE"""),"BLUE")</f>
        <v>BLUE</v>
      </c>
      <c r="G7393" s="20" t="str">
        <f>IFERROR(__xludf.DUMMYFUNCTION("""COMPUTED_VALUE"""),"Uncle Sams Cider (11/12/2021) (Blue)")</f>
        <v>Uncle Sams Cider (11/12/2021) (Blue)</v>
      </c>
      <c r="H7393" s="19"/>
    </row>
    <row r="7394">
      <c r="A7394" s="9"/>
      <c r="B7394" s="15"/>
      <c r="C7394" s="9">
        <f>IFERROR(__xludf.DUMMYFUNCTION("""COMPUTED_VALUE"""),44527.6040213194)</f>
        <v>44527.60402</v>
      </c>
      <c r="D7394" s="15">
        <f>IFERROR(__xludf.DUMMYFUNCTION("""COMPUTED_VALUE"""),1.034)</f>
        <v>1.034</v>
      </c>
      <c r="E7394" s="16">
        <f>IFERROR(__xludf.DUMMYFUNCTION("""COMPUTED_VALUE"""),65.0)</f>
        <v>65</v>
      </c>
      <c r="F7394" s="19" t="str">
        <f>IFERROR(__xludf.DUMMYFUNCTION("""COMPUTED_VALUE"""),"BLUE")</f>
        <v>BLUE</v>
      </c>
      <c r="G7394" s="20" t="str">
        <f>IFERROR(__xludf.DUMMYFUNCTION("""COMPUTED_VALUE"""),"Uncle Sams Cider (11/12/2021) (Blue)")</f>
        <v>Uncle Sams Cider (11/12/2021) (Blue)</v>
      </c>
      <c r="H7394" s="19"/>
    </row>
    <row r="7395">
      <c r="A7395" s="9"/>
      <c r="B7395" s="15"/>
      <c r="C7395" s="9">
        <f>IFERROR(__xludf.DUMMYFUNCTION("""COMPUTED_VALUE"""),44527.5936021412)</f>
        <v>44527.5936</v>
      </c>
      <c r="D7395" s="15">
        <f>IFERROR(__xludf.DUMMYFUNCTION("""COMPUTED_VALUE"""),1.034)</f>
        <v>1.034</v>
      </c>
      <c r="E7395" s="16">
        <f>IFERROR(__xludf.DUMMYFUNCTION("""COMPUTED_VALUE"""),65.0)</f>
        <v>65</v>
      </c>
      <c r="F7395" s="19" t="str">
        <f>IFERROR(__xludf.DUMMYFUNCTION("""COMPUTED_VALUE"""),"BLUE")</f>
        <v>BLUE</v>
      </c>
      <c r="G7395" s="20" t="str">
        <f>IFERROR(__xludf.DUMMYFUNCTION("""COMPUTED_VALUE"""),"Uncle Sams Cider (11/12/2021) (Blue)")</f>
        <v>Uncle Sams Cider (11/12/2021) (Blue)</v>
      </c>
      <c r="H7395" s="19"/>
    </row>
    <row r="7396">
      <c r="A7396" s="9"/>
      <c r="B7396" s="15"/>
      <c r="C7396" s="9">
        <f>IFERROR(__xludf.DUMMYFUNCTION("""COMPUTED_VALUE"""),44527.583180706)</f>
        <v>44527.58318</v>
      </c>
      <c r="D7396" s="15">
        <f>IFERROR(__xludf.DUMMYFUNCTION("""COMPUTED_VALUE"""),1.034)</f>
        <v>1.034</v>
      </c>
      <c r="E7396" s="16">
        <f>IFERROR(__xludf.DUMMYFUNCTION("""COMPUTED_VALUE"""),65.0)</f>
        <v>65</v>
      </c>
      <c r="F7396" s="19" t="str">
        <f>IFERROR(__xludf.DUMMYFUNCTION("""COMPUTED_VALUE"""),"BLUE")</f>
        <v>BLUE</v>
      </c>
      <c r="G7396" s="20" t="str">
        <f>IFERROR(__xludf.DUMMYFUNCTION("""COMPUTED_VALUE"""),"Uncle Sams Cider (11/12/2021) (Blue)")</f>
        <v>Uncle Sams Cider (11/12/2021) (Blue)</v>
      </c>
      <c r="H7396" s="19"/>
    </row>
    <row r="7397">
      <c r="A7397" s="9"/>
      <c r="B7397" s="15"/>
      <c r="C7397" s="9">
        <f>IFERROR(__xludf.DUMMYFUNCTION("""COMPUTED_VALUE"""),44527.5727377893)</f>
        <v>44527.57274</v>
      </c>
      <c r="D7397" s="15">
        <f>IFERROR(__xludf.DUMMYFUNCTION("""COMPUTED_VALUE"""),1.035)</f>
        <v>1.035</v>
      </c>
      <c r="E7397" s="16">
        <f>IFERROR(__xludf.DUMMYFUNCTION("""COMPUTED_VALUE"""),65.0)</f>
        <v>65</v>
      </c>
      <c r="F7397" s="19" t="str">
        <f>IFERROR(__xludf.DUMMYFUNCTION("""COMPUTED_VALUE"""),"BLUE")</f>
        <v>BLUE</v>
      </c>
      <c r="G7397" s="20" t="str">
        <f>IFERROR(__xludf.DUMMYFUNCTION("""COMPUTED_VALUE"""),"Uncle Sams Cider (11/12/2021) (Blue)")</f>
        <v>Uncle Sams Cider (11/12/2021) (Blue)</v>
      </c>
      <c r="H7397" s="19"/>
    </row>
    <row r="7398">
      <c r="A7398" s="9"/>
      <c r="B7398" s="15"/>
      <c r="C7398" s="9">
        <f>IFERROR(__xludf.DUMMYFUNCTION("""COMPUTED_VALUE"""),44527.5623169907)</f>
        <v>44527.56232</v>
      </c>
      <c r="D7398" s="15">
        <f>IFERROR(__xludf.DUMMYFUNCTION("""COMPUTED_VALUE"""),1.035)</f>
        <v>1.035</v>
      </c>
      <c r="E7398" s="16">
        <f>IFERROR(__xludf.DUMMYFUNCTION("""COMPUTED_VALUE"""),65.0)</f>
        <v>65</v>
      </c>
      <c r="F7398" s="19" t="str">
        <f>IFERROR(__xludf.DUMMYFUNCTION("""COMPUTED_VALUE"""),"BLUE")</f>
        <v>BLUE</v>
      </c>
      <c r="G7398" s="20" t="str">
        <f>IFERROR(__xludf.DUMMYFUNCTION("""COMPUTED_VALUE"""),"Uncle Sams Cider (11/12/2021) (Blue)")</f>
        <v>Uncle Sams Cider (11/12/2021) (Blue)</v>
      </c>
      <c r="H7398" s="19"/>
    </row>
    <row r="7399">
      <c r="A7399" s="9"/>
      <c r="B7399" s="15"/>
      <c r="C7399" s="9">
        <f>IFERROR(__xludf.DUMMYFUNCTION("""COMPUTED_VALUE"""),44527.5518955092)</f>
        <v>44527.5519</v>
      </c>
      <c r="D7399" s="15">
        <f>IFERROR(__xludf.DUMMYFUNCTION("""COMPUTED_VALUE"""),1.034)</f>
        <v>1.034</v>
      </c>
      <c r="E7399" s="16">
        <f>IFERROR(__xludf.DUMMYFUNCTION("""COMPUTED_VALUE"""),65.0)</f>
        <v>65</v>
      </c>
      <c r="F7399" s="19" t="str">
        <f>IFERROR(__xludf.DUMMYFUNCTION("""COMPUTED_VALUE"""),"BLUE")</f>
        <v>BLUE</v>
      </c>
      <c r="G7399" s="20" t="str">
        <f>IFERROR(__xludf.DUMMYFUNCTION("""COMPUTED_VALUE"""),"Uncle Sams Cider (11/12/2021) (Blue)")</f>
        <v>Uncle Sams Cider (11/12/2021) (Blue)</v>
      </c>
      <c r="H7399" s="19"/>
    </row>
    <row r="7400">
      <c r="A7400" s="9"/>
      <c r="B7400" s="15"/>
      <c r="C7400" s="9">
        <f>IFERROR(__xludf.DUMMYFUNCTION("""COMPUTED_VALUE"""),44527.5414745833)</f>
        <v>44527.54147</v>
      </c>
      <c r="D7400" s="15">
        <f>IFERROR(__xludf.DUMMYFUNCTION("""COMPUTED_VALUE"""),1.035)</f>
        <v>1.035</v>
      </c>
      <c r="E7400" s="16">
        <f>IFERROR(__xludf.DUMMYFUNCTION("""COMPUTED_VALUE"""),65.0)</f>
        <v>65</v>
      </c>
      <c r="F7400" s="19" t="str">
        <f>IFERROR(__xludf.DUMMYFUNCTION("""COMPUTED_VALUE"""),"BLUE")</f>
        <v>BLUE</v>
      </c>
      <c r="G7400" s="20" t="str">
        <f>IFERROR(__xludf.DUMMYFUNCTION("""COMPUTED_VALUE"""),"Uncle Sams Cider (11/12/2021) (Blue)")</f>
        <v>Uncle Sams Cider (11/12/2021) (Blue)</v>
      </c>
      <c r="H7400" s="19"/>
    </row>
    <row r="7401">
      <c r="A7401" s="9"/>
      <c r="B7401" s="15"/>
      <c r="C7401" s="9">
        <f>IFERROR(__xludf.DUMMYFUNCTION("""COMPUTED_VALUE"""),44527.5310543171)</f>
        <v>44527.53105</v>
      </c>
      <c r="D7401" s="15">
        <f>IFERROR(__xludf.DUMMYFUNCTION("""COMPUTED_VALUE"""),1.034)</f>
        <v>1.034</v>
      </c>
      <c r="E7401" s="16">
        <f>IFERROR(__xludf.DUMMYFUNCTION("""COMPUTED_VALUE"""),65.0)</f>
        <v>65</v>
      </c>
      <c r="F7401" s="19" t="str">
        <f>IFERROR(__xludf.DUMMYFUNCTION("""COMPUTED_VALUE"""),"BLUE")</f>
        <v>BLUE</v>
      </c>
      <c r="G7401" s="20" t="str">
        <f>IFERROR(__xludf.DUMMYFUNCTION("""COMPUTED_VALUE"""),"Uncle Sams Cider (11/12/2021) (Blue)")</f>
        <v>Uncle Sams Cider (11/12/2021) (Blue)</v>
      </c>
      <c r="H7401" s="19"/>
    </row>
    <row r="7402">
      <c r="A7402" s="9"/>
      <c r="B7402" s="15"/>
      <c r="C7402" s="9">
        <f>IFERROR(__xludf.DUMMYFUNCTION("""COMPUTED_VALUE"""),44527.5206326504)</f>
        <v>44527.52063</v>
      </c>
      <c r="D7402" s="15">
        <f>IFERROR(__xludf.DUMMYFUNCTION("""COMPUTED_VALUE"""),1.035)</f>
        <v>1.035</v>
      </c>
      <c r="E7402" s="16">
        <f>IFERROR(__xludf.DUMMYFUNCTION("""COMPUTED_VALUE"""),65.0)</f>
        <v>65</v>
      </c>
      <c r="F7402" s="19" t="str">
        <f>IFERROR(__xludf.DUMMYFUNCTION("""COMPUTED_VALUE"""),"BLUE")</f>
        <v>BLUE</v>
      </c>
      <c r="G7402" s="20" t="str">
        <f>IFERROR(__xludf.DUMMYFUNCTION("""COMPUTED_VALUE"""),"Uncle Sams Cider (11/12/2021) (Blue)")</f>
        <v>Uncle Sams Cider (11/12/2021) (Blue)</v>
      </c>
      <c r="H7402" s="19"/>
    </row>
    <row r="7403">
      <c r="A7403" s="9"/>
      <c r="B7403" s="15"/>
      <c r="C7403" s="9">
        <f>IFERROR(__xludf.DUMMYFUNCTION("""COMPUTED_VALUE"""),44527.5102127083)</f>
        <v>44527.51021</v>
      </c>
      <c r="D7403" s="15">
        <f>IFERROR(__xludf.DUMMYFUNCTION("""COMPUTED_VALUE"""),1.035)</f>
        <v>1.035</v>
      </c>
      <c r="E7403" s="16">
        <f>IFERROR(__xludf.DUMMYFUNCTION("""COMPUTED_VALUE"""),65.0)</f>
        <v>65</v>
      </c>
      <c r="F7403" s="19" t="str">
        <f>IFERROR(__xludf.DUMMYFUNCTION("""COMPUTED_VALUE"""),"BLUE")</f>
        <v>BLUE</v>
      </c>
      <c r="G7403" s="20" t="str">
        <f>IFERROR(__xludf.DUMMYFUNCTION("""COMPUTED_VALUE"""),"Uncle Sams Cider (11/12/2021) (Blue)")</f>
        <v>Uncle Sams Cider (11/12/2021) (Blue)</v>
      </c>
      <c r="H7403" s="19"/>
    </row>
    <row r="7404">
      <c r="A7404" s="9"/>
      <c r="B7404" s="15"/>
      <c r="C7404" s="9">
        <f>IFERROR(__xludf.DUMMYFUNCTION("""COMPUTED_VALUE"""),44527.4997914814)</f>
        <v>44527.49979</v>
      </c>
      <c r="D7404" s="15">
        <f>IFERROR(__xludf.DUMMYFUNCTION("""COMPUTED_VALUE"""),1.035)</f>
        <v>1.035</v>
      </c>
      <c r="E7404" s="16">
        <f>IFERROR(__xludf.DUMMYFUNCTION("""COMPUTED_VALUE"""),65.0)</f>
        <v>65</v>
      </c>
      <c r="F7404" s="19" t="str">
        <f>IFERROR(__xludf.DUMMYFUNCTION("""COMPUTED_VALUE"""),"BLUE")</f>
        <v>BLUE</v>
      </c>
      <c r="G7404" s="20" t="str">
        <f>IFERROR(__xludf.DUMMYFUNCTION("""COMPUTED_VALUE"""),"Uncle Sams Cider (11/12/2021) (Blue)")</f>
        <v>Uncle Sams Cider (11/12/2021) (Blue)</v>
      </c>
      <c r="H7404" s="19"/>
    </row>
    <row r="7405">
      <c r="A7405" s="9"/>
      <c r="B7405" s="15"/>
      <c r="C7405" s="9">
        <f>IFERROR(__xludf.DUMMYFUNCTION("""COMPUTED_VALUE"""),44527.4893577083)</f>
        <v>44527.48936</v>
      </c>
      <c r="D7405" s="15">
        <f>IFERROR(__xludf.DUMMYFUNCTION("""COMPUTED_VALUE"""),1.035)</f>
        <v>1.035</v>
      </c>
      <c r="E7405" s="16">
        <f>IFERROR(__xludf.DUMMYFUNCTION("""COMPUTED_VALUE"""),65.0)</f>
        <v>65</v>
      </c>
      <c r="F7405" s="19" t="str">
        <f>IFERROR(__xludf.DUMMYFUNCTION("""COMPUTED_VALUE"""),"BLUE")</f>
        <v>BLUE</v>
      </c>
      <c r="G7405" s="20" t="str">
        <f>IFERROR(__xludf.DUMMYFUNCTION("""COMPUTED_VALUE"""),"Uncle Sams Cider (11/12/2021) (Blue)")</f>
        <v>Uncle Sams Cider (11/12/2021) (Blue)</v>
      </c>
      <c r="H7405" s="19"/>
    </row>
    <row r="7406">
      <c r="A7406" s="9"/>
      <c r="B7406" s="15"/>
      <c r="C7406" s="9">
        <f>IFERROR(__xludf.DUMMYFUNCTION("""COMPUTED_VALUE"""),44527.4789379745)</f>
        <v>44527.47894</v>
      </c>
      <c r="D7406" s="15">
        <f>IFERROR(__xludf.DUMMYFUNCTION("""COMPUTED_VALUE"""),1.035)</f>
        <v>1.035</v>
      </c>
      <c r="E7406" s="16">
        <f>IFERROR(__xludf.DUMMYFUNCTION("""COMPUTED_VALUE"""),65.0)</f>
        <v>65</v>
      </c>
      <c r="F7406" s="19" t="str">
        <f>IFERROR(__xludf.DUMMYFUNCTION("""COMPUTED_VALUE"""),"BLUE")</f>
        <v>BLUE</v>
      </c>
      <c r="G7406" s="20" t="str">
        <f>IFERROR(__xludf.DUMMYFUNCTION("""COMPUTED_VALUE"""),"Uncle Sams Cider (11/12/2021) (Blue)")</f>
        <v>Uncle Sams Cider (11/12/2021) (Blue)</v>
      </c>
      <c r="H7406" s="19"/>
    </row>
    <row r="7407">
      <c r="A7407" s="9"/>
      <c r="B7407" s="15"/>
      <c r="C7407" s="9">
        <f>IFERROR(__xludf.DUMMYFUNCTION("""COMPUTED_VALUE"""),44527.4685174537)</f>
        <v>44527.46852</v>
      </c>
      <c r="D7407" s="15">
        <f>IFERROR(__xludf.DUMMYFUNCTION("""COMPUTED_VALUE"""),1.035)</f>
        <v>1.035</v>
      </c>
      <c r="E7407" s="16">
        <f>IFERROR(__xludf.DUMMYFUNCTION("""COMPUTED_VALUE"""),65.0)</f>
        <v>65</v>
      </c>
      <c r="F7407" s="19" t="str">
        <f>IFERROR(__xludf.DUMMYFUNCTION("""COMPUTED_VALUE"""),"BLUE")</f>
        <v>BLUE</v>
      </c>
      <c r="G7407" s="20" t="str">
        <f>IFERROR(__xludf.DUMMYFUNCTION("""COMPUTED_VALUE"""),"Uncle Sams Cider (11/12/2021) (Blue)")</f>
        <v>Uncle Sams Cider (11/12/2021) (Blue)</v>
      </c>
      <c r="H7407" s="19"/>
    </row>
    <row r="7408">
      <c r="A7408" s="9"/>
      <c r="B7408" s="15"/>
      <c r="C7408" s="9">
        <f>IFERROR(__xludf.DUMMYFUNCTION("""COMPUTED_VALUE"""),44527.4580940277)</f>
        <v>44527.45809</v>
      </c>
      <c r="D7408" s="15">
        <f>IFERROR(__xludf.DUMMYFUNCTION("""COMPUTED_VALUE"""),1.035)</f>
        <v>1.035</v>
      </c>
      <c r="E7408" s="16">
        <f>IFERROR(__xludf.DUMMYFUNCTION("""COMPUTED_VALUE"""),65.0)</f>
        <v>65</v>
      </c>
      <c r="F7408" s="19" t="str">
        <f>IFERROR(__xludf.DUMMYFUNCTION("""COMPUTED_VALUE"""),"BLUE")</f>
        <v>BLUE</v>
      </c>
      <c r="G7408" s="20" t="str">
        <f>IFERROR(__xludf.DUMMYFUNCTION("""COMPUTED_VALUE"""),"Uncle Sams Cider (11/12/2021) (Blue)")</f>
        <v>Uncle Sams Cider (11/12/2021) (Blue)</v>
      </c>
      <c r="H7408" s="19"/>
    </row>
    <row r="7409">
      <c r="A7409" s="9"/>
      <c r="B7409" s="15"/>
      <c r="C7409" s="9">
        <f>IFERROR(__xludf.DUMMYFUNCTION("""COMPUTED_VALUE"""),44527.4476716666)</f>
        <v>44527.44767</v>
      </c>
      <c r="D7409" s="15">
        <f>IFERROR(__xludf.DUMMYFUNCTION("""COMPUTED_VALUE"""),1.035)</f>
        <v>1.035</v>
      </c>
      <c r="E7409" s="16">
        <f>IFERROR(__xludf.DUMMYFUNCTION("""COMPUTED_VALUE"""),65.0)</f>
        <v>65</v>
      </c>
      <c r="F7409" s="19" t="str">
        <f>IFERROR(__xludf.DUMMYFUNCTION("""COMPUTED_VALUE"""),"BLUE")</f>
        <v>BLUE</v>
      </c>
      <c r="G7409" s="20" t="str">
        <f>IFERROR(__xludf.DUMMYFUNCTION("""COMPUTED_VALUE"""),"Uncle Sams Cider (11/12/2021) (Blue)")</f>
        <v>Uncle Sams Cider (11/12/2021) (Blue)</v>
      </c>
      <c r="H7409" s="19"/>
    </row>
    <row r="7410">
      <c r="A7410" s="9"/>
      <c r="B7410" s="15"/>
      <c r="C7410" s="9">
        <f>IFERROR(__xludf.DUMMYFUNCTION("""COMPUTED_VALUE"""),44527.4372502662)</f>
        <v>44527.43725</v>
      </c>
      <c r="D7410" s="15">
        <f>IFERROR(__xludf.DUMMYFUNCTION("""COMPUTED_VALUE"""),1.035)</f>
        <v>1.035</v>
      </c>
      <c r="E7410" s="16">
        <f>IFERROR(__xludf.DUMMYFUNCTION("""COMPUTED_VALUE"""),65.0)</f>
        <v>65</v>
      </c>
      <c r="F7410" s="19" t="str">
        <f>IFERROR(__xludf.DUMMYFUNCTION("""COMPUTED_VALUE"""),"BLUE")</f>
        <v>BLUE</v>
      </c>
      <c r="G7410" s="20" t="str">
        <f>IFERROR(__xludf.DUMMYFUNCTION("""COMPUTED_VALUE"""),"Uncle Sams Cider (11/12/2021) (Blue)")</f>
        <v>Uncle Sams Cider (11/12/2021) (Blue)</v>
      </c>
      <c r="H7410" s="19"/>
    </row>
    <row r="7411">
      <c r="A7411" s="9"/>
      <c r="B7411" s="15"/>
      <c r="C7411" s="9">
        <f>IFERROR(__xludf.DUMMYFUNCTION("""COMPUTED_VALUE"""),44527.4268284143)</f>
        <v>44527.42683</v>
      </c>
      <c r="D7411" s="15">
        <f>IFERROR(__xludf.DUMMYFUNCTION("""COMPUTED_VALUE"""),1.035)</f>
        <v>1.035</v>
      </c>
      <c r="E7411" s="16">
        <f>IFERROR(__xludf.DUMMYFUNCTION("""COMPUTED_VALUE"""),65.0)</f>
        <v>65</v>
      </c>
      <c r="F7411" s="19" t="str">
        <f>IFERROR(__xludf.DUMMYFUNCTION("""COMPUTED_VALUE"""),"BLUE")</f>
        <v>BLUE</v>
      </c>
      <c r="G7411" s="20" t="str">
        <f>IFERROR(__xludf.DUMMYFUNCTION("""COMPUTED_VALUE"""),"Uncle Sams Cider (11/12/2021) (Blue)")</f>
        <v>Uncle Sams Cider (11/12/2021) (Blue)</v>
      </c>
      <c r="H7411" s="19"/>
    </row>
    <row r="7412">
      <c r="A7412" s="9"/>
      <c r="B7412" s="15"/>
      <c r="C7412" s="9">
        <f>IFERROR(__xludf.DUMMYFUNCTION("""COMPUTED_VALUE"""),44527.4164092129)</f>
        <v>44527.41641</v>
      </c>
      <c r="D7412" s="15">
        <f>IFERROR(__xludf.DUMMYFUNCTION("""COMPUTED_VALUE"""),1.035)</f>
        <v>1.035</v>
      </c>
      <c r="E7412" s="16">
        <f>IFERROR(__xludf.DUMMYFUNCTION("""COMPUTED_VALUE"""),65.0)</f>
        <v>65</v>
      </c>
      <c r="F7412" s="19" t="str">
        <f>IFERROR(__xludf.DUMMYFUNCTION("""COMPUTED_VALUE"""),"BLUE")</f>
        <v>BLUE</v>
      </c>
      <c r="G7412" s="20" t="str">
        <f>IFERROR(__xludf.DUMMYFUNCTION("""COMPUTED_VALUE"""),"Uncle Sams Cider (11/12/2021) (Blue)")</f>
        <v>Uncle Sams Cider (11/12/2021) (Blue)</v>
      </c>
      <c r="H7412" s="19"/>
    </row>
    <row r="7413">
      <c r="A7413" s="9"/>
      <c r="B7413" s="15"/>
      <c r="C7413" s="9">
        <f>IFERROR(__xludf.DUMMYFUNCTION("""COMPUTED_VALUE"""),44527.405989155)</f>
        <v>44527.40599</v>
      </c>
      <c r="D7413" s="15">
        <f>IFERROR(__xludf.DUMMYFUNCTION("""COMPUTED_VALUE"""),1.035)</f>
        <v>1.035</v>
      </c>
      <c r="E7413" s="16">
        <f>IFERROR(__xludf.DUMMYFUNCTION("""COMPUTED_VALUE"""),65.0)</f>
        <v>65</v>
      </c>
      <c r="F7413" s="19" t="str">
        <f>IFERROR(__xludf.DUMMYFUNCTION("""COMPUTED_VALUE"""),"BLUE")</f>
        <v>BLUE</v>
      </c>
      <c r="G7413" s="20" t="str">
        <f>IFERROR(__xludf.DUMMYFUNCTION("""COMPUTED_VALUE"""),"Uncle Sams Cider (11/12/2021) (Blue)")</f>
        <v>Uncle Sams Cider (11/12/2021) (Blue)</v>
      </c>
      <c r="H7413" s="19"/>
    </row>
    <row r="7414">
      <c r="A7414" s="9"/>
      <c r="B7414" s="15"/>
      <c r="C7414" s="9">
        <f>IFERROR(__xludf.DUMMYFUNCTION("""COMPUTED_VALUE"""),44527.3955669675)</f>
        <v>44527.39557</v>
      </c>
      <c r="D7414" s="15">
        <f>IFERROR(__xludf.DUMMYFUNCTION("""COMPUTED_VALUE"""),1.035)</f>
        <v>1.035</v>
      </c>
      <c r="E7414" s="16">
        <f>IFERROR(__xludf.DUMMYFUNCTION("""COMPUTED_VALUE"""),65.0)</f>
        <v>65</v>
      </c>
      <c r="F7414" s="19" t="str">
        <f>IFERROR(__xludf.DUMMYFUNCTION("""COMPUTED_VALUE"""),"BLUE")</f>
        <v>BLUE</v>
      </c>
      <c r="G7414" s="20" t="str">
        <f>IFERROR(__xludf.DUMMYFUNCTION("""COMPUTED_VALUE"""),"Uncle Sams Cider (11/12/2021) (Blue)")</f>
        <v>Uncle Sams Cider (11/12/2021) (Blue)</v>
      </c>
      <c r="H7414" s="19"/>
    </row>
    <row r="7415">
      <c r="A7415" s="9"/>
      <c r="B7415" s="15"/>
      <c r="C7415" s="9">
        <f>IFERROR(__xludf.DUMMYFUNCTION("""COMPUTED_VALUE"""),44527.3851447337)</f>
        <v>44527.38514</v>
      </c>
      <c r="D7415" s="15">
        <f>IFERROR(__xludf.DUMMYFUNCTION("""COMPUTED_VALUE"""),1.035)</f>
        <v>1.035</v>
      </c>
      <c r="E7415" s="16">
        <f>IFERROR(__xludf.DUMMYFUNCTION("""COMPUTED_VALUE"""),65.0)</f>
        <v>65</v>
      </c>
      <c r="F7415" s="19" t="str">
        <f>IFERROR(__xludf.DUMMYFUNCTION("""COMPUTED_VALUE"""),"BLUE")</f>
        <v>BLUE</v>
      </c>
      <c r="G7415" s="20" t="str">
        <f>IFERROR(__xludf.DUMMYFUNCTION("""COMPUTED_VALUE"""),"Uncle Sams Cider (11/12/2021) (Blue)")</f>
        <v>Uncle Sams Cider (11/12/2021) (Blue)</v>
      </c>
      <c r="H7415" s="19"/>
    </row>
    <row r="7416">
      <c r="A7416" s="9"/>
      <c r="B7416" s="15"/>
      <c r="C7416" s="9">
        <f>IFERROR(__xludf.DUMMYFUNCTION("""COMPUTED_VALUE"""),44527.3747227546)</f>
        <v>44527.37472</v>
      </c>
      <c r="D7416" s="15">
        <f>IFERROR(__xludf.DUMMYFUNCTION("""COMPUTED_VALUE"""),1.035)</f>
        <v>1.035</v>
      </c>
      <c r="E7416" s="16">
        <f>IFERROR(__xludf.DUMMYFUNCTION("""COMPUTED_VALUE"""),65.0)</f>
        <v>65</v>
      </c>
      <c r="F7416" s="19" t="str">
        <f>IFERROR(__xludf.DUMMYFUNCTION("""COMPUTED_VALUE"""),"BLUE")</f>
        <v>BLUE</v>
      </c>
      <c r="G7416" s="20" t="str">
        <f>IFERROR(__xludf.DUMMYFUNCTION("""COMPUTED_VALUE"""),"Uncle Sams Cider (11/12/2021) (Blue)")</f>
        <v>Uncle Sams Cider (11/12/2021) (Blue)</v>
      </c>
      <c r="H7416" s="19"/>
    </row>
    <row r="7417">
      <c r="A7417" s="9"/>
      <c r="B7417" s="15"/>
      <c r="C7417" s="9">
        <f>IFERROR(__xludf.DUMMYFUNCTION("""COMPUTED_VALUE"""),44527.3643015393)</f>
        <v>44527.3643</v>
      </c>
      <c r="D7417" s="15">
        <f>IFERROR(__xludf.DUMMYFUNCTION("""COMPUTED_VALUE"""),1.035)</f>
        <v>1.035</v>
      </c>
      <c r="E7417" s="16">
        <f>IFERROR(__xludf.DUMMYFUNCTION("""COMPUTED_VALUE"""),65.0)</f>
        <v>65</v>
      </c>
      <c r="F7417" s="19" t="str">
        <f>IFERROR(__xludf.DUMMYFUNCTION("""COMPUTED_VALUE"""),"BLUE")</f>
        <v>BLUE</v>
      </c>
      <c r="G7417" s="20" t="str">
        <f>IFERROR(__xludf.DUMMYFUNCTION("""COMPUTED_VALUE"""),"Uncle Sams Cider (11/12/2021) (Blue)")</f>
        <v>Uncle Sams Cider (11/12/2021) (Blue)</v>
      </c>
      <c r="H7417" s="19"/>
    </row>
    <row r="7418">
      <c r="A7418" s="9"/>
      <c r="B7418" s="15"/>
      <c r="C7418" s="9">
        <f>IFERROR(__xludf.DUMMYFUNCTION("""COMPUTED_VALUE"""),44527.3538803819)</f>
        <v>44527.35388</v>
      </c>
      <c r="D7418" s="15">
        <f>IFERROR(__xludf.DUMMYFUNCTION("""COMPUTED_VALUE"""),1.035)</f>
        <v>1.035</v>
      </c>
      <c r="E7418" s="16">
        <f>IFERROR(__xludf.DUMMYFUNCTION("""COMPUTED_VALUE"""),65.0)</f>
        <v>65</v>
      </c>
      <c r="F7418" s="19" t="str">
        <f>IFERROR(__xludf.DUMMYFUNCTION("""COMPUTED_VALUE"""),"BLUE")</f>
        <v>BLUE</v>
      </c>
      <c r="G7418" s="20" t="str">
        <f>IFERROR(__xludf.DUMMYFUNCTION("""COMPUTED_VALUE"""),"Uncle Sams Cider (11/12/2021) (Blue)")</f>
        <v>Uncle Sams Cider (11/12/2021) (Blue)</v>
      </c>
      <c r="H7418" s="19"/>
    </row>
    <row r="7419">
      <c r="A7419" s="9"/>
      <c r="B7419" s="15"/>
      <c r="C7419" s="9">
        <f>IFERROR(__xludf.DUMMYFUNCTION("""COMPUTED_VALUE"""),44527.3434577546)</f>
        <v>44527.34346</v>
      </c>
      <c r="D7419" s="15">
        <f>IFERROR(__xludf.DUMMYFUNCTION("""COMPUTED_VALUE"""),1.035)</f>
        <v>1.035</v>
      </c>
      <c r="E7419" s="16">
        <f>IFERROR(__xludf.DUMMYFUNCTION("""COMPUTED_VALUE"""),65.0)</f>
        <v>65</v>
      </c>
      <c r="F7419" s="19" t="str">
        <f>IFERROR(__xludf.DUMMYFUNCTION("""COMPUTED_VALUE"""),"BLUE")</f>
        <v>BLUE</v>
      </c>
      <c r="G7419" s="20" t="str">
        <f>IFERROR(__xludf.DUMMYFUNCTION("""COMPUTED_VALUE"""),"Uncle Sams Cider (11/12/2021) (Blue)")</f>
        <v>Uncle Sams Cider (11/12/2021) (Blue)</v>
      </c>
      <c r="H7419" s="19"/>
    </row>
    <row r="7420">
      <c r="A7420" s="9"/>
      <c r="B7420" s="15"/>
      <c r="C7420" s="9">
        <f>IFERROR(__xludf.DUMMYFUNCTION("""COMPUTED_VALUE"""),44527.3330351041)</f>
        <v>44527.33304</v>
      </c>
      <c r="D7420" s="15">
        <f>IFERROR(__xludf.DUMMYFUNCTION("""COMPUTED_VALUE"""),1.035)</f>
        <v>1.035</v>
      </c>
      <c r="E7420" s="16">
        <f>IFERROR(__xludf.DUMMYFUNCTION("""COMPUTED_VALUE"""),65.0)</f>
        <v>65</v>
      </c>
      <c r="F7420" s="19" t="str">
        <f>IFERROR(__xludf.DUMMYFUNCTION("""COMPUTED_VALUE"""),"BLUE")</f>
        <v>BLUE</v>
      </c>
      <c r="G7420" s="20" t="str">
        <f>IFERROR(__xludf.DUMMYFUNCTION("""COMPUTED_VALUE"""),"Uncle Sams Cider (11/12/2021) (Blue)")</f>
        <v>Uncle Sams Cider (11/12/2021) (Blue)</v>
      </c>
      <c r="H7420" s="19"/>
    </row>
    <row r="7421">
      <c r="A7421" s="9"/>
      <c r="B7421" s="15"/>
      <c r="C7421" s="9">
        <f>IFERROR(__xludf.DUMMYFUNCTION("""COMPUTED_VALUE"""),44527.322611956)</f>
        <v>44527.32261</v>
      </c>
      <c r="D7421" s="15">
        <f>IFERROR(__xludf.DUMMYFUNCTION("""COMPUTED_VALUE"""),1.035)</f>
        <v>1.035</v>
      </c>
      <c r="E7421" s="16">
        <f>IFERROR(__xludf.DUMMYFUNCTION("""COMPUTED_VALUE"""),65.0)</f>
        <v>65</v>
      </c>
      <c r="F7421" s="19" t="str">
        <f>IFERROR(__xludf.DUMMYFUNCTION("""COMPUTED_VALUE"""),"BLUE")</f>
        <v>BLUE</v>
      </c>
      <c r="G7421" s="20" t="str">
        <f>IFERROR(__xludf.DUMMYFUNCTION("""COMPUTED_VALUE"""),"Uncle Sams Cider (11/12/2021) (Blue)")</f>
        <v>Uncle Sams Cider (11/12/2021) (Blue)</v>
      </c>
      <c r="H7421" s="19"/>
    </row>
    <row r="7422">
      <c r="A7422" s="9"/>
      <c r="B7422" s="15"/>
      <c r="C7422" s="9">
        <f>IFERROR(__xludf.DUMMYFUNCTION("""COMPUTED_VALUE"""),44527.312192037)</f>
        <v>44527.31219</v>
      </c>
      <c r="D7422" s="15">
        <f>IFERROR(__xludf.DUMMYFUNCTION("""COMPUTED_VALUE"""),1.035)</f>
        <v>1.035</v>
      </c>
      <c r="E7422" s="16">
        <f>IFERROR(__xludf.DUMMYFUNCTION("""COMPUTED_VALUE"""),65.0)</f>
        <v>65</v>
      </c>
      <c r="F7422" s="19" t="str">
        <f>IFERROR(__xludf.DUMMYFUNCTION("""COMPUTED_VALUE"""),"BLUE")</f>
        <v>BLUE</v>
      </c>
      <c r="G7422" s="20" t="str">
        <f>IFERROR(__xludf.DUMMYFUNCTION("""COMPUTED_VALUE"""),"Uncle Sams Cider (11/12/2021) (Blue)")</f>
        <v>Uncle Sams Cider (11/12/2021) (Blue)</v>
      </c>
      <c r="H7422" s="19"/>
    </row>
    <row r="7423">
      <c r="A7423" s="9"/>
      <c r="B7423" s="15"/>
      <c r="C7423" s="9">
        <f>IFERROR(__xludf.DUMMYFUNCTION("""COMPUTED_VALUE"""),44527.3017710069)</f>
        <v>44527.30177</v>
      </c>
      <c r="D7423" s="15">
        <f>IFERROR(__xludf.DUMMYFUNCTION("""COMPUTED_VALUE"""),1.035)</f>
        <v>1.035</v>
      </c>
      <c r="E7423" s="16">
        <f>IFERROR(__xludf.DUMMYFUNCTION("""COMPUTED_VALUE"""),65.0)</f>
        <v>65</v>
      </c>
      <c r="F7423" s="19" t="str">
        <f>IFERROR(__xludf.DUMMYFUNCTION("""COMPUTED_VALUE"""),"BLUE")</f>
        <v>BLUE</v>
      </c>
      <c r="G7423" s="20" t="str">
        <f>IFERROR(__xludf.DUMMYFUNCTION("""COMPUTED_VALUE"""),"Uncle Sams Cider (11/12/2021) (Blue)")</f>
        <v>Uncle Sams Cider (11/12/2021) (Blue)</v>
      </c>
      <c r="H7423" s="19"/>
    </row>
    <row r="7424">
      <c r="A7424" s="9"/>
      <c r="B7424" s="15"/>
      <c r="C7424" s="9">
        <f>IFERROR(__xludf.DUMMYFUNCTION("""COMPUTED_VALUE"""),44527.2913504976)</f>
        <v>44527.29135</v>
      </c>
      <c r="D7424" s="15">
        <f>IFERROR(__xludf.DUMMYFUNCTION("""COMPUTED_VALUE"""),1.035)</f>
        <v>1.035</v>
      </c>
      <c r="E7424" s="16">
        <f>IFERROR(__xludf.DUMMYFUNCTION("""COMPUTED_VALUE"""),65.0)</f>
        <v>65</v>
      </c>
      <c r="F7424" s="19" t="str">
        <f>IFERROR(__xludf.DUMMYFUNCTION("""COMPUTED_VALUE"""),"BLUE")</f>
        <v>BLUE</v>
      </c>
      <c r="G7424" s="20" t="str">
        <f>IFERROR(__xludf.DUMMYFUNCTION("""COMPUTED_VALUE"""),"Uncle Sams Cider (11/12/2021) (Blue)")</f>
        <v>Uncle Sams Cider (11/12/2021) (Blue)</v>
      </c>
      <c r="H7424" s="19"/>
    </row>
    <row r="7425">
      <c r="A7425" s="9"/>
      <c r="B7425" s="15"/>
      <c r="C7425" s="9">
        <f>IFERROR(__xludf.DUMMYFUNCTION("""COMPUTED_VALUE"""),44527.2809287962)</f>
        <v>44527.28093</v>
      </c>
      <c r="D7425" s="15">
        <f>IFERROR(__xludf.DUMMYFUNCTION("""COMPUTED_VALUE"""),1.035)</f>
        <v>1.035</v>
      </c>
      <c r="E7425" s="16">
        <f>IFERROR(__xludf.DUMMYFUNCTION("""COMPUTED_VALUE"""),65.0)</f>
        <v>65</v>
      </c>
      <c r="F7425" s="19" t="str">
        <f>IFERROR(__xludf.DUMMYFUNCTION("""COMPUTED_VALUE"""),"BLUE")</f>
        <v>BLUE</v>
      </c>
      <c r="G7425" s="20" t="str">
        <f>IFERROR(__xludf.DUMMYFUNCTION("""COMPUTED_VALUE"""),"Uncle Sams Cider (11/12/2021) (Blue)")</f>
        <v>Uncle Sams Cider (11/12/2021) (Blue)</v>
      </c>
      <c r="H7425" s="19"/>
    </row>
    <row r="7426">
      <c r="A7426" s="9"/>
      <c r="B7426" s="15"/>
      <c r="C7426" s="9">
        <f>IFERROR(__xludf.DUMMYFUNCTION("""COMPUTED_VALUE"""),44527.2705076967)</f>
        <v>44527.27051</v>
      </c>
      <c r="D7426" s="15">
        <f>IFERROR(__xludf.DUMMYFUNCTION("""COMPUTED_VALUE"""),1.035)</f>
        <v>1.035</v>
      </c>
      <c r="E7426" s="16">
        <f>IFERROR(__xludf.DUMMYFUNCTION("""COMPUTED_VALUE"""),65.0)</f>
        <v>65</v>
      </c>
      <c r="F7426" s="19" t="str">
        <f>IFERROR(__xludf.DUMMYFUNCTION("""COMPUTED_VALUE"""),"BLUE")</f>
        <v>BLUE</v>
      </c>
      <c r="G7426" s="20" t="str">
        <f>IFERROR(__xludf.DUMMYFUNCTION("""COMPUTED_VALUE"""),"Uncle Sams Cider (11/12/2021) (Blue)")</f>
        <v>Uncle Sams Cider (11/12/2021) (Blue)</v>
      </c>
      <c r="H7426" s="19"/>
    </row>
    <row r="7427">
      <c r="A7427" s="9"/>
      <c r="B7427" s="15"/>
      <c r="C7427" s="9">
        <f>IFERROR(__xludf.DUMMYFUNCTION("""COMPUTED_VALUE"""),44527.2600868981)</f>
        <v>44527.26009</v>
      </c>
      <c r="D7427" s="15">
        <f>IFERROR(__xludf.DUMMYFUNCTION("""COMPUTED_VALUE"""),1.035)</f>
        <v>1.035</v>
      </c>
      <c r="E7427" s="16">
        <f>IFERROR(__xludf.DUMMYFUNCTION("""COMPUTED_VALUE"""),65.0)</f>
        <v>65</v>
      </c>
      <c r="F7427" s="19" t="str">
        <f>IFERROR(__xludf.DUMMYFUNCTION("""COMPUTED_VALUE"""),"BLUE")</f>
        <v>BLUE</v>
      </c>
      <c r="G7427" s="20" t="str">
        <f>IFERROR(__xludf.DUMMYFUNCTION("""COMPUTED_VALUE"""),"Uncle Sams Cider (11/12/2021) (Blue)")</f>
        <v>Uncle Sams Cider (11/12/2021) (Blue)</v>
      </c>
      <c r="H7427" s="19"/>
    </row>
    <row r="7428">
      <c r="A7428" s="9"/>
      <c r="B7428" s="15"/>
      <c r="C7428" s="9">
        <f>IFERROR(__xludf.DUMMYFUNCTION("""COMPUTED_VALUE"""),44527.2496658564)</f>
        <v>44527.24967</v>
      </c>
      <c r="D7428" s="15">
        <f>IFERROR(__xludf.DUMMYFUNCTION("""COMPUTED_VALUE"""),1.035)</f>
        <v>1.035</v>
      </c>
      <c r="E7428" s="16">
        <f>IFERROR(__xludf.DUMMYFUNCTION("""COMPUTED_VALUE"""),65.0)</f>
        <v>65</v>
      </c>
      <c r="F7428" s="19" t="str">
        <f>IFERROR(__xludf.DUMMYFUNCTION("""COMPUTED_VALUE"""),"BLUE")</f>
        <v>BLUE</v>
      </c>
      <c r="G7428" s="20" t="str">
        <f>IFERROR(__xludf.DUMMYFUNCTION("""COMPUTED_VALUE"""),"Uncle Sams Cider (11/12/2021) (Blue)")</f>
        <v>Uncle Sams Cider (11/12/2021) (Blue)</v>
      </c>
      <c r="H7428" s="19"/>
    </row>
    <row r="7429">
      <c r="A7429" s="9"/>
      <c r="B7429" s="15"/>
      <c r="C7429" s="9">
        <f>IFERROR(__xludf.DUMMYFUNCTION("""COMPUTED_VALUE"""),44527.239243125)</f>
        <v>44527.23924</v>
      </c>
      <c r="D7429" s="15">
        <f>IFERROR(__xludf.DUMMYFUNCTION("""COMPUTED_VALUE"""),1.035)</f>
        <v>1.035</v>
      </c>
      <c r="E7429" s="16">
        <f>IFERROR(__xludf.DUMMYFUNCTION("""COMPUTED_VALUE"""),65.0)</f>
        <v>65</v>
      </c>
      <c r="F7429" s="19" t="str">
        <f>IFERROR(__xludf.DUMMYFUNCTION("""COMPUTED_VALUE"""),"BLUE")</f>
        <v>BLUE</v>
      </c>
      <c r="G7429" s="20" t="str">
        <f>IFERROR(__xludf.DUMMYFUNCTION("""COMPUTED_VALUE"""),"Uncle Sams Cider (11/12/2021) (Blue)")</f>
        <v>Uncle Sams Cider (11/12/2021) (Blue)</v>
      </c>
      <c r="H7429" s="19"/>
    </row>
    <row r="7430">
      <c r="A7430" s="9"/>
      <c r="B7430" s="15"/>
      <c r="C7430" s="9">
        <f>IFERROR(__xludf.DUMMYFUNCTION("""COMPUTED_VALUE"""),44527.2288227546)</f>
        <v>44527.22882</v>
      </c>
      <c r="D7430" s="15">
        <f>IFERROR(__xludf.DUMMYFUNCTION("""COMPUTED_VALUE"""),1.035)</f>
        <v>1.035</v>
      </c>
      <c r="E7430" s="16">
        <f>IFERROR(__xludf.DUMMYFUNCTION("""COMPUTED_VALUE"""),65.0)</f>
        <v>65</v>
      </c>
      <c r="F7430" s="19" t="str">
        <f>IFERROR(__xludf.DUMMYFUNCTION("""COMPUTED_VALUE"""),"BLUE")</f>
        <v>BLUE</v>
      </c>
      <c r="G7430" s="20" t="str">
        <f>IFERROR(__xludf.DUMMYFUNCTION("""COMPUTED_VALUE"""),"Uncle Sams Cider (11/12/2021) (Blue)")</f>
        <v>Uncle Sams Cider (11/12/2021) (Blue)</v>
      </c>
      <c r="H7430" s="19"/>
    </row>
    <row r="7431">
      <c r="A7431" s="9"/>
      <c r="B7431" s="15"/>
      <c r="C7431" s="9">
        <f>IFERROR(__xludf.DUMMYFUNCTION("""COMPUTED_VALUE"""),44527.2184025925)</f>
        <v>44527.2184</v>
      </c>
      <c r="D7431" s="15">
        <f>IFERROR(__xludf.DUMMYFUNCTION("""COMPUTED_VALUE"""),1.035)</f>
        <v>1.035</v>
      </c>
      <c r="E7431" s="16">
        <f>IFERROR(__xludf.DUMMYFUNCTION("""COMPUTED_VALUE"""),65.0)</f>
        <v>65</v>
      </c>
      <c r="F7431" s="19" t="str">
        <f>IFERROR(__xludf.DUMMYFUNCTION("""COMPUTED_VALUE"""),"BLUE")</f>
        <v>BLUE</v>
      </c>
      <c r="G7431" s="20" t="str">
        <f>IFERROR(__xludf.DUMMYFUNCTION("""COMPUTED_VALUE"""),"Uncle Sams Cider (11/12/2021) (Blue)")</f>
        <v>Uncle Sams Cider (11/12/2021) (Blue)</v>
      </c>
      <c r="H7431" s="19"/>
    </row>
    <row r="7432">
      <c r="A7432" s="9"/>
      <c r="B7432" s="15"/>
      <c r="C7432" s="9">
        <f>IFERROR(__xludf.DUMMYFUNCTION("""COMPUTED_VALUE"""),44527.2079810648)</f>
        <v>44527.20798</v>
      </c>
      <c r="D7432" s="15">
        <f>IFERROR(__xludf.DUMMYFUNCTION("""COMPUTED_VALUE"""),1.035)</f>
        <v>1.035</v>
      </c>
      <c r="E7432" s="16">
        <f>IFERROR(__xludf.DUMMYFUNCTION("""COMPUTED_VALUE"""),65.0)</f>
        <v>65</v>
      </c>
      <c r="F7432" s="19" t="str">
        <f>IFERROR(__xludf.DUMMYFUNCTION("""COMPUTED_VALUE"""),"BLUE")</f>
        <v>BLUE</v>
      </c>
      <c r="G7432" s="20" t="str">
        <f>IFERROR(__xludf.DUMMYFUNCTION("""COMPUTED_VALUE"""),"Uncle Sams Cider (11/12/2021) (Blue)")</f>
        <v>Uncle Sams Cider (11/12/2021) (Blue)</v>
      </c>
      <c r="H7432" s="19"/>
    </row>
    <row r="7433">
      <c r="A7433" s="9"/>
      <c r="B7433" s="15"/>
      <c r="C7433" s="9">
        <f>IFERROR(__xludf.DUMMYFUNCTION("""COMPUTED_VALUE"""),44527.1975586111)</f>
        <v>44527.19756</v>
      </c>
      <c r="D7433" s="15">
        <f>IFERROR(__xludf.DUMMYFUNCTION("""COMPUTED_VALUE"""),1.035)</f>
        <v>1.035</v>
      </c>
      <c r="E7433" s="16">
        <f>IFERROR(__xludf.DUMMYFUNCTION("""COMPUTED_VALUE"""),65.0)</f>
        <v>65</v>
      </c>
      <c r="F7433" s="19" t="str">
        <f>IFERROR(__xludf.DUMMYFUNCTION("""COMPUTED_VALUE"""),"BLUE")</f>
        <v>BLUE</v>
      </c>
      <c r="G7433" s="20" t="str">
        <f>IFERROR(__xludf.DUMMYFUNCTION("""COMPUTED_VALUE"""),"Uncle Sams Cider (11/12/2021) (Blue)")</f>
        <v>Uncle Sams Cider (11/12/2021) (Blue)</v>
      </c>
      <c r="H7433" s="19"/>
    </row>
    <row r="7434">
      <c r="A7434" s="9"/>
      <c r="B7434" s="15"/>
      <c r="C7434" s="9">
        <f>IFERROR(__xludf.DUMMYFUNCTION("""COMPUTED_VALUE"""),44527.1871370138)</f>
        <v>44527.18714</v>
      </c>
      <c r="D7434" s="15">
        <f>IFERROR(__xludf.DUMMYFUNCTION("""COMPUTED_VALUE"""),1.035)</f>
        <v>1.035</v>
      </c>
      <c r="E7434" s="16">
        <f>IFERROR(__xludf.DUMMYFUNCTION("""COMPUTED_VALUE"""),65.0)</f>
        <v>65</v>
      </c>
      <c r="F7434" s="19" t="str">
        <f>IFERROR(__xludf.DUMMYFUNCTION("""COMPUTED_VALUE"""),"BLUE")</f>
        <v>BLUE</v>
      </c>
      <c r="G7434" s="20" t="str">
        <f>IFERROR(__xludf.DUMMYFUNCTION("""COMPUTED_VALUE"""),"Uncle Sams Cider (11/12/2021) (Blue)")</f>
        <v>Uncle Sams Cider (11/12/2021) (Blue)</v>
      </c>
      <c r="H7434" s="19"/>
    </row>
    <row r="7435">
      <c r="A7435" s="9"/>
      <c r="B7435" s="15"/>
      <c r="C7435" s="9">
        <f>IFERROR(__xludf.DUMMYFUNCTION("""COMPUTED_VALUE"""),44527.176716493)</f>
        <v>44527.17672</v>
      </c>
      <c r="D7435" s="15">
        <f>IFERROR(__xludf.DUMMYFUNCTION("""COMPUTED_VALUE"""),1.035)</f>
        <v>1.035</v>
      </c>
      <c r="E7435" s="16">
        <f>IFERROR(__xludf.DUMMYFUNCTION("""COMPUTED_VALUE"""),65.0)</f>
        <v>65</v>
      </c>
      <c r="F7435" s="19" t="str">
        <f>IFERROR(__xludf.DUMMYFUNCTION("""COMPUTED_VALUE"""),"BLUE")</f>
        <v>BLUE</v>
      </c>
      <c r="G7435" s="20" t="str">
        <f>IFERROR(__xludf.DUMMYFUNCTION("""COMPUTED_VALUE"""),"Uncle Sams Cider (11/12/2021) (Blue)")</f>
        <v>Uncle Sams Cider (11/12/2021) (Blue)</v>
      </c>
      <c r="H7435" s="19"/>
    </row>
    <row r="7436">
      <c r="A7436" s="9"/>
      <c r="B7436" s="15"/>
      <c r="C7436" s="9">
        <f>IFERROR(__xludf.DUMMYFUNCTION("""COMPUTED_VALUE"""),44527.1662950347)</f>
        <v>44527.1663</v>
      </c>
      <c r="D7436" s="15">
        <f>IFERROR(__xludf.DUMMYFUNCTION("""COMPUTED_VALUE"""),1.035)</f>
        <v>1.035</v>
      </c>
      <c r="E7436" s="16">
        <f>IFERROR(__xludf.DUMMYFUNCTION("""COMPUTED_VALUE"""),65.0)</f>
        <v>65</v>
      </c>
      <c r="F7436" s="19" t="str">
        <f>IFERROR(__xludf.DUMMYFUNCTION("""COMPUTED_VALUE"""),"BLUE")</f>
        <v>BLUE</v>
      </c>
      <c r="G7436" s="20" t="str">
        <f>IFERROR(__xludf.DUMMYFUNCTION("""COMPUTED_VALUE"""),"Uncle Sams Cider (11/12/2021) (Blue)")</f>
        <v>Uncle Sams Cider (11/12/2021) (Blue)</v>
      </c>
      <c r="H7436" s="19"/>
    </row>
    <row r="7437">
      <c r="A7437" s="9"/>
      <c r="B7437" s="15"/>
      <c r="C7437" s="9">
        <f>IFERROR(__xludf.DUMMYFUNCTION("""COMPUTED_VALUE"""),44527.1558767361)</f>
        <v>44527.15588</v>
      </c>
      <c r="D7437" s="15">
        <f>IFERROR(__xludf.DUMMYFUNCTION("""COMPUTED_VALUE"""),1.035)</f>
        <v>1.035</v>
      </c>
      <c r="E7437" s="16">
        <f>IFERROR(__xludf.DUMMYFUNCTION("""COMPUTED_VALUE"""),65.0)</f>
        <v>65</v>
      </c>
      <c r="F7437" s="19" t="str">
        <f>IFERROR(__xludf.DUMMYFUNCTION("""COMPUTED_VALUE"""),"BLUE")</f>
        <v>BLUE</v>
      </c>
      <c r="G7437" s="20" t="str">
        <f>IFERROR(__xludf.DUMMYFUNCTION("""COMPUTED_VALUE"""),"Uncle Sams Cider (11/12/2021) (Blue)")</f>
        <v>Uncle Sams Cider (11/12/2021) (Blue)</v>
      </c>
      <c r="H7437" s="19"/>
    </row>
    <row r="7438">
      <c r="A7438" s="9"/>
      <c r="B7438" s="15"/>
      <c r="C7438" s="9">
        <f>IFERROR(__xludf.DUMMYFUNCTION("""COMPUTED_VALUE"""),44527.1454560995)</f>
        <v>44527.14546</v>
      </c>
      <c r="D7438" s="15">
        <f>IFERROR(__xludf.DUMMYFUNCTION("""COMPUTED_VALUE"""),1.035)</f>
        <v>1.035</v>
      </c>
      <c r="E7438" s="16">
        <f>IFERROR(__xludf.DUMMYFUNCTION("""COMPUTED_VALUE"""),65.0)</f>
        <v>65</v>
      </c>
      <c r="F7438" s="19" t="str">
        <f>IFERROR(__xludf.DUMMYFUNCTION("""COMPUTED_VALUE"""),"BLUE")</f>
        <v>BLUE</v>
      </c>
      <c r="G7438" s="20" t="str">
        <f>IFERROR(__xludf.DUMMYFUNCTION("""COMPUTED_VALUE"""),"Uncle Sams Cider (11/12/2021) (Blue)")</f>
        <v>Uncle Sams Cider (11/12/2021) (Blue)</v>
      </c>
      <c r="H7438" s="19"/>
    </row>
    <row r="7439">
      <c r="A7439" s="9"/>
      <c r="B7439" s="15"/>
      <c r="C7439" s="9">
        <f>IFERROR(__xludf.DUMMYFUNCTION("""COMPUTED_VALUE"""),44527.1350359143)</f>
        <v>44527.13504</v>
      </c>
      <c r="D7439" s="15">
        <f>IFERROR(__xludf.DUMMYFUNCTION("""COMPUTED_VALUE"""),1.035)</f>
        <v>1.035</v>
      </c>
      <c r="E7439" s="16">
        <f>IFERROR(__xludf.DUMMYFUNCTION("""COMPUTED_VALUE"""),65.0)</f>
        <v>65</v>
      </c>
      <c r="F7439" s="19" t="str">
        <f>IFERROR(__xludf.DUMMYFUNCTION("""COMPUTED_VALUE"""),"BLUE")</f>
        <v>BLUE</v>
      </c>
      <c r="G7439" s="20" t="str">
        <f>IFERROR(__xludf.DUMMYFUNCTION("""COMPUTED_VALUE"""),"Uncle Sams Cider (11/12/2021) (Blue)")</f>
        <v>Uncle Sams Cider (11/12/2021) (Blue)</v>
      </c>
      <c r="H7439" s="19"/>
    </row>
    <row r="7440">
      <c r="A7440" s="9"/>
      <c r="B7440" s="15"/>
      <c r="C7440" s="9">
        <f>IFERROR(__xludf.DUMMYFUNCTION("""COMPUTED_VALUE"""),44527.1246028472)</f>
        <v>44527.1246</v>
      </c>
      <c r="D7440" s="15">
        <f>IFERROR(__xludf.DUMMYFUNCTION("""COMPUTED_VALUE"""),1.035)</f>
        <v>1.035</v>
      </c>
      <c r="E7440" s="16">
        <f>IFERROR(__xludf.DUMMYFUNCTION("""COMPUTED_VALUE"""),65.0)</f>
        <v>65</v>
      </c>
      <c r="F7440" s="19" t="str">
        <f>IFERROR(__xludf.DUMMYFUNCTION("""COMPUTED_VALUE"""),"BLUE")</f>
        <v>BLUE</v>
      </c>
      <c r="G7440" s="20" t="str">
        <f>IFERROR(__xludf.DUMMYFUNCTION("""COMPUTED_VALUE"""),"Uncle Sams Cider (11/12/2021) (Blue)")</f>
        <v>Uncle Sams Cider (11/12/2021) (Blue)</v>
      </c>
      <c r="H7440" s="19"/>
    </row>
    <row r="7441">
      <c r="A7441" s="9"/>
      <c r="B7441" s="15"/>
      <c r="C7441" s="9">
        <f>IFERROR(__xludf.DUMMYFUNCTION("""COMPUTED_VALUE"""),44527.1141699305)</f>
        <v>44527.11417</v>
      </c>
      <c r="D7441" s="15">
        <f>IFERROR(__xludf.DUMMYFUNCTION("""COMPUTED_VALUE"""),1.035)</f>
        <v>1.035</v>
      </c>
      <c r="E7441" s="16">
        <f>IFERROR(__xludf.DUMMYFUNCTION("""COMPUTED_VALUE"""),65.0)</f>
        <v>65</v>
      </c>
      <c r="F7441" s="19" t="str">
        <f>IFERROR(__xludf.DUMMYFUNCTION("""COMPUTED_VALUE"""),"BLUE")</f>
        <v>BLUE</v>
      </c>
      <c r="G7441" s="20" t="str">
        <f>IFERROR(__xludf.DUMMYFUNCTION("""COMPUTED_VALUE"""),"Uncle Sams Cider (11/12/2021) (Blue)")</f>
        <v>Uncle Sams Cider (11/12/2021) (Blue)</v>
      </c>
      <c r="H7441" s="19"/>
    </row>
    <row r="7442">
      <c r="A7442" s="9"/>
      <c r="B7442" s="15"/>
      <c r="C7442" s="9">
        <f>IFERROR(__xludf.DUMMYFUNCTION("""COMPUTED_VALUE"""),44527.1037485069)</f>
        <v>44527.10375</v>
      </c>
      <c r="D7442" s="15">
        <f>IFERROR(__xludf.DUMMYFUNCTION("""COMPUTED_VALUE"""),1.035)</f>
        <v>1.035</v>
      </c>
      <c r="E7442" s="16">
        <f>IFERROR(__xludf.DUMMYFUNCTION("""COMPUTED_VALUE"""),65.0)</f>
        <v>65</v>
      </c>
      <c r="F7442" s="19" t="str">
        <f>IFERROR(__xludf.DUMMYFUNCTION("""COMPUTED_VALUE"""),"BLUE")</f>
        <v>BLUE</v>
      </c>
      <c r="G7442" s="20" t="str">
        <f>IFERROR(__xludf.DUMMYFUNCTION("""COMPUTED_VALUE"""),"Uncle Sams Cider (11/12/2021) (Blue)")</f>
        <v>Uncle Sams Cider (11/12/2021) (Blue)</v>
      </c>
      <c r="H7442" s="19"/>
    </row>
    <row r="7443">
      <c r="A7443" s="9"/>
      <c r="B7443" s="15"/>
      <c r="C7443" s="9">
        <f>IFERROR(__xludf.DUMMYFUNCTION("""COMPUTED_VALUE"""),44527.0933273958)</f>
        <v>44527.09333</v>
      </c>
      <c r="D7443" s="15">
        <f>IFERROR(__xludf.DUMMYFUNCTION("""COMPUTED_VALUE"""),1.035)</f>
        <v>1.035</v>
      </c>
      <c r="E7443" s="16">
        <f>IFERROR(__xludf.DUMMYFUNCTION("""COMPUTED_VALUE"""),65.0)</f>
        <v>65</v>
      </c>
      <c r="F7443" s="19" t="str">
        <f>IFERROR(__xludf.DUMMYFUNCTION("""COMPUTED_VALUE"""),"BLUE")</f>
        <v>BLUE</v>
      </c>
      <c r="G7443" s="20" t="str">
        <f>IFERROR(__xludf.DUMMYFUNCTION("""COMPUTED_VALUE"""),"Uncle Sams Cider (11/12/2021) (Blue)")</f>
        <v>Uncle Sams Cider (11/12/2021) (Blue)</v>
      </c>
      <c r="H7443" s="19"/>
    </row>
    <row r="7444">
      <c r="A7444" s="9"/>
      <c r="B7444" s="15"/>
      <c r="C7444" s="9">
        <f>IFERROR(__xludf.DUMMYFUNCTION("""COMPUTED_VALUE"""),44527.0829058912)</f>
        <v>44527.08291</v>
      </c>
      <c r="D7444" s="15">
        <f>IFERROR(__xludf.DUMMYFUNCTION("""COMPUTED_VALUE"""),1.035)</f>
        <v>1.035</v>
      </c>
      <c r="E7444" s="16">
        <f>IFERROR(__xludf.DUMMYFUNCTION("""COMPUTED_VALUE"""),65.0)</f>
        <v>65</v>
      </c>
      <c r="F7444" s="19" t="str">
        <f>IFERROR(__xludf.DUMMYFUNCTION("""COMPUTED_VALUE"""),"BLUE")</f>
        <v>BLUE</v>
      </c>
      <c r="G7444" s="20" t="str">
        <f>IFERROR(__xludf.DUMMYFUNCTION("""COMPUTED_VALUE"""),"Uncle Sams Cider (11/12/2021) (Blue)")</f>
        <v>Uncle Sams Cider (11/12/2021) (Blue)</v>
      </c>
      <c r="H7444" s="19"/>
    </row>
    <row r="7445">
      <c r="A7445" s="9"/>
      <c r="B7445" s="15"/>
      <c r="C7445" s="9">
        <f>IFERROR(__xludf.DUMMYFUNCTION("""COMPUTED_VALUE"""),44527.0724843171)</f>
        <v>44527.07248</v>
      </c>
      <c r="D7445" s="15">
        <f>IFERROR(__xludf.DUMMYFUNCTION("""COMPUTED_VALUE"""),1.035)</f>
        <v>1.035</v>
      </c>
      <c r="E7445" s="16">
        <f>IFERROR(__xludf.DUMMYFUNCTION("""COMPUTED_VALUE"""),65.0)</f>
        <v>65</v>
      </c>
      <c r="F7445" s="19" t="str">
        <f>IFERROR(__xludf.DUMMYFUNCTION("""COMPUTED_VALUE"""),"BLUE")</f>
        <v>BLUE</v>
      </c>
      <c r="G7445" s="20" t="str">
        <f>IFERROR(__xludf.DUMMYFUNCTION("""COMPUTED_VALUE"""),"Uncle Sams Cider (11/12/2021) (Blue)")</f>
        <v>Uncle Sams Cider (11/12/2021) (Blue)</v>
      </c>
      <c r="H7445" s="19"/>
    </row>
    <row r="7446">
      <c r="A7446" s="9"/>
      <c r="B7446" s="15"/>
      <c r="C7446" s="9">
        <f>IFERROR(__xludf.DUMMYFUNCTION("""COMPUTED_VALUE"""),44527.0620517245)</f>
        <v>44527.06205</v>
      </c>
      <c r="D7446" s="15">
        <f>IFERROR(__xludf.DUMMYFUNCTION("""COMPUTED_VALUE"""),1.036)</f>
        <v>1.036</v>
      </c>
      <c r="E7446" s="16">
        <f>IFERROR(__xludf.DUMMYFUNCTION("""COMPUTED_VALUE"""),65.0)</f>
        <v>65</v>
      </c>
      <c r="F7446" s="19" t="str">
        <f>IFERROR(__xludf.DUMMYFUNCTION("""COMPUTED_VALUE"""),"BLUE")</f>
        <v>BLUE</v>
      </c>
      <c r="G7446" s="20" t="str">
        <f>IFERROR(__xludf.DUMMYFUNCTION("""COMPUTED_VALUE"""),"Uncle Sams Cider (11/12/2021) (Blue)")</f>
        <v>Uncle Sams Cider (11/12/2021) (Blue)</v>
      </c>
      <c r="H7446" s="19"/>
    </row>
    <row r="7447">
      <c r="A7447" s="9"/>
      <c r="B7447" s="15"/>
      <c r="C7447" s="9">
        <f>IFERROR(__xludf.DUMMYFUNCTION("""COMPUTED_VALUE"""),44527.0516304976)</f>
        <v>44527.05163</v>
      </c>
      <c r="D7447" s="15">
        <f>IFERROR(__xludf.DUMMYFUNCTION("""COMPUTED_VALUE"""),1.035)</f>
        <v>1.035</v>
      </c>
      <c r="E7447" s="16">
        <f>IFERROR(__xludf.DUMMYFUNCTION("""COMPUTED_VALUE"""),65.0)</f>
        <v>65</v>
      </c>
      <c r="F7447" s="19" t="str">
        <f>IFERROR(__xludf.DUMMYFUNCTION("""COMPUTED_VALUE"""),"BLUE")</f>
        <v>BLUE</v>
      </c>
      <c r="G7447" s="20" t="str">
        <f>IFERROR(__xludf.DUMMYFUNCTION("""COMPUTED_VALUE"""),"Uncle Sams Cider (11/12/2021) (Blue)")</f>
        <v>Uncle Sams Cider (11/12/2021) (Blue)</v>
      </c>
      <c r="H7447" s="19"/>
    </row>
    <row r="7448">
      <c r="A7448" s="9"/>
      <c r="B7448" s="15"/>
      <c r="C7448" s="9">
        <f>IFERROR(__xludf.DUMMYFUNCTION("""COMPUTED_VALUE"""),44527.0411969444)</f>
        <v>44527.0412</v>
      </c>
      <c r="D7448" s="15">
        <f>IFERROR(__xludf.DUMMYFUNCTION("""COMPUTED_VALUE"""),1.036)</f>
        <v>1.036</v>
      </c>
      <c r="E7448" s="16">
        <f>IFERROR(__xludf.DUMMYFUNCTION("""COMPUTED_VALUE"""),65.0)</f>
        <v>65</v>
      </c>
      <c r="F7448" s="19" t="str">
        <f>IFERROR(__xludf.DUMMYFUNCTION("""COMPUTED_VALUE"""),"BLUE")</f>
        <v>BLUE</v>
      </c>
      <c r="G7448" s="20" t="str">
        <f>IFERROR(__xludf.DUMMYFUNCTION("""COMPUTED_VALUE"""),"Uncle Sams Cider (11/12/2021) (Blue)")</f>
        <v>Uncle Sams Cider (11/12/2021) (Blue)</v>
      </c>
      <c r="H7448" s="19"/>
    </row>
    <row r="7449">
      <c r="A7449" s="9"/>
      <c r="B7449" s="15"/>
      <c r="C7449" s="9">
        <f>IFERROR(__xludf.DUMMYFUNCTION("""COMPUTED_VALUE"""),44527.03077603)</f>
        <v>44527.03078</v>
      </c>
      <c r="D7449" s="15">
        <f>IFERROR(__xludf.DUMMYFUNCTION("""COMPUTED_VALUE"""),1.036)</f>
        <v>1.036</v>
      </c>
      <c r="E7449" s="16">
        <f>IFERROR(__xludf.DUMMYFUNCTION("""COMPUTED_VALUE"""),65.0)</f>
        <v>65</v>
      </c>
      <c r="F7449" s="19" t="str">
        <f>IFERROR(__xludf.DUMMYFUNCTION("""COMPUTED_VALUE"""),"BLUE")</f>
        <v>BLUE</v>
      </c>
      <c r="G7449" s="20" t="str">
        <f>IFERROR(__xludf.DUMMYFUNCTION("""COMPUTED_VALUE"""),"Uncle Sams Cider (11/12/2021) (Blue)")</f>
        <v>Uncle Sams Cider (11/12/2021) (Blue)</v>
      </c>
      <c r="H7449" s="19"/>
    </row>
    <row r="7450">
      <c r="A7450" s="9"/>
      <c r="B7450" s="15"/>
      <c r="C7450" s="9">
        <f>IFERROR(__xludf.DUMMYFUNCTION("""COMPUTED_VALUE"""),44527.0203443981)</f>
        <v>44527.02034</v>
      </c>
      <c r="D7450" s="15">
        <f>IFERROR(__xludf.DUMMYFUNCTION("""COMPUTED_VALUE"""),1.036)</f>
        <v>1.036</v>
      </c>
      <c r="E7450" s="16">
        <f>IFERROR(__xludf.DUMMYFUNCTION("""COMPUTED_VALUE"""),65.0)</f>
        <v>65</v>
      </c>
      <c r="F7450" s="19" t="str">
        <f>IFERROR(__xludf.DUMMYFUNCTION("""COMPUTED_VALUE"""),"BLUE")</f>
        <v>BLUE</v>
      </c>
      <c r="G7450" s="20" t="str">
        <f>IFERROR(__xludf.DUMMYFUNCTION("""COMPUTED_VALUE"""),"Uncle Sams Cider (11/12/2021) (Blue)")</f>
        <v>Uncle Sams Cider (11/12/2021) (Blue)</v>
      </c>
      <c r="H7450" s="19"/>
    </row>
    <row r="7451">
      <c r="A7451" s="9"/>
      <c r="B7451" s="15"/>
      <c r="C7451" s="9">
        <f>IFERROR(__xludf.DUMMYFUNCTION("""COMPUTED_VALUE"""),44527.0099230787)</f>
        <v>44527.00992</v>
      </c>
      <c r="D7451" s="15">
        <f>IFERROR(__xludf.DUMMYFUNCTION("""COMPUTED_VALUE"""),1.036)</f>
        <v>1.036</v>
      </c>
      <c r="E7451" s="16">
        <f>IFERROR(__xludf.DUMMYFUNCTION("""COMPUTED_VALUE"""),65.0)</f>
        <v>65</v>
      </c>
      <c r="F7451" s="19" t="str">
        <f>IFERROR(__xludf.DUMMYFUNCTION("""COMPUTED_VALUE"""),"BLUE")</f>
        <v>BLUE</v>
      </c>
      <c r="G7451" s="20" t="str">
        <f>IFERROR(__xludf.DUMMYFUNCTION("""COMPUTED_VALUE"""),"Uncle Sams Cider (11/12/2021) (Blue)")</f>
        <v>Uncle Sams Cider (11/12/2021) (Blue)</v>
      </c>
      <c r="H7451" s="19"/>
    </row>
    <row r="7452">
      <c r="A7452" s="9"/>
      <c r="B7452" s="15"/>
      <c r="C7452" s="9">
        <f>IFERROR(__xludf.DUMMYFUNCTION("""COMPUTED_VALUE"""),44526.9994785069)</f>
        <v>44526.99948</v>
      </c>
      <c r="D7452" s="15">
        <f>IFERROR(__xludf.DUMMYFUNCTION("""COMPUTED_VALUE"""),1.036)</f>
        <v>1.036</v>
      </c>
      <c r="E7452" s="16">
        <f>IFERROR(__xludf.DUMMYFUNCTION("""COMPUTED_VALUE"""),65.0)</f>
        <v>65</v>
      </c>
      <c r="F7452" s="19" t="str">
        <f>IFERROR(__xludf.DUMMYFUNCTION("""COMPUTED_VALUE"""),"BLUE")</f>
        <v>BLUE</v>
      </c>
      <c r="G7452" s="20" t="str">
        <f>IFERROR(__xludf.DUMMYFUNCTION("""COMPUTED_VALUE"""),"Uncle Sams Cider (11/12/2021) (Blue)")</f>
        <v>Uncle Sams Cider (11/12/2021) (Blue)</v>
      </c>
      <c r="H7452" s="19"/>
    </row>
    <row r="7453">
      <c r="A7453" s="9"/>
      <c r="B7453" s="15"/>
      <c r="C7453" s="9">
        <f>IFERROR(__xludf.DUMMYFUNCTION("""COMPUTED_VALUE"""),44526.9890561574)</f>
        <v>44526.98906</v>
      </c>
      <c r="D7453" s="15">
        <f>IFERROR(__xludf.DUMMYFUNCTION("""COMPUTED_VALUE"""),1.036)</f>
        <v>1.036</v>
      </c>
      <c r="E7453" s="16">
        <f>IFERROR(__xludf.DUMMYFUNCTION("""COMPUTED_VALUE"""),65.0)</f>
        <v>65</v>
      </c>
      <c r="F7453" s="19" t="str">
        <f>IFERROR(__xludf.DUMMYFUNCTION("""COMPUTED_VALUE"""),"BLUE")</f>
        <v>BLUE</v>
      </c>
      <c r="G7453" s="20" t="str">
        <f>IFERROR(__xludf.DUMMYFUNCTION("""COMPUTED_VALUE"""),"Uncle Sams Cider (11/12/2021) (Blue)")</f>
        <v>Uncle Sams Cider (11/12/2021) (Blue)</v>
      </c>
      <c r="H7453" s="19"/>
    </row>
    <row r="7454">
      <c r="A7454" s="9"/>
      <c r="B7454" s="15"/>
      <c r="C7454" s="9">
        <f>IFERROR(__xludf.DUMMYFUNCTION("""COMPUTED_VALUE"""),44526.9786351504)</f>
        <v>44526.97864</v>
      </c>
      <c r="D7454" s="15">
        <f>IFERROR(__xludf.DUMMYFUNCTION("""COMPUTED_VALUE"""),1.036)</f>
        <v>1.036</v>
      </c>
      <c r="E7454" s="16">
        <f>IFERROR(__xludf.DUMMYFUNCTION("""COMPUTED_VALUE"""),65.0)</f>
        <v>65</v>
      </c>
      <c r="F7454" s="19" t="str">
        <f>IFERROR(__xludf.DUMMYFUNCTION("""COMPUTED_VALUE"""),"BLUE")</f>
        <v>BLUE</v>
      </c>
      <c r="G7454" s="20" t="str">
        <f>IFERROR(__xludf.DUMMYFUNCTION("""COMPUTED_VALUE"""),"Uncle Sams Cider (11/12/2021) (Blue)")</f>
        <v>Uncle Sams Cider (11/12/2021) (Blue)</v>
      </c>
      <c r="H7454" s="19"/>
    </row>
    <row r="7455">
      <c r="A7455" s="9"/>
      <c r="B7455" s="15"/>
      <c r="C7455" s="9">
        <f>IFERROR(__xludf.DUMMYFUNCTION("""COMPUTED_VALUE"""),44526.9682125926)</f>
        <v>44526.96821</v>
      </c>
      <c r="D7455" s="15">
        <f>IFERROR(__xludf.DUMMYFUNCTION("""COMPUTED_VALUE"""),1.036)</f>
        <v>1.036</v>
      </c>
      <c r="E7455" s="16">
        <f>IFERROR(__xludf.DUMMYFUNCTION("""COMPUTED_VALUE"""),65.0)</f>
        <v>65</v>
      </c>
      <c r="F7455" s="19" t="str">
        <f>IFERROR(__xludf.DUMMYFUNCTION("""COMPUTED_VALUE"""),"BLUE")</f>
        <v>BLUE</v>
      </c>
      <c r="G7455" s="20" t="str">
        <f>IFERROR(__xludf.DUMMYFUNCTION("""COMPUTED_VALUE"""),"Uncle Sams Cider (11/12/2021) (Blue)")</f>
        <v>Uncle Sams Cider (11/12/2021) (Blue)</v>
      </c>
      <c r="H7455" s="19"/>
    </row>
    <row r="7456">
      <c r="A7456" s="9"/>
      <c r="B7456" s="15"/>
      <c r="C7456" s="9">
        <f>IFERROR(__xludf.DUMMYFUNCTION("""COMPUTED_VALUE"""),44526.9577906018)</f>
        <v>44526.95779</v>
      </c>
      <c r="D7456" s="15">
        <f>IFERROR(__xludf.DUMMYFUNCTION("""COMPUTED_VALUE"""),1.036)</f>
        <v>1.036</v>
      </c>
      <c r="E7456" s="16">
        <f>IFERROR(__xludf.DUMMYFUNCTION("""COMPUTED_VALUE"""),65.0)</f>
        <v>65</v>
      </c>
      <c r="F7456" s="19" t="str">
        <f>IFERROR(__xludf.DUMMYFUNCTION("""COMPUTED_VALUE"""),"BLUE")</f>
        <v>BLUE</v>
      </c>
      <c r="G7456" s="20" t="str">
        <f>IFERROR(__xludf.DUMMYFUNCTION("""COMPUTED_VALUE"""),"Uncle Sams Cider (11/12/2021) (Blue)")</f>
        <v>Uncle Sams Cider (11/12/2021) (Blue)</v>
      </c>
      <c r="H7456" s="19"/>
    </row>
    <row r="7457">
      <c r="A7457" s="9"/>
      <c r="B7457" s="15"/>
      <c r="C7457" s="9">
        <f>IFERROR(__xludf.DUMMYFUNCTION("""COMPUTED_VALUE"""),44526.9473696064)</f>
        <v>44526.94737</v>
      </c>
      <c r="D7457" s="15">
        <f>IFERROR(__xludf.DUMMYFUNCTION("""COMPUTED_VALUE"""),1.036)</f>
        <v>1.036</v>
      </c>
      <c r="E7457" s="16">
        <f>IFERROR(__xludf.DUMMYFUNCTION("""COMPUTED_VALUE"""),65.0)</f>
        <v>65</v>
      </c>
      <c r="F7457" s="19" t="str">
        <f>IFERROR(__xludf.DUMMYFUNCTION("""COMPUTED_VALUE"""),"BLUE")</f>
        <v>BLUE</v>
      </c>
      <c r="G7457" s="20" t="str">
        <f>IFERROR(__xludf.DUMMYFUNCTION("""COMPUTED_VALUE"""),"Uncle Sams Cider (11/12/2021) (Blue)")</f>
        <v>Uncle Sams Cider (11/12/2021) (Blue)</v>
      </c>
      <c r="H7457" s="19"/>
    </row>
    <row r="7458">
      <c r="A7458" s="9"/>
      <c r="B7458" s="15"/>
      <c r="C7458" s="9">
        <f>IFERROR(__xludf.DUMMYFUNCTION("""COMPUTED_VALUE"""),44526.9369497685)</f>
        <v>44526.93695</v>
      </c>
      <c r="D7458" s="15">
        <f>IFERROR(__xludf.DUMMYFUNCTION("""COMPUTED_VALUE"""),1.036)</f>
        <v>1.036</v>
      </c>
      <c r="E7458" s="16">
        <f>IFERROR(__xludf.DUMMYFUNCTION("""COMPUTED_VALUE"""),65.0)</f>
        <v>65</v>
      </c>
      <c r="F7458" s="19" t="str">
        <f>IFERROR(__xludf.DUMMYFUNCTION("""COMPUTED_VALUE"""),"BLUE")</f>
        <v>BLUE</v>
      </c>
      <c r="G7458" s="20" t="str">
        <f>IFERROR(__xludf.DUMMYFUNCTION("""COMPUTED_VALUE"""),"Uncle Sams Cider (11/12/2021) (Blue)")</f>
        <v>Uncle Sams Cider (11/12/2021) (Blue)</v>
      </c>
      <c r="H7458" s="19"/>
    </row>
    <row r="7459">
      <c r="A7459" s="9"/>
      <c r="B7459" s="15"/>
      <c r="C7459" s="9">
        <f>IFERROR(__xludf.DUMMYFUNCTION("""COMPUTED_VALUE"""),44526.9265296643)</f>
        <v>44526.92653</v>
      </c>
      <c r="D7459" s="15">
        <f>IFERROR(__xludf.DUMMYFUNCTION("""COMPUTED_VALUE"""),1.036)</f>
        <v>1.036</v>
      </c>
      <c r="E7459" s="16">
        <f>IFERROR(__xludf.DUMMYFUNCTION("""COMPUTED_VALUE"""),65.0)</f>
        <v>65</v>
      </c>
      <c r="F7459" s="19" t="str">
        <f>IFERROR(__xludf.DUMMYFUNCTION("""COMPUTED_VALUE"""),"BLUE")</f>
        <v>BLUE</v>
      </c>
      <c r="G7459" s="20" t="str">
        <f>IFERROR(__xludf.DUMMYFUNCTION("""COMPUTED_VALUE"""),"Uncle Sams Cider (11/12/2021) (Blue)")</f>
        <v>Uncle Sams Cider (11/12/2021) (Blue)</v>
      </c>
      <c r="H7459" s="19"/>
    </row>
    <row r="7460">
      <c r="A7460" s="9"/>
      <c r="B7460" s="15"/>
      <c r="C7460" s="9">
        <f>IFERROR(__xludf.DUMMYFUNCTION("""COMPUTED_VALUE"""),44526.9160979513)</f>
        <v>44526.9161</v>
      </c>
      <c r="D7460" s="15">
        <f>IFERROR(__xludf.DUMMYFUNCTION("""COMPUTED_VALUE"""),1.036)</f>
        <v>1.036</v>
      </c>
      <c r="E7460" s="16">
        <f>IFERROR(__xludf.DUMMYFUNCTION("""COMPUTED_VALUE"""),65.0)</f>
        <v>65</v>
      </c>
      <c r="F7460" s="19" t="str">
        <f>IFERROR(__xludf.DUMMYFUNCTION("""COMPUTED_VALUE"""),"BLUE")</f>
        <v>BLUE</v>
      </c>
      <c r="G7460" s="20" t="str">
        <f>IFERROR(__xludf.DUMMYFUNCTION("""COMPUTED_VALUE"""),"Uncle Sams Cider (11/12/2021) (Blue)")</f>
        <v>Uncle Sams Cider (11/12/2021) (Blue)</v>
      </c>
      <c r="H7460" s="19"/>
    </row>
    <row r="7461">
      <c r="A7461" s="9"/>
      <c r="B7461" s="15"/>
      <c r="C7461" s="9">
        <f>IFERROR(__xludf.DUMMYFUNCTION("""COMPUTED_VALUE"""),44526.9056774537)</f>
        <v>44526.90568</v>
      </c>
      <c r="D7461" s="15">
        <f>IFERROR(__xludf.DUMMYFUNCTION("""COMPUTED_VALUE"""),1.036)</f>
        <v>1.036</v>
      </c>
      <c r="E7461" s="16">
        <f>IFERROR(__xludf.DUMMYFUNCTION("""COMPUTED_VALUE"""),65.0)</f>
        <v>65</v>
      </c>
      <c r="F7461" s="19" t="str">
        <f>IFERROR(__xludf.DUMMYFUNCTION("""COMPUTED_VALUE"""),"BLUE")</f>
        <v>BLUE</v>
      </c>
      <c r="G7461" s="20" t="str">
        <f>IFERROR(__xludf.DUMMYFUNCTION("""COMPUTED_VALUE"""),"Uncle Sams Cider (11/12/2021) (Blue)")</f>
        <v>Uncle Sams Cider (11/12/2021) (Blue)</v>
      </c>
      <c r="H7461" s="19"/>
    </row>
    <row r="7462">
      <c r="A7462" s="9"/>
      <c r="B7462" s="15"/>
      <c r="C7462" s="9">
        <f>IFERROR(__xludf.DUMMYFUNCTION("""COMPUTED_VALUE"""),44526.8952439699)</f>
        <v>44526.89524</v>
      </c>
      <c r="D7462" s="15">
        <f>IFERROR(__xludf.DUMMYFUNCTION("""COMPUTED_VALUE"""),1.036)</f>
        <v>1.036</v>
      </c>
      <c r="E7462" s="16">
        <f>IFERROR(__xludf.DUMMYFUNCTION("""COMPUTED_VALUE"""),65.0)</f>
        <v>65</v>
      </c>
      <c r="F7462" s="19" t="str">
        <f>IFERROR(__xludf.DUMMYFUNCTION("""COMPUTED_VALUE"""),"BLUE")</f>
        <v>BLUE</v>
      </c>
      <c r="G7462" s="20" t="str">
        <f>IFERROR(__xludf.DUMMYFUNCTION("""COMPUTED_VALUE"""),"Uncle Sams Cider (11/12/2021) (Blue)")</f>
        <v>Uncle Sams Cider (11/12/2021) (Blue)</v>
      </c>
      <c r="H7462" s="19"/>
    </row>
    <row r="7463">
      <c r="A7463" s="9"/>
      <c r="B7463" s="15"/>
      <c r="C7463" s="9">
        <f>IFERROR(__xludf.DUMMYFUNCTION("""COMPUTED_VALUE"""),44526.8848231597)</f>
        <v>44526.88482</v>
      </c>
      <c r="D7463" s="15">
        <f>IFERROR(__xludf.DUMMYFUNCTION("""COMPUTED_VALUE"""),1.036)</f>
        <v>1.036</v>
      </c>
      <c r="E7463" s="16">
        <f>IFERROR(__xludf.DUMMYFUNCTION("""COMPUTED_VALUE"""),65.0)</f>
        <v>65</v>
      </c>
      <c r="F7463" s="19" t="str">
        <f>IFERROR(__xludf.DUMMYFUNCTION("""COMPUTED_VALUE"""),"BLUE")</f>
        <v>BLUE</v>
      </c>
      <c r="G7463" s="20" t="str">
        <f>IFERROR(__xludf.DUMMYFUNCTION("""COMPUTED_VALUE"""),"Uncle Sams Cider (11/12/2021) (Blue)")</f>
        <v>Uncle Sams Cider (11/12/2021) (Blue)</v>
      </c>
      <c r="H7463" s="19"/>
    </row>
    <row r="7464">
      <c r="A7464" s="9"/>
      <c r="B7464" s="15"/>
      <c r="C7464" s="9">
        <f>IFERROR(__xludf.DUMMYFUNCTION("""COMPUTED_VALUE"""),44526.8744035879)</f>
        <v>44526.8744</v>
      </c>
      <c r="D7464" s="15">
        <f>IFERROR(__xludf.DUMMYFUNCTION("""COMPUTED_VALUE"""),1.036)</f>
        <v>1.036</v>
      </c>
      <c r="E7464" s="16">
        <f>IFERROR(__xludf.DUMMYFUNCTION("""COMPUTED_VALUE"""),65.0)</f>
        <v>65</v>
      </c>
      <c r="F7464" s="19" t="str">
        <f>IFERROR(__xludf.DUMMYFUNCTION("""COMPUTED_VALUE"""),"BLUE")</f>
        <v>BLUE</v>
      </c>
      <c r="G7464" s="20" t="str">
        <f>IFERROR(__xludf.DUMMYFUNCTION("""COMPUTED_VALUE"""),"Uncle Sams Cider (11/12/2021) (Blue)")</f>
        <v>Uncle Sams Cider (11/12/2021) (Blue)</v>
      </c>
      <c r="H7464" s="19"/>
    </row>
    <row r="7465">
      <c r="A7465" s="9"/>
      <c r="B7465" s="15"/>
      <c r="C7465" s="9">
        <f>IFERROR(__xludf.DUMMYFUNCTION("""COMPUTED_VALUE"""),44526.8639818171)</f>
        <v>44526.86398</v>
      </c>
      <c r="D7465" s="15">
        <f>IFERROR(__xludf.DUMMYFUNCTION("""COMPUTED_VALUE"""),1.036)</f>
        <v>1.036</v>
      </c>
      <c r="E7465" s="16">
        <f>IFERROR(__xludf.DUMMYFUNCTION("""COMPUTED_VALUE"""),65.0)</f>
        <v>65</v>
      </c>
      <c r="F7465" s="19" t="str">
        <f>IFERROR(__xludf.DUMMYFUNCTION("""COMPUTED_VALUE"""),"BLUE")</f>
        <v>BLUE</v>
      </c>
      <c r="G7465" s="20" t="str">
        <f>IFERROR(__xludf.DUMMYFUNCTION("""COMPUTED_VALUE"""),"Uncle Sams Cider (11/12/2021) (Blue)")</f>
        <v>Uncle Sams Cider (11/12/2021) (Blue)</v>
      </c>
      <c r="H7465" s="19"/>
    </row>
    <row r="7466">
      <c r="A7466" s="9"/>
      <c r="B7466" s="15"/>
      <c r="C7466" s="9">
        <f>IFERROR(__xludf.DUMMYFUNCTION("""COMPUTED_VALUE"""),44526.8535591782)</f>
        <v>44526.85356</v>
      </c>
      <c r="D7466" s="15">
        <f>IFERROR(__xludf.DUMMYFUNCTION("""COMPUTED_VALUE"""),1.036)</f>
        <v>1.036</v>
      </c>
      <c r="E7466" s="16">
        <f>IFERROR(__xludf.DUMMYFUNCTION("""COMPUTED_VALUE"""),65.0)</f>
        <v>65</v>
      </c>
      <c r="F7466" s="19" t="str">
        <f>IFERROR(__xludf.DUMMYFUNCTION("""COMPUTED_VALUE"""),"BLUE")</f>
        <v>BLUE</v>
      </c>
      <c r="G7466" s="20" t="str">
        <f>IFERROR(__xludf.DUMMYFUNCTION("""COMPUTED_VALUE"""),"Uncle Sams Cider (11/12/2021) (Blue)")</f>
        <v>Uncle Sams Cider (11/12/2021) (Blue)</v>
      </c>
      <c r="H7466" s="19"/>
    </row>
    <row r="7467">
      <c r="A7467" s="9"/>
      <c r="B7467" s="15"/>
      <c r="C7467" s="9">
        <f>IFERROR(__xludf.DUMMYFUNCTION("""COMPUTED_VALUE"""),44526.8431379398)</f>
        <v>44526.84314</v>
      </c>
      <c r="D7467" s="15">
        <f>IFERROR(__xludf.DUMMYFUNCTION("""COMPUTED_VALUE"""),1.036)</f>
        <v>1.036</v>
      </c>
      <c r="E7467" s="16">
        <f>IFERROR(__xludf.DUMMYFUNCTION("""COMPUTED_VALUE"""),65.0)</f>
        <v>65</v>
      </c>
      <c r="F7467" s="19" t="str">
        <f>IFERROR(__xludf.DUMMYFUNCTION("""COMPUTED_VALUE"""),"BLUE")</f>
        <v>BLUE</v>
      </c>
      <c r="G7467" s="20" t="str">
        <f>IFERROR(__xludf.DUMMYFUNCTION("""COMPUTED_VALUE"""),"Uncle Sams Cider (11/12/2021) (Blue)")</f>
        <v>Uncle Sams Cider (11/12/2021) (Blue)</v>
      </c>
      <c r="H7467" s="19"/>
    </row>
    <row r="7468">
      <c r="A7468" s="9"/>
      <c r="B7468" s="15"/>
      <c r="C7468" s="9">
        <f>IFERROR(__xludf.DUMMYFUNCTION("""COMPUTED_VALUE"""),44526.8327170486)</f>
        <v>44526.83272</v>
      </c>
      <c r="D7468" s="15">
        <f>IFERROR(__xludf.DUMMYFUNCTION("""COMPUTED_VALUE"""),1.036)</f>
        <v>1.036</v>
      </c>
      <c r="E7468" s="16">
        <f>IFERROR(__xludf.DUMMYFUNCTION("""COMPUTED_VALUE"""),65.0)</f>
        <v>65</v>
      </c>
      <c r="F7468" s="19" t="str">
        <f>IFERROR(__xludf.DUMMYFUNCTION("""COMPUTED_VALUE"""),"BLUE")</f>
        <v>BLUE</v>
      </c>
      <c r="G7468" s="20" t="str">
        <f>IFERROR(__xludf.DUMMYFUNCTION("""COMPUTED_VALUE"""),"Uncle Sams Cider (11/12/2021) (Blue)")</f>
        <v>Uncle Sams Cider (11/12/2021) (Blue)</v>
      </c>
      <c r="H7468" s="19"/>
    </row>
    <row r="7469">
      <c r="A7469" s="9"/>
      <c r="B7469" s="15"/>
      <c r="C7469" s="9">
        <f>IFERROR(__xludf.DUMMYFUNCTION("""COMPUTED_VALUE"""),44526.8222972222)</f>
        <v>44526.8223</v>
      </c>
      <c r="D7469" s="15">
        <f>IFERROR(__xludf.DUMMYFUNCTION("""COMPUTED_VALUE"""),1.036)</f>
        <v>1.036</v>
      </c>
      <c r="E7469" s="16">
        <f>IFERROR(__xludf.DUMMYFUNCTION("""COMPUTED_VALUE"""),65.0)</f>
        <v>65</v>
      </c>
      <c r="F7469" s="19" t="str">
        <f>IFERROR(__xludf.DUMMYFUNCTION("""COMPUTED_VALUE"""),"BLUE")</f>
        <v>BLUE</v>
      </c>
      <c r="G7469" s="20" t="str">
        <f>IFERROR(__xludf.DUMMYFUNCTION("""COMPUTED_VALUE"""),"Uncle Sams Cider (11/12/2021) (Blue)")</f>
        <v>Uncle Sams Cider (11/12/2021) (Blue)</v>
      </c>
      <c r="H7469" s="19"/>
    </row>
    <row r="7470">
      <c r="A7470" s="9"/>
      <c r="B7470" s="15"/>
      <c r="C7470" s="9">
        <f>IFERROR(__xludf.DUMMYFUNCTION("""COMPUTED_VALUE"""),44526.8118778819)</f>
        <v>44526.81188</v>
      </c>
      <c r="D7470" s="15">
        <f>IFERROR(__xludf.DUMMYFUNCTION("""COMPUTED_VALUE"""),1.036)</f>
        <v>1.036</v>
      </c>
      <c r="E7470" s="16">
        <f>IFERROR(__xludf.DUMMYFUNCTION("""COMPUTED_VALUE"""),65.0)</f>
        <v>65</v>
      </c>
      <c r="F7470" s="19" t="str">
        <f>IFERROR(__xludf.DUMMYFUNCTION("""COMPUTED_VALUE"""),"BLUE")</f>
        <v>BLUE</v>
      </c>
      <c r="G7470" s="20" t="str">
        <f>IFERROR(__xludf.DUMMYFUNCTION("""COMPUTED_VALUE"""),"Uncle Sams Cider (11/12/2021) (Blue)")</f>
        <v>Uncle Sams Cider (11/12/2021) (Blue)</v>
      </c>
      <c r="H7470" s="19"/>
    </row>
    <row r="7471">
      <c r="A7471" s="9"/>
      <c r="B7471" s="15"/>
      <c r="C7471" s="9">
        <f>IFERROR(__xludf.DUMMYFUNCTION("""COMPUTED_VALUE"""),44526.8014562384)</f>
        <v>44526.80146</v>
      </c>
      <c r="D7471" s="15">
        <f>IFERROR(__xludf.DUMMYFUNCTION("""COMPUTED_VALUE"""),1.036)</f>
        <v>1.036</v>
      </c>
      <c r="E7471" s="16">
        <f>IFERROR(__xludf.DUMMYFUNCTION("""COMPUTED_VALUE"""),65.0)</f>
        <v>65</v>
      </c>
      <c r="F7471" s="19" t="str">
        <f>IFERROR(__xludf.DUMMYFUNCTION("""COMPUTED_VALUE"""),"BLUE")</f>
        <v>BLUE</v>
      </c>
      <c r="G7471" s="20" t="str">
        <f>IFERROR(__xludf.DUMMYFUNCTION("""COMPUTED_VALUE"""),"Uncle Sams Cider (11/12/2021) (Blue)")</f>
        <v>Uncle Sams Cider (11/12/2021) (Blue)</v>
      </c>
      <c r="H7471" s="19"/>
    </row>
    <row r="7472">
      <c r="A7472" s="9"/>
      <c r="B7472" s="15"/>
      <c r="C7472" s="9">
        <f>IFERROR(__xludf.DUMMYFUNCTION("""COMPUTED_VALUE"""),44526.7910349884)</f>
        <v>44526.79103</v>
      </c>
      <c r="D7472" s="15">
        <f>IFERROR(__xludf.DUMMYFUNCTION("""COMPUTED_VALUE"""),1.036)</f>
        <v>1.036</v>
      </c>
      <c r="E7472" s="16">
        <f>IFERROR(__xludf.DUMMYFUNCTION("""COMPUTED_VALUE"""),65.0)</f>
        <v>65</v>
      </c>
      <c r="F7472" s="19" t="str">
        <f>IFERROR(__xludf.DUMMYFUNCTION("""COMPUTED_VALUE"""),"BLUE")</f>
        <v>BLUE</v>
      </c>
      <c r="G7472" s="20" t="str">
        <f>IFERROR(__xludf.DUMMYFUNCTION("""COMPUTED_VALUE"""),"Uncle Sams Cider (11/12/2021) (Blue)")</f>
        <v>Uncle Sams Cider (11/12/2021) (Blue)</v>
      </c>
      <c r="H7472" s="19"/>
    </row>
    <row r="7473">
      <c r="A7473" s="9"/>
      <c r="B7473" s="15"/>
      <c r="C7473" s="9">
        <f>IFERROR(__xludf.DUMMYFUNCTION("""COMPUTED_VALUE"""),44526.7806156018)</f>
        <v>44526.78062</v>
      </c>
      <c r="D7473" s="15">
        <f>IFERROR(__xludf.DUMMYFUNCTION("""COMPUTED_VALUE"""),1.036)</f>
        <v>1.036</v>
      </c>
      <c r="E7473" s="16">
        <f>IFERROR(__xludf.DUMMYFUNCTION("""COMPUTED_VALUE"""),65.0)</f>
        <v>65</v>
      </c>
      <c r="F7473" s="19" t="str">
        <f>IFERROR(__xludf.DUMMYFUNCTION("""COMPUTED_VALUE"""),"BLUE")</f>
        <v>BLUE</v>
      </c>
      <c r="G7473" s="20" t="str">
        <f>IFERROR(__xludf.DUMMYFUNCTION("""COMPUTED_VALUE"""),"Uncle Sams Cider (11/12/2021) (Blue)")</f>
        <v>Uncle Sams Cider (11/12/2021) (Blue)</v>
      </c>
      <c r="H7473" s="19"/>
    </row>
    <row r="7474">
      <c r="A7474" s="9"/>
      <c r="B7474" s="15"/>
      <c r="C7474" s="9">
        <f>IFERROR(__xludf.DUMMYFUNCTION("""COMPUTED_VALUE"""),44526.7701939583)</f>
        <v>44526.77019</v>
      </c>
      <c r="D7474" s="15">
        <f>IFERROR(__xludf.DUMMYFUNCTION("""COMPUTED_VALUE"""),1.036)</f>
        <v>1.036</v>
      </c>
      <c r="E7474" s="16">
        <f>IFERROR(__xludf.DUMMYFUNCTION("""COMPUTED_VALUE"""),65.0)</f>
        <v>65</v>
      </c>
      <c r="F7474" s="19" t="str">
        <f>IFERROR(__xludf.DUMMYFUNCTION("""COMPUTED_VALUE"""),"BLUE")</f>
        <v>BLUE</v>
      </c>
      <c r="G7474" s="20" t="str">
        <f>IFERROR(__xludf.DUMMYFUNCTION("""COMPUTED_VALUE"""),"Uncle Sams Cider (11/12/2021) (Blue)")</f>
        <v>Uncle Sams Cider (11/12/2021) (Blue)</v>
      </c>
      <c r="H7474" s="19"/>
    </row>
    <row r="7475">
      <c r="A7475" s="9"/>
      <c r="B7475" s="15"/>
      <c r="C7475" s="9">
        <f>IFERROR(__xludf.DUMMYFUNCTION("""COMPUTED_VALUE"""),44526.7597711342)</f>
        <v>44526.75977</v>
      </c>
      <c r="D7475" s="15">
        <f>IFERROR(__xludf.DUMMYFUNCTION("""COMPUTED_VALUE"""),1.036)</f>
        <v>1.036</v>
      </c>
      <c r="E7475" s="16">
        <f>IFERROR(__xludf.DUMMYFUNCTION("""COMPUTED_VALUE"""),65.0)</f>
        <v>65</v>
      </c>
      <c r="F7475" s="19" t="str">
        <f>IFERROR(__xludf.DUMMYFUNCTION("""COMPUTED_VALUE"""),"BLUE")</f>
        <v>BLUE</v>
      </c>
      <c r="G7475" s="20" t="str">
        <f>IFERROR(__xludf.DUMMYFUNCTION("""COMPUTED_VALUE"""),"Uncle Sams Cider (11/12/2021) (Blue)")</f>
        <v>Uncle Sams Cider (11/12/2021) (Blue)</v>
      </c>
      <c r="H7475" s="19"/>
    </row>
    <row r="7476">
      <c r="A7476" s="9"/>
      <c r="B7476" s="15"/>
      <c r="C7476" s="9">
        <f>IFERROR(__xludf.DUMMYFUNCTION("""COMPUTED_VALUE"""),44526.749349456)</f>
        <v>44526.74935</v>
      </c>
      <c r="D7476" s="15">
        <f>IFERROR(__xludf.DUMMYFUNCTION("""COMPUTED_VALUE"""),1.036)</f>
        <v>1.036</v>
      </c>
      <c r="E7476" s="16">
        <f>IFERROR(__xludf.DUMMYFUNCTION("""COMPUTED_VALUE"""),65.0)</f>
        <v>65</v>
      </c>
      <c r="F7476" s="19" t="str">
        <f>IFERROR(__xludf.DUMMYFUNCTION("""COMPUTED_VALUE"""),"BLUE")</f>
        <v>BLUE</v>
      </c>
      <c r="G7476" s="20" t="str">
        <f>IFERROR(__xludf.DUMMYFUNCTION("""COMPUTED_VALUE"""),"Uncle Sams Cider (11/12/2021) (Blue)")</f>
        <v>Uncle Sams Cider (11/12/2021) (Blue)</v>
      </c>
      <c r="H7476" s="19"/>
    </row>
    <row r="7477">
      <c r="A7477" s="9"/>
      <c r="B7477" s="15"/>
      <c r="C7477" s="9">
        <f>IFERROR(__xludf.DUMMYFUNCTION("""COMPUTED_VALUE"""),44526.7389292129)</f>
        <v>44526.73893</v>
      </c>
      <c r="D7477" s="15">
        <f>IFERROR(__xludf.DUMMYFUNCTION("""COMPUTED_VALUE"""),1.036)</f>
        <v>1.036</v>
      </c>
      <c r="E7477" s="16">
        <f>IFERROR(__xludf.DUMMYFUNCTION("""COMPUTED_VALUE"""),65.0)</f>
        <v>65</v>
      </c>
      <c r="F7477" s="19" t="str">
        <f>IFERROR(__xludf.DUMMYFUNCTION("""COMPUTED_VALUE"""),"BLUE")</f>
        <v>BLUE</v>
      </c>
      <c r="G7477" s="20" t="str">
        <f>IFERROR(__xludf.DUMMYFUNCTION("""COMPUTED_VALUE"""),"Uncle Sams Cider (11/12/2021) (Blue)")</f>
        <v>Uncle Sams Cider (11/12/2021) (Blue)</v>
      </c>
      <c r="H7477" s="19"/>
    </row>
    <row r="7478">
      <c r="A7478" s="9"/>
      <c r="B7478" s="15"/>
      <c r="C7478" s="9">
        <f>IFERROR(__xludf.DUMMYFUNCTION("""COMPUTED_VALUE"""),44526.7285083449)</f>
        <v>44526.72851</v>
      </c>
      <c r="D7478" s="15">
        <f>IFERROR(__xludf.DUMMYFUNCTION("""COMPUTED_VALUE"""),1.036)</f>
        <v>1.036</v>
      </c>
      <c r="E7478" s="16">
        <f>IFERROR(__xludf.DUMMYFUNCTION("""COMPUTED_VALUE"""),65.0)</f>
        <v>65</v>
      </c>
      <c r="F7478" s="19" t="str">
        <f>IFERROR(__xludf.DUMMYFUNCTION("""COMPUTED_VALUE"""),"BLUE")</f>
        <v>BLUE</v>
      </c>
      <c r="G7478" s="20" t="str">
        <f>IFERROR(__xludf.DUMMYFUNCTION("""COMPUTED_VALUE"""),"Uncle Sams Cider (11/12/2021) (Blue)")</f>
        <v>Uncle Sams Cider (11/12/2021) (Blue)</v>
      </c>
      <c r="H7478" s="19"/>
    </row>
    <row r="7479">
      <c r="A7479" s="9"/>
      <c r="B7479" s="15"/>
      <c r="C7479" s="9">
        <f>IFERROR(__xludf.DUMMYFUNCTION("""COMPUTED_VALUE"""),44526.7180866087)</f>
        <v>44526.71809</v>
      </c>
      <c r="D7479" s="15">
        <f>IFERROR(__xludf.DUMMYFUNCTION("""COMPUTED_VALUE"""),1.036)</f>
        <v>1.036</v>
      </c>
      <c r="E7479" s="16">
        <f>IFERROR(__xludf.DUMMYFUNCTION("""COMPUTED_VALUE"""),65.0)</f>
        <v>65</v>
      </c>
      <c r="F7479" s="19" t="str">
        <f>IFERROR(__xludf.DUMMYFUNCTION("""COMPUTED_VALUE"""),"BLUE")</f>
        <v>BLUE</v>
      </c>
      <c r="G7479" s="20" t="str">
        <f>IFERROR(__xludf.DUMMYFUNCTION("""COMPUTED_VALUE"""),"Uncle Sams Cider (11/12/2021) (Blue)")</f>
        <v>Uncle Sams Cider (11/12/2021) (Blue)</v>
      </c>
      <c r="H7479" s="19"/>
    </row>
    <row r="7480">
      <c r="A7480" s="9"/>
      <c r="B7480" s="15"/>
      <c r="C7480" s="9">
        <f>IFERROR(__xludf.DUMMYFUNCTION("""COMPUTED_VALUE"""),44526.7076667592)</f>
        <v>44526.70767</v>
      </c>
      <c r="D7480" s="15">
        <f>IFERROR(__xludf.DUMMYFUNCTION("""COMPUTED_VALUE"""),1.036)</f>
        <v>1.036</v>
      </c>
      <c r="E7480" s="16">
        <f>IFERROR(__xludf.DUMMYFUNCTION("""COMPUTED_VALUE"""),65.0)</f>
        <v>65</v>
      </c>
      <c r="F7480" s="19" t="str">
        <f>IFERROR(__xludf.DUMMYFUNCTION("""COMPUTED_VALUE"""),"BLUE")</f>
        <v>BLUE</v>
      </c>
      <c r="G7480" s="20" t="str">
        <f>IFERROR(__xludf.DUMMYFUNCTION("""COMPUTED_VALUE"""),"Uncle Sams Cider (11/12/2021) (Blue)")</f>
        <v>Uncle Sams Cider (11/12/2021) (Blue)</v>
      </c>
      <c r="H7480" s="19"/>
    </row>
    <row r="7481">
      <c r="A7481" s="9"/>
      <c r="B7481" s="15"/>
      <c r="C7481" s="9">
        <f>IFERROR(__xludf.DUMMYFUNCTION("""COMPUTED_VALUE"""),44526.697247199)</f>
        <v>44526.69725</v>
      </c>
      <c r="D7481" s="15">
        <f>IFERROR(__xludf.DUMMYFUNCTION("""COMPUTED_VALUE"""),1.036)</f>
        <v>1.036</v>
      </c>
      <c r="E7481" s="16">
        <f>IFERROR(__xludf.DUMMYFUNCTION("""COMPUTED_VALUE"""),65.0)</f>
        <v>65</v>
      </c>
      <c r="F7481" s="19" t="str">
        <f>IFERROR(__xludf.DUMMYFUNCTION("""COMPUTED_VALUE"""),"BLUE")</f>
        <v>BLUE</v>
      </c>
      <c r="G7481" s="20" t="str">
        <f>IFERROR(__xludf.DUMMYFUNCTION("""COMPUTED_VALUE"""),"Uncle Sams Cider (11/12/2021) (Blue)")</f>
        <v>Uncle Sams Cider (11/12/2021) (Blue)</v>
      </c>
      <c r="H7481" s="19"/>
    </row>
    <row r="7482">
      <c r="A7482" s="9"/>
      <c r="B7482" s="15"/>
      <c r="C7482" s="9">
        <f>IFERROR(__xludf.DUMMYFUNCTION("""COMPUTED_VALUE"""),44526.6868263888)</f>
        <v>44526.68683</v>
      </c>
      <c r="D7482" s="15">
        <f>IFERROR(__xludf.DUMMYFUNCTION("""COMPUTED_VALUE"""),1.036)</f>
        <v>1.036</v>
      </c>
      <c r="E7482" s="16">
        <f>IFERROR(__xludf.DUMMYFUNCTION("""COMPUTED_VALUE"""),65.0)</f>
        <v>65</v>
      </c>
      <c r="F7482" s="19" t="str">
        <f>IFERROR(__xludf.DUMMYFUNCTION("""COMPUTED_VALUE"""),"BLUE")</f>
        <v>BLUE</v>
      </c>
      <c r="G7482" s="20" t="str">
        <f>IFERROR(__xludf.DUMMYFUNCTION("""COMPUTED_VALUE"""),"Uncle Sams Cider (11/12/2021) (Blue)")</f>
        <v>Uncle Sams Cider (11/12/2021) (Blue)</v>
      </c>
      <c r="H7482" s="19"/>
    </row>
    <row r="7483">
      <c r="A7483" s="9"/>
      <c r="B7483" s="15"/>
      <c r="C7483" s="9">
        <f>IFERROR(__xludf.DUMMYFUNCTION("""COMPUTED_VALUE"""),44526.6763923726)</f>
        <v>44526.67639</v>
      </c>
      <c r="D7483" s="15">
        <f>IFERROR(__xludf.DUMMYFUNCTION("""COMPUTED_VALUE"""),1.036)</f>
        <v>1.036</v>
      </c>
      <c r="E7483" s="16">
        <f>IFERROR(__xludf.DUMMYFUNCTION("""COMPUTED_VALUE"""),65.0)</f>
        <v>65</v>
      </c>
      <c r="F7483" s="19" t="str">
        <f>IFERROR(__xludf.DUMMYFUNCTION("""COMPUTED_VALUE"""),"BLUE")</f>
        <v>BLUE</v>
      </c>
      <c r="G7483" s="20" t="str">
        <f>IFERROR(__xludf.DUMMYFUNCTION("""COMPUTED_VALUE"""),"Uncle Sams Cider (11/12/2021) (Blue)")</f>
        <v>Uncle Sams Cider (11/12/2021) (Blue)</v>
      </c>
      <c r="H7483" s="19"/>
    </row>
    <row r="7484">
      <c r="A7484" s="9"/>
      <c r="B7484" s="15"/>
      <c r="C7484" s="9">
        <f>IFERROR(__xludf.DUMMYFUNCTION("""COMPUTED_VALUE"""),44526.6659583217)</f>
        <v>44526.66596</v>
      </c>
      <c r="D7484" s="15">
        <f>IFERROR(__xludf.DUMMYFUNCTION("""COMPUTED_VALUE"""),1.036)</f>
        <v>1.036</v>
      </c>
      <c r="E7484" s="16">
        <f>IFERROR(__xludf.DUMMYFUNCTION("""COMPUTED_VALUE"""),65.0)</f>
        <v>65</v>
      </c>
      <c r="F7484" s="19" t="str">
        <f>IFERROR(__xludf.DUMMYFUNCTION("""COMPUTED_VALUE"""),"BLUE")</f>
        <v>BLUE</v>
      </c>
      <c r="G7484" s="20" t="str">
        <f>IFERROR(__xludf.DUMMYFUNCTION("""COMPUTED_VALUE"""),"Uncle Sams Cider (11/12/2021) (Blue)")</f>
        <v>Uncle Sams Cider (11/12/2021) (Blue)</v>
      </c>
      <c r="H7484" s="19"/>
    </row>
    <row r="7485">
      <c r="A7485" s="9"/>
      <c r="B7485" s="15"/>
      <c r="C7485" s="9">
        <f>IFERROR(__xludf.DUMMYFUNCTION("""COMPUTED_VALUE"""),44526.6555365625)</f>
        <v>44526.65554</v>
      </c>
      <c r="D7485" s="15">
        <f>IFERROR(__xludf.DUMMYFUNCTION("""COMPUTED_VALUE"""),1.036)</f>
        <v>1.036</v>
      </c>
      <c r="E7485" s="16">
        <f>IFERROR(__xludf.DUMMYFUNCTION("""COMPUTED_VALUE"""),65.0)</f>
        <v>65</v>
      </c>
      <c r="F7485" s="19" t="str">
        <f>IFERROR(__xludf.DUMMYFUNCTION("""COMPUTED_VALUE"""),"BLUE")</f>
        <v>BLUE</v>
      </c>
      <c r="G7485" s="20" t="str">
        <f>IFERROR(__xludf.DUMMYFUNCTION("""COMPUTED_VALUE"""),"Uncle Sams Cider (11/12/2021) (Blue)")</f>
        <v>Uncle Sams Cider (11/12/2021) (Blue)</v>
      </c>
      <c r="H7485" s="19"/>
    </row>
    <row r="7486">
      <c r="A7486" s="9"/>
      <c r="B7486" s="15"/>
      <c r="C7486" s="9">
        <f>IFERROR(__xludf.DUMMYFUNCTION("""COMPUTED_VALUE"""),44526.6451160879)</f>
        <v>44526.64512</v>
      </c>
      <c r="D7486" s="15">
        <f>IFERROR(__xludf.DUMMYFUNCTION("""COMPUTED_VALUE"""),1.036)</f>
        <v>1.036</v>
      </c>
      <c r="E7486" s="16">
        <f>IFERROR(__xludf.DUMMYFUNCTION("""COMPUTED_VALUE"""),65.0)</f>
        <v>65</v>
      </c>
      <c r="F7486" s="19" t="str">
        <f>IFERROR(__xludf.DUMMYFUNCTION("""COMPUTED_VALUE"""),"BLUE")</f>
        <v>BLUE</v>
      </c>
      <c r="G7486" s="20" t="str">
        <f>IFERROR(__xludf.DUMMYFUNCTION("""COMPUTED_VALUE"""),"Uncle Sams Cider (11/12/2021) (Blue)")</f>
        <v>Uncle Sams Cider (11/12/2021) (Blue)</v>
      </c>
      <c r="H7486" s="19"/>
    </row>
    <row r="7487">
      <c r="A7487" s="9"/>
      <c r="B7487" s="15"/>
      <c r="C7487" s="9">
        <f>IFERROR(__xludf.DUMMYFUNCTION("""COMPUTED_VALUE"""),44526.6346937384)</f>
        <v>44526.63469</v>
      </c>
      <c r="D7487" s="15">
        <f>IFERROR(__xludf.DUMMYFUNCTION("""COMPUTED_VALUE"""),1.036)</f>
        <v>1.036</v>
      </c>
      <c r="E7487" s="16">
        <f>IFERROR(__xludf.DUMMYFUNCTION("""COMPUTED_VALUE"""),65.0)</f>
        <v>65</v>
      </c>
      <c r="F7487" s="19" t="str">
        <f>IFERROR(__xludf.DUMMYFUNCTION("""COMPUTED_VALUE"""),"BLUE")</f>
        <v>BLUE</v>
      </c>
      <c r="G7487" s="20" t="str">
        <f>IFERROR(__xludf.DUMMYFUNCTION("""COMPUTED_VALUE"""),"Uncle Sams Cider (11/12/2021) (Blue)")</f>
        <v>Uncle Sams Cider (11/12/2021) (Blue)</v>
      </c>
      <c r="H7487" s="19"/>
    </row>
    <row r="7488">
      <c r="A7488" s="9"/>
      <c r="B7488" s="15"/>
      <c r="C7488" s="9">
        <f>IFERROR(__xludf.DUMMYFUNCTION("""COMPUTED_VALUE"""),44526.6242731828)</f>
        <v>44526.62427</v>
      </c>
      <c r="D7488" s="15">
        <f>IFERROR(__xludf.DUMMYFUNCTION("""COMPUTED_VALUE"""),1.036)</f>
        <v>1.036</v>
      </c>
      <c r="E7488" s="16">
        <f>IFERROR(__xludf.DUMMYFUNCTION("""COMPUTED_VALUE"""),65.0)</f>
        <v>65</v>
      </c>
      <c r="F7488" s="19" t="str">
        <f>IFERROR(__xludf.DUMMYFUNCTION("""COMPUTED_VALUE"""),"BLUE")</f>
        <v>BLUE</v>
      </c>
      <c r="G7488" s="20" t="str">
        <f>IFERROR(__xludf.DUMMYFUNCTION("""COMPUTED_VALUE"""),"Uncle Sams Cider (11/12/2021) (Blue)")</f>
        <v>Uncle Sams Cider (11/12/2021) (Blue)</v>
      </c>
      <c r="H7488" s="19"/>
    </row>
    <row r="7489">
      <c r="A7489" s="9"/>
      <c r="B7489" s="15"/>
      <c r="C7489" s="9">
        <f>IFERROR(__xludf.DUMMYFUNCTION("""COMPUTED_VALUE"""),44526.6138518402)</f>
        <v>44526.61385</v>
      </c>
      <c r="D7489" s="15">
        <f>IFERROR(__xludf.DUMMYFUNCTION("""COMPUTED_VALUE"""),1.036)</f>
        <v>1.036</v>
      </c>
      <c r="E7489" s="16">
        <f>IFERROR(__xludf.DUMMYFUNCTION("""COMPUTED_VALUE"""),65.0)</f>
        <v>65</v>
      </c>
      <c r="F7489" s="19" t="str">
        <f>IFERROR(__xludf.DUMMYFUNCTION("""COMPUTED_VALUE"""),"BLUE")</f>
        <v>BLUE</v>
      </c>
      <c r="G7489" s="20" t="str">
        <f>IFERROR(__xludf.DUMMYFUNCTION("""COMPUTED_VALUE"""),"Uncle Sams Cider (11/12/2021) (Blue)")</f>
        <v>Uncle Sams Cider (11/12/2021) (Blue)</v>
      </c>
      <c r="H7489" s="19"/>
    </row>
    <row r="7490">
      <c r="A7490" s="9"/>
      <c r="B7490" s="15"/>
      <c r="C7490" s="9">
        <f>IFERROR(__xludf.DUMMYFUNCTION("""COMPUTED_VALUE"""),44526.6034292939)</f>
        <v>44526.60343</v>
      </c>
      <c r="D7490" s="15">
        <f>IFERROR(__xludf.DUMMYFUNCTION("""COMPUTED_VALUE"""),1.036)</f>
        <v>1.036</v>
      </c>
      <c r="E7490" s="16">
        <f>IFERROR(__xludf.DUMMYFUNCTION("""COMPUTED_VALUE"""),65.0)</f>
        <v>65</v>
      </c>
      <c r="F7490" s="19" t="str">
        <f>IFERROR(__xludf.DUMMYFUNCTION("""COMPUTED_VALUE"""),"BLUE")</f>
        <v>BLUE</v>
      </c>
      <c r="G7490" s="20" t="str">
        <f>IFERROR(__xludf.DUMMYFUNCTION("""COMPUTED_VALUE"""),"Uncle Sams Cider (11/12/2021) (Blue)")</f>
        <v>Uncle Sams Cider (11/12/2021) (Blue)</v>
      </c>
      <c r="H7490" s="19"/>
    </row>
    <row r="7491">
      <c r="A7491" s="9"/>
      <c r="B7491" s="15"/>
      <c r="C7491" s="9">
        <f>IFERROR(__xludf.DUMMYFUNCTION("""COMPUTED_VALUE"""),44526.5930085879)</f>
        <v>44526.59301</v>
      </c>
      <c r="D7491" s="15">
        <f>IFERROR(__xludf.DUMMYFUNCTION("""COMPUTED_VALUE"""),1.036)</f>
        <v>1.036</v>
      </c>
      <c r="E7491" s="16">
        <f>IFERROR(__xludf.DUMMYFUNCTION("""COMPUTED_VALUE"""),65.0)</f>
        <v>65</v>
      </c>
      <c r="F7491" s="19" t="str">
        <f>IFERROR(__xludf.DUMMYFUNCTION("""COMPUTED_VALUE"""),"BLUE")</f>
        <v>BLUE</v>
      </c>
      <c r="G7491" s="20" t="str">
        <f>IFERROR(__xludf.DUMMYFUNCTION("""COMPUTED_VALUE"""),"Uncle Sams Cider (11/12/2021) (Blue)")</f>
        <v>Uncle Sams Cider (11/12/2021) (Blue)</v>
      </c>
      <c r="H7491" s="19"/>
    </row>
    <row r="7492">
      <c r="A7492" s="9"/>
      <c r="B7492" s="15"/>
      <c r="C7492" s="9">
        <f>IFERROR(__xludf.DUMMYFUNCTION("""COMPUTED_VALUE"""),44526.5825880208)</f>
        <v>44526.58259</v>
      </c>
      <c r="D7492" s="15">
        <f>IFERROR(__xludf.DUMMYFUNCTION("""COMPUTED_VALUE"""),1.036)</f>
        <v>1.036</v>
      </c>
      <c r="E7492" s="16">
        <f>IFERROR(__xludf.DUMMYFUNCTION("""COMPUTED_VALUE"""),65.0)</f>
        <v>65</v>
      </c>
      <c r="F7492" s="19" t="str">
        <f>IFERROR(__xludf.DUMMYFUNCTION("""COMPUTED_VALUE"""),"BLUE")</f>
        <v>BLUE</v>
      </c>
      <c r="G7492" s="20" t="str">
        <f>IFERROR(__xludf.DUMMYFUNCTION("""COMPUTED_VALUE"""),"Uncle Sams Cider (11/12/2021) (Blue)")</f>
        <v>Uncle Sams Cider (11/12/2021) (Blue)</v>
      </c>
      <c r="H7492" s="19"/>
    </row>
    <row r="7493">
      <c r="A7493" s="9"/>
      <c r="B7493" s="15"/>
      <c r="C7493" s="9">
        <f>IFERROR(__xludf.DUMMYFUNCTION("""COMPUTED_VALUE"""),44526.5721667592)</f>
        <v>44526.57217</v>
      </c>
      <c r="D7493" s="15">
        <f>IFERROR(__xludf.DUMMYFUNCTION("""COMPUTED_VALUE"""),1.037)</f>
        <v>1.037</v>
      </c>
      <c r="E7493" s="16">
        <f>IFERROR(__xludf.DUMMYFUNCTION("""COMPUTED_VALUE"""),65.0)</f>
        <v>65</v>
      </c>
      <c r="F7493" s="19" t="str">
        <f>IFERROR(__xludf.DUMMYFUNCTION("""COMPUTED_VALUE"""),"BLUE")</f>
        <v>BLUE</v>
      </c>
      <c r="G7493" s="20" t="str">
        <f>IFERROR(__xludf.DUMMYFUNCTION("""COMPUTED_VALUE"""),"Uncle Sams Cider (11/12/2021) (Blue)")</f>
        <v>Uncle Sams Cider (11/12/2021) (Blue)</v>
      </c>
      <c r="H7493" s="19"/>
    </row>
    <row r="7494">
      <c r="A7494" s="9"/>
      <c r="B7494" s="15"/>
      <c r="C7494" s="9">
        <f>IFERROR(__xludf.DUMMYFUNCTION("""COMPUTED_VALUE"""),44526.5617319328)</f>
        <v>44526.56173</v>
      </c>
      <c r="D7494" s="15">
        <f>IFERROR(__xludf.DUMMYFUNCTION("""COMPUTED_VALUE"""),1.036)</f>
        <v>1.036</v>
      </c>
      <c r="E7494" s="16">
        <f>IFERROR(__xludf.DUMMYFUNCTION("""COMPUTED_VALUE"""),65.0)</f>
        <v>65</v>
      </c>
      <c r="F7494" s="19" t="str">
        <f>IFERROR(__xludf.DUMMYFUNCTION("""COMPUTED_VALUE"""),"BLUE")</f>
        <v>BLUE</v>
      </c>
      <c r="G7494" s="20" t="str">
        <f>IFERROR(__xludf.DUMMYFUNCTION("""COMPUTED_VALUE"""),"Uncle Sams Cider (11/12/2021) (Blue)")</f>
        <v>Uncle Sams Cider (11/12/2021) (Blue)</v>
      </c>
      <c r="H7494" s="19"/>
    </row>
    <row r="7495">
      <c r="A7495" s="9"/>
      <c r="B7495" s="15"/>
      <c r="C7495" s="9">
        <f>IFERROR(__xludf.DUMMYFUNCTION("""COMPUTED_VALUE"""),44526.5513115393)</f>
        <v>44526.55131</v>
      </c>
      <c r="D7495" s="15">
        <f>IFERROR(__xludf.DUMMYFUNCTION("""COMPUTED_VALUE"""),1.036)</f>
        <v>1.036</v>
      </c>
      <c r="E7495" s="16">
        <f>IFERROR(__xludf.DUMMYFUNCTION("""COMPUTED_VALUE"""),65.0)</f>
        <v>65</v>
      </c>
      <c r="F7495" s="19" t="str">
        <f>IFERROR(__xludf.DUMMYFUNCTION("""COMPUTED_VALUE"""),"BLUE")</f>
        <v>BLUE</v>
      </c>
      <c r="G7495" s="20" t="str">
        <f>IFERROR(__xludf.DUMMYFUNCTION("""COMPUTED_VALUE"""),"Uncle Sams Cider (11/12/2021) (Blue)")</f>
        <v>Uncle Sams Cider (11/12/2021) (Blue)</v>
      </c>
      <c r="H7495" s="19"/>
    </row>
    <row r="7496">
      <c r="A7496" s="9"/>
      <c r="B7496" s="15"/>
      <c r="C7496" s="9">
        <f>IFERROR(__xludf.DUMMYFUNCTION("""COMPUTED_VALUE"""),44526.5408679513)</f>
        <v>44526.54087</v>
      </c>
      <c r="D7496" s="15">
        <f>IFERROR(__xludf.DUMMYFUNCTION("""COMPUTED_VALUE"""),1.036)</f>
        <v>1.036</v>
      </c>
      <c r="E7496" s="16">
        <f>IFERROR(__xludf.DUMMYFUNCTION("""COMPUTED_VALUE"""),65.0)</f>
        <v>65</v>
      </c>
      <c r="F7496" s="19" t="str">
        <f>IFERROR(__xludf.DUMMYFUNCTION("""COMPUTED_VALUE"""),"BLUE")</f>
        <v>BLUE</v>
      </c>
      <c r="G7496" s="20" t="str">
        <f>IFERROR(__xludf.DUMMYFUNCTION("""COMPUTED_VALUE"""),"Uncle Sams Cider (11/12/2021) (Blue)")</f>
        <v>Uncle Sams Cider (11/12/2021) (Blue)</v>
      </c>
      <c r="H7496" s="19"/>
    </row>
    <row r="7497">
      <c r="A7497" s="9"/>
      <c r="B7497" s="15"/>
      <c r="C7497" s="9">
        <f>IFERROR(__xludf.DUMMYFUNCTION("""COMPUTED_VALUE"""),44526.5304348842)</f>
        <v>44526.53043</v>
      </c>
      <c r="D7497" s="15">
        <f>IFERROR(__xludf.DUMMYFUNCTION("""COMPUTED_VALUE"""),1.036)</f>
        <v>1.036</v>
      </c>
      <c r="E7497" s="16">
        <f>IFERROR(__xludf.DUMMYFUNCTION("""COMPUTED_VALUE"""),65.0)</f>
        <v>65</v>
      </c>
      <c r="F7497" s="19" t="str">
        <f>IFERROR(__xludf.DUMMYFUNCTION("""COMPUTED_VALUE"""),"BLUE")</f>
        <v>BLUE</v>
      </c>
      <c r="G7497" s="20" t="str">
        <f>IFERROR(__xludf.DUMMYFUNCTION("""COMPUTED_VALUE"""),"Uncle Sams Cider (11/12/2021) (Blue)")</f>
        <v>Uncle Sams Cider (11/12/2021) (Blue)</v>
      </c>
      <c r="H7497" s="19"/>
    </row>
    <row r="7498">
      <c r="A7498" s="9"/>
      <c r="B7498" s="15"/>
      <c r="C7498" s="9">
        <f>IFERROR(__xludf.DUMMYFUNCTION("""COMPUTED_VALUE"""),44526.5200147222)</f>
        <v>44526.52001</v>
      </c>
      <c r="D7498" s="15">
        <f>IFERROR(__xludf.DUMMYFUNCTION("""COMPUTED_VALUE"""),1.036)</f>
        <v>1.036</v>
      </c>
      <c r="E7498" s="16">
        <f>IFERROR(__xludf.DUMMYFUNCTION("""COMPUTED_VALUE"""),65.0)</f>
        <v>65</v>
      </c>
      <c r="F7498" s="19" t="str">
        <f>IFERROR(__xludf.DUMMYFUNCTION("""COMPUTED_VALUE"""),"BLUE")</f>
        <v>BLUE</v>
      </c>
      <c r="G7498" s="20" t="str">
        <f>IFERROR(__xludf.DUMMYFUNCTION("""COMPUTED_VALUE"""),"Uncle Sams Cider (11/12/2021) (Blue)")</f>
        <v>Uncle Sams Cider (11/12/2021) (Blue)</v>
      </c>
      <c r="H7498" s="19"/>
    </row>
    <row r="7499">
      <c r="A7499" s="9"/>
      <c r="B7499" s="15"/>
      <c r="C7499" s="9">
        <f>IFERROR(__xludf.DUMMYFUNCTION("""COMPUTED_VALUE"""),44526.5095950462)</f>
        <v>44526.5096</v>
      </c>
      <c r="D7499" s="15">
        <f>IFERROR(__xludf.DUMMYFUNCTION("""COMPUTED_VALUE"""),1.036)</f>
        <v>1.036</v>
      </c>
      <c r="E7499" s="16">
        <f>IFERROR(__xludf.DUMMYFUNCTION("""COMPUTED_VALUE"""),65.0)</f>
        <v>65</v>
      </c>
      <c r="F7499" s="19" t="str">
        <f>IFERROR(__xludf.DUMMYFUNCTION("""COMPUTED_VALUE"""),"BLUE")</f>
        <v>BLUE</v>
      </c>
      <c r="G7499" s="20" t="str">
        <f>IFERROR(__xludf.DUMMYFUNCTION("""COMPUTED_VALUE"""),"Uncle Sams Cider (11/12/2021) (Blue)")</f>
        <v>Uncle Sams Cider (11/12/2021) (Blue)</v>
      </c>
      <c r="H7499" s="19"/>
    </row>
    <row r="7500">
      <c r="A7500" s="9"/>
      <c r="B7500" s="15"/>
      <c r="C7500" s="9">
        <f>IFERROR(__xludf.DUMMYFUNCTION("""COMPUTED_VALUE"""),44526.4991734606)</f>
        <v>44526.49917</v>
      </c>
      <c r="D7500" s="15">
        <f>IFERROR(__xludf.DUMMYFUNCTION("""COMPUTED_VALUE"""),1.037)</f>
        <v>1.037</v>
      </c>
      <c r="E7500" s="16">
        <f>IFERROR(__xludf.DUMMYFUNCTION("""COMPUTED_VALUE"""),65.0)</f>
        <v>65</v>
      </c>
      <c r="F7500" s="19" t="str">
        <f>IFERROR(__xludf.DUMMYFUNCTION("""COMPUTED_VALUE"""),"BLUE")</f>
        <v>BLUE</v>
      </c>
      <c r="G7500" s="20" t="str">
        <f>IFERROR(__xludf.DUMMYFUNCTION("""COMPUTED_VALUE"""),"Uncle Sams Cider (11/12/2021) (Blue)")</f>
        <v>Uncle Sams Cider (11/12/2021) (Blue)</v>
      </c>
      <c r="H7500" s="19"/>
    </row>
    <row r="7501">
      <c r="A7501" s="9"/>
      <c r="B7501" s="15"/>
      <c r="C7501" s="9">
        <f>IFERROR(__xludf.DUMMYFUNCTION("""COMPUTED_VALUE"""),44526.4887519212)</f>
        <v>44526.48875</v>
      </c>
      <c r="D7501" s="15">
        <f>IFERROR(__xludf.DUMMYFUNCTION("""COMPUTED_VALUE"""),1.036)</f>
        <v>1.036</v>
      </c>
      <c r="E7501" s="16">
        <f>IFERROR(__xludf.DUMMYFUNCTION("""COMPUTED_VALUE"""),65.0)</f>
        <v>65</v>
      </c>
      <c r="F7501" s="19" t="str">
        <f>IFERROR(__xludf.DUMMYFUNCTION("""COMPUTED_VALUE"""),"BLUE")</f>
        <v>BLUE</v>
      </c>
      <c r="G7501" s="20" t="str">
        <f>IFERROR(__xludf.DUMMYFUNCTION("""COMPUTED_VALUE"""),"Uncle Sams Cider (11/12/2021) (Blue)")</f>
        <v>Uncle Sams Cider (11/12/2021) (Blue)</v>
      </c>
      <c r="H7501" s="19"/>
    </row>
    <row r="7502">
      <c r="A7502" s="9"/>
      <c r="B7502" s="15"/>
      <c r="C7502" s="9">
        <f>IFERROR(__xludf.DUMMYFUNCTION("""COMPUTED_VALUE"""),44526.4783307638)</f>
        <v>44526.47833</v>
      </c>
      <c r="D7502" s="15">
        <f>IFERROR(__xludf.DUMMYFUNCTION("""COMPUTED_VALUE"""),1.036)</f>
        <v>1.036</v>
      </c>
      <c r="E7502" s="16">
        <f>IFERROR(__xludf.DUMMYFUNCTION("""COMPUTED_VALUE"""),65.0)</f>
        <v>65</v>
      </c>
      <c r="F7502" s="19" t="str">
        <f>IFERROR(__xludf.DUMMYFUNCTION("""COMPUTED_VALUE"""),"BLUE")</f>
        <v>BLUE</v>
      </c>
      <c r="G7502" s="20" t="str">
        <f>IFERROR(__xludf.DUMMYFUNCTION("""COMPUTED_VALUE"""),"Uncle Sams Cider (11/12/2021) (Blue)")</f>
        <v>Uncle Sams Cider (11/12/2021) (Blue)</v>
      </c>
      <c r="H7502" s="19"/>
    </row>
    <row r="7503">
      <c r="A7503" s="9"/>
      <c r="B7503" s="15"/>
      <c r="C7503" s="9">
        <f>IFERROR(__xludf.DUMMYFUNCTION("""COMPUTED_VALUE"""),44526.467896956)</f>
        <v>44526.4679</v>
      </c>
      <c r="D7503" s="15">
        <f>IFERROR(__xludf.DUMMYFUNCTION("""COMPUTED_VALUE"""),1.037)</f>
        <v>1.037</v>
      </c>
      <c r="E7503" s="16">
        <f>IFERROR(__xludf.DUMMYFUNCTION("""COMPUTED_VALUE"""),65.0)</f>
        <v>65</v>
      </c>
      <c r="F7503" s="19" t="str">
        <f>IFERROR(__xludf.DUMMYFUNCTION("""COMPUTED_VALUE"""),"BLUE")</f>
        <v>BLUE</v>
      </c>
      <c r="G7503" s="20" t="str">
        <f>IFERROR(__xludf.DUMMYFUNCTION("""COMPUTED_VALUE"""),"Uncle Sams Cider (11/12/2021) (Blue)")</f>
        <v>Uncle Sams Cider (11/12/2021) (Blue)</v>
      </c>
      <c r="H7503" s="19"/>
    </row>
    <row r="7504">
      <c r="A7504" s="9"/>
      <c r="B7504" s="15"/>
      <c r="C7504" s="9">
        <f>IFERROR(__xludf.DUMMYFUNCTION("""COMPUTED_VALUE"""),44526.4574759606)</f>
        <v>44526.45748</v>
      </c>
      <c r="D7504" s="15">
        <f>IFERROR(__xludf.DUMMYFUNCTION("""COMPUTED_VALUE"""),1.037)</f>
        <v>1.037</v>
      </c>
      <c r="E7504" s="16">
        <f>IFERROR(__xludf.DUMMYFUNCTION("""COMPUTED_VALUE"""),66.0)</f>
        <v>66</v>
      </c>
      <c r="F7504" s="19" t="str">
        <f>IFERROR(__xludf.DUMMYFUNCTION("""COMPUTED_VALUE"""),"BLUE")</f>
        <v>BLUE</v>
      </c>
      <c r="G7504" s="20" t="str">
        <f>IFERROR(__xludf.DUMMYFUNCTION("""COMPUTED_VALUE"""),"Uncle Sams Cider (11/12/2021) (Blue)")</f>
        <v>Uncle Sams Cider (11/12/2021) (Blue)</v>
      </c>
      <c r="H7504" s="19"/>
    </row>
    <row r="7505">
      <c r="A7505" s="9"/>
      <c r="B7505" s="15"/>
      <c r="C7505" s="9">
        <f>IFERROR(__xludf.DUMMYFUNCTION("""COMPUTED_VALUE"""),44526.4470552893)</f>
        <v>44526.44706</v>
      </c>
      <c r="D7505" s="15">
        <f>IFERROR(__xludf.DUMMYFUNCTION("""COMPUTED_VALUE"""),1.037)</f>
        <v>1.037</v>
      </c>
      <c r="E7505" s="16">
        <f>IFERROR(__xludf.DUMMYFUNCTION("""COMPUTED_VALUE"""),66.0)</f>
        <v>66</v>
      </c>
      <c r="F7505" s="19" t="str">
        <f>IFERROR(__xludf.DUMMYFUNCTION("""COMPUTED_VALUE"""),"BLUE")</f>
        <v>BLUE</v>
      </c>
      <c r="G7505" s="20" t="str">
        <f>IFERROR(__xludf.DUMMYFUNCTION("""COMPUTED_VALUE"""),"Uncle Sams Cider (11/12/2021) (Blue)")</f>
        <v>Uncle Sams Cider (11/12/2021) (Blue)</v>
      </c>
      <c r="H7505" s="19"/>
    </row>
    <row r="7506">
      <c r="A7506" s="9"/>
      <c r="B7506" s="15"/>
      <c r="C7506" s="9">
        <f>IFERROR(__xludf.DUMMYFUNCTION("""COMPUTED_VALUE"""),44526.4366356134)</f>
        <v>44526.43664</v>
      </c>
      <c r="D7506" s="15">
        <f>IFERROR(__xludf.DUMMYFUNCTION("""COMPUTED_VALUE"""),1.037)</f>
        <v>1.037</v>
      </c>
      <c r="E7506" s="16">
        <f>IFERROR(__xludf.DUMMYFUNCTION("""COMPUTED_VALUE"""),66.0)</f>
        <v>66</v>
      </c>
      <c r="F7506" s="19" t="str">
        <f>IFERROR(__xludf.DUMMYFUNCTION("""COMPUTED_VALUE"""),"BLUE")</f>
        <v>BLUE</v>
      </c>
      <c r="G7506" s="20" t="str">
        <f>IFERROR(__xludf.DUMMYFUNCTION("""COMPUTED_VALUE"""),"Uncle Sams Cider (11/12/2021) (Blue)")</f>
        <v>Uncle Sams Cider (11/12/2021) (Blue)</v>
      </c>
      <c r="H7506" s="19"/>
    </row>
    <row r="7507">
      <c r="A7507" s="9"/>
      <c r="B7507" s="15"/>
      <c r="C7507" s="9">
        <f>IFERROR(__xludf.DUMMYFUNCTION("""COMPUTED_VALUE"""),44526.4262155787)</f>
        <v>44526.42622</v>
      </c>
      <c r="D7507" s="15">
        <f>IFERROR(__xludf.DUMMYFUNCTION("""COMPUTED_VALUE"""),1.037)</f>
        <v>1.037</v>
      </c>
      <c r="E7507" s="16">
        <f>IFERROR(__xludf.DUMMYFUNCTION("""COMPUTED_VALUE"""),65.0)</f>
        <v>65</v>
      </c>
      <c r="F7507" s="19" t="str">
        <f>IFERROR(__xludf.DUMMYFUNCTION("""COMPUTED_VALUE"""),"BLUE")</f>
        <v>BLUE</v>
      </c>
      <c r="G7507" s="20" t="str">
        <f>IFERROR(__xludf.DUMMYFUNCTION("""COMPUTED_VALUE"""),"Uncle Sams Cider (11/12/2021) (Blue)")</f>
        <v>Uncle Sams Cider (11/12/2021) (Blue)</v>
      </c>
      <c r="H7507" s="19"/>
    </row>
    <row r="7508">
      <c r="A7508" s="9"/>
      <c r="B7508" s="15"/>
      <c r="C7508" s="9">
        <f>IFERROR(__xludf.DUMMYFUNCTION("""COMPUTED_VALUE"""),44526.4157933217)</f>
        <v>44526.41579</v>
      </c>
      <c r="D7508" s="15">
        <f>IFERROR(__xludf.DUMMYFUNCTION("""COMPUTED_VALUE"""),1.037)</f>
        <v>1.037</v>
      </c>
      <c r="E7508" s="16">
        <f>IFERROR(__xludf.DUMMYFUNCTION("""COMPUTED_VALUE"""),66.0)</f>
        <v>66</v>
      </c>
      <c r="F7508" s="19" t="str">
        <f>IFERROR(__xludf.DUMMYFUNCTION("""COMPUTED_VALUE"""),"BLUE")</f>
        <v>BLUE</v>
      </c>
      <c r="G7508" s="20" t="str">
        <f>IFERROR(__xludf.DUMMYFUNCTION("""COMPUTED_VALUE"""),"Uncle Sams Cider (11/12/2021) (Blue)")</f>
        <v>Uncle Sams Cider (11/12/2021) (Blue)</v>
      </c>
      <c r="H7508" s="19"/>
    </row>
    <row r="7509">
      <c r="A7509" s="9"/>
      <c r="B7509" s="15"/>
      <c r="C7509" s="9">
        <f>IFERROR(__xludf.DUMMYFUNCTION("""COMPUTED_VALUE"""),44526.4053714814)</f>
        <v>44526.40537</v>
      </c>
      <c r="D7509" s="15">
        <f>IFERROR(__xludf.DUMMYFUNCTION("""COMPUTED_VALUE"""),1.037)</f>
        <v>1.037</v>
      </c>
      <c r="E7509" s="16">
        <f>IFERROR(__xludf.DUMMYFUNCTION("""COMPUTED_VALUE"""),66.0)</f>
        <v>66</v>
      </c>
      <c r="F7509" s="19" t="str">
        <f>IFERROR(__xludf.DUMMYFUNCTION("""COMPUTED_VALUE"""),"BLUE")</f>
        <v>BLUE</v>
      </c>
      <c r="G7509" s="20" t="str">
        <f>IFERROR(__xludf.DUMMYFUNCTION("""COMPUTED_VALUE"""),"Uncle Sams Cider (11/12/2021) (Blue)")</f>
        <v>Uncle Sams Cider (11/12/2021) (Blue)</v>
      </c>
      <c r="H7509" s="19"/>
    </row>
    <row r="7510">
      <c r="A7510" s="9"/>
      <c r="B7510" s="15"/>
      <c r="C7510" s="9">
        <f>IFERROR(__xludf.DUMMYFUNCTION("""COMPUTED_VALUE"""),44526.3949515393)</f>
        <v>44526.39495</v>
      </c>
      <c r="D7510" s="15">
        <f>IFERROR(__xludf.DUMMYFUNCTION("""COMPUTED_VALUE"""),1.037)</f>
        <v>1.037</v>
      </c>
      <c r="E7510" s="16">
        <f>IFERROR(__xludf.DUMMYFUNCTION("""COMPUTED_VALUE"""),66.0)</f>
        <v>66</v>
      </c>
      <c r="F7510" s="19" t="str">
        <f>IFERROR(__xludf.DUMMYFUNCTION("""COMPUTED_VALUE"""),"BLUE")</f>
        <v>BLUE</v>
      </c>
      <c r="G7510" s="20" t="str">
        <f>IFERROR(__xludf.DUMMYFUNCTION("""COMPUTED_VALUE"""),"Uncle Sams Cider (11/12/2021) (Blue)")</f>
        <v>Uncle Sams Cider (11/12/2021) (Blue)</v>
      </c>
      <c r="H7510" s="19"/>
    </row>
    <row r="7511">
      <c r="A7511" s="9"/>
      <c r="B7511" s="15"/>
      <c r="C7511" s="9">
        <f>IFERROR(__xludf.DUMMYFUNCTION("""COMPUTED_VALUE"""),44526.3845292708)</f>
        <v>44526.38453</v>
      </c>
      <c r="D7511" s="15">
        <f>IFERROR(__xludf.DUMMYFUNCTION("""COMPUTED_VALUE"""),1.037)</f>
        <v>1.037</v>
      </c>
      <c r="E7511" s="16">
        <f>IFERROR(__xludf.DUMMYFUNCTION("""COMPUTED_VALUE"""),66.0)</f>
        <v>66</v>
      </c>
      <c r="F7511" s="19" t="str">
        <f>IFERROR(__xludf.DUMMYFUNCTION("""COMPUTED_VALUE"""),"BLUE")</f>
        <v>BLUE</v>
      </c>
      <c r="G7511" s="20" t="str">
        <f>IFERROR(__xludf.DUMMYFUNCTION("""COMPUTED_VALUE"""),"Uncle Sams Cider (11/12/2021) (Blue)")</f>
        <v>Uncle Sams Cider (11/12/2021) (Blue)</v>
      </c>
      <c r="H7511" s="19"/>
    </row>
    <row r="7512">
      <c r="A7512" s="9"/>
      <c r="B7512" s="15"/>
      <c r="C7512" s="9">
        <f>IFERROR(__xludf.DUMMYFUNCTION("""COMPUTED_VALUE"""),44526.3741084606)</f>
        <v>44526.37411</v>
      </c>
      <c r="D7512" s="15">
        <f>IFERROR(__xludf.DUMMYFUNCTION("""COMPUTED_VALUE"""),1.037)</f>
        <v>1.037</v>
      </c>
      <c r="E7512" s="16">
        <f>IFERROR(__xludf.DUMMYFUNCTION("""COMPUTED_VALUE"""),66.0)</f>
        <v>66</v>
      </c>
      <c r="F7512" s="19" t="str">
        <f>IFERROR(__xludf.DUMMYFUNCTION("""COMPUTED_VALUE"""),"BLUE")</f>
        <v>BLUE</v>
      </c>
      <c r="G7512" s="20" t="str">
        <f>IFERROR(__xludf.DUMMYFUNCTION("""COMPUTED_VALUE"""),"Uncle Sams Cider (11/12/2021) (Blue)")</f>
        <v>Uncle Sams Cider (11/12/2021) (Blue)</v>
      </c>
      <c r="H7512" s="19"/>
    </row>
    <row r="7513">
      <c r="A7513" s="9"/>
      <c r="B7513" s="15"/>
      <c r="C7513" s="9">
        <f>IFERROR(__xludf.DUMMYFUNCTION("""COMPUTED_VALUE"""),44526.3636874189)</f>
        <v>44526.36369</v>
      </c>
      <c r="D7513" s="15">
        <f>IFERROR(__xludf.DUMMYFUNCTION("""COMPUTED_VALUE"""),1.037)</f>
        <v>1.037</v>
      </c>
      <c r="E7513" s="16">
        <f>IFERROR(__xludf.DUMMYFUNCTION("""COMPUTED_VALUE"""),65.0)</f>
        <v>65</v>
      </c>
      <c r="F7513" s="19" t="str">
        <f>IFERROR(__xludf.DUMMYFUNCTION("""COMPUTED_VALUE"""),"BLUE")</f>
        <v>BLUE</v>
      </c>
      <c r="G7513" s="20" t="str">
        <f>IFERROR(__xludf.DUMMYFUNCTION("""COMPUTED_VALUE"""),"Uncle Sams Cider (11/12/2021) (Blue)")</f>
        <v>Uncle Sams Cider (11/12/2021) (Blue)</v>
      </c>
      <c r="H7513" s="19"/>
    </row>
    <row r="7514">
      <c r="A7514" s="9"/>
      <c r="B7514" s="15"/>
      <c r="C7514" s="9">
        <f>IFERROR(__xludf.DUMMYFUNCTION("""COMPUTED_VALUE"""),44526.3532549652)</f>
        <v>44526.35325</v>
      </c>
      <c r="D7514" s="15">
        <f>IFERROR(__xludf.DUMMYFUNCTION("""COMPUTED_VALUE"""),1.037)</f>
        <v>1.037</v>
      </c>
      <c r="E7514" s="16">
        <f>IFERROR(__xludf.DUMMYFUNCTION("""COMPUTED_VALUE"""),66.0)</f>
        <v>66</v>
      </c>
      <c r="F7514" s="19" t="str">
        <f>IFERROR(__xludf.DUMMYFUNCTION("""COMPUTED_VALUE"""),"BLUE")</f>
        <v>BLUE</v>
      </c>
      <c r="G7514" s="20" t="str">
        <f>IFERROR(__xludf.DUMMYFUNCTION("""COMPUTED_VALUE"""),"Uncle Sams Cider (11/12/2021) (Blue)")</f>
        <v>Uncle Sams Cider (11/12/2021) (Blue)</v>
      </c>
      <c r="H7514" s="19"/>
    </row>
    <row r="7515">
      <c r="A7515" s="9"/>
      <c r="B7515" s="15"/>
      <c r="C7515" s="9">
        <f>IFERROR(__xludf.DUMMYFUNCTION("""COMPUTED_VALUE"""),44526.3428330671)</f>
        <v>44526.34283</v>
      </c>
      <c r="D7515" s="15">
        <f>IFERROR(__xludf.DUMMYFUNCTION("""COMPUTED_VALUE"""),1.037)</f>
        <v>1.037</v>
      </c>
      <c r="E7515" s="16">
        <f>IFERROR(__xludf.DUMMYFUNCTION("""COMPUTED_VALUE"""),65.0)</f>
        <v>65</v>
      </c>
      <c r="F7515" s="19" t="str">
        <f>IFERROR(__xludf.DUMMYFUNCTION("""COMPUTED_VALUE"""),"BLUE")</f>
        <v>BLUE</v>
      </c>
      <c r="G7515" s="20" t="str">
        <f>IFERROR(__xludf.DUMMYFUNCTION("""COMPUTED_VALUE"""),"Uncle Sams Cider (11/12/2021) (Blue)")</f>
        <v>Uncle Sams Cider (11/12/2021) (Blue)</v>
      </c>
      <c r="H7515" s="19"/>
    </row>
    <row r="7516">
      <c r="A7516" s="9"/>
      <c r="B7516" s="15"/>
      <c r="C7516" s="9">
        <f>IFERROR(__xludf.DUMMYFUNCTION("""COMPUTED_VALUE"""),44526.3323992939)</f>
        <v>44526.3324</v>
      </c>
      <c r="D7516" s="15">
        <f>IFERROR(__xludf.DUMMYFUNCTION("""COMPUTED_VALUE"""),1.037)</f>
        <v>1.037</v>
      </c>
      <c r="E7516" s="16">
        <f>IFERROR(__xludf.DUMMYFUNCTION("""COMPUTED_VALUE"""),65.0)</f>
        <v>65</v>
      </c>
      <c r="F7516" s="19" t="str">
        <f>IFERROR(__xludf.DUMMYFUNCTION("""COMPUTED_VALUE"""),"BLUE")</f>
        <v>BLUE</v>
      </c>
      <c r="G7516" s="20" t="str">
        <f>IFERROR(__xludf.DUMMYFUNCTION("""COMPUTED_VALUE"""),"Uncle Sams Cider (11/12/2021) (Blue)")</f>
        <v>Uncle Sams Cider (11/12/2021) (Blue)</v>
      </c>
      <c r="H7516" s="19"/>
    </row>
    <row r="7517">
      <c r="A7517" s="9"/>
      <c r="B7517" s="15"/>
      <c r="C7517" s="9">
        <f>IFERROR(__xludf.DUMMYFUNCTION("""COMPUTED_VALUE"""),44526.3219775462)</f>
        <v>44526.32198</v>
      </c>
      <c r="D7517" s="15">
        <f>IFERROR(__xludf.DUMMYFUNCTION("""COMPUTED_VALUE"""),1.037)</f>
        <v>1.037</v>
      </c>
      <c r="E7517" s="16">
        <f>IFERROR(__xludf.DUMMYFUNCTION("""COMPUTED_VALUE"""),66.0)</f>
        <v>66</v>
      </c>
      <c r="F7517" s="19" t="str">
        <f>IFERROR(__xludf.DUMMYFUNCTION("""COMPUTED_VALUE"""),"BLUE")</f>
        <v>BLUE</v>
      </c>
      <c r="G7517" s="20" t="str">
        <f>IFERROR(__xludf.DUMMYFUNCTION("""COMPUTED_VALUE"""),"Uncle Sams Cider (11/12/2021) (Blue)")</f>
        <v>Uncle Sams Cider (11/12/2021) (Blue)</v>
      </c>
      <c r="H7517" s="19"/>
    </row>
    <row r="7518">
      <c r="A7518" s="9"/>
      <c r="B7518" s="15"/>
      <c r="C7518" s="9">
        <f>IFERROR(__xludf.DUMMYFUNCTION("""COMPUTED_VALUE"""),44526.3115566898)</f>
        <v>44526.31156</v>
      </c>
      <c r="D7518" s="15">
        <f>IFERROR(__xludf.DUMMYFUNCTION("""COMPUTED_VALUE"""),1.037)</f>
        <v>1.037</v>
      </c>
      <c r="E7518" s="16">
        <f>IFERROR(__xludf.DUMMYFUNCTION("""COMPUTED_VALUE"""),66.0)</f>
        <v>66</v>
      </c>
      <c r="F7518" s="19" t="str">
        <f>IFERROR(__xludf.DUMMYFUNCTION("""COMPUTED_VALUE"""),"BLUE")</f>
        <v>BLUE</v>
      </c>
      <c r="G7518" s="20" t="str">
        <f>IFERROR(__xludf.DUMMYFUNCTION("""COMPUTED_VALUE"""),"Uncle Sams Cider (11/12/2021) (Blue)")</f>
        <v>Uncle Sams Cider (11/12/2021) (Blue)</v>
      </c>
      <c r="H7518" s="19"/>
    </row>
    <row r="7519">
      <c r="A7519" s="9"/>
      <c r="B7519" s="15"/>
      <c r="C7519" s="9">
        <f>IFERROR(__xludf.DUMMYFUNCTION("""COMPUTED_VALUE"""),44526.3011347453)</f>
        <v>44526.30113</v>
      </c>
      <c r="D7519" s="15">
        <f>IFERROR(__xludf.DUMMYFUNCTION("""COMPUTED_VALUE"""),1.037)</f>
        <v>1.037</v>
      </c>
      <c r="E7519" s="16">
        <f>IFERROR(__xludf.DUMMYFUNCTION("""COMPUTED_VALUE"""),66.0)</f>
        <v>66</v>
      </c>
      <c r="F7519" s="19" t="str">
        <f>IFERROR(__xludf.DUMMYFUNCTION("""COMPUTED_VALUE"""),"BLUE")</f>
        <v>BLUE</v>
      </c>
      <c r="G7519" s="20" t="str">
        <f>IFERROR(__xludf.DUMMYFUNCTION("""COMPUTED_VALUE"""),"Uncle Sams Cider (11/12/2021) (Blue)")</f>
        <v>Uncle Sams Cider (11/12/2021) (Blue)</v>
      </c>
      <c r="H7519" s="19"/>
    </row>
    <row r="7520">
      <c r="A7520" s="9"/>
      <c r="B7520" s="15"/>
      <c r="C7520" s="9">
        <f>IFERROR(__xludf.DUMMYFUNCTION("""COMPUTED_VALUE"""),44526.290715)</f>
        <v>44526.29072</v>
      </c>
      <c r="D7520" s="15">
        <f>IFERROR(__xludf.DUMMYFUNCTION("""COMPUTED_VALUE"""),1.037)</f>
        <v>1.037</v>
      </c>
      <c r="E7520" s="16">
        <f>IFERROR(__xludf.DUMMYFUNCTION("""COMPUTED_VALUE"""),66.0)</f>
        <v>66</v>
      </c>
      <c r="F7520" s="19" t="str">
        <f>IFERROR(__xludf.DUMMYFUNCTION("""COMPUTED_VALUE"""),"BLUE")</f>
        <v>BLUE</v>
      </c>
      <c r="G7520" s="20" t="str">
        <f>IFERROR(__xludf.DUMMYFUNCTION("""COMPUTED_VALUE"""),"Uncle Sams Cider (11/12/2021) (Blue)")</f>
        <v>Uncle Sams Cider (11/12/2021) (Blue)</v>
      </c>
      <c r="H7520" s="19"/>
    </row>
    <row r="7521">
      <c r="A7521" s="9"/>
      <c r="B7521" s="15"/>
      <c r="C7521" s="9">
        <f>IFERROR(__xludf.DUMMYFUNCTION("""COMPUTED_VALUE"""),44526.2802946296)</f>
        <v>44526.28029</v>
      </c>
      <c r="D7521" s="15">
        <f>IFERROR(__xludf.DUMMYFUNCTION("""COMPUTED_VALUE"""),1.037)</f>
        <v>1.037</v>
      </c>
      <c r="E7521" s="16">
        <f>IFERROR(__xludf.DUMMYFUNCTION("""COMPUTED_VALUE"""),65.0)</f>
        <v>65</v>
      </c>
      <c r="F7521" s="19" t="str">
        <f>IFERROR(__xludf.DUMMYFUNCTION("""COMPUTED_VALUE"""),"BLUE")</f>
        <v>BLUE</v>
      </c>
      <c r="G7521" s="20" t="str">
        <f>IFERROR(__xludf.DUMMYFUNCTION("""COMPUTED_VALUE"""),"Uncle Sams Cider (11/12/2021) (Blue)")</f>
        <v>Uncle Sams Cider (11/12/2021) (Blue)</v>
      </c>
      <c r="H7521" s="19"/>
    </row>
    <row r="7522">
      <c r="A7522" s="9"/>
      <c r="B7522" s="15"/>
      <c r="C7522" s="9">
        <f>IFERROR(__xludf.DUMMYFUNCTION("""COMPUTED_VALUE"""),44526.2698728472)</f>
        <v>44526.26987</v>
      </c>
      <c r="D7522" s="15">
        <f>IFERROR(__xludf.DUMMYFUNCTION("""COMPUTED_VALUE"""),1.037)</f>
        <v>1.037</v>
      </c>
      <c r="E7522" s="16">
        <f>IFERROR(__xludf.DUMMYFUNCTION("""COMPUTED_VALUE"""),65.0)</f>
        <v>65</v>
      </c>
      <c r="F7522" s="19" t="str">
        <f>IFERROR(__xludf.DUMMYFUNCTION("""COMPUTED_VALUE"""),"BLUE")</f>
        <v>BLUE</v>
      </c>
      <c r="G7522" s="20" t="str">
        <f>IFERROR(__xludf.DUMMYFUNCTION("""COMPUTED_VALUE"""),"Uncle Sams Cider (11/12/2021) (Blue)")</f>
        <v>Uncle Sams Cider (11/12/2021) (Blue)</v>
      </c>
      <c r="H7522" s="19"/>
    </row>
    <row r="7523">
      <c r="A7523" s="9"/>
      <c r="B7523" s="15"/>
      <c r="C7523" s="9">
        <f>IFERROR(__xludf.DUMMYFUNCTION("""COMPUTED_VALUE"""),44526.2594504398)</f>
        <v>44526.25945</v>
      </c>
      <c r="D7523" s="15">
        <f>IFERROR(__xludf.DUMMYFUNCTION("""COMPUTED_VALUE"""),1.037)</f>
        <v>1.037</v>
      </c>
      <c r="E7523" s="16">
        <f>IFERROR(__xludf.DUMMYFUNCTION("""COMPUTED_VALUE"""),65.0)</f>
        <v>65</v>
      </c>
      <c r="F7523" s="19" t="str">
        <f>IFERROR(__xludf.DUMMYFUNCTION("""COMPUTED_VALUE"""),"BLUE")</f>
        <v>BLUE</v>
      </c>
      <c r="G7523" s="20" t="str">
        <f>IFERROR(__xludf.DUMMYFUNCTION("""COMPUTED_VALUE"""),"Uncle Sams Cider (11/12/2021) (Blue)")</f>
        <v>Uncle Sams Cider (11/12/2021) (Blue)</v>
      </c>
      <c r="H7523" s="19"/>
    </row>
    <row r="7524">
      <c r="A7524" s="9"/>
      <c r="B7524" s="15"/>
      <c r="C7524" s="9">
        <f>IFERROR(__xludf.DUMMYFUNCTION("""COMPUTED_VALUE"""),44526.2490301967)</f>
        <v>44526.24903</v>
      </c>
      <c r="D7524" s="15">
        <f>IFERROR(__xludf.DUMMYFUNCTION("""COMPUTED_VALUE"""),1.037)</f>
        <v>1.037</v>
      </c>
      <c r="E7524" s="16">
        <f>IFERROR(__xludf.DUMMYFUNCTION("""COMPUTED_VALUE"""),66.0)</f>
        <v>66</v>
      </c>
      <c r="F7524" s="19" t="str">
        <f>IFERROR(__xludf.DUMMYFUNCTION("""COMPUTED_VALUE"""),"BLUE")</f>
        <v>BLUE</v>
      </c>
      <c r="G7524" s="20" t="str">
        <f>IFERROR(__xludf.DUMMYFUNCTION("""COMPUTED_VALUE"""),"Uncle Sams Cider (11/12/2021) (Blue)")</f>
        <v>Uncle Sams Cider (11/12/2021) (Blue)</v>
      </c>
      <c r="H7524" s="19"/>
    </row>
    <row r="7525">
      <c r="A7525" s="9"/>
      <c r="B7525" s="15"/>
      <c r="C7525" s="9">
        <f>IFERROR(__xludf.DUMMYFUNCTION("""COMPUTED_VALUE"""),44526.2386091319)</f>
        <v>44526.23861</v>
      </c>
      <c r="D7525" s="15">
        <f>IFERROR(__xludf.DUMMYFUNCTION("""COMPUTED_VALUE"""),1.037)</f>
        <v>1.037</v>
      </c>
      <c r="E7525" s="16">
        <f>IFERROR(__xludf.DUMMYFUNCTION("""COMPUTED_VALUE"""),66.0)</f>
        <v>66</v>
      </c>
      <c r="F7525" s="19" t="str">
        <f>IFERROR(__xludf.DUMMYFUNCTION("""COMPUTED_VALUE"""),"BLUE")</f>
        <v>BLUE</v>
      </c>
      <c r="G7525" s="20" t="str">
        <f>IFERROR(__xludf.DUMMYFUNCTION("""COMPUTED_VALUE"""),"Uncle Sams Cider (11/12/2021) (Blue)")</f>
        <v>Uncle Sams Cider (11/12/2021) (Blue)</v>
      </c>
      <c r="H7525" s="19"/>
    </row>
    <row r="7526">
      <c r="A7526" s="9"/>
      <c r="B7526" s="15"/>
      <c r="C7526" s="9">
        <f>IFERROR(__xludf.DUMMYFUNCTION("""COMPUTED_VALUE"""),44526.2281867824)</f>
        <v>44526.22819</v>
      </c>
      <c r="D7526" s="15">
        <f>IFERROR(__xludf.DUMMYFUNCTION("""COMPUTED_VALUE"""),1.037)</f>
        <v>1.037</v>
      </c>
      <c r="E7526" s="16">
        <f>IFERROR(__xludf.DUMMYFUNCTION("""COMPUTED_VALUE"""),66.0)</f>
        <v>66</v>
      </c>
      <c r="F7526" s="19" t="str">
        <f>IFERROR(__xludf.DUMMYFUNCTION("""COMPUTED_VALUE"""),"BLUE")</f>
        <v>BLUE</v>
      </c>
      <c r="G7526" s="20" t="str">
        <f>IFERROR(__xludf.DUMMYFUNCTION("""COMPUTED_VALUE"""),"Uncle Sams Cider (11/12/2021) (Blue)")</f>
        <v>Uncle Sams Cider (11/12/2021) (Blue)</v>
      </c>
      <c r="H7526" s="19"/>
    </row>
    <row r="7527">
      <c r="A7527" s="9"/>
      <c r="B7527" s="15"/>
      <c r="C7527" s="9">
        <f>IFERROR(__xludf.DUMMYFUNCTION("""COMPUTED_VALUE"""),44526.2177673495)</f>
        <v>44526.21777</v>
      </c>
      <c r="D7527" s="15">
        <f>IFERROR(__xludf.DUMMYFUNCTION("""COMPUTED_VALUE"""),1.037)</f>
        <v>1.037</v>
      </c>
      <c r="E7527" s="16">
        <f>IFERROR(__xludf.DUMMYFUNCTION("""COMPUTED_VALUE"""),65.0)</f>
        <v>65</v>
      </c>
      <c r="F7527" s="19" t="str">
        <f>IFERROR(__xludf.DUMMYFUNCTION("""COMPUTED_VALUE"""),"BLUE")</f>
        <v>BLUE</v>
      </c>
      <c r="G7527" s="20" t="str">
        <f>IFERROR(__xludf.DUMMYFUNCTION("""COMPUTED_VALUE"""),"Uncle Sams Cider (11/12/2021) (Blue)")</f>
        <v>Uncle Sams Cider (11/12/2021) (Blue)</v>
      </c>
      <c r="H7527" s="19"/>
    </row>
    <row r="7528">
      <c r="A7528" s="9"/>
      <c r="B7528" s="15"/>
      <c r="C7528" s="9">
        <f>IFERROR(__xludf.DUMMYFUNCTION("""COMPUTED_VALUE"""),44526.2073434722)</f>
        <v>44526.20734</v>
      </c>
      <c r="D7528" s="15">
        <f>IFERROR(__xludf.DUMMYFUNCTION("""COMPUTED_VALUE"""),1.037)</f>
        <v>1.037</v>
      </c>
      <c r="E7528" s="16">
        <f>IFERROR(__xludf.DUMMYFUNCTION("""COMPUTED_VALUE"""),65.0)</f>
        <v>65</v>
      </c>
      <c r="F7528" s="19" t="str">
        <f>IFERROR(__xludf.DUMMYFUNCTION("""COMPUTED_VALUE"""),"BLUE")</f>
        <v>BLUE</v>
      </c>
      <c r="G7528" s="20" t="str">
        <f>IFERROR(__xludf.DUMMYFUNCTION("""COMPUTED_VALUE"""),"Uncle Sams Cider (11/12/2021) (Blue)")</f>
        <v>Uncle Sams Cider (11/12/2021) (Blue)</v>
      </c>
      <c r="H7528" s="19"/>
    </row>
    <row r="7529">
      <c r="A7529" s="9"/>
      <c r="B7529" s="15"/>
      <c r="C7529" s="9">
        <f>IFERROR(__xludf.DUMMYFUNCTION("""COMPUTED_VALUE"""),44526.1969222453)</f>
        <v>44526.19692</v>
      </c>
      <c r="D7529" s="15">
        <f>IFERROR(__xludf.DUMMYFUNCTION("""COMPUTED_VALUE"""),1.037)</f>
        <v>1.037</v>
      </c>
      <c r="E7529" s="16">
        <f>IFERROR(__xludf.DUMMYFUNCTION("""COMPUTED_VALUE"""),66.0)</f>
        <v>66</v>
      </c>
      <c r="F7529" s="19" t="str">
        <f>IFERROR(__xludf.DUMMYFUNCTION("""COMPUTED_VALUE"""),"BLUE")</f>
        <v>BLUE</v>
      </c>
      <c r="G7529" s="20" t="str">
        <f>IFERROR(__xludf.DUMMYFUNCTION("""COMPUTED_VALUE"""),"Uncle Sams Cider (11/12/2021) (Blue)")</f>
        <v>Uncle Sams Cider (11/12/2021) (Blue)</v>
      </c>
      <c r="H7529" s="19"/>
    </row>
    <row r="7530">
      <c r="A7530" s="9"/>
      <c r="B7530" s="15"/>
      <c r="C7530" s="9">
        <f>IFERROR(__xludf.DUMMYFUNCTION("""COMPUTED_VALUE"""),44526.1864996759)</f>
        <v>44526.1865</v>
      </c>
      <c r="D7530" s="15">
        <f>IFERROR(__xludf.DUMMYFUNCTION("""COMPUTED_VALUE"""),1.037)</f>
        <v>1.037</v>
      </c>
      <c r="E7530" s="16">
        <f>IFERROR(__xludf.DUMMYFUNCTION("""COMPUTED_VALUE"""),65.0)</f>
        <v>65</v>
      </c>
      <c r="F7530" s="19" t="str">
        <f>IFERROR(__xludf.DUMMYFUNCTION("""COMPUTED_VALUE"""),"BLUE")</f>
        <v>BLUE</v>
      </c>
      <c r="G7530" s="20" t="str">
        <f>IFERROR(__xludf.DUMMYFUNCTION("""COMPUTED_VALUE"""),"Uncle Sams Cider (11/12/2021) (Blue)")</f>
        <v>Uncle Sams Cider (11/12/2021) (Blue)</v>
      </c>
      <c r="H7530" s="19"/>
    </row>
    <row r="7531">
      <c r="A7531" s="9"/>
      <c r="B7531" s="15"/>
      <c r="C7531" s="9">
        <f>IFERROR(__xludf.DUMMYFUNCTION("""COMPUTED_VALUE"""),44526.1760792592)</f>
        <v>44526.17608</v>
      </c>
      <c r="D7531" s="15">
        <f>IFERROR(__xludf.DUMMYFUNCTION("""COMPUTED_VALUE"""),1.037)</f>
        <v>1.037</v>
      </c>
      <c r="E7531" s="16">
        <f>IFERROR(__xludf.DUMMYFUNCTION("""COMPUTED_VALUE"""),66.0)</f>
        <v>66</v>
      </c>
      <c r="F7531" s="19" t="str">
        <f>IFERROR(__xludf.DUMMYFUNCTION("""COMPUTED_VALUE"""),"BLUE")</f>
        <v>BLUE</v>
      </c>
      <c r="G7531" s="20" t="str">
        <f>IFERROR(__xludf.DUMMYFUNCTION("""COMPUTED_VALUE"""),"Uncle Sams Cider (11/12/2021) (Blue)")</f>
        <v>Uncle Sams Cider (11/12/2021) (Blue)</v>
      </c>
      <c r="H7531" s="19"/>
    </row>
    <row r="7532">
      <c r="A7532" s="9"/>
      <c r="B7532" s="15"/>
      <c r="C7532" s="9">
        <f>IFERROR(__xludf.DUMMYFUNCTION("""COMPUTED_VALUE"""),44526.1656591666)</f>
        <v>44526.16566</v>
      </c>
      <c r="D7532" s="15">
        <f>IFERROR(__xludf.DUMMYFUNCTION("""COMPUTED_VALUE"""),1.037)</f>
        <v>1.037</v>
      </c>
      <c r="E7532" s="16">
        <f>IFERROR(__xludf.DUMMYFUNCTION("""COMPUTED_VALUE"""),66.0)</f>
        <v>66</v>
      </c>
      <c r="F7532" s="19" t="str">
        <f>IFERROR(__xludf.DUMMYFUNCTION("""COMPUTED_VALUE"""),"BLUE")</f>
        <v>BLUE</v>
      </c>
      <c r="G7532" s="20" t="str">
        <f>IFERROR(__xludf.DUMMYFUNCTION("""COMPUTED_VALUE"""),"Uncle Sams Cider (11/12/2021) (Blue)")</f>
        <v>Uncle Sams Cider (11/12/2021) (Blue)</v>
      </c>
      <c r="H7532" s="19"/>
    </row>
    <row r="7533">
      <c r="A7533" s="9"/>
      <c r="B7533" s="15"/>
      <c r="C7533" s="9">
        <f>IFERROR(__xludf.DUMMYFUNCTION("""COMPUTED_VALUE"""),44526.1552250347)</f>
        <v>44526.15523</v>
      </c>
      <c r="D7533" s="15">
        <f>IFERROR(__xludf.DUMMYFUNCTION("""COMPUTED_VALUE"""),1.037)</f>
        <v>1.037</v>
      </c>
      <c r="E7533" s="16">
        <f>IFERROR(__xludf.DUMMYFUNCTION("""COMPUTED_VALUE"""),66.0)</f>
        <v>66</v>
      </c>
      <c r="F7533" s="19" t="str">
        <f>IFERROR(__xludf.DUMMYFUNCTION("""COMPUTED_VALUE"""),"BLUE")</f>
        <v>BLUE</v>
      </c>
      <c r="G7533" s="20" t="str">
        <f>IFERROR(__xludf.DUMMYFUNCTION("""COMPUTED_VALUE"""),"Uncle Sams Cider (11/12/2021) (Blue)")</f>
        <v>Uncle Sams Cider (11/12/2021) (Blue)</v>
      </c>
      <c r="H7533" s="19"/>
    </row>
    <row r="7534">
      <c r="A7534" s="9"/>
      <c r="B7534" s="15"/>
      <c r="C7534" s="9">
        <f>IFERROR(__xludf.DUMMYFUNCTION("""COMPUTED_VALUE"""),44526.1448040162)</f>
        <v>44526.1448</v>
      </c>
      <c r="D7534" s="15">
        <f>IFERROR(__xludf.DUMMYFUNCTION("""COMPUTED_VALUE"""),1.037)</f>
        <v>1.037</v>
      </c>
      <c r="E7534" s="16">
        <f>IFERROR(__xludf.DUMMYFUNCTION("""COMPUTED_VALUE"""),66.0)</f>
        <v>66</v>
      </c>
      <c r="F7534" s="19" t="str">
        <f>IFERROR(__xludf.DUMMYFUNCTION("""COMPUTED_VALUE"""),"BLUE")</f>
        <v>BLUE</v>
      </c>
      <c r="G7534" s="20" t="str">
        <f>IFERROR(__xludf.DUMMYFUNCTION("""COMPUTED_VALUE"""),"Uncle Sams Cider (11/12/2021) (Blue)")</f>
        <v>Uncle Sams Cider (11/12/2021) (Blue)</v>
      </c>
      <c r="H7534" s="19"/>
    </row>
    <row r="7535">
      <c r="A7535" s="9"/>
      <c r="B7535" s="15"/>
      <c r="C7535" s="9">
        <f>IFERROR(__xludf.DUMMYFUNCTION("""COMPUTED_VALUE"""),44526.1343820254)</f>
        <v>44526.13438</v>
      </c>
      <c r="D7535" s="15">
        <f>IFERROR(__xludf.DUMMYFUNCTION("""COMPUTED_VALUE"""),1.037)</f>
        <v>1.037</v>
      </c>
      <c r="E7535" s="16">
        <f>IFERROR(__xludf.DUMMYFUNCTION("""COMPUTED_VALUE"""),66.0)</f>
        <v>66</v>
      </c>
      <c r="F7535" s="19" t="str">
        <f>IFERROR(__xludf.DUMMYFUNCTION("""COMPUTED_VALUE"""),"BLUE")</f>
        <v>BLUE</v>
      </c>
      <c r="G7535" s="20" t="str">
        <f>IFERROR(__xludf.DUMMYFUNCTION("""COMPUTED_VALUE"""),"Uncle Sams Cider (11/12/2021) (Blue)")</f>
        <v>Uncle Sams Cider (11/12/2021) (Blue)</v>
      </c>
      <c r="H7535" s="19"/>
    </row>
    <row r="7536">
      <c r="A7536" s="9"/>
      <c r="B7536" s="15"/>
      <c r="C7536" s="9">
        <f>IFERROR(__xludf.DUMMYFUNCTION("""COMPUTED_VALUE"""),44526.1239599537)</f>
        <v>44526.12396</v>
      </c>
      <c r="D7536" s="15">
        <f>IFERROR(__xludf.DUMMYFUNCTION("""COMPUTED_VALUE"""),1.037)</f>
        <v>1.037</v>
      </c>
      <c r="E7536" s="16">
        <f>IFERROR(__xludf.DUMMYFUNCTION("""COMPUTED_VALUE"""),66.0)</f>
        <v>66</v>
      </c>
      <c r="F7536" s="19" t="str">
        <f>IFERROR(__xludf.DUMMYFUNCTION("""COMPUTED_VALUE"""),"BLUE")</f>
        <v>BLUE</v>
      </c>
      <c r="G7536" s="20" t="str">
        <f>IFERROR(__xludf.DUMMYFUNCTION("""COMPUTED_VALUE"""),"Uncle Sams Cider (11/12/2021) (Blue)")</f>
        <v>Uncle Sams Cider (11/12/2021) (Blue)</v>
      </c>
      <c r="H7536" s="19"/>
    </row>
    <row r="7537">
      <c r="A7537" s="9"/>
      <c r="B7537" s="15"/>
      <c r="C7537" s="9">
        <f>IFERROR(__xludf.DUMMYFUNCTION("""COMPUTED_VALUE"""),44526.1135395601)</f>
        <v>44526.11354</v>
      </c>
      <c r="D7537" s="15">
        <f>IFERROR(__xludf.DUMMYFUNCTION("""COMPUTED_VALUE"""),1.037)</f>
        <v>1.037</v>
      </c>
      <c r="E7537" s="16">
        <f>IFERROR(__xludf.DUMMYFUNCTION("""COMPUTED_VALUE"""),66.0)</f>
        <v>66</v>
      </c>
      <c r="F7537" s="19" t="str">
        <f>IFERROR(__xludf.DUMMYFUNCTION("""COMPUTED_VALUE"""),"BLUE")</f>
        <v>BLUE</v>
      </c>
      <c r="G7537" s="20" t="str">
        <f>IFERROR(__xludf.DUMMYFUNCTION("""COMPUTED_VALUE"""),"Uncle Sams Cider (11/12/2021) (Blue)")</f>
        <v>Uncle Sams Cider (11/12/2021) (Blue)</v>
      </c>
      <c r="H7537" s="19"/>
    </row>
    <row r="7538">
      <c r="A7538" s="9"/>
      <c r="B7538" s="15"/>
      <c r="C7538" s="9">
        <f>IFERROR(__xludf.DUMMYFUNCTION("""COMPUTED_VALUE"""),44526.1031181828)</f>
        <v>44526.10312</v>
      </c>
      <c r="D7538" s="15">
        <f>IFERROR(__xludf.DUMMYFUNCTION("""COMPUTED_VALUE"""),1.037)</f>
        <v>1.037</v>
      </c>
      <c r="E7538" s="16">
        <f>IFERROR(__xludf.DUMMYFUNCTION("""COMPUTED_VALUE"""),66.0)</f>
        <v>66</v>
      </c>
      <c r="F7538" s="19" t="str">
        <f>IFERROR(__xludf.DUMMYFUNCTION("""COMPUTED_VALUE"""),"BLUE")</f>
        <v>BLUE</v>
      </c>
      <c r="G7538" s="20" t="str">
        <f>IFERROR(__xludf.DUMMYFUNCTION("""COMPUTED_VALUE"""),"Uncle Sams Cider (11/12/2021) (Blue)")</f>
        <v>Uncle Sams Cider (11/12/2021) (Blue)</v>
      </c>
      <c r="H7538" s="19"/>
    </row>
    <row r="7539">
      <c r="A7539" s="9"/>
      <c r="B7539" s="15"/>
      <c r="C7539" s="9">
        <f>IFERROR(__xludf.DUMMYFUNCTION("""COMPUTED_VALUE"""),44526.0926978587)</f>
        <v>44526.0927</v>
      </c>
      <c r="D7539" s="15">
        <f>IFERROR(__xludf.DUMMYFUNCTION("""COMPUTED_VALUE"""),1.037)</f>
        <v>1.037</v>
      </c>
      <c r="E7539" s="16">
        <f>IFERROR(__xludf.DUMMYFUNCTION("""COMPUTED_VALUE"""),66.0)</f>
        <v>66</v>
      </c>
      <c r="F7539" s="19" t="str">
        <f>IFERROR(__xludf.DUMMYFUNCTION("""COMPUTED_VALUE"""),"BLUE")</f>
        <v>BLUE</v>
      </c>
      <c r="G7539" s="20" t="str">
        <f>IFERROR(__xludf.DUMMYFUNCTION("""COMPUTED_VALUE"""),"Uncle Sams Cider (11/12/2021) (Blue)")</f>
        <v>Uncle Sams Cider (11/12/2021) (Blue)</v>
      </c>
      <c r="H7539" s="19"/>
    </row>
    <row r="7540">
      <c r="A7540" s="9"/>
      <c r="B7540" s="15"/>
      <c r="C7540" s="9">
        <f>IFERROR(__xludf.DUMMYFUNCTION("""COMPUTED_VALUE"""),44526.0822786111)</f>
        <v>44526.08228</v>
      </c>
      <c r="D7540" s="15">
        <f>IFERROR(__xludf.DUMMYFUNCTION("""COMPUTED_VALUE"""),1.037)</f>
        <v>1.037</v>
      </c>
      <c r="E7540" s="16">
        <f>IFERROR(__xludf.DUMMYFUNCTION("""COMPUTED_VALUE"""),66.0)</f>
        <v>66</v>
      </c>
      <c r="F7540" s="19" t="str">
        <f>IFERROR(__xludf.DUMMYFUNCTION("""COMPUTED_VALUE"""),"BLUE")</f>
        <v>BLUE</v>
      </c>
      <c r="G7540" s="20" t="str">
        <f>IFERROR(__xludf.DUMMYFUNCTION("""COMPUTED_VALUE"""),"Uncle Sams Cider (11/12/2021) (Blue)")</f>
        <v>Uncle Sams Cider (11/12/2021) (Blue)</v>
      </c>
      <c r="H7540" s="19"/>
    </row>
    <row r="7541">
      <c r="A7541" s="9"/>
      <c r="B7541" s="15"/>
      <c r="C7541" s="9">
        <f>IFERROR(__xludf.DUMMYFUNCTION("""COMPUTED_VALUE"""),44526.0718569907)</f>
        <v>44526.07186</v>
      </c>
      <c r="D7541" s="15">
        <f>IFERROR(__xludf.DUMMYFUNCTION("""COMPUTED_VALUE"""),1.037)</f>
        <v>1.037</v>
      </c>
      <c r="E7541" s="16">
        <f>IFERROR(__xludf.DUMMYFUNCTION("""COMPUTED_VALUE"""),66.0)</f>
        <v>66</v>
      </c>
      <c r="F7541" s="19" t="str">
        <f>IFERROR(__xludf.DUMMYFUNCTION("""COMPUTED_VALUE"""),"BLUE")</f>
        <v>BLUE</v>
      </c>
      <c r="G7541" s="20" t="str">
        <f>IFERROR(__xludf.DUMMYFUNCTION("""COMPUTED_VALUE"""),"Uncle Sams Cider (11/12/2021) (Blue)")</f>
        <v>Uncle Sams Cider (11/12/2021) (Blue)</v>
      </c>
      <c r="H7541" s="19"/>
    </row>
    <row r="7542">
      <c r="A7542" s="9"/>
      <c r="B7542" s="15"/>
      <c r="C7542" s="9">
        <f>IFERROR(__xludf.DUMMYFUNCTION("""COMPUTED_VALUE"""),44526.0614366435)</f>
        <v>44526.06144</v>
      </c>
      <c r="D7542" s="15">
        <f>IFERROR(__xludf.DUMMYFUNCTION("""COMPUTED_VALUE"""),1.037)</f>
        <v>1.037</v>
      </c>
      <c r="E7542" s="16">
        <f>IFERROR(__xludf.DUMMYFUNCTION("""COMPUTED_VALUE"""),66.0)</f>
        <v>66</v>
      </c>
      <c r="F7542" s="19" t="str">
        <f>IFERROR(__xludf.DUMMYFUNCTION("""COMPUTED_VALUE"""),"BLUE")</f>
        <v>BLUE</v>
      </c>
      <c r="G7542" s="20" t="str">
        <f>IFERROR(__xludf.DUMMYFUNCTION("""COMPUTED_VALUE"""),"Uncle Sams Cider (11/12/2021) (Blue)")</f>
        <v>Uncle Sams Cider (11/12/2021) (Blue)</v>
      </c>
      <c r="H7542" s="19"/>
    </row>
    <row r="7543">
      <c r="A7543" s="9"/>
      <c r="B7543" s="15"/>
      <c r="C7543" s="9">
        <f>IFERROR(__xludf.DUMMYFUNCTION("""COMPUTED_VALUE"""),44526.0510162615)</f>
        <v>44526.05102</v>
      </c>
      <c r="D7543" s="15">
        <f>IFERROR(__xludf.DUMMYFUNCTION("""COMPUTED_VALUE"""),1.037)</f>
        <v>1.037</v>
      </c>
      <c r="E7543" s="16">
        <f>IFERROR(__xludf.DUMMYFUNCTION("""COMPUTED_VALUE"""),66.0)</f>
        <v>66</v>
      </c>
      <c r="F7543" s="19" t="str">
        <f>IFERROR(__xludf.DUMMYFUNCTION("""COMPUTED_VALUE"""),"BLUE")</f>
        <v>BLUE</v>
      </c>
      <c r="G7543" s="20" t="str">
        <f>IFERROR(__xludf.DUMMYFUNCTION("""COMPUTED_VALUE"""),"Uncle Sams Cider (11/12/2021) (Blue)")</f>
        <v>Uncle Sams Cider (11/12/2021) (Blue)</v>
      </c>
      <c r="H7543" s="19"/>
    </row>
    <row r="7544">
      <c r="A7544" s="9"/>
      <c r="B7544" s="15"/>
      <c r="C7544" s="9">
        <f>IFERROR(__xludf.DUMMYFUNCTION("""COMPUTED_VALUE"""),44526.0405965856)</f>
        <v>44526.0406</v>
      </c>
      <c r="D7544" s="15">
        <f>IFERROR(__xludf.DUMMYFUNCTION("""COMPUTED_VALUE"""),1.037)</f>
        <v>1.037</v>
      </c>
      <c r="E7544" s="16">
        <f>IFERROR(__xludf.DUMMYFUNCTION("""COMPUTED_VALUE"""),66.0)</f>
        <v>66</v>
      </c>
      <c r="F7544" s="19" t="str">
        <f>IFERROR(__xludf.DUMMYFUNCTION("""COMPUTED_VALUE"""),"BLUE")</f>
        <v>BLUE</v>
      </c>
      <c r="G7544" s="20" t="str">
        <f>IFERROR(__xludf.DUMMYFUNCTION("""COMPUTED_VALUE"""),"Uncle Sams Cider (11/12/2021) (Blue)")</f>
        <v>Uncle Sams Cider (11/12/2021) (Blue)</v>
      </c>
      <c r="H7544" s="19"/>
    </row>
    <row r="7545">
      <c r="A7545" s="9"/>
      <c r="B7545" s="15"/>
      <c r="C7545" s="9">
        <f>IFERROR(__xludf.DUMMYFUNCTION("""COMPUTED_VALUE"""),44526.0301756828)</f>
        <v>44526.03018</v>
      </c>
      <c r="D7545" s="15">
        <f>IFERROR(__xludf.DUMMYFUNCTION("""COMPUTED_VALUE"""),1.037)</f>
        <v>1.037</v>
      </c>
      <c r="E7545" s="16">
        <f>IFERROR(__xludf.DUMMYFUNCTION("""COMPUTED_VALUE"""),66.0)</f>
        <v>66</v>
      </c>
      <c r="F7545" s="19" t="str">
        <f>IFERROR(__xludf.DUMMYFUNCTION("""COMPUTED_VALUE"""),"BLUE")</f>
        <v>BLUE</v>
      </c>
      <c r="G7545" s="20" t="str">
        <f>IFERROR(__xludf.DUMMYFUNCTION("""COMPUTED_VALUE"""),"Uncle Sams Cider (11/12/2021) (Blue)")</f>
        <v>Uncle Sams Cider (11/12/2021) (Blue)</v>
      </c>
      <c r="H7545" s="19"/>
    </row>
    <row r="7546">
      <c r="A7546" s="9"/>
      <c r="B7546" s="15"/>
      <c r="C7546" s="9">
        <f>IFERROR(__xludf.DUMMYFUNCTION("""COMPUTED_VALUE"""),44526.0197545254)</f>
        <v>44526.01975</v>
      </c>
      <c r="D7546" s="15">
        <f>IFERROR(__xludf.DUMMYFUNCTION("""COMPUTED_VALUE"""),1.037)</f>
        <v>1.037</v>
      </c>
      <c r="E7546" s="16">
        <f>IFERROR(__xludf.DUMMYFUNCTION("""COMPUTED_VALUE"""),66.0)</f>
        <v>66</v>
      </c>
      <c r="F7546" s="19" t="str">
        <f>IFERROR(__xludf.DUMMYFUNCTION("""COMPUTED_VALUE"""),"BLUE")</f>
        <v>BLUE</v>
      </c>
      <c r="G7546" s="20" t="str">
        <f>IFERROR(__xludf.DUMMYFUNCTION("""COMPUTED_VALUE"""),"Uncle Sams Cider (11/12/2021) (Blue)")</f>
        <v>Uncle Sams Cider (11/12/2021) (Blue)</v>
      </c>
      <c r="H7546" s="19"/>
    </row>
    <row r="7547">
      <c r="A7547" s="9"/>
      <c r="B7547" s="15"/>
      <c r="C7547" s="9">
        <f>IFERROR(__xludf.DUMMYFUNCTION("""COMPUTED_VALUE"""),44526.0093325115)</f>
        <v>44526.00933</v>
      </c>
      <c r="D7547" s="15">
        <f>IFERROR(__xludf.DUMMYFUNCTION("""COMPUTED_VALUE"""),1.037)</f>
        <v>1.037</v>
      </c>
      <c r="E7547" s="16">
        <f>IFERROR(__xludf.DUMMYFUNCTION("""COMPUTED_VALUE"""),66.0)</f>
        <v>66</v>
      </c>
      <c r="F7547" s="19" t="str">
        <f>IFERROR(__xludf.DUMMYFUNCTION("""COMPUTED_VALUE"""),"BLUE")</f>
        <v>BLUE</v>
      </c>
      <c r="G7547" s="20" t="str">
        <f>IFERROR(__xludf.DUMMYFUNCTION("""COMPUTED_VALUE"""),"Uncle Sams Cider (11/12/2021) (Blue)")</f>
        <v>Uncle Sams Cider (11/12/2021) (Blue)</v>
      </c>
      <c r="H7547" s="19"/>
    </row>
    <row r="7548">
      <c r="A7548" s="9"/>
      <c r="B7548" s="15"/>
      <c r="C7548" s="9">
        <f>IFERROR(__xludf.DUMMYFUNCTION("""COMPUTED_VALUE"""),44525.9989101273)</f>
        <v>44525.99891</v>
      </c>
      <c r="D7548" s="15">
        <f>IFERROR(__xludf.DUMMYFUNCTION("""COMPUTED_VALUE"""),1.037)</f>
        <v>1.037</v>
      </c>
      <c r="E7548" s="16">
        <f>IFERROR(__xludf.DUMMYFUNCTION("""COMPUTED_VALUE"""),66.0)</f>
        <v>66</v>
      </c>
      <c r="F7548" s="19" t="str">
        <f>IFERROR(__xludf.DUMMYFUNCTION("""COMPUTED_VALUE"""),"BLUE")</f>
        <v>BLUE</v>
      </c>
      <c r="G7548" s="20" t="str">
        <f>IFERROR(__xludf.DUMMYFUNCTION("""COMPUTED_VALUE"""),"Uncle Sams Cider (11/12/2021) (Blue)")</f>
        <v>Uncle Sams Cider (11/12/2021) (Blue)</v>
      </c>
      <c r="H7548" s="19"/>
    </row>
    <row r="7549">
      <c r="A7549" s="9"/>
      <c r="B7549" s="15"/>
      <c r="C7549" s="9">
        <f>IFERROR(__xludf.DUMMYFUNCTION("""COMPUTED_VALUE"""),44525.9884885069)</f>
        <v>44525.98849</v>
      </c>
      <c r="D7549" s="15">
        <f>IFERROR(__xludf.DUMMYFUNCTION("""COMPUTED_VALUE"""),1.037)</f>
        <v>1.037</v>
      </c>
      <c r="E7549" s="16">
        <f>IFERROR(__xludf.DUMMYFUNCTION("""COMPUTED_VALUE"""),66.0)</f>
        <v>66</v>
      </c>
      <c r="F7549" s="19" t="str">
        <f>IFERROR(__xludf.DUMMYFUNCTION("""COMPUTED_VALUE"""),"BLUE")</f>
        <v>BLUE</v>
      </c>
      <c r="G7549" s="20" t="str">
        <f>IFERROR(__xludf.DUMMYFUNCTION("""COMPUTED_VALUE"""),"Uncle Sams Cider (11/12/2021) (Blue)")</f>
        <v>Uncle Sams Cider (11/12/2021) (Blue)</v>
      </c>
      <c r="H7549" s="19"/>
    </row>
    <row r="7550">
      <c r="A7550" s="9"/>
      <c r="B7550" s="15"/>
      <c r="C7550" s="9">
        <f>IFERROR(__xludf.DUMMYFUNCTION("""COMPUTED_VALUE"""),44525.9780652662)</f>
        <v>44525.97807</v>
      </c>
      <c r="D7550" s="15">
        <f>IFERROR(__xludf.DUMMYFUNCTION("""COMPUTED_VALUE"""),1.037)</f>
        <v>1.037</v>
      </c>
      <c r="E7550" s="16">
        <f>IFERROR(__xludf.DUMMYFUNCTION("""COMPUTED_VALUE"""),66.0)</f>
        <v>66</v>
      </c>
      <c r="F7550" s="19" t="str">
        <f>IFERROR(__xludf.DUMMYFUNCTION("""COMPUTED_VALUE"""),"BLUE")</f>
        <v>BLUE</v>
      </c>
      <c r="G7550" s="20" t="str">
        <f>IFERROR(__xludf.DUMMYFUNCTION("""COMPUTED_VALUE"""),"Uncle Sams Cider (11/12/2021) (Blue)")</f>
        <v>Uncle Sams Cider (11/12/2021) (Blue)</v>
      </c>
      <c r="H7550" s="19"/>
    </row>
    <row r="7551">
      <c r="A7551" s="9"/>
      <c r="B7551" s="15"/>
      <c r="C7551" s="9">
        <f>IFERROR(__xludf.DUMMYFUNCTION("""COMPUTED_VALUE"""),44525.9676452893)</f>
        <v>44525.96765</v>
      </c>
      <c r="D7551" s="15">
        <f>IFERROR(__xludf.DUMMYFUNCTION("""COMPUTED_VALUE"""),1.038)</f>
        <v>1.038</v>
      </c>
      <c r="E7551" s="16">
        <f>IFERROR(__xludf.DUMMYFUNCTION("""COMPUTED_VALUE"""),66.0)</f>
        <v>66</v>
      </c>
      <c r="F7551" s="19" t="str">
        <f>IFERROR(__xludf.DUMMYFUNCTION("""COMPUTED_VALUE"""),"BLUE")</f>
        <v>BLUE</v>
      </c>
      <c r="G7551" s="20" t="str">
        <f>IFERROR(__xludf.DUMMYFUNCTION("""COMPUTED_VALUE"""),"Uncle Sams Cider (11/12/2021) (Blue)")</f>
        <v>Uncle Sams Cider (11/12/2021) (Blue)</v>
      </c>
      <c r="H7551" s="19"/>
    </row>
    <row r="7552">
      <c r="A7552" s="9"/>
      <c r="B7552" s="15"/>
      <c r="C7552" s="9">
        <f>IFERROR(__xludf.DUMMYFUNCTION("""COMPUTED_VALUE"""),44525.9572244213)</f>
        <v>44525.95722</v>
      </c>
      <c r="D7552" s="15">
        <f>IFERROR(__xludf.DUMMYFUNCTION("""COMPUTED_VALUE"""),1.037)</f>
        <v>1.037</v>
      </c>
      <c r="E7552" s="16">
        <f>IFERROR(__xludf.DUMMYFUNCTION("""COMPUTED_VALUE"""),66.0)</f>
        <v>66</v>
      </c>
      <c r="F7552" s="19" t="str">
        <f>IFERROR(__xludf.DUMMYFUNCTION("""COMPUTED_VALUE"""),"BLUE")</f>
        <v>BLUE</v>
      </c>
      <c r="G7552" s="20" t="str">
        <f>IFERROR(__xludf.DUMMYFUNCTION("""COMPUTED_VALUE"""),"Uncle Sams Cider (11/12/2021) (Blue)")</f>
        <v>Uncle Sams Cider (11/12/2021) (Blue)</v>
      </c>
      <c r="H7552" s="19"/>
    </row>
    <row r="7553">
      <c r="A7553" s="9"/>
      <c r="B7553" s="15"/>
      <c r="C7553" s="9">
        <f>IFERROR(__xludf.DUMMYFUNCTION("""COMPUTED_VALUE"""),44525.9468032175)</f>
        <v>44525.9468</v>
      </c>
      <c r="D7553" s="15">
        <f>IFERROR(__xludf.DUMMYFUNCTION("""COMPUTED_VALUE"""),1.038)</f>
        <v>1.038</v>
      </c>
      <c r="E7553" s="16">
        <f>IFERROR(__xludf.DUMMYFUNCTION("""COMPUTED_VALUE"""),66.0)</f>
        <v>66</v>
      </c>
      <c r="F7553" s="19" t="str">
        <f>IFERROR(__xludf.DUMMYFUNCTION("""COMPUTED_VALUE"""),"BLUE")</f>
        <v>BLUE</v>
      </c>
      <c r="G7553" s="20" t="str">
        <f>IFERROR(__xludf.DUMMYFUNCTION("""COMPUTED_VALUE"""),"Uncle Sams Cider (11/12/2021) (Blue)")</f>
        <v>Uncle Sams Cider (11/12/2021) (Blue)</v>
      </c>
      <c r="H7553" s="19"/>
    </row>
    <row r="7554">
      <c r="A7554" s="9"/>
      <c r="B7554" s="15"/>
      <c r="C7554" s="9">
        <f>IFERROR(__xludf.DUMMYFUNCTION("""COMPUTED_VALUE"""),44525.9363821759)</f>
        <v>44525.93638</v>
      </c>
      <c r="D7554" s="15">
        <f>IFERROR(__xludf.DUMMYFUNCTION("""COMPUTED_VALUE"""),1.037)</f>
        <v>1.037</v>
      </c>
      <c r="E7554" s="16">
        <f>IFERROR(__xludf.DUMMYFUNCTION("""COMPUTED_VALUE"""),66.0)</f>
        <v>66</v>
      </c>
      <c r="F7554" s="19" t="str">
        <f>IFERROR(__xludf.DUMMYFUNCTION("""COMPUTED_VALUE"""),"BLUE")</f>
        <v>BLUE</v>
      </c>
      <c r="G7554" s="20" t="str">
        <f>IFERROR(__xludf.DUMMYFUNCTION("""COMPUTED_VALUE"""),"Uncle Sams Cider (11/12/2021) (Blue)")</f>
        <v>Uncle Sams Cider (11/12/2021) (Blue)</v>
      </c>
      <c r="H7554" s="19"/>
    </row>
    <row r="7555">
      <c r="A7555" s="9"/>
      <c r="B7555" s="15"/>
      <c r="C7555" s="9">
        <f>IFERROR(__xludf.DUMMYFUNCTION("""COMPUTED_VALUE"""),44525.9259603356)</f>
        <v>44525.92596</v>
      </c>
      <c r="D7555" s="15">
        <f>IFERROR(__xludf.DUMMYFUNCTION("""COMPUTED_VALUE"""),1.038)</f>
        <v>1.038</v>
      </c>
      <c r="E7555" s="16">
        <f>IFERROR(__xludf.DUMMYFUNCTION("""COMPUTED_VALUE"""),66.0)</f>
        <v>66</v>
      </c>
      <c r="F7555" s="19" t="str">
        <f>IFERROR(__xludf.DUMMYFUNCTION("""COMPUTED_VALUE"""),"BLUE")</f>
        <v>BLUE</v>
      </c>
      <c r="G7555" s="20" t="str">
        <f>IFERROR(__xludf.DUMMYFUNCTION("""COMPUTED_VALUE"""),"Uncle Sams Cider (11/12/2021) (Blue)")</f>
        <v>Uncle Sams Cider (11/12/2021) (Blue)</v>
      </c>
      <c r="H7555" s="19"/>
    </row>
    <row r="7556">
      <c r="A7556" s="9"/>
      <c r="B7556" s="15"/>
      <c r="C7556" s="9">
        <f>IFERROR(__xludf.DUMMYFUNCTION("""COMPUTED_VALUE"""),44525.9155395023)</f>
        <v>44525.91554</v>
      </c>
      <c r="D7556" s="15">
        <f>IFERROR(__xludf.DUMMYFUNCTION("""COMPUTED_VALUE"""),1.037)</f>
        <v>1.037</v>
      </c>
      <c r="E7556" s="16">
        <f>IFERROR(__xludf.DUMMYFUNCTION("""COMPUTED_VALUE"""),66.0)</f>
        <v>66</v>
      </c>
      <c r="F7556" s="19" t="str">
        <f>IFERROR(__xludf.DUMMYFUNCTION("""COMPUTED_VALUE"""),"BLUE")</f>
        <v>BLUE</v>
      </c>
      <c r="G7556" s="20" t="str">
        <f>IFERROR(__xludf.DUMMYFUNCTION("""COMPUTED_VALUE"""),"Uncle Sams Cider (11/12/2021) (Blue)")</f>
        <v>Uncle Sams Cider (11/12/2021) (Blue)</v>
      </c>
      <c r="H7556" s="19"/>
    </row>
    <row r="7557">
      <c r="A7557" s="9"/>
      <c r="B7557" s="15"/>
      <c r="C7557" s="9">
        <f>IFERROR(__xludf.DUMMYFUNCTION("""COMPUTED_VALUE"""),44525.9051183217)</f>
        <v>44525.90512</v>
      </c>
      <c r="D7557" s="15">
        <f>IFERROR(__xludf.DUMMYFUNCTION("""COMPUTED_VALUE"""),1.037)</f>
        <v>1.037</v>
      </c>
      <c r="E7557" s="16">
        <f>IFERROR(__xludf.DUMMYFUNCTION("""COMPUTED_VALUE"""),66.0)</f>
        <v>66</v>
      </c>
      <c r="F7557" s="19" t="str">
        <f>IFERROR(__xludf.DUMMYFUNCTION("""COMPUTED_VALUE"""),"BLUE")</f>
        <v>BLUE</v>
      </c>
      <c r="G7557" s="20" t="str">
        <f>IFERROR(__xludf.DUMMYFUNCTION("""COMPUTED_VALUE"""),"Uncle Sams Cider (11/12/2021) (Blue)")</f>
        <v>Uncle Sams Cider (11/12/2021) (Blue)</v>
      </c>
      <c r="H7557" s="19"/>
    </row>
    <row r="7558">
      <c r="A7558" s="9"/>
      <c r="B7558" s="15"/>
      <c r="C7558" s="9">
        <f>IFERROR(__xludf.DUMMYFUNCTION("""COMPUTED_VALUE"""),44525.894696956)</f>
        <v>44525.8947</v>
      </c>
      <c r="D7558" s="15">
        <f>IFERROR(__xludf.DUMMYFUNCTION("""COMPUTED_VALUE"""),1.038)</f>
        <v>1.038</v>
      </c>
      <c r="E7558" s="16">
        <f>IFERROR(__xludf.DUMMYFUNCTION("""COMPUTED_VALUE"""),66.0)</f>
        <v>66</v>
      </c>
      <c r="F7558" s="19" t="str">
        <f>IFERROR(__xludf.DUMMYFUNCTION("""COMPUTED_VALUE"""),"BLUE")</f>
        <v>BLUE</v>
      </c>
      <c r="G7558" s="20" t="str">
        <f>IFERROR(__xludf.DUMMYFUNCTION("""COMPUTED_VALUE"""),"Uncle Sams Cider (11/12/2021) (Blue)")</f>
        <v>Uncle Sams Cider (11/12/2021) (Blue)</v>
      </c>
      <c r="H7558" s="19"/>
    </row>
    <row r="7559">
      <c r="A7559" s="9"/>
      <c r="B7559" s="15"/>
      <c r="C7559" s="9">
        <f>IFERROR(__xludf.DUMMYFUNCTION("""COMPUTED_VALUE"""),44525.884276655)</f>
        <v>44525.88428</v>
      </c>
      <c r="D7559" s="15">
        <f>IFERROR(__xludf.DUMMYFUNCTION("""COMPUTED_VALUE"""),1.038)</f>
        <v>1.038</v>
      </c>
      <c r="E7559" s="16">
        <f>IFERROR(__xludf.DUMMYFUNCTION("""COMPUTED_VALUE"""),66.0)</f>
        <v>66</v>
      </c>
      <c r="F7559" s="19" t="str">
        <f>IFERROR(__xludf.DUMMYFUNCTION("""COMPUTED_VALUE"""),"BLUE")</f>
        <v>BLUE</v>
      </c>
      <c r="G7559" s="20" t="str">
        <f>IFERROR(__xludf.DUMMYFUNCTION("""COMPUTED_VALUE"""),"Uncle Sams Cider (11/12/2021) (Blue)")</f>
        <v>Uncle Sams Cider (11/12/2021) (Blue)</v>
      </c>
      <c r="H7559" s="19"/>
    </row>
    <row r="7560">
      <c r="A7560" s="9"/>
      <c r="B7560" s="15"/>
      <c r="C7560" s="9">
        <f>IFERROR(__xludf.DUMMYFUNCTION("""COMPUTED_VALUE"""),44525.8738548032)</f>
        <v>44525.87385</v>
      </c>
      <c r="D7560" s="15">
        <f>IFERROR(__xludf.DUMMYFUNCTION("""COMPUTED_VALUE"""),1.038)</f>
        <v>1.038</v>
      </c>
      <c r="E7560" s="16">
        <f>IFERROR(__xludf.DUMMYFUNCTION("""COMPUTED_VALUE"""),66.0)</f>
        <v>66</v>
      </c>
      <c r="F7560" s="19" t="str">
        <f>IFERROR(__xludf.DUMMYFUNCTION("""COMPUTED_VALUE"""),"BLUE")</f>
        <v>BLUE</v>
      </c>
      <c r="G7560" s="20" t="str">
        <f>IFERROR(__xludf.DUMMYFUNCTION("""COMPUTED_VALUE"""),"Uncle Sams Cider (11/12/2021) (Blue)")</f>
        <v>Uncle Sams Cider (11/12/2021) (Blue)</v>
      </c>
      <c r="H7560" s="19"/>
    </row>
    <row r="7561">
      <c r="A7561" s="9"/>
      <c r="B7561" s="15"/>
      <c r="C7561" s="9">
        <f>IFERROR(__xludf.DUMMYFUNCTION("""COMPUTED_VALUE"""),44525.8634342361)</f>
        <v>44525.86343</v>
      </c>
      <c r="D7561" s="15">
        <f>IFERROR(__xludf.DUMMYFUNCTION("""COMPUTED_VALUE"""),1.038)</f>
        <v>1.038</v>
      </c>
      <c r="E7561" s="16">
        <f>IFERROR(__xludf.DUMMYFUNCTION("""COMPUTED_VALUE"""),66.0)</f>
        <v>66</v>
      </c>
      <c r="F7561" s="19" t="str">
        <f>IFERROR(__xludf.DUMMYFUNCTION("""COMPUTED_VALUE"""),"BLUE")</f>
        <v>BLUE</v>
      </c>
      <c r="G7561" s="20" t="str">
        <f>IFERROR(__xludf.DUMMYFUNCTION("""COMPUTED_VALUE"""),"Uncle Sams Cider (11/12/2021) (Blue)")</f>
        <v>Uncle Sams Cider (11/12/2021) (Blue)</v>
      </c>
      <c r="H7561" s="19"/>
    </row>
    <row r="7562">
      <c r="A7562" s="9"/>
      <c r="B7562" s="15"/>
      <c r="C7562" s="9">
        <f>IFERROR(__xludf.DUMMYFUNCTION("""COMPUTED_VALUE"""),44525.8530132523)</f>
        <v>44525.85301</v>
      </c>
      <c r="D7562" s="15">
        <f>IFERROR(__xludf.DUMMYFUNCTION("""COMPUTED_VALUE"""),1.038)</f>
        <v>1.038</v>
      </c>
      <c r="E7562" s="16">
        <f>IFERROR(__xludf.DUMMYFUNCTION("""COMPUTED_VALUE"""),66.0)</f>
        <v>66</v>
      </c>
      <c r="F7562" s="19" t="str">
        <f>IFERROR(__xludf.DUMMYFUNCTION("""COMPUTED_VALUE"""),"BLUE")</f>
        <v>BLUE</v>
      </c>
      <c r="G7562" s="20" t="str">
        <f>IFERROR(__xludf.DUMMYFUNCTION("""COMPUTED_VALUE"""),"Uncle Sams Cider (11/12/2021) (Blue)")</f>
        <v>Uncle Sams Cider (11/12/2021) (Blue)</v>
      </c>
      <c r="H7562" s="19"/>
    </row>
    <row r="7563">
      <c r="A7563" s="9"/>
      <c r="B7563" s="15"/>
      <c r="C7563" s="9">
        <f>IFERROR(__xludf.DUMMYFUNCTION("""COMPUTED_VALUE"""),44525.8425929976)</f>
        <v>44525.84259</v>
      </c>
      <c r="D7563" s="15">
        <f>IFERROR(__xludf.DUMMYFUNCTION("""COMPUTED_VALUE"""),1.038)</f>
        <v>1.038</v>
      </c>
      <c r="E7563" s="16">
        <f>IFERROR(__xludf.DUMMYFUNCTION("""COMPUTED_VALUE"""),66.0)</f>
        <v>66</v>
      </c>
      <c r="F7563" s="19" t="str">
        <f>IFERROR(__xludf.DUMMYFUNCTION("""COMPUTED_VALUE"""),"BLUE")</f>
        <v>BLUE</v>
      </c>
      <c r="G7563" s="20" t="str">
        <f>IFERROR(__xludf.DUMMYFUNCTION("""COMPUTED_VALUE"""),"Uncle Sams Cider (11/12/2021) (Blue)")</f>
        <v>Uncle Sams Cider (11/12/2021) (Blue)</v>
      </c>
      <c r="H7563" s="19"/>
    </row>
    <row r="7564">
      <c r="A7564" s="9"/>
      <c r="B7564" s="15"/>
      <c r="C7564" s="9">
        <f>IFERROR(__xludf.DUMMYFUNCTION("""COMPUTED_VALUE"""),44525.8321592361)</f>
        <v>44525.83216</v>
      </c>
      <c r="D7564" s="15">
        <f>IFERROR(__xludf.DUMMYFUNCTION("""COMPUTED_VALUE"""),1.038)</f>
        <v>1.038</v>
      </c>
      <c r="E7564" s="16">
        <f>IFERROR(__xludf.DUMMYFUNCTION("""COMPUTED_VALUE"""),66.0)</f>
        <v>66</v>
      </c>
      <c r="F7564" s="19" t="str">
        <f>IFERROR(__xludf.DUMMYFUNCTION("""COMPUTED_VALUE"""),"BLUE")</f>
        <v>BLUE</v>
      </c>
      <c r="G7564" s="20" t="str">
        <f>IFERROR(__xludf.DUMMYFUNCTION("""COMPUTED_VALUE"""),"Uncle Sams Cider (11/12/2021) (Blue)")</f>
        <v>Uncle Sams Cider (11/12/2021) (Blue)</v>
      </c>
      <c r="H7564" s="19"/>
    </row>
    <row r="7565">
      <c r="A7565" s="9"/>
      <c r="B7565" s="15"/>
      <c r="C7565" s="9">
        <f>IFERROR(__xludf.DUMMYFUNCTION("""COMPUTED_VALUE"""),44525.8217272916)</f>
        <v>44525.82173</v>
      </c>
      <c r="D7565" s="15">
        <f>IFERROR(__xludf.DUMMYFUNCTION("""COMPUTED_VALUE"""),1.038)</f>
        <v>1.038</v>
      </c>
      <c r="E7565" s="16">
        <f>IFERROR(__xludf.DUMMYFUNCTION("""COMPUTED_VALUE"""),66.0)</f>
        <v>66</v>
      </c>
      <c r="F7565" s="19" t="str">
        <f>IFERROR(__xludf.DUMMYFUNCTION("""COMPUTED_VALUE"""),"BLUE")</f>
        <v>BLUE</v>
      </c>
      <c r="G7565" s="20" t="str">
        <f>IFERROR(__xludf.DUMMYFUNCTION("""COMPUTED_VALUE"""),"Uncle Sams Cider (11/12/2021) (Blue)")</f>
        <v>Uncle Sams Cider (11/12/2021) (Blue)</v>
      </c>
      <c r="H7565" s="19"/>
    </row>
    <row r="7566">
      <c r="A7566" s="9"/>
      <c r="B7566" s="15"/>
      <c r="C7566" s="9">
        <f>IFERROR(__xludf.DUMMYFUNCTION("""COMPUTED_VALUE"""),44525.8113057754)</f>
        <v>44525.81131</v>
      </c>
      <c r="D7566" s="15">
        <f>IFERROR(__xludf.DUMMYFUNCTION("""COMPUTED_VALUE"""),1.038)</f>
        <v>1.038</v>
      </c>
      <c r="E7566" s="16">
        <f>IFERROR(__xludf.DUMMYFUNCTION("""COMPUTED_VALUE"""),66.0)</f>
        <v>66</v>
      </c>
      <c r="F7566" s="19" t="str">
        <f>IFERROR(__xludf.DUMMYFUNCTION("""COMPUTED_VALUE"""),"BLUE")</f>
        <v>BLUE</v>
      </c>
      <c r="G7566" s="20" t="str">
        <f>IFERROR(__xludf.DUMMYFUNCTION("""COMPUTED_VALUE"""),"Uncle Sams Cider (11/12/2021) (Blue)")</f>
        <v>Uncle Sams Cider (11/12/2021) (Blue)</v>
      </c>
      <c r="H7566" s="19"/>
    </row>
    <row r="7567">
      <c r="A7567" s="9"/>
      <c r="B7567" s="15"/>
      <c r="C7567" s="9">
        <f>IFERROR(__xludf.DUMMYFUNCTION("""COMPUTED_VALUE"""),44525.8008718634)</f>
        <v>44525.80087</v>
      </c>
      <c r="D7567" s="15">
        <f>IFERROR(__xludf.DUMMYFUNCTION("""COMPUTED_VALUE"""),1.038)</f>
        <v>1.038</v>
      </c>
      <c r="E7567" s="16">
        <f>IFERROR(__xludf.DUMMYFUNCTION("""COMPUTED_VALUE"""),66.0)</f>
        <v>66</v>
      </c>
      <c r="F7567" s="19" t="str">
        <f>IFERROR(__xludf.DUMMYFUNCTION("""COMPUTED_VALUE"""),"BLUE")</f>
        <v>BLUE</v>
      </c>
      <c r="G7567" s="20" t="str">
        <f>IFERROR(__xludf.DUMMYFUNCTION("""COMPUTED_VALUE"""),"Uncle Sams Cider (11/12/2021) (Blue)")</f>
        <v>Uncle Sams Cider (11/12/2021) (Blue)</v>
      </c>
      <c r="H7567" s="19"/>
    </row>
    <row r="7568">
      <c r="A7568" s="9"/>
      <c r="B7568" s="15"/>
      <c r="C7568" s="9">
        <f>IFERROR(__xludf.DUMMYFUNCTION("""COMPUTED_VALUE"""),44525.7904501157)</f>
        <v>44525.79045</v>
      </c>
      <c r="D7568" s="15">
        <f>IFERROR(__xludf.DUMMYFUNCTION("""COMPUTED_VALUE"""),1.038)</f>
        <v>1.038</v>
      </c>
      <c r="E7568" s="16">
        <f>IFERROR(__xludf.DUMMYFUNCTION("""COMPUTED_VALUE"""),66.0)</f>
        <v>66</v>
      </c>
      <c r="F7568" s="19" t="str">
        <f>IFERROR(__xludf.DUMMYFUNCTION("""COMPUTED_VALUE"""),"BLUE")</f>
        <v>BLUE</v>
      </c>
      <c r="G7568" s="20" t="str">
        <f>IFERROR(__xludf.DUMMYFUNCTION("""COMPUTED_VALUE"""),"Uncle Sams Cider (11/12/2021) (Blue)")</f>
        <v>Uncle Sams Cider (11/12/2021) (Blue)</v>
      </c>
      <c r="H7568" s="19"/>
    </row>
    <row r="7569">
      <c r="A7569" s="9"/>
      <c r="B7569" s="15"/>
      <c r="C7569" s="9">
        <f>IFERROR(__xludf.DUMMYFUNCTION("""COMPUTED_VALUE"""),44525.7800292129)</f>
        <v>44525.78003</v>
      </c>
      <c r="D7569" s="15">
        <f>IFERROR(__xludf.DUMMYFUNCTION("""COMPUTED_VALUE"""),1.038)</f>
        <v>1.038</v>
      </c>
      <c r="E7569" s="16">
        <f>IFERROR(__xludf.DUMMYFUNCTION("""COMPUTED_VALUE"""),66.0)</f>
        <v>66</v>
      </c>
      <c r="F7569" s="19" t="str">
        <f>IFERROR(__xludf.DUMMYFUNCTION("""COMPUTED_VALUE"""),"BLUE")</f>
        <v>BLUE</v>
      </c>
      <c r="G7569" s="20" t="str">
        <f>IFERROR(__xludf.DUMMYFUNCTION("""COMPUTED_VALUE"""),"Uncle Sams Cider (11/12/2021) (Blue)")</f>
        <v>Uncle Sams Cider (11/12/2021) (Blue)</v>
      </c>
      <c r="H7569" s="19"/>
    </row>
    <row r="7570">
      <c r="A7570" s="9"/>
      <c r="B7570" s="15"/>
      <c r="C7570" s="9">
        <f>IFERROR(__xludf.DUMMYFUNCTION("""COMPUTED_VALUE"""),44525.7696099652)</f>
        <v>44525.76961</v>
      </c>
      <c r="D7570" s="15">
        <f>IFERROR(__xludf.DUMMYFUNCTION("""COMPUTED_VALUE"""),1.038)</f>
        <v>1.038</v>
      </c>
      <c r="E7570" s="16">
        <f>IFERROR(__xludf.DUMMYFUNCTION("""COMPUTED_VALUE"""),66.0)</f>
        <v>66</v>
      </c>
      <c r="F7570" s="19" t="str">
        <f>IFERROR(__xludf.DUMMYFUNCTION("""COMPUTED_VALUE"""),"BLUE")</f>
        <v>BLUE</v>
      </c>
      <c r="G7570" s="20" t="str">
        <f>IFERROR(__xludf.DUMMYFUNCTION("""COMPUTED_VALUE"""),"Uncle Sams Cider (11/12/2021) (Blue)")</f>
        <v>Uncle Sams Cider (11/12/2021) (Blue)</v>
      </c>
      <c r="H7570" s="19"/>
    </row>
    <row r="7571">
      <c r="A7571" s="9"/>
      <c r="B7571" s="15"/>
      <c r="C7571" s="9">
        <f>IFERROR(__xludf.DUMMYFUNCTION("""COMPUTED_VALUE"""),44525.7591891666)</f>
        <v>44525.75919</v>
      </c>
      <c r="D7571" s="15">
        <f>IFERROR(__xludf.DUMMYFUNCTION("""COMPUTED_VALUE"""),1.038)</f>
        <v>1.038</v>
      </c>
      <c r="E7571" s="16">
        <f>IFERROR(__xludf.DUMMYFUNCTION("""COMPUTED_VALUE"""),66.0)</f>
        <v>66</v>
      </c>
      <c r="F7571" s="19" t="str">
        <f>IFERROR(__xludf.DUMMYFUNCTION("""COMPUTED_VALUE"""),"BLUE")</f>
        <v>BLUE</v>
      </c>
      <c r="G7571" s="20" t="str">
        <f>IFERROR(__xludf.DUMMYFUNCTION("""COMPUTED_VALUE"""),"Uncle Sams Cider (11/12/2021) (Blue)")</f>
        <v>Uncle Sams Cider (11/12/2021) (Blue)</v>
      </c>
      <c r="H7571" s="19"/>
    </row>
    <row r="7572">
      <c r="A7572" s="9"/>
      <c r="B7572" s="15"/>
      <c r="C7572" s="9">
        <f>IFERROR(__xludf.DUMMYFUNCTION("""COMPUTED_VALUE"""),44525.7487665162)</f>
        <v>44525.74877</v>
      </c>
      <c r="D7572" s="15">
        <f>IFERROR(__xludf.DUMMYFUNCTION("""COMPUTED_VALUE"""),1.038)</f>
        <v>1.038</v>
      </c>
      <c r="E7572" s="16">
        <f>IFERROR(__xludf.DUMMYFUNCTION("""COMPUTED_VALUE"""),66.0)</f>
        <v>66</v>
      </c>
      <c r="F7572" s="19" t="str">
        <f>IFERROR(__xludf.DUMMYFUNCTION("""COMPUTED_VALUE"""),"BLUE")</f>
        <v>BLUE</v>
      </c>
      <c r="G7572" s="20" t="str">
        <f>IFERROR(__xludf.DUMMYFUNCTION("""COMPUTED_VALUE"""),"Uncle Sams Cider (11/12/2021) (Blue)")</f>
        <v>Uncle Sams Cider (11/12/2021) (Blue)</v>
      </c>
      <c r="H7572" s="19"/>
    </row>
    <row r="7573">
      <c r="A7573" s="9"/>
      <c r="B7573" s="15"/>
      <c r="C7573" s="9">
        <f>IFERROR(__xludf.DUMMYFUNCTION("""COMPUTED_VALUE"""),44525.738343993)</f>
        <v>44525.73834</v>
      </c>
      <c r="D7573" s="15">
        <f>IFERROR(__xludf.DUMMYFUNCTION("""COMPUTED_VALUE"""),1.038)</f>
        <v>1.038</v>
      </c>
      <c r="E7573" s="16">
        <f>IFERROR(__xludf.DUMMYFUNCTION("""COMPUTED_VALUE"""),66.0)</f>
        <v>66</v>
      </c>
      <c r="F7573" s="19" t="str">
        <f>IFERROR(__xludf.DUMMYFUNCTION("""COMPUTED_VALUE"""),"BLUE")</f>
        <v>BLUE</v>
      </c>
      <c r="G7573" s="20" t="str">
        <f>IFERROR(__xludf.DUMMYFUNCTION("""COMPUTED_VALUE"""),"Uncle Sams Cider (11/12/2021) (Blue)")</f>
        <v>Uncle Sams Cider (11/12/2021) (Blue)</v>
      </c>
      <c r="H7573" s="19"/>
    </row>
    <row r="7574">
      <c r="A7574" s="9"/>
      <c r="B7574" s="15"/>
      <c r="C7574" s="9">
        <f>IFERROR(__xludf.DUMMYFUNCTION("""COMPUTED_VALUE"""),44525.7279238541)</f>
        <v>44525.72792</v>
      </c>
      <c r="D7574" s="15">
        <f>IFERROR(__xludf.DUMMYFUNCTION("""COMPUTED_VALUE"""),1.038)</f>
        <v>1.038</v>
      </c>
      <c r="E7574" s="16">
        <f>IFERROR(__xludf.DUMMYFUNCTION("""COMPUTED_VALUE"""),66.0)</f>
        <v>66</v>
      </c>
      <c r="F7574" s="19" t="str">
        <f>IFERROR(__xludf.DUMMYFUNCTION("""COMPUTED_VALUE"""),"BLUE")</f>
        <v>BLUE</v>
      </c>
      <c r="G7574" s="20" t="str">
        <f>IFERROR(__xludf.DUMMYFUNCTION("""COMPUTED_VALUE"""),"Uncle Sams Cider (11/12/2021) (Blue)")</f>
        <v>Uncle Sams Cider (11/12/2021) (Blue)</v>
      </c>
      <c r="H7574" s="19"/>
    </row>
    <row r="7575">
      <c r="A7575" s="9"/>
      <c r="B7575" s="15"/>
      <c r="C7575" s="9">
        <f>IFERROR(__xludf.DUMMYFUNCTION("""COMPUTED_VALUE"""),44525.7175023611)</f>
        <v>44525.7175</v>
      </c>
      <c r="D7575" s="15">
        <f>IFERROR(__xludf.DUMMYFUNCTION("""COMPUTED_VALUE"""),1.038)</f>
        <v>1.038</v>
      </c>
      <c r="E7575" s="16">
        <f>IFERROR(__xludf.DUMMYFUNCTION("""COMPUTED_VALUE"""),66.0)</f>
        <v>66</v>
      </c>
      <c r="F7575" s="19" t="str">
        <f>IFERROR(__xludf.DUMMYFUNCTION("""COMPUTED_VALUE"""),"BLUE")</f>
        <v>BLUE</v>
      </c>
      <c r="G7575" s="20" t="str">
        <f>IFERROR(__xludf.DUMMYFUNCTION("""COMPUTED_VALUE"""),"Uncle Sams Cider (11/12/2021) (Blue)")</f>
        <v>Uncle Sams Cider (11/12/2021) (Blue)</v>
      </c>
      <c r="H7575" s="19"/>
    </row>
    <row r="7576">
      <c r="A7576" s="9"/>
      <c r="B7576" s="15"/>
      <c r="C7576" s="9">
        <f>IFERROR(__xludf.DUMMYFUNCTION("""COMPUTED_VALUE"""),44525.7070826273)</f>
        <v>44525.70708</v>
      </c>
      <c r="D7576" s="15">
        <f>IFERROR(__xludf.DUMMYFUNCTION("""COMPUTED_VALUE"""),1.038)</f>
        <v>1.038</v>
      </c>
      <c r="E7576" s="16">
        <f>IFERROR(__xludf.DUMMYFUNCTION("""COMPUTED_VALUE"""),66.0)</f>
        <v>66</v>
      </c>
      <c r="F7576" s="19" t="str">
        <f>IFERROR(__xludf.DUMMYFUNCTION("""COMPUTED_VALUE"""),"BLUE")</f>
        <v>BLUE</v>
      </c>
      <c r="G7576" s="20" t="str">
        <f>IFERROR(__xludf.DUMMYFUNCTION("""COMPUTED_VALUE"""),"Uncle Sams Cider (11/12/2021) (Blue)")</f>
        <v>Uncle Sams Cider (11/12/2021) (Blue)</v>
      </c>
      <c r="H7576" s="19"/>
    </row>
    <row r="7577">
      <c r="A7577" s="9"/>
      <c r="B7577" s="15"/>
      <c r="C7577" s="9">
        <f>IFERROR(__xludf.DUMMYFUNCTION("""COMPUTED_VALUE"""),44525.6966496874)</f>
        <v>44525.69665</v>
      </c>
      <c r="D7577" s="15">
        <f>IFERROR(__xludf.DUMMYFUNCTION("""COMPUTED_VALUE"""),1.038)</f>
        <v>1.038</v>
      </c>
      <c r="E7577" s="16">
        <f>IFERROR(__xludf.DUMMYFUNCTION("""COMPUTED_VALUE"""),66.0)</f>
        <v>66</v>
      </c>
      <c r="F7577" s="19" t="str">
        <f>IFERROR(__xludf.DUMMYFUNCTION("""COMPUTED_VALUE"""),"BLUE")</f>
        <v>BLUE</v>
      </c>
      <c r="G7577" s="20" t="str">
        <f>IFERROR(__xludf.DUMMYFUNCTION("""COMPUTED_VALUE"""),"Uncle Sams Cider (11/12/2021) (Blue)")</f>
        <v>Uncle Sams Cider (11/12/2021) (Blue)</v>
      </c>
      <c r="H7577" s="19"/>
    </row>
    <row r="7578">
      <c r="A7578" s="9"/>
      <c r="B7578" s="15"/>
      <c r="C7578" s="9">
        <f>IFERROR(__xludf.DUMMYFUNCTION("""COMPUTED_VALUE"""),44525.6862279282)</f>
        <v>44525.68623</v>
      </c>
      <c r="D7578" s="15">
        <f>IFERROR(__xludf.DUMMYFUNCTION("""COMPUTED_VALUE"""),1.038)</f>
        <v>1.038</v>
      </c>
      <c r="E7578" s="16">
        <f>IFERROR(__xludf.DUMMYFUNCTION("""COMPUTED_VALUE"""),66.0)</f>
        <v>66</v>
      </c>
      <c r="F7578" s="19" t="str">
        <f>IFERROR(__xludf.DUMMYFUNCTION("""COMPUTED_VALUE"""),"BLUE")</f>
        <v>BLUE</v>
      </c>
      <c r="G7578" s="20" t="str">
        <f>IFERROR(__xludf.DUMMYFUNCTION("""COMPUTED_VALUE"""),"Uncle Sams Cider (11/12/2021) (Blue)")</f>
        <v>Uncle Sams Cider (11/12/2021) (Blue)</v>
      </c>
      <c r="H7578" s="19"/>
    </row>
    <row r="7579">
      <c r="A7579" s="9"/>
      <c r="B7579" s="15"/>
      <c r="C7579" s="9">
        <f>IFERROR(__xludf.DUMMYFUNCTION("""COMPUTED_VALUE"""),44525.6758059837)</f>
        <v>44525.67581</v>
      </c>
      <c r="D7579" s="15">
        <f>IFERROR(__xludf.DUMMYFUNCTION("""COMPUTED_VALUE"""),1.038)</f>
        <v>1.038</v>
      </c>
      <c r="E7579" s="16">
        <f>IFERROR(__xludf.DUMMYFUNCTION("""COMPUTED_VALUE"""),66.0)</f>
        <v>66</v>
      </c>
      <c r="F7579" s="19" t="str">
        <f>IFERROR(__xludf.DUMMYFUNCTION("""COMPUTED_VALUE"""),"BLUE")</f>
        <v>BLUE</v>
      </c>
      <c r="G7579" s="20" t="str">
        <f>IFERROR(__xludf.DUMMYFUNCTION("""COMPUTED_VALUE"""),"Uncle Sams Cider (11/12/2021) (Blue)")</f>
        <v>Uncle Sams Cider (11/12/2021) (Blue)</v>
      </c>
      <c r="H7579" s="19"/>
    </row>
    <row r="7580">
      <c r="A7580" s="9"/>
      <c r="B7580" s="15"/>
      <c r="C7580" s="9">
        <f>IFERROR(__xludf.DUMMYFUNCTION("""COMPUTED_VALUE"""),44525.6653843634)</f>
        <v>44525.66538</v>
      </c>
      <c r="D7580" s="15">
        <f>IFERROR(__xludf.DUMMYFUNCTION("""COMPUTED_VALUE"""),1.038)</f>
        <v>1.038</v>
      </c>
      <c r="E7580" s="16">
        <f>IFERROR(__xludf.DUMMYFUNCTION("""COMPUTED_VALUE"""),66.0)</f>
        <v>66</v>
      </c>
      <c r="F7580" s="19" t="str">
        <f>IFERROR(__xludf.DUMMYFUNCTION("""COMPUTED_VALUE"""),"BLUE")</f>
        <v>BLUE</v>
      </c>
      <c r="G7580" s="20" t="str">
        <f>IFERROR(__xludf.DUMMYFUNCTION("""COMPUTED_VALUE"""),"Uncle Sams Cider (11/12/2021) (Blue)")</f>
        <v>Uncle Sams Cider (11/12/2021) (Blue)</v>
      </c>
      <c r="H7580" s="19"/>
    </row>
    <row r="7581">
      <c r="A7581" s="9"/>
      <c r="B7581" s="15"/>
      <c r="C7581" s="9">
        <f>IFERROR(__xludf.DUMMYFUNCTION("""COMPUTED_VALUE"""),44525.6549639467)</f>
        <v>44525.65496</v>
      </c>
      <c r="D7581" s="15">
        <f>IFERROR(__xludf.DUMMYFUNCTION("""COMPUTED_VALUE"""),1.038)</f>
        <v>1.038</v>
      </c>
      <c r="E7581" s="16">
        <f>IFERROR(__xludf.DUMMYFUNCTION("""COMPUTED_VALUE"""),66.0)</f>
        <v>66</v>
      </c>
      <c r="F7581" s="19" t="str">
        <f>IFERROR(__xludf.DUMMYFUNCTION("""COMPUTED_VALUE"""),"BLUE")</f>
        <v>BLUE</v>
      </c>
      <c r="G7581" s="20" t="str">
        <f>IFERROR(__xludf.DUMMYFUNCTION("""COMPUTED_VALUE"""),"Uncle Sams Cider (11/12/2021) (Blue)")</f>
        <v>Uncle Sams Cider (11/12/2021) (Blue)</v>
      </c>
      <c r="H7581" s="19"/>
    </row>
    <row r="7582">
      <c r="A7582" s="9"/>
      <c r="B7582" s="15"/>
      <c r="C7582" s="9">
        <f>IFERROR(__xludf.DUMMYFUNCTION("""COMPUTED_VALUE"""),44525.6445417939)</f>
        <v>44525.64454</v>
      </c>
      <c r="D7582" s="15">
        <f>IFERROR(__xludf.DUMMYFUNCTION("""COMPUTED_VALUE"""),1.038)</f>
        <v>1.038</v>
      </c>
      <c r="E7582" s="16">
        <f>IFERROR(__xludf.DUMMYFUNCTION("""COMPUTED_VALUE"""),66.0)</f>
        <v>66</v>
      </c>
      <c r="F7582" s="19" t="str">
        <f>IFERROR(__xludf.DUMMYFUNCTION("""COMPUTED_VALUE"""),"BLUE")</f>
        <v>BLUE</v>
      </c>
      <c r="G7582" s="20" t="str">
        <f>IFERROR(__xludf.DUMMYFUNCTION("""COMPUTED_VALUE"""),"Uncle Sams Cider (11/12/2021) (Blue)")</f>
        <v>Uncle Sams Cider (11/12/2021) (Blue)</v>
      </c>
      <c r="H7582" s="19"/>
    </row>
    <row r="7583">
      <c r="A7583" s="9"/>
      <c r="B7583" s="15"/>
      <c r="C7583" s="9">
        <f>IFERROR(__xludf.DUMMYFUNCTION("""COMPUTED_VALUE"""),44525.6341201273)</f>
        <v>44525.63412</v>
      </c>
      <c r="D7583" s="15">
        <f>IFERROR(__xludf.DUMMYFUNCTION("""COMPUTED_VALUE"""),1.038)</f>
        <v>1.038</v>
      </c>
      <c r="E7583" s="16">
        <f>IFERROR(__xludf.DUMMYFUNCTION("""COMPUTED_VALUE"""),66.0)</f>
        <v>66</v>
      </c>
      <c r="F7583" s="19" t="str">
        <f>IFERROR(__xludf.DUMMYFUNCTION("""COMPUTED_VALUE"""),"BLUE")</f>
        <v>BLUE</v>
      </c>
      <c r="G7583" s="20" t="str">
        <f>IFERROR(__xludf.DUMMYFUNCTION("""COMPUTED_VALUE"""),"Uncle Sams Cider (11/12/2021) (Blue)")</f>
        <v>Uncle Sams Cider (11/12/2021) (Blue)</v>
      </c>
      <c r="H7583" s="19"/>
    </row>
    <row r="7584">
      <c r="A7584" s="9"/>
      <c r="B7584" s="15"/>
      <c r="C7584" s="9">
        <f>IFERROR(__xludf.DUMMYFUNCTION("""COMPUTED_VALUE"""),44525.6236996296)</f>
        <v>44525.6237</v>
      </c>
      <c r="D7584" s="15">
        <f>IFERROR(__xludf.DUMMYFUNCTION("""COMPUTED_VALUE"""),1.038)</f>
        <v>1.038</v>
      </c>
      <c r="E7584" s="16">
        <f>IFERROR(__xludf.DUMMYFUNCTION("""COMPUTED_VALUE"""),66.0)</f>
        <v>66</v>
      </c>
      <c r="F7584" s="19" t="str">
        <f>IFERROR(__xludf.DUMMYFUNCTION("""COMPUTED_VALUE"""),"BLUE")</f>
        <v>BLUE</v>
      </c>
      <c r="G7584" s="20" t="str">
        <f>IFERROR(__xludf.DUMMYFUNCTION("""COMPUTED_VALUE"""),"Uncle Sams Cider (11/12/2021) (Blue)")</f>
        <v>Uncle Sams Cider (11/12/2021) (Blue)</v>
      </c>
      <c r="H7584" s="19"/>
    </row>
    <row r="7585">
      <c r="A7585" s="9"/>
      <c r="B7585" s="15"/>
      <c r="C7585" s="9">
        <f>IFERROR(__xludf.DUMMYFUNCTION("""COMPUTED_VALUE"""),44525.6132673958)</f>
        <v>44525.61327</v>
      </c>
      <c r="D7585" s="15">
        <f>IFERROR(__xludf.DUMMYFUNCTION("""COMPUTED_VALUE"""),1.038)</f>
        <v>1.038</v>
      </c>
      <c r="E7585" s="16">
        <f>IFERROR(__xludf.DUMMYFUNCTION("""COMPUTED_VALUE"""),66.0)</f>
        <v>66</v>
      </c>
      <c r="F7585" s="19" t="str">
        <f>IFERROR(__xludf.DUMMYFUNCTION("""COMPUTED_VALUE"""),"BLUE")</f>
        <v>BLUE</v>
      </c>
      <c r="G7585" s="20" t="str">
        <f>IFERROR(__xludf.DUMMYFUNCTION("""COMPUTED_VALUE"""),"Uncle Sams Cider (11/12/2021) (Blue)")</f>
        <v>Uncle Sams Cider (11/12/2021) (Blue)</v>
      </c>
      <c r="H7585" s="19"/>
    </row>
    <row r="7586">
      <c r="A7586" s="9"/>
      <c r="B7586" s="15"/>
      <c r="C7586" s="9">
        <f>IFERROR(__xludf.DUMMYFUNCTION("""COMPUTED_VALUE"""),44525.6028459259)</f>
        <v>44525.60285</v>
      </c>
      <c r="D7586" s="15">
        <f>IFERROR(__xludf.DUMMYFUNCTION("""COMPUTED_VALUE"""),1.038)</f>
        <v>1.038</v>
      </c>
      <c r="E7586" s="16">
        <f>IFERROR(__xludf.DUMMYFUNCTION("""COMPUTED_VALUE"""),66.0)</f>
        <v>66</v>
      </c>
      <c r="F7586" s="19" t="str">
        <f>IFERROR(__xludf.DUMMYFUNCTION("""COMPUTED_VALUE"""),"BLUE")</f>
        <v>BLUE</v>
      </c>
      <c r="G7586" s="20" t="str">
        <f>IFERROR(__xludf.DUMMYFUNCTION("""COMPUTED_VALUE"""),"Uncle Sams Cider (11/12/2021) (Blue)")</f>
        <v>Uncle Sams Cider (11/12/2021) (Blue)</v>
      </c>
      <c r="H7586" s="19"/>
    </row>
    <row r="7587">
      <c r="A7587" s="9"/>
      <c r="B7587" s="15"/>
      <c r="C7587" s="9">
        <f>IFERROR(__xludf.DUMMYFUNCTION("""COMPUTED_VALUE"""),44525.5924262731)</f>
        <v>44525.59243</v>
      </c>
      <c r="D7587" s="15">
        <f>IFERROR(__xludf.DUMMYFUNCTION("""COMPUTED_VALUE"""),1.038)</f>
        <v>1.038</v>
      </c>
      <c r="E7587" s="16">
        <f>IFERROR(__xludf.DUMMYFUNCTION("""COMPUTED_VALUE"""),66.0)</f>
        <v>66</v>
      </c>
      <c r="F7587" s="19" t="str">
        <f>IFERROR(__xludf.DUMMYFUNCTION("""COMPUTED_VALUE"""),"BLUE")</f>
        <v>BLUE</v>
      </c>
      <c r="G7587" s="20" t="str">
        <f>IFERROR(__xludf.DUMMYFUNCTION("""COMPUTED_VALUE"""),"Uncle Sams Cider (11/12/2021) (Blue)")</f>
        <v>Uncle Sams Cider (11/12/2021) (Blue)</v>
      </c>
      <c r="H7587" s="19"/>
    </row>
    <row r="7588">
      <c r="A7588" s="9"/>
      <c r="B7588" s="15"/>
      <c r="C7588" s="9">
        <f>IFERROR(__xludf.DUMMYFUNCTION("""COMPUTED_VALUE"""),44525.5820054629)</f>
        <v>44525.58201</v>
      </c>
      <c r="D7588" s="15">
        <f>IFERROR(__xludf.DUMMYFUNCTION("""COMPUTED_VALUE"""),1.038)</f>
        <v>1.038</v>
      </c>
      <c r="E7588" s="16">
        <f>IFERROR(__xludf.DUMMYFUNCTION("""COMPUTED_VALUE"""),66.0)</f>
        <v>66</v>
      </c>
      <c r="F7588" s="19" t="str">
        <f>IFERROR(__xludf.DUMMYFUNCTION("""COMPUTED_VALUE"""),"BLUE")</f>
        <v>BLUE</v>
      </c>
      <c r="G7588" s="20" t="str">
        <f>IFERROR(__xludf.DUMMYFUNCTION("""COMPUTED_VALUE"""),"Uncle Sams Cider (11/12/2021) (Blue)")</f>
        <v>Uncle Sams Cider (11/12/2021) (Blue)</v>
      </c>
      <c r="H7588" s="19"/>
    </row>
    <row r="7589">
      <c r="A7589" s="9"/>
      <c r="B7589" s="15"/>
      <c r="C7589" s="9">
        <f>IFERROR(__xludf.DUMMYFUNCTION("""COMPUTED_VALUE"""),44525.5715703819)</f>
        <v>44525.57157</v>
      </c>
      <c r="D7589" s="15">
        <f>IFERROR(__xludf.DUMMYFUNCTION("""COMPUTED_VALUE"""),1.038)</f>
        <v>1.038</v>
      </c>
      <c r="E7589" s="16">
        <f>IFERROR(__xludf.DUMMYFUNCTION("""COMPUTED_VALUE"""),66.0)</f>
        <v>66</v>
      </c>
      <c r="F7589" s="19" t="str">
        <f>IFERROR(__xludf.DUMMYFUNCTION("""COMPUTED_VALUE"""),"BLUE")</f>
        <v>BLUE</v>
      </c>
      <c r="G7589" s="20" t="str">
        <f>IFERROR(__xludf.DUMMYFUNCTION("""COMPUTED_VALUE"""),"Uncle Sams Cider (11/12/2021) (Blue)")</f>
        <v>Uncle Sams Cider (11/12/2021) (Blue)</v>
      </c>
      <c r="H7589" s="19"/>
    </row>
    <row r="7590">
      <c r="A7590" s="9"/>
      <c r="B7590" s="15"/>
      <c r="C7590" s="9">
        <f>IFERROR(__xludf.DUMMYFUNCTION("""COMPUTED_VALUE"""),44525.5611375463)</f>
        <v>44525.56114</v>
      </c>
      <c r="D7590" s="15">
        <f>IFERROR(__xludf.DUMMYFUNCTION("""COMPUTED_VALUE"""),1.038)</f>
        <v>1.038</v>
      </c>
      <c r="E7590" s="16">
        <f>IFERROR(__xludf.DUMMYFUNCTION("""COMPUTED_VALUE"""),66.0)</f>
        <v>66</v>
      </c>
      <c r="F7590" s="19" t="str">
        <f>IFERROR(__xludf.DUMMYFUNCTION("""COMPUTED_VALUE"""),"BLUE")</f>
        <v>BLUE</v>
      </c>
      <c r="G7590" s="20" t="str">
        <f>IFERROR(__xludf.DUMMYFUNCTION("""COMPUTED_VALUE"""),"Uncle Sams Cider (11/12/2021) (Blue)")</f>
        <v>Uncle Sams Cider (11/12/2021) (Blue)</v>
      </c>
      <c r="H7590" s="19"/>
    </row>
    <row r="7591">
      <c r="A7591" s="9"/>
      <c r="B7591" s="15"/>
      <c r="C7591" s="9">
        <f>IFERROR(__xludf.DUMMYFUNCTION("""COMPUTED_VALUE"""),44525.5507169444)</f>
        <v>44525.55072</v>
      </c>
      <c r="D7591" s="15">
        <f>IFERROR(__xludf.DUMMYFUNCTION("""COMPUTED_VALUE"""),1.038)</f>
        <v>1.038</v>
      </c>
      <c r="E7591" s="16">
        <f>IFERROR(__xludf.DUMMYFUNCTION("""COMPUTED_VALUE"""),66.0)</f>
        <v>66</v>
      </c>
      <c r="F7591" s="19" t="str">
        <f>IFERROR(__xludf.DUMMYFUNCTION("""COMPUTED_VALUE"""),"BLUE")</f>
        <v>BLUE</v>
      </c>
      <c r="G7591" s="20" t="str">
        <f>IFERROR(__xludf.DUMMYFUNCTION("""COMPUTED_VALUE"""),"Uncle Sams Cider (11/12/2021) (Blue)")</f>
        <v>Uncle Sams Cider (11/12/2021) (Blue)</v>
      </c>
      <c r="H7591" s="19"/>
    </row>
    <row r="7592">
      <c r="A7592" s="9"/>
      <c r="B7592" s="15"/>
      <c r="C7592" s="9">
        <f>IFERROR(__xludf.DUMMYFUNCTION("""COMPUTED_VALUE"""),44525.5402865972)</f>
        <v>44525.54029</v>
      </c>
      <c r="D7592" s="15">
        <f>IFERROR(__xludf.DUMMYFUNCTION("""COMPUTED_VALUE"""),1.038)</f>
        <v>1.038</v>
      </c>
      <c r="E7592" s="16">
        <f>IFERROR(__xludf.DUMMYFUNCTION("""COMPUTED_VALUE"""),66.0)</f>
        <v>66</v>
      </c>
      <c r="F7592" s="19" t="str">
        <f>IFERROR(__xludf.DUMMYFUNCTION("""COMPUTED_VALUE"""),"BLUE")</f>
        <v>BLUE</v>
      </c>
      <c r="G7592" s="20" t="str">
        <f>IFERROR(__xludf.DUMMYFUNCTION("""COMPUTED_VALUE"""),"Uncle Sams Cider (11/12/2021) (Blue)")</f>
        <v>Uncle Sams Cider (11/12/2021) (Blue)</v>
      </c>
      <c r="H7592" s="19"/>
    </row>
    <row r="7593">
      <c r="A7593" s="9"/>
      <c r="B7593" s="15"/>
      <c r="C7593" s="9">
        <f>IFERROR(__xludf.DUMMYFUNCTION("""COMPUTED_VALUE"""),44525.5298656365)</f>
        <v>44525.52987</v>
      </c>
      <c r="D7593" s="15">
        <f>IFERROR(__xludf.DUMMYFUNCTION("""COMPUTED_VALUE"""),1.038)</f>
        <v>1.038</v>
      </c>
      <c r="E7593" s="16">
        <f>IFERROR(__xludf.DUMMYFUNCTION("""COMPUTED_VALUE"""),66.0)</f>
        <v>66</v>
      </c>
      <c r="F7593" s="19" t="str">
        <f>IFERROR(__xludf.DUMMYFUNCTION("""COMPUTED_VALUE"""),"BLUE")</f>
        <v>BLUE</v>
      </c>
      <c r="G7593" s="20" t="str">
        <f>IFERROR(__xludf.DUMMYFUNCTION("""COMPUTED_VALUE"""),"Uncle Sams Cider (11/12/2021) (Blue)")</f>
        <v>Uncle Sams Cider (11/12/2021) (Blue)</v>
      </c>
      <c r="H7593" s="19"/>
    </row>
    <row r="7594">
      <c r="A7594" s="9"/>
      <c r="B7594" s="15"/>
      <c r="C7594" s="9">
        <f>IFERROR(__xludf.DUMMYFUNCTION("""COMPUTED_VALUE"""),44525.5194447569)</f>
        <v>44525.51944</v>
      </c>
      <c r="D7594" s="15">
        <f>IFERROR(__xludf.DUMMYFUNCTION("""COMPUTED_VALUE"""),1.038)</f>
        <v>1.038</v>
      </c>
      <c r="E7594" s="16">
        <f>IFERROR(__xludf.DUMMYFUNCTION("""COMPUTED_VALUE"""),66.0)</f>
        <v>66</v>
      </c>
      <c r="F7594" s="19" t="str">
        <f>IFERROR(__xludf.DUMMYFUNCTION("""COMPUTED_VALUE"""),"BLUE")</f>
        <v>BLUE</v>
      </c>
      <c r="G7594" s="20" t="str">
        <f>IFERROR(__xludf.DUMMYFUNCTION("""COMPUTED_VALUE"""),"Uncle Sams Cider (11/12/2021) (Blue)")</f>
        <v>Uncle Sams Cider (11/12/2021) (Blue)</v>
      </c>
      <c r="H7594" s="19"/>
    </row>
    <row r="7595">
      <c r="A7595" s="9"/>
      <c r="B7595" s="15"/>
      <c r="C7595" s="9">
        <f>IFERROR(__xludf.DUMMYFUNCTION("""COMPUTED_VALUE"""),44525.5090232407)</f>
        <v>44525.50902</v>
      </c>
      <c r="D7595" s="15">
        <f>IFERROR(__xludf.DUMMYFUNCTION("""COMPUTED_VALUE"""),1.038)</f>
        <v>1.038</v>
      </c>
      <c r="E7595" s="16">
        <f>IFERROR(__xludf.DUMMYFUNCTION("""COMPUTED_VALUE"""),66.0)</f>
        <v>66</v>
      </c>
      <c r="F7595" s="19" t="str">
        <f>IFERROR(__xludf.DUMMYFUNCTION("""COMPUTED_VALUE"""),"BLUE")</f>
        <v>BLUE</v>
      </c>
      <c r="G7595" s="20" t="str">
        <f>IFERROR(__xludf.DUMMYFUNCTION("""COMPUTED_VALUE"""),"Uncle Sams Cider (11/12/2021) (Blue)")</f>
        <v>Uncle Sams Cider (11/12/2021) (Blue)</v>
      </c>
      <c r="H7595" s="19"/>
    </row>
    <row r="7596">
      <c r="A7596" s="9"/>
      <c r="B7596" s="15"/>
      <c r="C7596" s="9">
        <f>IFERROR(__xludf.DUMMYFUNCTION("""COMPUTED_VALUE"""),44525.4986020486)</f>
        <v>44525.4986</v>
      </c>
      <c r="D7596" s="15">
        <f>IFERROR(__xludf.DUMMYFUNCTION("""COMPUTED_VALUE"""),1.038)</f>
        <v>1.038</v>
      </c>
      <c r="E7596" s="16">
        <f>IFERROR(__xludf.DUMMYFUNCTION("""COMPUTED_VALUE"""),66.0)</f>
        <v>66</v>
      </c>
      <c r="F7596" s="19" t="str">
        <f>IFERROR(__xludf.DUMMYFUNCTION("""COMPUTED_VALUE"""),"BLUE")</f>
        <v>BLUE</v>
      </c>
      <c r="G7596" s="20" t="str">
        <f>IFERROR(__xludf.DUMMYFUNCTION("""COMPUTED_VALUE"""),"Uncle Sams Cider (11/12/2021) (Blue)")</f>
        <v>Uncle Sams Cider (11/12/2021) (Blue)</v>
      </c>
      <c r="H7596" s="19"/>
    </row>
    <row r="7597">
      <c r="A7597" s="9"/>
      <c r="B7597" s="15"/>
      <c r="C7597" s="9">
        <f>IFERROR(__xludf.DUMMYFUNCTION("""COMPUTED_VALUE"""),44525.4881825347)</f>
        <v>44525.48818</v>
      </c>
      <c r="D7597" s="15">
        <f>IFERROR(__xludf.DUMMYFUNCTION("""COMPUTED_VALUE"""),1.038)</f>
        <v>1.038</v>
      </c>
      <c r="E7597" s="16">
        <f>IFERROR(__xludf.DUMMYFUNCTION("""COMPUTED_VALUE"""),66.0)</f>
        <v>66</v>
      </c>
      <c r="F7597" s="19" t="str">
        <f>IFERROR(__xludf.DUMMYFUNCTION("""COMPUTED_VALUE"""),"BLUE")</f>
        <v>BLUE</v>
      </c>
      <c r="G7597" s="20" t="str">
        <f>IFERROR(__xludf.DUMMYFUNCTION("""COMPUTED_VALUE"""),"Uncle Sams Cider (11/12/2021) (Blue)")</f>
        <v>Uncle Sams Cider (11/12/2021) (Blue)</v>
      </c>
      <c r="H7597" s="19"/>
    </row>
    <row r="7598">
      <c r="A7598" s="9"/>
      <c r="B7598" s="15"/>
      <c r="C7598" s="9">
        <f>IFERROR(__xludf.DUMMYFUNCTION("""COMPUTED_VALUE"""),44525.4777636458)</f>
        <v>44525.47776</v>
      </c>
      <c r="D7598" s="15">
        <f>IFERROR(__xludf.DUMMYFUNCTION("""COMPUTED_VALUE"""),1.038)</f>
        <v>1.038</v>
      </c>
      <c r="E7598" s="16">
        <f>IFERROR(__xludf.DUMMYFUNCTION("""COMPUTED_VALUE"""),66.0)</f>
        <v>66</v>
      </c>
      <c r="F7598" s="19" t="str">
        <f>IFERROR(__xludf.DUMMYFUNCTION("""COMPUTED_VALUE"""),"BLUE")</f>
        <v>BLUE</v>
      </c>
      <c r="G7598" s="20" t="str">
        <f>IFERROR(__xludf.DUMMYFUNCTION("""COMPUTED_VALUE"""),"Uncle Sams Cider (11/12/2021) (Blue)")</f>
        <v>Uncle Sams Cider (11/12/2021) (Blue)</v>
      </c>
      <c r="H7598" s="19"/>
    </row>
    <row r="7599">
      <c r="A7599" s="9"/>
      <c r="B7599" s="15"/>
      <c r="C7599" s="9">
        <f>IFERROR(__xludf.DUMMYFUNCTION("""COMPUTED_VALUE"""),44525.4673441203)</f>
        <v>44525.46734</v>
      </c>
      <c r="D7599" s="15">
        <f>IFERROR(__xludf.DUMMYFUNCTION("""COMPUTED_VALUE"""),1.038)</f>
        <v>1.038</v>
      </c>
      <c r="E7599" s="16">
        <f>IFERROR(__xludf.DUMMYFUNCTION("""COMPUTED_VALUE"""),66.0)</f>
        <v>66</v>
      </c>
      <c r="F7599" s="19" t="str">
        <f>IFERROR(__xludf.DUMMYFUNCTION("""COMPUTED_VALUE"""),"BLUE")</f>
        <v>BLUE</v>
      </c>
      <c r="G7599" s="20" t="str">
        <f>IFERROR(__xludf.DUMMYFUNCTION("""COMPUTED_VALUE"""),"Uncle Sams Cider (11/12/2021) (Blue)")</f>
        <v>Uncle Sams Cider (11/12/2021) (Blue)</v>
      </c>
      <c r="H7599" s="19"/>
    </row>
    <row r="7600">
      <c r="A7600" s="9"/>
      <c r="B7600" s="15"/>
      <c r="C7600" s="9">
        <f>IFERROR(__xludf.DUMMYFUNCTION("""COMPUTED_VALUE"""),44525.4569218518)</f>
        <v>44525.45692</v>
      </c>
      <c r="D7600" s="15">
        <f>IFERROR(__xludf.DUMMYFUNCTION("""COMPUTED_VALUE"""),1.038)</f>
        <v>1.038</v>
      </c>
      <c r="E7600" s="16">
        <f>IFERROR(__xludf.DUMMYFUNCTION("""COMPUTED_VALUE"""),66.0)</f>
        <v>66</v>
      </c>
      <c r="F7600" s="19" t="str">
        <f>IFERROR(__xludf.DUMMYFUNCTION("""COMPUTED_VALUE"""),"BLUE")</f>
        <v>BLUE</v>
      </c>
      <c r="G7600" s="20" t="str">
        <f>IFERROR(__xludf.DUMMYFUNCTION("""COMPUTED_VALUE"""),"Uncle Sams Cider (11/12/2021) (Blue)")</f>
        <v>Uncle Sams Cider (11/12/2021) (Blue)</v>
      </c>
      <c r="H7600" s="19"/>
    </row>
    <row r="7601">
      <c r="A7601" s="9"/>
      <c r="B7601" s="15"/>
      <c r="C7601" s="9">
        <f>IFERROR(__xludf.DUMMYFUNCTION("""COMPUTED_VALUE"""),44525.4465003935)</f>
        <v>44525.4465</v>
      </c>
      <c r="D7601" s="15">
        <f>IFERROR(__xludf.DUMMYFUNCTION("""COMPUTED_VALUE"""),1.039)</f>
        <v>1.039</v>
      </c>
      <c r="E7601" s="16">
        <f>IFERROR(__xludf.DUMMYFUNCTION("""COMPUTED_VALUE"""),66.0)</f>
        <v>66</v>
      </c>
      <c r="F7601" s="19" t="str">
        <f>IFERROR(__xludf.DUMMYFUNCTION("""COMPUTED_VALUE"""),"BLUE")</f>
        <v>BLUE</v>
      </c>
      <c r="G7601" s="20" t="str">
        <f>IFERROR(__xludf.DUMMYFUNCTION("""COMPUTED_VALUE"""),"Uncle Sams Cider (11/12/2021) (Blue)")</f>
        <v>Uncle Sams Cider (11/12/2021) (Blue)</v>
      </c>
      <c r="H7601" s="19"/>
    </row>
    <row r="7602">
      <c r="A7602" s="9"/>
      <c r="B7602" s="15"/>
      <c r="C7602" s="9">
        <f>IFERROR(__xludf.DUMMYFUNCTION("""COMPUTED_VALUE"""),44525.4360793287)</f>
        <v>44525.43608</v>
      </c>
      <c r="D7602" s="15">
        <f>IFERROR(__xludf.DUMMYFUNCTION("""COMPUTED_VALUE"""),1.038)</f>
        <v>1.038</v>
      </c>
      <c r="E7602" s="16">
        <f>IFERROR(__xludf.DUMMYFUNCTION("""COMPUTED_VALUE"""),66.0)</f>
        <v>66</v>
      </c>
      <c r="F7602" s="19" t="str">
        <f>IFERROR(__xludf.DUMMYFUNCTION("""COMPUTED_VALUE"""),"BLUE")</f>
        <v>BLUE</v>
      </c>
      <c r="G7602" s="20" t="str">
        <f>IFERROR(__xludf.DUMMYFUNCTION("""COMPUTED_VALUE"""),"Uncle Sams Cider (11/12/2021) (Blue)")</f>
        <v>Uncle Sams Cider (11/12/2021) (Blue)</v>
      </c>
      <c r="H7602" s="19"/>
    </row>
    <row r="7603">
      <c r="A7603" s="9"/>
      <c r="B7603" s="15"/>
      <c r="C7603" s="9">
        <f>IFERROR(__xludf.DUMMYFUNCTION("""COMPUTED_VALUE"""),44525.4256460763)</f>
        <v>44525.42565</v>
      </c>
      <c r="D7603" s="15">
        <f>IFERROR(__xludf.DUMMYFUNCTION("""COMPUTED_VALUE"""),1.039)</f>
        <v>1.039</v>
      </c>
      <c r="E7603" s="16">
        <f>IFERROR(__xludf.DUMMYFUNCTION("""COMPUTED_VALUE"""),66.0)</f>
        <v>66</v>
      </c>
      <c r="F7603" s="19" t="str">
        <f>IFERROR(__xludf.DUMMYFUNCTION("""COMPUTED_VALUE"""),"BLUE")</f>
        <v>BLUE</v>
      </c>
      <c r="G7603" s="20" t="str">
        <f>IFERROR(__xludf.DUMMYFUNCTION("""COMPUTED_VALUE"""),"Uncle Sams Cider (11/12/2021) (Blue)")</f>
        <v>Uncle Sams Cider (11/12/2021) (Blue)</v>
      </c>
      <c r="H7603" s="19"/>
    </row>
    <row r="7604">
      <c r="A7604" s="9"/>
      <c r="B7604" s="15"/>
      <c r="C7604" s="9">
        <f>IFERROR(__xludf.DUMMYFUNCTION("""COMPUTED_VALUE"""),44525.4152239583)</f>
        <v>44525.41522</v>
      </c>
      <c r="D7604" s="15">
        <f>IFERROR(__xludf.DUMMYFUNCTION("""COMPUTED_VALUE"""),1.039)</f>
        <v>1.039</v>
      </c>
      <c r="E7604" s="16">
        <f>IFERROR(__xludf.DUMMYFUNCTION("""COMPUTED_VALUE"""),66.0)</f>
        <v>66</v>
      </c>
      <c r="F7604" s="19" t="str">
        <f>IFERROR(__xludf.DUMMYFUNCTION("""COMPUTED_VALUE"""),"BLUE")</f>
        <v>BLUE</v>
      </c>
      <c r="G7604" s="20" t="str">
        <f>IFERROR(__xludf.DUMMYFUNCTION("""COMPUTED_VALUE"""),"Uncle Sams Cider (11/12/2021) (Blue)")</f>
        <v>Uncle Sams Cider (11/12/2021) (Blue)</v>
      </c>
      <c r="H7604" s="19"/>
    </row>
    <row r="7605">
      <c r="A7605" s="9"/>
      <c r="B7605" s="15"/>
      <c r="C7605" s="9">
        <f>IFERROR(__xludf.DUMMYFUNCTION("""COMPUTED_VALUE"""),44525.4048026504)</f>
        <v>44525.4048</v>
      </c>
      <c r="D7605" s="15">
        <f>IFERROR(__xludf.DUMMYFUNCTION("""COMPUTED_VALUE"""),1.039)</f>
        <v>1.039</v>
      </c>
      <c r="E7605" s="16">
        <f>IFERROR(__xludf.DUMMYFUNCTION("""COMPUTED_VALUE"""),66.0)</f>
        <v>66</v>
      </c>
      <c r="F7605" s="19" t="str">
        <f>IFERROR(__xludf.DUMMYFUNCTION("""COMPUTED_VALUE"""),"BLUE")</f>
        <v>BLUE</v>
      </c>
      <c r="G7605" s="20" t="str">
        <f>IFERROR(__xludf.DUMMYFUNCTION("""COMPUTED_VALUE"""),"Uncle Sams Cider (11/12/2021) (Blue)")</f>
        <v>Uncle Sams Cider (11/12/2021) (Blue)</v>
      </c>
      <c r="H7605" s="19"/>
    </row>
    <row r="7606">
      <c r="A7606" s="9"/>
      <c r="B7606" s="15"/>
      <c r="C7606" s="9">
        <f>IFERROR(__xludf.DUMMYFUNCTION("""COMPUTED_VALUE"""),44525.3943808333)</f>
        <v>44525.39438</v>
      </c>
      <c r="D7606" s="15">
        <f>IFERROR(__xludf.DUMMYFUNCTION("""COMPUTED_VALUE"""),1.039)</f>
        <v>1.039</v>
      </c>
      <c r="E7606" s="16">
        <f>IFERROR(__xludf.DUMMYFUNCTION("""COMPUTED_VALUE"""),66.0)</f>
        <v>66</v>
      </c>
      <c r="F7606" s="19" t="str">
        <f>IFERROR(__xludf.DUMMYFUNCTION("""COMPUTED_VALUE"""),"BLUE")</f>
        <v>BLUE</v>
      </c>
      <c r="G7606" s="20" t="str">
        <f>IFERROR(__xludf.DUMMYFUNCTION("""COMPUTED_VALUE"""),"Uncle Sams Cider (11/12/2021) (Blue)")</f>
        <v>Uncle Sams Cider (11/12/2021) (Blue)</v>
      </c>
      <c r="H7606" s="19"/>
    </row>
    <row r="7607">
      <c r="A7607" s="9"/>
      <c r="B7607" s="15"/>
      <c r="C7607" s="9">
        <f>IFERROR(__xludf.DUMMYFUNCTION("""COMPUTED_VALUE"""),44525.3839602546)</f>
        <v>44525.38396</v>
      </c>
      <c r="D7607" s="15">
        <f>IFERROR(__xludf.DUMMYFUNCTION("""COMPUTED_VALUE"""),1.039)</f>
        <v>1.039</v>
      </c>
      <c r="E7607" s="16">
        <f>IFERROR(__xludf.DUMMYFUNCTION("""COMPUTED_VALUE"""),66.0)</f>
        <v>66</v>
      </c>
      <c r="F7607" s="19" t="str">
        <f>IFERROR(__xludf.DUMMYFUNCTION("""COMPUTED_VALUE"""),"BLUE")</f>
        <v>BLUE</v>
      </c>
      <c r="G7607" s="20" t="str">
        <f>IFERROR(__xludf.DUMMYFUNCTION("""COMPUTED_VALUE"""),"Uncle Sams Cider (11/12/2021) (Blue)")</f>
        <v>Uncle Sams Cider (11/12/2021) (Blue)</v>
      </c>
      <c r="H7607" s="19"/>
    </row>
    <row r="7608">
      <c r="A7608" s="9"/>
      <c r="B7608" s="15"/>
      <c r="C7608" s="9">
        <f>IFERROR(__xludf.DUMMYFUNCTION("""COMPUTED_VALUE"""),44525.3735276041)</f>
        <v>44525.37353</v>
      </c>
      <c r="D7608" s="15">
        <f>IFERROR(__xludf.DUMMYFUNCTION("""COMPUTED_VALUE"""),1.039)</f>
        <v>1.039</v>
      </c>
      <c r="E7608" s="16">
        <f>IFERROR(__xludf.DUMMYFUNCTION("""COMPUTED_VALUE"""),66.0)</f>
        <v>66</v>
      </c>
      <c r="F7608" s="19" t="str">
        <f>IFERROR(__xludf.DUMMYFUNCTION("""COMPUTED_VALUE"""),"BLUE")</f>
        <v>BLUE</v>
      </c>
      <c r="G7608" s="20" t="str">
        <f>IFERROR(__xludf.DUMMYFUNCTION("""COMPUTED_VALUE"""),"Uncle Sams Cider (11/12/2021) (Blue)")</f>
        <v>Uncle Sams Cider (11/12/2021) (Blue)</v>
      </c>
      <c r="H7608" s="19"/>
    </row>
    <row r="7609">
      <c r="A7609" s="9"/>
      <c r="B7609" s="15"/>
      <c r="C7609" s="9">
        <f>IFERROR(__xludf.DUMMYFUNCTION("""COMPUTED_VALUE"""),44525.3631049884)</f>
        <v>44525.3631</v>
      </c>
      <c r="D7609" s="15">
        <f>IFERROR(__xludf.DUMMYFUNCTION("""COMPUTED_VALUE"""),1.039)</f>
        <v>1.039</v>
      </c>
      <c r="E7609" s="16">
        <f>IFERROR(__xludf.DUMMYFUNCTION("""COMPUTED_VALUE"""),66.0)</f>
        <v>66</v>
      </c>
      <c r="F7609" s="19" t="str">
        <f>IFERROR(__xludf.DUMMYFUNCTION("""COMPUTED_VALUE"""),"BLUE")</f>
        <v>BLUE</v>
      </c>
      <c r="G7609" s="20" t="str">
        <f>IFERROR(__xludf.DUMMYFUNCTION("""COMPUTED_VALUE"""),"Uncle Sams Cider (11/12/2021) (Blue)")</f>
        <v>Uncle Sams Cider (11/12/2021) (Blue)</v>
      </c>
      <c r="H7609" s="19"/>
    </row>
    <row r="7610">
      <c r="A7610" s="9"/>
      <c r="B7610" s="15"/>
      <c r="C7610" s="9">
        <f>IFERROR(__xludf.DUMMYFUNCTION("""COMPUTED_VALUE"""),44525.352685405)</f>
        <v>44525.35269</v>
      </c>
      <c r="D7610" s="15">
        <f>IFERROR(__xludf.DUMMYFUNCTION("""COMPUTED_VALUE"""),1.039)</f>
        <v>1.039</v>
      </c>
      <c r="E7610" s="16">
        <f>IFERROR(__xludf.DUMMYFUNCTION("""COMPUTED_VALUE"""),66.0)</f>
        <v>66</v>
      </c>
      <c r="F7610" s="19" t="str">
        <f>IFERROR(__xludf.DUMMYFUNCTION("""COMPUTED_VALUE"""),"BLUE")</f>
        <v>BLUE</v>
      </c>
      <c r="G7610" s="20" t="str">
        <f>IFERROR(__xludf.DUMMYFUNCTION("""COMPUTED_VALUE"""),"Uncle Sams Cider (11/12/2021) (Blue)")</f>
        <v>Uncle Sams Cider (11/12/2021) (Blue)</v>
      </c>
      <c r="H7610" s="19"/>
    </row>
    <row r="7611">
      <c r="A7611" s="9"/>
      <c r="B7611" s="15"/>
      <c r="C7611" s="9">
        <f>IFERROR(__xludf.DUMMYFUNCTION("""COMPUTED_VALUE"""),44525.3422632523)</f>
        <v>44525.34226</v>
      </c>
      <c r="D7611" s="15">
        <f>IFERROR(__xludf.DUMMYFUNCTION("""COMPUTED_VALUE"""),1.039)</f>
        <v>1.039</v>
      </c>
      <c r="E7611" s="16">
        <f>IFERROR(__xludf.DUMMYFUNCTION("""COMPUTED_VALUE"""),66.0)</f>
        <v>66</v>
      </c>
      <c r="F7611" s="19" t="str">
        <f>IFERROR(__xludf.DUMMYFUNCTION("""COMPUTED_VALUE"""),"BLUE")</f>
        <v>BLUE</v>
      </c>
      <c r="G7611" s="20" t="str">
        <f>IFERROR(__xludf.DUMMYFUNCTION("""COMPUTED_VALUE"""),"Uncle Sams Cider (11/12/2021) (Blue)")</f>
        <v>Uncle Sams Cider (11/12/2021) (Blue)</v>
      </c>
      <c r="H7611" s="19"/>
    </row>
    <row r="7612">
      <c r="A7612" s="9"/>
      <c r="B7612" s="15"/>
      <c r="C7612" s="9">
        <f>IFERROR(__xludf.DUMMYFUNCTION("""COMPUTED_VALUE"""),44525.3318311574)</f>
        <v>44525.33183</v>
      </c>
      <c r="D7612" s="15">
        <f>IFERROR(__xludf.DUMMYFUNCTION("""COMPUTED_VALUE"""),1.039)</f>
        <v>1.039</v>
      </c>
      <c r="E7612" s="16">
        <f>IFERROR(__xludf.DUMMYFUNCTION("""COMPUTED_VALUE"""),66.0)</f>
        <v>66</v>
      </c>
      <c r="F7612" s="19" t="str">
        <f>IFERROR(__xludf.DUMMYFUNCTION("""COMPUTED_VALUE"""),"BLUE")</f>
        <v>BLUE</v>
      </c>
      <c r="G7612" s="20" t="str">
        <f>IFERROR(__xludf.DUMMYFUNCTION("""COMPUTED_VALUE"""),"Uncle Sams Cider (11/12/2021) (Blue)")</f>
        <v>Uncle Sams Cider (11/12/2021) (Blue)</v>
      </c>
      <c r="H7612" s="19"/>
    </row>
    <row r="7613">
      <c r="A7613" s="9"/>
      <c r="B7613" s="15"/>
      <c r="C7613" s="9">
        <f>IFERROR(__xludf.DUMMYFUNCTION("""COMPUTED_VALUE"""),44525.3214124189)</f>
        <v>44525.32141</v>
      </c>
      <c r="D7613" s="15">
        <f>IFERROR(__xludf.DUMMYFUNCTION("""COMPUTED_VALUE"""),1.039)</f>
        <v>1.039</v>
      </c>
      <c r="E7613" s="16">
        <f>IFERROR(__xludf.DUMMYFUNCTION("""COMPUTED_VALUE"""),66.0)</f>
        <v>66</v>
      </c>
      <c r="F7613" s="19" t="str">
        <f>IFERROR(__xludf.DUMMYFUNCTION("""COMPUTED_VALUE"""),"BLUE")</f>
        <v>BLUE</v>
      </c>
      <c r="G7613" s="20" t="str">
        <f>IFERROR(__xludf.DUMMYFUNCTION("""COMPUTED_VALUE"""),"Uncle Sams Cider (11/12/2021) (Blue)")</f>
        <v>Uncle Sams Cider (11/12/2021) (Blue)</v>
      </c>
      <c r="H7613" s="19"/>
    </row>
    <row r="7614">
      <c r="A7614" s="9"/>
      <c r="B7614" s="15"/>
      <c r="C7614" s="9">
        <f>IFERROR(__xludf.DUMMYFUNCTION("""COMPUTED_VALUE"""),44525.3109923032)</f>
        <v>44525.31099</v>
      </c>
      <c r="D7614" s="15">
        <f>IFERROR(__xludf.DUMMYFUNCTION("""COMPUTED_VALUE"""),1.039)</f>
        <v>1.039</v>
      </c>
      <c r="E7614" s="16">
        <f>IFERROR(__xludf.DUMMYFUNCTION("""COMPUTED_VALUE"""),66.0)</f>
        <v>66</v>
      </c>
      <c r="F7614" s="19" t="str">
        <f>IFERROR(__xludf.DUMMYFUNCTION("""COMPUTED_VALUE"""),"BLUE")</f>
        <v>BLUE</v>
      </c>
      <c r="G7614" s="20" t="str">
        <f>IFERROR(__xludf.DUMMYFUNCTION("""COMPUTED_VALUE"""),"Uncle Sams Cider (11/12/2021) (Blue)")</f>
        <v>Uncle Sams Cider (11/12/2021) (Blue)</v>
      </c>
      <c r="H7614" s="19"/>
    </row>
    <row r="7615">
      <c r="A7615" s="9"/>
      <c r="B7615" s="15"/>
      <c r="C7615" s="9">
        <f>IFERROR(__xludf.DUMMYFUNCTION("""COMPUTED_VALUE"""),44525.300570868)</f>
        <v>44525.30057</v>
      </c>
      <c r="D7615" s="15">
        <f>IFERROR(__xludf.DUMMYFUNCTION("""COMPUTED_VALUE"""),1.039)</f>
        <v>1.039</v>
      </c>
      <c r="E7615" s="16">
        <f>IFERROR(__xludf.DUMMYFUNCTION("""COMPUTED_VALUE"""),66.0)</f>
        <v>66</v>
      </c>
      <c r="F7615" s="19" t="str">
        <f>IFERROR(__xludf.DUMMYFUNCTION("""COMPUTED_VALUE"""),"BLUE")</f>
        <v>BLUE</v>
      </c>
      <c r="G7615" s="20" t="str">
        <f>IFERROR(__xludf.DUMMYFUNCTION("""COMPUTED_VALUE"""),"Uncle Sams Cider (11/12/2021) (Blue)")</f>
        <v>Uncle Sams Cider (11/12/2021) (Blue)</v>
      </c>
      <c r="H7615" s="19"/>
    </row>
    <row r="7616">
      <c r="A7616" s="9"/>
      <c r="B7616" s="15"/>
      <c r="C7616" s="9">
        <f>IFERROR(__xludf.DUMMYFUNCTION("""COMPUTED_VALUE"""),44525.2901503356)</f>
        <v>44525.29015</v>
      </c>
      <c r="D7616" s="15">
        <f>IFERROR(__xludf.DUMMYFUNCTION("""COMPUTED_VALUE"""),1.039)</f>
        <v>1.039</v>
      </c>
      <c r="E7616" s="16">
        <f>IFERROR(__xludf.DUMMYFUNCTION("""COMPUTED_VALUE"""),66.0)</f>
        <v>66</v>
      </c>
      <c r="F7616" s="19" t="str">
        <f>IFERROR(__xludf.DUMMYFUNCTION("""COMPUTED_VALUE"""),"BLUE")</f>
        <v>BLUE</v>
      </c>
      <c r="G7616" s="20" t="str">
        <f>IFERROR(__xludf.DUMMYFUNCTION("""COMPUTED_VALUE"""),"Uncle Sams Cider (11/12/2021) (Blue)")</f>
        <v>Uncle Sams Cider (11/12/2021) (Blue)</v>
      </c>
      <c r="H7616" s="19"/>
    </row>
    <row r="7617">
      <c r="A7617" s="9"/>
      <c r="B7617" s="15"/>
      <c r="C7617" s="9">
        <f>IFERROR(__xludf.DUMMYFUNCTION("""COMPUTED_VALUE"""),44525.2797293171)</f>
        <v>44525.27973</v>
      </c>
      <c r="D7617" s="15">
        <f>IFERROR(__xludf.DUMMYFUNCTION("""COMPUTED_VALUE"""),1.039)</f>
        <v>1.039</v>
      </c>
      <c r="E7617" s="16">
        <f>IFERROR(__xludf.DUMMYFUNCTION("""COMPUTED_VALUE"""),66.0)</f>
        <v>66</v>
      </c>
      <c r="F7617" s="19" t="str">
        <f>IFERROR(__xludf.DUMMYFUNCTION("""COMPUTED_VALUE"""),"BLUE")</f>
        <v>BLUE</v>
      </c>
      <c r="G7617" s="20" t="str">
        <f>IFERROR(__xludf.DUMMYFUNCTION("""COMPUTED_VALUE"""),"Uncle Sams Cider (11/12/2021) (Blue)")</f>
        <v>Uncle Sams Cider (11/12/2021) (Blue)</v>
      </c>
      <c r="H7617" s="19"/>
    </row>
    <row r="7618">
      <c r="A7618" s="9"/>
      <c r="B7618" s="15"/>
      <c r="C7618" s="9">
        <f>IFERROR(__xludf.DUMMYFUNCTION("""COMPUTED_VALUE"""),44525.2692977314)</f>
        <v>44525.2693</v>
      </c>
      <c r="D7618" s="15">
        <f>IFERROR(__xludf.DUMMYFUNCTION("""COMPUTED_VALUE"""),1.039)</f>
        <v>1.039</v>
      </c>
      <c r="E7618" s="16">
        <f>IFERROR(__xludf.DUMMYFUNCTION("""COMPUTED_VALUE"""),66.0)</f>
        <v>66</v>
      </c>
      <c r="F7618" s="19" t="str">
        <f>IFERROR(__xludf.DUMMYFUNCTION("""COMPUTED_VALUE"""),"BLUE")</f>
        <v>BLUE</v>
      </c>
      <c r="G7618" s="20" t="str">
        <f>IFERROR(__xludf.DUMMYFUNCTION("""COMPUTED_VALUE"""),"Uncle Sams Cider (11/12/2021) (Blue)")</f>
        <v>Uncle Sams Cider (11/12/2021) (Blue)</v>
      </c>
      <c r="H7618" s="19"/>
    </row>
    <row r="7619">
      <c r="A7619" s="9"/>
      <c r="B7619" s="15"/>
      <c r="C7619" s="9">
        <f>IFERROR(__xludf.DUMMYFUNCTION("""COMPUTED_VALUE"""),44525.25887625)</f>
        <v>44525.25888</v>
      </c>
      <c r="D7619" s="15">
        <f>IFERROR(__xludf.DUMMYFUNCTION("""COMPUTED_VALUE"""),1.039)</f>
        <v>1.039</v>
      </c>
      <c r="E7619" s="16">
        <f>IFERROR(__xludf.DUMMYFUNCTION("""COMPUTED_VALUE"""),66.0)</f>
        <v>66</v>
      </c>
      <c r="F7619" s="19" t="str">
        <f>IFERROR(__xludf.DUMMYFUNCTION("""COMPUTED_VALUE"""),"BLUE")</f>
        <v>BLUE</v>
      </c>
      <c r="G7619" s="20" t="str">
        <f>IFERROR(__xludf.DUMMYFUNCTION("""COMPUTED_VALUE"""),"Uncle Sams Cider (11/12/2021) (Blue)")</f>
        <v>Uncle Sams Cider (11/12/2021) (Blue)</v>
      </c>
      <c r="H7619" s="19"/>
    </row>
    <row r="7620">
      <c r="A7620" s="9"/>
      <c r="B7620" s="15"/>
      <c r="C7620" s="9">
        <f>IFERROR(__xludf.DUMMYFUNCTION("""COMPUTED_VALUE"""),44525.2484536689)</f>
        <v>44525.24845</v>
      </c>
      <c r="D7620" s="15">
        <f>IFERROR(__xludf.DUMMYFUNCTION("""COMPUTED_VALUE"""),1.039)</f>
        <v>1.039</v>
      </c>
      <c r="E7620" s="16">
        <f>IFERROR(__xludf.DUMMYFUNCTION("""COMPUTED_VALUE"""),66.0)</f>
        <v>66</v>
      </c>
      <c r="F7620" s="19" t="str">
        <f>IFERROR(__xludf.DUMMYFUNCTION("""COMPUTED_VALUE"""),"BLUE")</f>
        <v>BLUE</v>
      </c>
      <c r="G7620" s="20" t="str">
        <f>IFERROR(__xludf.DUMMYFUNCTION("""COMPUTED_VALUE"""),"Uncle Sams Cider (11/12/2021) (Blue)")</f>
        <v>Uncle Sams Cider (11/12/2021) (Blue)</v>
      </c>
      <c r="H7620" s="19"/>
    </row>
    <row r="7621">
      <c r="A7621" s="9"/>
      <c r="B7621" s="15"/>
      <c r="C7621" s="9">
        <f>IFERROR(__xludf.DUMMYFUNCTION("""COMPUTED_VALUE"""),44525.2380320254)</f>
        <v>44525.23803</v>
      </c>
      <c r="D7621" s="15">
        <f>IFERROR(__xludf.DUMMYFUNCTION("""COMPUTED_VALUE"""),1.039)</f>
        <v>1.039</v>
      </c>
      <c r="E7621" s="16">
        <f>IFERROR(__xludf.DUMMYFUNCTION("""COMPUTED_VALUE"""),66.0)</f>
        <v>66</v>
      </c>
      <c r="F7621" s="19" t="str">
        <f>IFERROR(__xludf.DUMMYFUNCTION("""COMPUTED_VALUE"""),"BLUE")</f>
        <v>BLUE</v>
      </c>
      <c r="G7621" s="20" t="str">
        <f>IFERROR(__xludf.DUMMYFUNCTION("""COMPUTED_VALUE"""),"Uncle Sams Cider (11/12/2021) (Blue)")</f>
        <v>Uncle Sams Cider (11/12/2021) (Blue)</v>
      </c>
      <c r="H7621" s="19"/>
    </row>
    <row r="7622">
      <c r="A7622" s="9"/>
      <c r="B7622" s="15"/>
      <c r="C7622" s="9">
        <f>IFERROR(__xludf.DUMMYFUNCTION("""COMPUTED_VALUE"""),44525.2275866782)</f>
        <v>44525.22759</v>
      </c>
      <c r="D7622" s="15">
        <f>IFERROR(__xludf.DUMMYFUNCTION("""COMPUTED_VALUE"""),1.039)</f>
        <v>1.039</v>
      </c>
      <c r="E7622" s="16">
        <f>IFERROR(__xludf.DUMMYFUNCTION("""COMPUTED_VALUE"""),66.0)</f>
        <v>66</v>
      </c>
      <c r="F7622" s="19" t="str">
        <f>IFERROR(__xludf.DUMMYFUNCTION("""COMPUTED_VALUE"""),"BLUE")</f>
        <v>BLUE</v>
      </c>
      <c r="G7622" s="20" t="str">
        <f>IFERROR(__xludf.DUMMYFUNCTION("""COMPUTED_VALUE"""),"Uncle Sams Cider (11/12/2021) (Blue)")</f>
        <v>Uncle Sams Cider (11/12/2021) (Blue)</v>
      </c>
      <c r="H7622" s="19"/>
    </row>
    <row r="7623">
      <c r="A7623" s="9"/>
      <c r="B7623" s="15"/>
      <c r="C7623" s="9">
        <f>IFERROR(__xludf.DUMMYFUNCTION("""COMPUTED_VALUE"""),44525.2171662152)</f>
        <v>44525.21717</v>
      </c>
      <c r="D7623" s="15">
        <f>IFERROR(__xludf.DUMMYFUNCTION("""COMPUTED_VALUE"""),1.039)</f>
        <v>1.039</v>
      </c>
      <c r="E7623" s="16">
        <f>IFERROR(__xludf.DUMMYFUNCTION("""COMPUTED_VALUE"""),66.0)</f>
        <v>66</v>
      </c>
      <c r="F7623" s="19" t="str">
        <f>IFERROR(__xludf.DUMMYFUNCTION("""COMPUTED_VALUE"""),"BLUE")</f>
        <v>BLUE</v>
      </c>
      <c r="G7623" s="20" t="str">
        <f>IFERROR(__xludf.DUMMYFUNCTION("""COMPUTED_VALUE"""),"Uncle Sams Cider (11/12/2021) (Blue)")</f>
        <v>Uncle Sams Cider (11/12/2021) (Blue)</v>
      </c>
      <c r="H7623" s="19"/>
    </row>
    <row r="7624">
      <c r="A7624" s="9"/>
      <c r="B7624" s="15"/>
      <c r="C7624" s="9">
        <f>IFERROR(__xludf.DUMMYFUNCTION("""COMPUTED_VALUE"""),44525.2067445254)</f>
        <v>44525.20674</v>
      </c>
      <c r="D7624" s="15">
        <f>IFERROR(__xludf.DUMMYFUNCTION("""COMPUTED_VALUE"""),1.039)</f>
        <v>1.039</v>
      </c>
      <c r="E7624" s="16">
        <f>IFERROR(__xludf.DUMMYFUNCTION("""COMPUTED_VALUE"""),66.0)</f>
        <v>66</v>
      </c>
      <c r="F7624" s="19" t="str">
        <f>IFERROR(__xludf.DUMMYFUNCTION("""COMPUTED_VALUE"""),"BLUE")</f>
        <v>BLUE</v>
      </c>
      <c r="G7624" s="20" t="str">
        <f>IFERROR(__xludf.DUMMYFUNCTION("""COMPUTED_VALUE"""),"Uncle Sams Cider (11/12/2021) (Blue)")</f>
        <v>Uncle Sams Cider (11/12/2021) (Blue)</v>
      </c>
      <c r="H7624" s="19"/>
    </row>
    <row r="7625">
      <c r="A7625" s="9"/>
      <c r="B7625" s="15"/>
      <c r="C7625" s="9">
        <f>IFERROR(__xludf.DUMMYFUNCTION("""COMPUTED_VALUE"""),44525.1963227546)</f>
        <v>44525.19632</v>
      </c>
      <c r="D7625" s="15">
        <f>IFERROR(__xludf.DUMMYFUNCTION("""COMPUTED_VALUE"""),1.039)</f>
        <v>1.039</v>
      </c>
      <c r="E7625" s="16">
        <f>IFERROR(__xludf.DUMMYFUNCTION("""COMPUTED_VALUE"""),66.0)</f>
        <v>66</v>
      </c>
      <c r="F7625" s="19" t="str">
        <f>IFERROR(__xludf.DUMMYFUNCTION("""COMPUTED_VALUE"""),"BLUE")</f>
        <v>BLUE</v>
      </c>
      <c r="G7625" s="20" t="str">
        <f>IFERROR(__xludf.DUMMYFUNCTION("""COMPUTED_VALUE"""),"Uncle Sams Cider (11/12/2021) (Blue)")</f>
        <v>Uncle Sams Cider (11/12/2021) (Blue)</v>
      </c>
      <c r="H7625" s="19"/>
    </row>
    <row r="7626">
      <c r="A7626" s="9"/>
      <c r="B7626" s="15"/>
      <c r="C7626" s="9">
        <f>IFERROR(__xludf.DUMMYFUNCTION("""COMPUTED_VALUE"""),44525.1859031828)</f>
        <v>44525.1859</v>
      </c>
      <c r="D7626" s="15">
        <f>IFERROR(__xludf.DUMMYFUNCTION("""COMPUTED_VALUE"""),1.039)</f>
        <v>1.039</v>
      </c>
      <c r="E7626" s="16">
        <f>IFERROR(__xludf.DUMMYFUNCTION("""COMPUTED_VALUE"""),66.0)</f>
        <v>66</v>
      </c>
      <c r="F7626" s="19" t="str">
        <f>IFERROR(__xludf.DUMMYFUNCTION("""COMPUTED_VALUE"""),"BLUE")</f>
        <v>BLUE</v>
      </c>
      <c r="G7626" s="20" t="str">
        <f>IFERROR(__xludf.DUMMYFUNCTION("""COMPUTED_VALUE"""),"Uncle Sams Cider (11/12/2021) (Blue)")</f>
        <v>Uncle Sams Cider (11/12/2021) (Blue)</v>
      </c>
      <c r="H7626" s="19"/>
    </row>
    <row r="7627">
      <c r="A7627" s="9"/>
      <c r="B7627" s="15"/>
      <c r="C7627" s="9">
        <f>IFERROR(__xludf.DUMMYFUNCTION("""COMPUTED_VALUE"""),44525.1754688541)</f>
        <v>44525.17547</v>
      </c>
      <c r="D7627" s="15">
        <f>IFERROR(__xludf.DUMMYFUNCTION("""COMPUTED_VALUE"""),1.039)</f>
        <v>1.039</v>
      </c>
      <c r="E7627" s="16">
        <f>IFERROR(__xludf.DUMMYFUNCTION("""COMPUTED_VALUE"""),66.0)</f>
        <v>66</v>
      </c>
      <c r="F7627" s="19" t="str">
        <f>IFERROR(__xludf.DUMMYFUNCTION("""COMPUTED_VALUE"""),"BLUE")</f>
        <v>BLUE</v>
      </c>
      <c r="G7627" s="20" t="str">
        <f>IFERROR(__xludf.DUMMYFUNCTION("""COMPUTED_VALUE"""),"Uncle Sams Cider (11/12/2021) (Blue)")</f>
        <v>Uncle Sams Cider (11/12/2021) (Blue)</v>
      </c>
      <c r="H7627" s="19"/>
    </row>
    <row r="7628">
      <c r="A7628" s="9"/>
      <c r="B7628" s="15"/>
      <c r="C7628" s="9">
        <f>IFERROR(__xludf.DUMMYFUNCTION("""COMPUTED_VALUE"""),44525.1650487037)</f>
        <v>44525.16505</v>
      </c>
      <c r="D7628" s="15">
        <f>IFERROR(__xludf.DUMMYFUNCTION("""COMPUTED_VALUE"""),1.039)</f>
        <v>1.039</v>
      </c>
      <c r="E7628" s="16">
        <f>IFERROR(__xludf.DUMMYFUNCTION("""COMPUTED_VALUE"""),66.0)</f>
        <v>66</v>
      </c>
      <c r="F7628" s="19" t="str">
        <f>IFERROR(__xludf.DUMMYFUNCTION("""COMPUTED_VALUE"""),"BLUE")</f>
        <v>BLUE</v>
      </c>
      <c r="G7628" s="20" t="str">
        <f>IFERROR(__xludf.DUMMYFUNCTION("""COMPUTED_VALUE"""),"Uncle Sams Cider (11/12/2021) (Blue)")</f>
        <v>Uncle Sams Cider (11/12/2021) (Blue)</v>
      </c>
      <c r="H7628" s="19"/>
    </row>
    <row r="7629">
      <c r="A7629" s="9"/>
      <c r="B7629" s="15"/>
      <c r="C7629" s="9">
        <f>IFERROR(__xludf.DUMMYFUNCTION("""COMPUTED_VALUE"""),44525.1546157754)</f>
        <v>44525.15462</v>
      </c>
      <c r="D7629" s="15">
        <f>IFERROR(__xludf.DUMMYFUNCTION("""COMPUTED_VALUE"""),1.039)</f>
        <v>1.039</v>
      </c>
      <c r="E7629" s="16">
        <f>IFERROR(__xludf.DUMMYFUNCTION("""COMPUTED_VALUE"""),66.0)</f>
        <v>66</v>
      </c>
      <c r="F7629" s="19" t="str">
        <f>IFERROR(__xludf.DUMMYFUNCTION("""COMPUTED_VALUE"""),"BLUE")</f>
        <v>BLUE</v>
      </c>
      <c r="G7629" s="20" t="str">
        <f>IFERROR(__xludf.DUMMYFUNCTION("""COMPUTED_VALUE"""),"Uncle Sams Cider (11/12/2021) (Blue)")</f>
        <v>Uncle Sams Cider (11/12/2021) (Blue)</v>
      </c>
      <c r="H7629" s="19"/>
    </row>
    <row r="7630">
      <c r="A7630" s="9"/>
      <c r="B7630" s="15"/>
      <c r="C7630" s="9">
        <f>IFERROR(__xludf.DUMMYFUNCTION("""COMPUTED_VALUE"""),44525.1441959722)</f>
        <v>44525.1442</v>
      </c>
      <c r="D7630" s="15">
        <f>IFERROR(__xludf.DUMMYFUNCTION("""COMPUTED_VALUE"""),1.039)</f>
        <v>1.039</v>
      </c>
      <c r="E7630" s="16">
        <f>IFERROR(__xludf.DUMMYFUNCTION("""COMPUTED_VALUE"""),66.0)</f>
        <v>66</v>
      </c>
      <c r="F7630" s="19" t="str">
        <f>IFERROR(__xludf.DUMMYFUNCTION("""COMPUTED_VALUE"""),"BLUE")</f>
        <v>BLUE</v>
      </c>
      <c r="G7630" s="20" t="str">
        <f>IFERROR(__xludf.DUMMYFUNCTION("""COMPUTED_VALUE"""),"Uncle Sams Cider (11/12/2021) (Blue)")</f>
        <v>Uncle Sams Cider (11/12/2021) (Blue)</v>
      </c>
      <c r="H7630" s="19"/>
    </row>
    <row r="7631">
      <c r="A7631" s="9"/>
      <c r="B7631" s="15"/>
      <c r="C7631" s="9">
        <f>IFERROR(__xludf.DUMMYFUNCTION("""COMPUTED_VALUE"""),44525.133774375)</f>
        <v>44525.13377</v>
      </c>
      <c r="D7631" s="15">
        <f>IFERROR(__xludf.DUMMYFUNCTION("""COMPUTED_VALUE"""),1.039)</f>
        <v>1.039</v>
      </c>
      <c r="E7631" s="16">
        <f>IFERROR(__xludf.DUMMYFUNCTION("""COMPUTED_VALUE"""),66.0)</f>
        <v>66</v>
      </c>
      <c r="F7631" s="19" t="str">
        <f>IFERROR(__xludf.DUMMYFUNCTION("""COMPUTED_VALUE"""),"BLUE")</f>
        <v>BLUE</v>
      </c>
      <c r="G7631" s="20" t="str">
        <f>IFERROR(__xludf.DUMMYFUNCTION("""COMPUTED_VALUE"""),"Uncle Sams Cider (11/12/2021) (Blue)")</f>
        <v>Uncle Sams Cider (11/12/2021) (Blue)</v>
      </c>
      <c r="H7631" s="19"/>
    </row>
    <row r="7632">
      <c r="A7632" s="9"/>
      <c r="B7632" s="15"/>
      <c r="C7632" s="9">
        <f>IFERROR(__xludf.DUMMYFUNCTION("""COMPUTED_VALUE"""),44525.1233534606)</f>
        <v>44525.12335</v>
      </c>
      <c r="D7632" s="15">
        <f>IFERROR(__xludf.DUMMYFUNCTION("""COMPUTED_VALUE"""),1.039)</f>
        <v>1.039</v>
      </c>
      <c r="E7632" s="16">
        <f>IFERROR(__xludf.DUMMYFUNCTION("""COMPUTED_VALUE"""),66.0)</f>
        <v>66</v>
      </c>
      <c r="F7632" s="19" t="str">
        <f>IFERROR(__xludf.DUMMYFUNCTION("""COMPUTED_VALUE"""),"BLUE")</f>
        <v>BLUE</v>
      </c>
      <c r="G7632" s="20" t="str">
        <f>IFERROR(__xludf.DUMMYFUNCTION("""COMPUTED_VALUE"""),"Uncle Sams Cider (11/12/2021) (Blue)")</f>
        <v>Uncle Sams Cider (11/12/2021) (Blue)</v>
      </c>
      <c r="H7632" s="19"/>
    </row>
    <row r="7633">
      <c r="A7633" s="9"/>
      <c r="B7633" s="15"/>
      <c r="C7633" s="9">
        <f>IFERROR(__xludf.DUMMYFUNCTION("""COMPUTED_VALUE"""),44525.1129331134)</f>
        <v>44525.11293</v>
      </c>
      <c r="D7633" s="15">
        <f>IFERROR(__xludf.DUMMYFUNCTION("""COMPUTED_VALUE"""),1.039)</f>
        <v>1.039</v>
      </c>
      <c r="E7633" s="16">
        <f>IFERROR(__xludf.DUMMYFUNCTION("""COMPUTED_VALUE"""),66.0)</f>
        <v>66</v>
      </c>
      <c r="F7633" s="19" t="str">
        <f>IFERROR(__xludf.DUMMYFUNCTION("""COMPUTED_VALUE"""),"BLUE")</f>
        <v>BLUE</v>
      </c>
      <c r="G7633" s="20" t="str">
        <f>IFERROR(__xludf.DUMMYFUNCTION("""COMPUTED_VALUE"""),"Uncle Sams Cider (11/12/2021) (Blue)")</f>
        <v>Uncle Sams Cider (11/12/2021) (Blue)</v>
      </c>
      <c r="H7633" s="19"/>
    </row>
    <row r="7634">
      <c r="A7634" s="9"/>
      <c r="B7634" s="15"/>
      <c r="C7634" s="9">
        <f>IFERROR(__xludf.DUMMYFUNCTION("""COMPUTED_VALUE"""),44525.1025122916)</f>
        <v>44525.10251</v>
      </c>
      <c r="D7634" s="15">
        <f>IFERROR(__xludf.DUMMYFUNCTION("""COMPUTED_VALUE"""),1.039)</f>
        <v>1.039</v>
      </c>
      <c r="E7634" s="16">
        <f>IFERROR(__xludf.DUMMYFUNCTION("""COMPUTED_VALUE"""),66.0)</f>
        <v>66</v>
      </c>
      <c r="F7634" s="19" t="str">
        <f>IFERROR(__xludf.DUMMYFUNCTION("""COMPUTED_VALUE"""),"BLUE")</f>
        <v>BLUE</v>
      </c>
      <c r="G7634" s="20" t="str">
        <f>IFERROR(__xludf.DUMMYFUNCTION("""COMPUTED_VALUE"""),"Uncle Sams Cider (11/12/2021) (Blue)")</f>
        <v>Uncle Sams Cider (11/12/2021) (Blue)</v>
      </c>
      <c r="H7634" s="19"/>
    </row>
    <row r="7635">
      <c r="A7635" s="9"/>
      <c r="B7635" s="15"/>
      <c r="C7635" s="9">
        <f>IFERROR(__xludf.DUMMYFUNCTION("""COMPUTED_VALUE"""),44525.0920921759)</f>
        <v>44525.09209</v>
      </c>
      <c r="D7635" s="15">
        <f>IFERROR(__xludf.DUMMYFUNCTION("""COMPUTED_VALUE"""),1.04)</f>
        <v>1.04</v>
      </c>
      <c r="E7635" s="16">
        <f>IFERROR(__xludf.DUMMYFUNCTION("""COMPUTED_VALUE"""),66.0)</f>
        <v>66</v>
      </c>
      <c r="F7635" s="19" t="str">
        <f>IFERROR(__xludf.DUMMYFUNCTION("""COMPUTED_VALUE"""),"BLUE")</f>
        <v>BLUE</v>
      </c>
      <c r="G7635" s="20" t="str">
        <f>IFERROR(__xludf.DUMMYFUNCTION("""COMPUTED_VALUE"""),"Uncle Sams Cider (11/12/2021) (Blue)")</f>
        <v>Uncle Sams Cider (11/12/2021) (Blue)</v>
      </c>
      <c r="H7635" s="19"/>
    </row>
    <row r="7636">
      <c r="A7636" s="9"/>
      <c r="B7636" s="15"/>
      <c r="C7636" s="9">
        <f>IFERROR(__xludf.DUMMYFUNCTION("""COMPUTED_VALUE"""),44525.0816693055)</f>
        <v>44525.08167</v>
      </c>
      <c r="D7636" s="15">
        <f>IFERROR(__xludf.DUMMYFUNCTION("""COMPUTED_VALUE"""),1.039)</f>
        <v>1.039</v>
      </c>
      <c r="E7636" s="16">
        <f>IFERROR(__xludf.DUMMYFUNCTION("""COMPUTED_VALUE"""),66.0)</f>
        <v>66</v>
      </c>
      <c r="F7636" s="19" t="str">
        <f>IFERROR(__xludf.DUMMYFUNCTION("""COMPUTED_VALUE"""),"BLUE")</f>
        <v>BLUE</v>
      </c>
      <c r="G7636" s="20" t="str">
        <f>IFERROR(__xludf.DUMMYFUNCTION("""COMPUTED_VALUE"""),"Uncle Sams Cider (11/12/2021) (Blue)")</f>
        <v>Uncle Sams Cider (11/12/2021) (Blue)</v>
      </c>
      <c r="H7636" s="19"/>
    </row>
    <row r="7637">
      <c r="A7637" s="9"/>
      <c r="B7637" s="15"/>
      <c r="C7637" s="9">
        <f>IFERROR(__xludf.DUMMYFUNCTION("""COMPUTED_VALUE"""),44525.0712479513)</f>
        <v>44525.07125</v>
      </c>
      <c r="D7637" s="15">
        <f>IFERROR(__xludf.DUMMYFUNCTION("""COMPUTED_VALUE"""),1.039)</f>
        <v>1.039</v>
      </c>
      <c r="E7637" s="16">
        <f>IFERROR(__xludf.DUMMYFUNCTION("""COMPUTED_VALUE"""),66.0)</f>
        <v>66</v>
      </c>
      <c r="F7637" s="19" t="str">
        <f>IFERROR(__xludf.DUMMYFUNCTION("""COMPUTED_VALUE"""),"BLUE")</f>
        <v>BLUE</v>
      </c>
      <c r="G7637" s="20" t="str">
        <f>IFERROR(__xludf.DUMMYFUNCTION("""COMPUTED_VALUE"""),"Uncle Sams Cider (11/12/2021) (Blue)")</f>
        <v>Uncle Sams Cider (11/12/2021) (Blue)</v>
      </c>
      <c r="H7637" s="19"/>
    </row>
    <row r="7638">
      <c r="A7638" s="9"/>
      <c r="B7638" s="15"/>
      <c r="C7638" s="9">
        <f>IFERROR(__xludf.DUMMYFUNCTION("""COMPUTED_VALUE"""),44525.0608261458)</f>
        <v>44525.06083</v>
      </c>
      <c r="D7638" s="15">
        <f>IFERROR(__xludf.DUMMYFUNCTION("""COMPUTED_VALUE"""),1.04)</f>
        <v>1.04</v>
      </c>
      <c r="E7638" s="16">
        <f>IFERROR(__xludf.DUMMYFUNCTION("""COMPUTED_VALUE"""),66.0)</f>
        <v>66</v>
      </c>
      <c r="F7638" s="19" t="str">
        <f>IFERROR(__xludf.DUMMYFUNCTION("""COMPUTED_VALUE"""),"BLUE")</f>
        <v>BLUE</v>
      </c>
      <c r="G7638" s="20" t="str">
        <f>IFERROR(__xludf.DUMMYFUNCTION("""COMPUTED_VALUE"""),"Uncle Sams Cider (11/12/2021) (Blue)")</f>
        <v>Uncle Sams Cider (11/12/2021) (Blue)</v>
      </c>
      <c r="H7638" s="19"/>
    </row>
    <row r="7639">
      <c r="A7639" s="9"/>
      <c r="B7639" s="15"/>
      <c r="C7639" s="9">
        <f>IFERROR(__xludf.DUMMYFUNCTION("""COMPUTED_VALUE"""),44525.0504070486)</f>
        <v>44525.05041</v>
      </c>
      <c r="D7639" s="15">
        <f>IFERROR(__xludf.DUMMYFUNCTION("""COMPUTED_VALUE"""),1.039)</f>
        <v>1.039</v>
      </c>
      <c r="E7639" s="16">
        <f>IFERROR(__xludf.DUMMYFUNCTION("""COMPUTED_VALUE"""),66.0)</f>
        <v>66</v>
      </c>
      <c r="F7639" s="19" t="str">
        <f>IFERROR(__xludf.DUMMYFUNCTION("""COMPUTED_VALUE"""),"BLUE")</f>
        <v>BLUE</v>
      </c>
      <c r="G7639" s="20" t="str">
        <f>IFERROR(__xludf.DUMMYFUNCTION("""COMPUTED_VALUE"""),"Uncle Sams Cider (11/12/2021) (Blue)")</f>
        <v>Uncle Sams Cider (11/12/2021) (Blue)</v>
      </c>
      <c r="H7639" s="19"/>
    </row>
    <row r="7640">
      <c r="A7640" s="9"/>
      <c r="B7640" s="15"/>
      <c r="C7640" s="9">
        <f>IFERROR(__xludf.DUMMYFUNCTION("""COMPUTED_VALUE"""),44525.0399873379)</f>
        <v>44525.03999</v>
      </c>
      <c r="D7640" s="15">
        <f>IFERROR(__xludf.DUMMYFUNCTION("""COMPUTED_VALUE"""),1.039)</f>
        <v>1.039</v>
      </c>
      <c r="E7640" s="16">
        <f>IFERROR(__xludf.DUMMYFUNCTION("""COMPUTED_VALUE"""),66.0)</f>
        <v>66</v>
      </c>
      <c r="F7640" s="19" t="str">
        <f>IFERROR(__xludf.DUMMYFUNCTION("""COMPUTED_VALUE"""),"BLUE")</f>
        <v>BLUE</v>
      </c>
      <c r="G7640" s="20" t="str">
        <f>IFERROR(__xludf.DUMMYFUNCTION("""COMPUTED_VALUE"""),"Uncle Sams Cider (11/12/2021) (Blue)")</f>
        <v>Uncle Sams Cider (11/12/2021) (Blue)</v>
      </c>
      <c r="H7640" s="19"/>
    </row>
    <row r="7641">
      <c r="A7641" s="9"/>
      <c r="B7641" s="15"/>
      <c r="C7641" s="9">
        <f>IFERROR(__xludf.DUMMYFUNCTION("""COMPUTED_VALUE"""),44525.0295660879)</f>
        <v>44525.02957</v>
      </c>
      <c r="D7641" s="15">
        <f>IFERROR(__xludf.DUMMYFUNCTION("""COMPUTED_VALUE"""),1.04)</f>
        <v>1.04</v>
      </c>
      <c r="E7641" s="16">
        <f>IFERROR(__xludf.DUMMYFUNCTION("""COMPUTED_VALUE"""),66.0)</f>
        <v>66</v>
      </c>
      <c r="F7641" s="19" t="str">
        <f>IFERROR(__xludf.DUMMYFUNCTION("""COMPUTED_VALUE"""),"BLUE")</f>
        <v>BLUE</v>
      </c>
      <c r="G7641" s="20" t="str">
        <f>IFERROR(__xludf.DUMMYFUNCTION("""COMPUTED_VALUE"""),"Uncle Sams Cider (11/12/2021) (Blue)")</f>
        <v>Uncle Sams Cider (11/12/2021) (Blue)</v>
      </c>
      <c r="H7641" s="19"/>
    </row>
    <row r="7642">
      <c r="A7642" s="9"/>
      <c r="B7642" s="15"/>
      <c r="C7642" s="9">
        <f>IFERROR(__xludf.DUMMYFUNCTION("""COMPUTED_VALUE"""),44525.019145081)</f>
        <v>44525.01915</v>
      </c>
      <c r="D7642" s="15">
        <f>IFERROR(__xludf.DUMMYFUNCTION("""COMPUTED_VALUE"""),1.039)</f>
        <v>1.039</v>
      </c>
      <c r="E7642" s="16">
        <f>IFERROR(__xludf.DUMMYFUNCTION("""COMPUTED_VALUE"""),66.0)</f>
        <v>66</v>
      </c>
      <c r="F7642" s="19" t="str">
        <f>IFERROR(__xludf.DUMMYFUNCTION("""COMPUTED_VALUE"""),"BLUE")</f>
        <v>BLUE</v>
      </c>
      <c r="G7642" s="20" t="str">
        <f>IFERROR(__xludf.DUMMYFUNCTION("""COMPUTED_VALUE"""),"Uncle Sams Cider (11/12/2021) (Blue)")</f>
        <v>Uncle Sams Cider (11/12/2021) (Blue)</v>
      </c>
      <c r="H7642" s="19"/>
    </row>
    <row r="7643">
      <c r="A7643" s="9"/>
      <c r="B7643" s="15"/>
      <c r="C7643" s="9">
        <f>IFERROR(__xludf.DUMMYFUNCTION("""COMPUTED_VALUE"""),44525.0087249305)</f>
        <v>44525.00872</v>
      </c>
      <c r="D7643" s="15">
        <f>IFERROR(__xludf.DUMMYFUNCTION("""COMPUTED_VALUE"""),1.04)</f>
        <v>1.04</v>
      </c>
      <c r="E7643" s="16">
        <f>IFERROR(__xludf.DUMMYFUNCTION("""COMPUTED_VALUE"""),66.0)</f>
        <v>66</v>
      </c>
      <c r="F7643" s="19" t="str">
        <f>IFERROR(__xludf.DUMMYFUNCTION("""COMPUTED_VALUE"""),"BLUE")</f>
        <v>BLUE</v>
      </c>
      <c r="G7643" s="20" t="str">
        <f>IFERROR(__xludf.DUMMYFUNCTION("""COMPUTED_VALUE"""),"Uncle Sams Cider (11/12/2021) (Blue)")</f>
        <v>Uncle Sams Cider (11/12/2021) (Blue)</v>
      </c>
      <c r="H7643" s="19"/>
    </row>
    <row r="7644">
      <c r="A7644" s="9"/>
      <c r="B7644" s="15"/>
      <c r="C7644" s="9">
        <f>IFERROR(__xludf.DUMMYFUNCTION("""COMPUTED_VALUE"""),44524.9983037152)</f>
        <v>44524.9983</v>
      </c>
      <c r="D7644" s="15">
        <f>IFERROR(__xludf.DUMMYFUNCTION("""COMPUTED_VALUE"""),1.04)</f>
        <v>1.04</v>
      </c>
      <c r="E7644" s="16">
        <f>IFERROR(__xludf.DUMMYFUNCTION("""COMPUTED_VALUE"""),66.0)</f>
        <v>66</v>
      </c>
      <c r="F7644" s="19" t="str">
        <f>IFERROR(__xludf.DUMMYFUNCTION("""COMPUTED_VALUE"""),"BLUE")</f>
        <v>BLUE</v>
      </c>
      <c r="G7644" s="20" t="str">
        <f>IFERROR(__xludf.DUMMYFUNCTION("""COMPUTED_VALUE"""),"Uncle Sams Cider (11/12/2021) (Blue)")</f>
        <v>Uncle Sams Cider (11/12/2021) (Blue)</v>
      </c>
      <c r="H7644" s="19"/>
    </row>
    <row r="7645">
      <c r="A7645" s="9"/>
      <c r="B7645" s="15"/>
      <c r="C7645" s="9">
        <f>IFERROR(__xludf.DUMMYFUNCTION("""COMPUTED_VALUE"""),44524.9878820833)</f>
        <v>44524.98788</v>
      </c>
      <c r="D7645" s="15">
        <f>IFERROR(__xludf.DUMMYFUNCTION("""COMPUTED_VALUE"""),1.04)</f>
        <v>1.04</v>
      </c>
      <c r="E7645" s="16">
        <f>IFERROR(__xludf.DUMMYFUNCTION("""COMPUTED_VALUE"""),66.0)</f>
        <v>66</v>
      </c>
      <c r="F7645" s="19" t="str">
        <f>IFERROR(__xludf.DUMMYFUNCTION("""COMPUTED_VALUE"""),"BLUE")</f>
        <v>BLUE</v>
      </c>
      <c r="G7645" s="20" t="str">
        <f>IFERROR(__xludf.DUMMYFUNCTION("""COMPUTED_VALUE"""),"Uncle Sams Cider (11/12/2021) (Blue)")</f>
        <v>Uncle Sams Cider (11/12/2021) (Blue)</v>
      </c>
      <c r="H7645" s="19"/>
    </row>
    <row r="7646">
      <c r="A7646" s="9"/>
      <c r="B7646" s="15"/>
      <c r="C7646" s="9">
        <f>IFERROR(__xludf.DUMMYFUNCTION("""COMPUTED_VALUE"""),44524.9774617476)</f>
        <v>44524.97746</v>
      </c>
      <c r="D7646" s="15">
        <f>IFERROR(__xludf.DUMMYFUNCTION("""COMPUTED_VALUE"""),1.04)</f>
        <v>1.04</v>
      </c>
      <c r="E7646" s="16">
        <f>IFERROR(__xludf.DUMMYFUNCTION("""COMPUTED_VALUE"""),66.0)</f>
        <v>66</v>
      </c>
      <c r="F7646" s="19" t="str">
        <f>IFERROR(__xludf.DUMMYFUNCTION("""COMPUTED_VALUE"""),"BLUE")</f>
        <v>BLUE</v>
      </c>
      <c r="G7646" s="20" t="str">
        <f>IFERROR(__xludf.DUMMYFUNCTION("""COMPUTED_VALUE"""),"Uncle Sams Cider (11/12/2021) (Blue)")</f>
        <v>Uncle Sams Cider (11/12/2021) (Blue)</v>
      </c>
      <c r="H7646" s="19"/>
    </row>
    <row r="7647">
      <c r="A7647" s="9"/>
      <c r="B7647" s="15"/>
      <c r="C7647" s="9">
        <f>IFERROR(__xludf.DUMMYFUNCTION("""COMPUTED_VALUE"""),44524.9670411574)</f>
        <v>44524.96704</v>
      </c>
      <c r="D7647" s="15">
        <f>IFERROR(__xludf.DUMMYFUNCTION("""COMPUTED_VALUE"""),1.04)</f>
        <v>1.04</v>
      </c>
      <c r="E7647" s="16">
        <f>IFERROR(__xludf.DUMMYFUNCTION("""COMPUTED_VALUE"""),66.0)</f>
        <v>66</v>
      </c>
      <c r="F7647" s="19" t="str">
        <f>IFERROR(__xludf.DUMMYFUNCTION("""COMPUTED_VALUE"""),"BLUE")</f>
        <v>BLUE</v>
      </c>
      <c r="G7647" s="20" t="str">
        <f>IFERROR(__xludf.DUMMYFUNCTION("""COMPUTED_VALUE"""),"Uncle Sams Cider (11/12/2021) (Blue)")</f>
        <v>Uncle Sams Cider (11/12/2021) (Blue)</v>
      </c>
      <c r="H7647" s="19"/>
    </row>
    <row r="7648">
      <c r="A7648" s="9"/>
      <c r="B7648" s="15"/>
      <c r="C7648" s="9">
        <f>IFERROR(__xludf.DUMMYFUNCTION("""COMPUTED_VALUE"""),44524.9566217245)</f>
        <v>44524.95662</v>
      </c>
      <c r="D7648" s="15">
        <f>IFERROR(__xludf.DUMMYFUNCTION("""COMPUTED_VALUE"""),1.04)</f>
        <v>1.04</v>
      </c>
      <c r="E7648" s="16">
        <f>IFERROR(__xludf.DUMMYFUNCTION("""COMPUTED_VALUE"""),66.0)</f>
        <v>66</v>
      </c>
      <c r="F7648" s="19" t="str">
        <f>IFERROR(__xludf.DUMMYFUNCTION("""COMPUTED_VALUE"""),"BLUE")</f>
        <v>BLUE</v>
      </c>
      <c r="G7648" s="20" t="str">
        <f>IFERROR(__xludf.DUMMYFUNCTION("""COMPUTED_VALUE"""),"Uncle Sams Cider (11/12/2021) (Blue)")</f>
        <v>Uncle Sams Cider (11/12/2021) (Blue)</v>
      </c>
      <c r="H7648" s="19"/>
    </row>
    <row r="7649">
      <c r="A7649" s="9"/>
      <c r="B7649" s="15"/>
      <c r="C7649" s="9">
        <f>IFERROR(__xludf.DUMMYFUNCTION("""COMPUTED_VALUE"""),44524.9462020254)</f>
        <v>44524.9462</v>
      </c>
      <c r="D7649" s="15">
        <f>IFERROR(__xludf.DUMMYFUNCTION("""COMPUTED_VALUE"""),1.04)</f>
        <v>1.04</v>
      </c>
      <c r="E7649" s="16">
        <f>IFERROR(__xludf.DUMMYFUNCTION("""COMPUTED_VALUE"""),66.0)</f>
        <v>66</v>
      </c>
      <c r="F7649" s="19" t="str">
        <f>IFERROR(__xludf.DUMMYFUNCTION("""COMPUTED_VALUE"""),"BLUE")</f>
        <v>BLUE</v>
      </c>
      <c r="G7649" s="20" t="str">
        <f>IFERROR(__xludf.DUMMYFUNCTION("""COMPUTED_VALUE"""),"Uncle Sams Cider (11/12/2021) (Blue)")</f>
        <v>Uncle Sams Cider (11/12/2021) (Blue)</v>
      </c>
      <c r="H7649" s="19"/>
    </row>
    <row r="7650">
      <c r="A7650" s="9"/>
      <c r="B7650" s="15"/>
      <c r="C7650" s="9">
        <f>IFERROR(__xludf.DUMMYFUNCTION("""COMPUTED_VALUE"""),44524.9357802199)</f>
        <v>44524.93578</v>
      </c>
      <c r="D7650" s="15">
        <f>IFERROR(__xludf.DUMMYFUNCTION("""COMPUTED_VALUE"""),1.04)</f>
        <v>1.04</v>
      </c>
      <c r="E7650" s="16">
        <f>IFERROR(__xludf.DUMMYFUNCTION("""COMPUTED_VALUE"""),66.0)</f>
        <v>66</v>
      </c>
      <c r="F7650" s="19" t="str">
        <f>IFERROR(__xludf.DUMMYFUNCTION("""COMPUTED_VALUE"""),"BLUE")</f>
        <v>BLUE</v>
      </c>
      <c r="G7650" s="20" t="str">
        <f>IFERROR(__xludf.DUMMYFUNCTION("""COMPUTED_VALUE"""),"Uncle Sams Cider (11/12/2021) (Blue)")</f>
        <v>Uncle Sams Cider (11/12/2021) (Blue)</v>
      </c>
      <c r="H7650" s="19"/>
    </row>
    <row r="7651">
      <c r="A7651" s="9"/>
      <c r="B7651" s="15"/>
      <c r="C7651" s="9">
        <f>IFERROR(__xludf.DUMMYFUNCTION("""COMPUTED_VALUE"""),44524.9253581481)</f>
        <v>44524.92536</v>
      </c>
      <c r="D7651" s="15">
        <f>IFERROR(__xludf.DUMMYFUNCTION("""COMPUTED_VALUE"""),1.04)</f>
        <v>1.04</v>
      </c>
      <c r="E7651" s="16">
        <f>IFERROR(__xludf.DUMMYFUNCTION("""COMPUTED_VALUE"""),66.0)</f>
        <v>66</v>
      </c>
      <c r="F7651" s="19" t="str">
        <f>IFERROR(__xludf.DUMMYFUNCTION("""COMPUTED_VALUE"""),"BLUE")</f>
        <v>BLUE</v>
      </c>
      <c r="G7651" s="20" t="str">
        <f>IFERROR(__xludf.DUMMYFUNCTION("""COMPUTED_VALUE"""),"Uncle Sams Cider (11/12/2021) (Blue)")</f>
        <v>Uncle Sams Cider (11/12/2021) (Blue)</v>
      </c>
      <c r="H7651" s="19"/>
    </row>
    <row r="7652">
      <c r="A7652" s="9"/>
      <c r="B7652" s="15"/>
      <c r="C7652" s="9">
        <f>IFERROR(__xludf.DUMMYFUNCTION("""COMPUTED_VALUE"""),44524.9149363657)</f>
        <v>44524.91494</v>
      </c>
      <c r="D7652" s="15">
        <f>IFERROR(__xludf.DUMMYFUNCTION("""COMPUTED_VALUE"""),1.04)</f>
        <v>1.04</v>
      </c>
      <c r="E7652" s="16">
        <f>IFERROR(__xludf.DUMMYFUNCTION("""COMPUTED_VALUE"""),66.0)</f>
        <v>66</v>
      </c>
      <c r="F7652" s="19" t="str">
        <f>IFERROR(__xludf.DUMMYFUNCTION("""COMPUTED_VALUE"""),"BLUE")</f>
        <v>BLUE</v>
      </c>
      <c r="G7652" s="20" t="str">
        <f>IFERROR(__xludf.DUMMYFUNCTION("""COMPUTED_VALUE"""),"Uncle Sams Cider (11/12/2021) (Blue)")</f>
        <v>Uncle Sams Cider (11/12/2021) (Blue)</v>
      </c>
      <c r="H7652" s="19"/>
    </row>
    <row r="7653">
      <c r="A7653" s="9"/>
      <c r="B7653" s="15"/>
      <c r="C7653" s="9">
        <f>IFERROR(__xludf.DUMMYFUNCTION("""COMPUTED_VALUE"""),44524.9045169907)</f>
        <v>44524.90452</v>
      </c>
      <c r="D7653" s="15">
        <f>IFERROR(__xludf.DUMMYFUNCTION("""COMPUTED_VALUE"""),1.04)</f>
        <v>1.04</v>
      </c>
      <c r="E7653" s="16">
        <f>IFERROR(__xludf.DUMMYFUNCTION("""COMPUTED_VALUE"""),66.0)</f>
        <v>66</v>
      </c>
      <c r="F7653" s="19" t="str">
        <f>IFERROR(__xludf.DUMMYFUNCTION("""COMPUTED_VALUE"""),"BLUE")</f>
        <v>BLUE</v>
      </c>
      <c r="G7653" s="20" t="str">
        <f>IFERROR(__xludf.DUMMYFUNCTION("""COMPUTED_VALUE"""),"Uncle Sams Cider (11/12/2021) (Blue)")</f>
        <v>Uncle Sams Cider (11/12/2021) (Blue)</v>
      </c>
      <c r="H7653" s="19"/>
    </row>
    <row r="7654">
      <c r="A7654" s="9"/>
      <c r="B7654" s="15"/>
      <c r="C7654" s="9">
        <f>IFERROR(__xludf.DUMMYFUNCTION("""COMPUTED_VALUE"""),44524.8940963078)</f>
        <v>44524.8941</v>
      </c>
      <c r="D7654" s="15">
        <f>IFERROR(__xludf.DUMMYFUNCTION("""COMPUTED_VALUE"""),1.04)</f>
        <v>1.04</v>
      </c>
      <c r="E7654" s="16">
        <f>IFERROR(__xludf.DUMMYFUNCTION("""COMPUTED_VALUE"""),67.0)</f>
        <v>67</v>
      </c>
      <c r="F7654" s="19" t="str">
        <f>IFERROR(__xludf.DUMMYFUNCTION("""COMPUTED_VALUE"""),"BLUE")</f>
        <v>BLUE</v>
      </c>
      <c r="G7654" s="20" t="str">
        <f>IFERROR(__xludf.DUMMYFUNCTION("""COMPUTED_VALUE"""),"Uncle Sams Cider (11/12/2021) (Blue)")</f>
        <v>Uncle Sams Cider (11/12/2021) (Blue)</v>
      </c>
      <c r="H7654" s="19"/>
    </row>
    <row r="7655">
      <c r="A7655" s="9"/>
      <c r="B7655" s="15"/>
      <c r="C7655" s="9">
        <f>IFERROR(__xludf.DUMMYFUNCTION("""COMPUTED_VALUE"""),44524.8836737847)</f>
        <v>44524.88367</v>
      </c>
      <c r="D7655" s="15">
        <f>IFERROR(__xludf.DUMMYFUNCTION("""COMPUTED_VALUE"""),1.04)</f>
        <v>1.04</v>
      </c>
      <c r="E7655" s="16">
        <f>IFERROR(__xludf.DUMMYFUNCTION("""COMPUTED_VALUE"""),66.0)</f>
        <v>66</v>
      </c>
      <c r="F7655" s="19" t="str">
        <f>IFERROR(__xludf.DUMMYFUNCTION("""COMPUTED_VALUE"""),"BLUE")</f>
        <v>BLUE</v>
      </c>
      <c r="G7655" s="20" t="str">
        <f>IFERROR(__xludf.DUMMYFUNCTION("""COMPUTED_VALUE"""),"Uncle Sams Cider (11/12/2021) (Blue)")</f>
        <v>Uncle Sams Cider (11/12/2021) (Blue)</v>
      </c>
      <c r="H7655" s="19"/>
    </row>
    <row r="7656">
      <c r="A7656" s="9"/>
      <c r="B7656" s="15"/>
      <c r="C7656" s="9">
        <f>IFERROR(__xludf.DUMMYFUNCTION("""COMPUTED_VALUE"""),44524.8732510648)</f>
        <v>44524.87325</v>
      </c>
      <c r="D7656" s="15">
        <f>IFERROR(__xludf.DUMMYFUNCTION("""COMPUTED_VALUE"""),1.04)</f>
        <v>1.04</v>
      </c>
      <c r="E7656" s="16">
        <f>IFERROR(__xludf.DUMMYFUNCTION("""COMPUTED_VALUE"""),67.0)</f>
        <v>67</v>
      </c>
      <c r="F7656" s="19" t="str">
        <f>IFERROR(__xludf.DUMMYFUNCTION("""COMPUTED_VALUE"""),"BLUE")</f>
        <v>BLUE</v>
      </c>
      <c r="G7656" s="20" t="str">
        <f>IFERROR(__xludf.DUMMYFUNCTION("""COMPUTED_VALUE"""),"Uncle Sams Cider (11/12/2021) (Blue)")</f>
        <v>Uncle Sams Cider (11/12/2021) (Blue)</v>
      </c>
      <c r="H7656" s="19"/>
    </row>
    <row r="7657">
      <c r="A7657" s="9"/>
      <c r="B7657" s="15"/>
      <c r="C7657" s="9">
        <f>IFERROR(__xludf.DUMMYFUNCTION("""COMPUTED_VALUE"""),44524.8628302199)</f>
        <v>44524.86283</v>
      </c>
      <c r="D7657" s="15">
        <f>IFERROR(__xludf.DUMMYFUNCTION("""COMPUTED_VALUE"""),1.04)</f>
        <v>1.04</v>
      </c>
      <c r="E7657" s="16">
        <f>IFERROR(__xludf.DUMMYFUNCTION("""COMPUTED_VALUE"""),66.0)</f>
        <v>66</v>
      </c>
      <c r="F7657" s="19" t="str">
        <f>IFERROR(__xludf.DUMMYFUNCTION("""COMPUTED_VALUE"""),"BLUE")</f>
        <v>BLUE</v>
      </c>
      <c r="G7657" s="20" t="str">
        <f>IFERROR(__xludf.DUMMYFUNCTION("""COMPUTED_VALUE"""),"Uncle Sams Cider (11/12/2021) (Blue)")</f>
        <v>Uncle Sams Cider (11/12/2021) (Blue)</v>
      </c>
      <c r="H7657" s="19"/>
    </row>
    <row r="7658">
      <c r="A7658" s="9"/>
      <c r="B7658" s="15"/>
      <c r="C7658" s="9">
        <f>IFERROR(__xludf.DUMMYFUNCTION("""COMPUTED_VALUE"""),44524.8524070949)</f>
        <v>44524.85241</v>
      </c>
      <c r="D7658" s="15">
        <f>IFERROR(__xludf.DUMMYFUNCTION("""COMPUTED_VALUE"""),1.04)</f>
        <v>1.04</v>
      </c>
      <c r="E7658" s="16">
        <f>IFERROR(__xludf.DUMMYFUNCTION("""COMPUTED_VALUE"""),66.0)</f>
        <v>66</v>
      </c>
      <c r="F7658" s="19" t="str">
        <f>IFERROR(__xludf.DUMMYFUNCTION("""COMPUTED_VALUE"""),"BLUE")</f>
        <v>BLUE</v>
      </c>
      <c r="G7658" s="20" t="str">
        <f>IFERROR(__xludf.DUMMYFUNCTION("""COMPUTED_VALUE"""),"Uncle Sams Cider (11/12/2021) (Blue)")</f>
        <v>Uncle Sams Cider (11/12/2021) (Blue)</v>
      </c>
      <c r="H7658" s="19"/>
    </row>
    <row r="7659">
      <c r="A7659" s="9"/>
      <c r="B7659" s="15"/>
      <c r="C7659" s="9">
        <f>IFERROR(__xludf.DUMMYFUNCTION("""COMPUTED_VALUE"""),44524.8419851273)</f>
        <v>44524.84199</v>
      </c>
      <c r="D7659" s="15">
        <f>IFERROR(__xludf.DUMMYFUNCTION("""COMPUTED_VALUE"""),1.04)</f>
        <v>1.04</v>
      </c>
      <c r="E7659" s="16">
        <f>IFERROR(__xludf.DUMMYFUNCTION("""COMPUTED_VALUE"""),67.0)</f>
        <v>67</v>
      </c>
      <c r="F7659" s="19" t="str">
        <f>IFERROR(__xludf.DUMMYFUNCTION("""COMPUTED_VALUE"""),"BLUE")</f>
        <v>BLUE</v>
      </c>
      <c r="G7659" s="20" t="str">
        <f>IFERROR(__xludf.DUMMYFUNCTION("""COMPUTED_VALUE"""),"Uncle Sams Cider (11/12/2021) (Blue)")</f>
        <v>Uncle Sams Cider (11/12/2021) (Blue)</v>
      </c>
      <c r="H7659" s="19"/>
    </row>
    <row r="7660">
      <c r="A7660" s="9"/>
      <c r="B7660" s="15"/>
      <c r="C7660" s="9">
        <f>IFERROR(__xludf.DUMMYFUNCTION("""COMPUTED_VALUE"""),44524.8315650694)</f>
        <v>44524.83157</v>
      </c>
      <c r="D7660" s="15">
        <f>IFERROR(__xludf.DUMMYFUNCTION("""COMPUTED_VALUE"""),1.04)</f>
        <v>1.04</v>
      </c>
      <c r="E7660" s="16">
        <f>IFERROR(__xludf.DUMMYFUNCTION("""COMPUTED_VALUE"""),66.0)</f>
        <v>66</v>
      </c>
      <c r="F7660" s="19" t="str">
        <f>IFERROR(__xludf.DUMMYFUNCTION("""COMPUTED_VALUE"""),"BLUE")</f>
        <v>BLUE</v>
      </c>
      <c r="G7660" s="20" t="str">
        <f>IFERROR(__xludf.DUMMYFUNCTION("""COMPUTED_VALUE"""),"Uncle Sams Cider (11/12/2021) (Blue)")</f>
        <v>Uncle Sams Cider (11/12/2021) (Blue)</v>
      </c>
      <c r="H7660" s="19"/>
    </row>
    <row r="7661">
      <c r="A7661" s="9"/>
      <c r="B7661" s="15"/>
      <c r="C7661" s="9">
        <f>IFERROR(__xludf.DUMMYFUNCTION("""COMPUTED_VALUE"""),44524.8211435185)</f>
        <v>44524.82114</v>
      </c>
      <c r="D7661" s="15">
        <f>IFERROR(__xludf.DUMMYFUNCTION("""COMPUTED_VALUE"""),1.04)</f>
        <v>1.04</v>
      </c>
      <c r="E7661" s="16">
        <f>IFERROR(__xludf.DUMMYFUNCTION("""COMPUTED_VALUE"""),67.0)</f>
        <v>67</v>
      </c>
      <c r="F7661" s="19" t="str">
        <f>IFERROR(__xludf.DUMMYFUNCTION("""COMPUTED_VALUE"""),"BLUE")</f>
        <v>BLUE</v>
      </c>
      <c r="G7661" s="20" t="str">
        <f>IFERROR(__xludf.DUMMYFUNCTION("""COMPUTED_VALUE"""),"Uncle Sams Cider (11/12/2021) (Blue)")</f>
        <v>Uncle Sams Cider (11/12/2021) (Blue)</v>
      </c>
      <c r="H7661" s="19"/>
    </row>
    <row r="7662">
      <c r="A7662" s="9"/>
      <c r="B7662" s="15"/>
      <c r="C7662" s="9">
        <f>IFERROR(__xludf.DUMMYFUNCTION("""COMPUTED_VALUE"""),44524.8107226967)</f>
        <v>44524.81072</v>
      </c>
      <c r="D7662" s="15">
        <f>IFERROR(__xludf.DUMMYFUNCTION("""COMPUTED_VALUE"""),1.04)</f>
        <v>1.04</v>
      </c>
      <c r="E7662" s="16">
        <f>IFERROR(__xludf.DUMMYFUNCTION("""COMPUTED_VALUE"""),67.0)</f>
        <v>67</v>
      </c>
      <c r="F7662" s="19" t="str">
        <f>IFERROR(__xludf.DUMMYFUNCTION("""COMPUTED_VALUE"""),"BLUE")</f>
        <v>BLUE</v>
      </c>
      <c r="G7662" s="20" t="str">
        <f>IFERROR(__xludf.DUMMYFUNCTION("""COMPUTED_VALUE"""),"Uncle Sams Cider (11/12/2021) (Blue)")</f>
        <v>Uncle Sams Cider (11/12/2021) (Blue)</v>
      </c>
      <c r="H7662" s="19"/>
    </row>
    <row r="7663">
      <c r="A7663" s="9"/>
      <c r="B7663" s="15"/>
      <c r="C7663" s="9">
        <f>IFERROR(__xludf.DUMMYFUNCTION("""COMPUTED_VALUE"""),44524.8003034606)</f>
        <v>44524.8003</v>
      </c>
      <c r="D7663" s="15">
        <f>IFERROR(__xludf.DUMMYFUNCTION("""COMPUTED_VALUE"""),1.04)</f>
        <v>1.04</v>
      </c>
      <c r="E7663" s="16">
        <f>IFERROR(__xludf.DUMMYFUNCTION("""COMPUTED_VALUE"""),67.0)</f>
        <v>67</v>
      </c>
      <c r="F7663" s="19" t="str">
        <f>IFERROR(__xludf.DUMMYFUNCTION("""COMPUTED_VALUE"""),"BLUE")</f>
        <v>BLUE</v>
      </c>
      <c r="G7663" s="20" t="str">
        <f>IFERROR(__xludf.DUMMYFUNCTION("""COMPUTED_VALUE"""),"Uncle Sams Cider (11/12/2021) (Blue)")</f>
        <v>Uncle Sams Cider (11/12/2021) (Blue)</v>
      </c>
      <c r="H7663" s="19"/>
    </row>
    <row r="7664">
      <c r="A7664" s="9"/>
      <c r="B7664" s="15"/>
      <c r="C7664" s="9">
        <f>IFERROR(__xludf.DUMMYFUNCTION("""COMPUTED_VALUE"""),44524.7898829166)</f>
        <v>44524.78988</v>
      </c>
      <c r="D7664" s="15">
        <f>IFERROR(__xludf.DUMMYFUNCTION("""COMPUTED_VALUE"""),1.04)</f>
        <v>1.04</v>
      </c>
      <c r="E7664" s="16">
        <f>IFERROR(__xludf.DUMMYFUNCTION("""COMPUTED_VALUE"""),67.0)</f>
        <v>67</v>
      </c>
      <c r="F7664" s="19" t="str">
        <f>IFERROR(__xludf.DUMMYFUNCTION("""COMPUTED_VALUE"""),"BLUE")</f>
        <v>BLUE</v>
      </c>
      <c r="G7664" s="20" t="str">
        <f>IFERROR(__xludf.DUMMYFUNCTION("""COMPUTED_VALUE"""),"Uncle Sams Cider (11/12/2021) (Blue)")</f>
        <v>Uncle Sams Cider (11/12/2021) (Blue)</v>
      </c>
      <c r="H7664" s="19"/>
    </row>
    <row r="7665">
      <c r="A7665" s="9"/>
      <c r="B7665" s="15"/>
      <c r="C7665" s="9">
        <f>IFERROR(__xludf.DUMMYFUNCTION("""COMPUTED_VALUE"""),44524.7794505092)</f>
        <v>44524.77945</v>
      </c>
      <c r="D7665" s="15">
        <f>IFERROR(__xludf.DUMMYFUNCTION("""COMPUTED_VALUE"""),1.04)</f>
        <v>1.04</v>
      </c>
      <c r="E7665" s="16">
        <f>IFERROR(__xludf.DUMMYFUNCTION("""COMPUTED_VALUE"""),67.0)</f>
        <v>67</v>
      </c>
      <c r="F7665" s="19" t="str">
        <f>IFERROR(__xludf.DUMMYFUNCTION("""COMPUTED_VALUE"""),"BLUE")</f>
        <v>BLUE</v>
      </c>
      <c r="G7665" s="20" t="str">
        <f>IFERROR(__xludf.DUMMYFUNCTION("""COMPUTED_VALUE"""),"Uncle Sams Cider (11/12/2021) (Blue)")</f>
        <v>Uncle Sams Cider (11/12/2021) (Blue)</v>
      </c>
      <c r="H7665" s="19"/>
    </row>
    <row r="7666">
      <c r="A7666" s="9"/>
      <c r="B7666" s="15"/>
      <c r="C7666" s="9">
        <f>IFERROR(__xludf.DUMMYFUNCTION("""COMPUTED_VALUE"""),44524.7690289467)</f>
        <v>44524.76903</v>
      </c>
      <c r="D7666" s="15">
        <f>IFERROR(__xludf.DUMMYFUNCTION("""COMPUTED_VALUE"""),1.04)</f>
        <v>1.04</v>
      </c>
      <c r="E7666" s="16">
        <f>IFERROR(__xludf.DUMMYFUNCTION("""COMPUTED_VALUE"""),67.0)</f>
        <v>67</v>
      </c>
      <c r="F7666" s="19" t="str">
        <f>IFERROR(__xludf.DUMMYFUNCTION("""COMPUTED_VALUE"""),"BLUE")</f>
        <v>BLUE</v>
      </c>
      <c r="G7666" s="20" t="str">
        <f>IFERROR(__xludf.DUMMYFUNCTION("""COMPUTED_VALUE"""),"Uncle Sams Cider (11/12/2021) (Blue)")</f>
        <v>Uncle Sams Cider (11/12/2021) (Blue)</v>
      </c>
      <c r="H7666" s="19"/>
    </row>
    <row r="7667">
      <c r="A7667" s="9"/>
      <c r="B7667" s="15"/>
      <c r="C7667" s="9">
        <f>IFERROR(__xludf.DUMMYFUNCTION("""COMPUTED_VALUE"""),44524.7586066666)</f>
        <v>44524.75861</v>
      </c>
      <c r="D7667" s="15">
        <f>IFERROR(__xludf.DUMMYFUNCTION("""COMPUTED_VALUE"""),1.04)</f>
        <v>1.04</v>
      </c>
      <c r="E7667" s="16">
        <f>IFERROR(__xludf.DUMMYFUNCTION("""COMPUTED_VALUE"""),67.0)</f>
        <v>67</v>
      </c>
      <c r="F7667" s="19" t="str">
        <f>IFERROR(__xludf.DUMMYFUNCTION("""COMPUTED_VALUE"""),"BLUE")</f>
        <v>BLUE</v>
      </c>
      <c r="G7667" s="20" t="str">
        <f>IFERROR(__xludf.DUMMYFUNCTION("""COMPUTED_VALUE"""),"Uncle Sams Cider (11/12/2021) (Blue)")</f>
        <v>Uncle Sams Cider (11/12/2021) (Blue)</v>
      </c>
      <c r="H7667" s="19"/>
    </row>
    <row r="7668">
      <c r="A7668" s="9"/>
      <c r="B7668" s="15"/>
      <c r="C7668" s="9">
        <f>IFERROR(__xludf.DUMMYFUNCTION("""COMPUTED_VALUE"""),44524.7481851504)</f>
        <v>44524.74819</v>
      </c>
      <c r="D7668" s="15">
        <f>IFERROR(__xludf.DUMMYFUNCTION("""COMPUTED_VALUE"""),1.04)</f>
        <v>1.04</v>
      </c>
      <c r="E7668" s="16">
        <f>IFERROR(__xludf.DUMMYFUNCTION("""COMPUTED_VALUE"""),67.0)</f>
        <v>67</v>
      </c>
      <c r="F7668" s="19" t="str">
        <f>IFERROR(__xludf.DUMMYFUNCTION("""COMPUTED_VALUE"""),"BLUE")</f>
        <v>BLUE</v>
      </c>
      <c r="G7668" s="20" t="str">
        <f>IFERROR(__xludf.DUMMYFUNCTION("""COMPUTED_VALUE"""),"Uncle Sams Cider (11/12/2021) (Blue)")</f>
        <v>Uncle Sams Cider (11/12/2021) (Blue)</v>
      </c>
      <c r="H7668" s="19"/>
    </row>
    <row r="7669">
      <c r="A7669" s="9"/>
      <c r="B7669" s="15"/>
      <c r="C7669" s="9">
        <f>IFERROR(__xludf.DUMMYFUNCTION("""COMPUTED_VALUE"""),44524.7377638078)</f>
        <v>44524.73776</v>
      </c>
      <c r="D7669" s="15">
        <f>IFERROR(__xludf.DUMMYFUNCTION("""COMPUTED_VALUE"""),1.04)</f>
        <v>1.04</v>
      </c>
      <c r="E7669" s="16">
        <f>IFERROR(__xludf.DUMMYFUNCTION("""COMPUTED_VALUE"""),67.0)</f>
        <v>67</v>
      </c>
      <c r="F7669" s="19" t="str">
        <f>IFERROR(__xludf.DUMMYFUNCTION("""COMPUTED_VALUE"""),"BLUE")</f>
        <v>BLUE</v>
      </c>
      <c r="G7669" s="20" t="str">
        <f>IFERROR(__xludf.DUMMYFUNCTION("""COMPUTED_VALUE"""),"Uncle Sams Cider (11/12/2021) (Blue)")</f>
        <v>Uncle Sams Cider (11/12/2021) (Blue)</v>
      </c>
      <c r="H7669" s="19"/>
    </row>
    <row r="7670">
      <c r="A7670" s="9"/>
      <c r="B7670" s="15"/>
      <c r="C7670" s="9">
        <f>IFERROR(__xludf.DUMMYFUNCTION("""COMPUTED_VALUE"""),44524.7273407175)</f>
        <v>44524.72734</v>
      </c>
      <c r="D7670" s="15">
        <f>IFERROR(__xludf.DUMMYFUNCTION("""COMPUTED_VALUE"""),1.04)</f>
        <v>1.04</v>
      </c>
      <c r="E7670" s="16">
        <f>IFERROR(__xludf.DUMMYFUNCTION("""COMPUTED_VALUE"""),67.0)</f>
        <v>67</v>
      </c>
      <c r="F7670" s="19" t="str">
        <f>IFERROR(__xludf.DUMMYFUNCTION("""COMPUTED_VALUE"""),"BLUE")</f>
        <v>BLUE</v>
      </c>
      <c r="G7670" s="20" t="str">
        <f>IFERROR(__xludf.DUMMYFUNCTION("""COMPUTED_VALUE"""),"Uncle Sams Cider (11/12/2021) (Blue)")</f>
        <v>Uncle Sams Cider (11/12/2021) (Blue)</v>
      </c>
      <c r="H7670" s="19"/>
    </row>
    <row r="7671">
      <c r="A7671" s="9"/>
      <c r="B7671" s="15"/>
      <c r="C7671" s="9">
        <f>IFERROR(__xludf.DUMMYFUNCTION("""COMPUTED_VALUE"""),44524.7169200925)</f>
        <v>44524.71692</v>
      </c>
      <c r="D7671" s="15">
        <f>IFERROR(__xludf.DUMMYFUNCTION("""COMPUTED_VALUE"""),1.04)</f>
        <v>1.04</v>
      </c>
      <c r="E7671" s="16">
        <f>IFERROR(__xludf.DUMMYFUNCTION("""COMPUTED_VALUE"""),67.0)</f>
        <v>67</v>
      </c>
      <c r="F7671" s="19" t="str">
        <f>IFERROR(__xludf.DUMMYFUNCTION("""COMPUTED_VALUE"""),"BLUE")</f>
        <v>BLUE</v>
      </c>
      <c r="G7671" s="20" t="str">
        <f>IFERROR(__xludf.DUMMYFUNCTION("""COMPUTED_VALUE"""),"Uncle Sams Cider (11/12/2021) (Blue)")</f>
        <v>Uncle Sams Cider (11/12/2021) (Blue)</v>
      </c>
      <c r="H7671" s="19"/>
    </row>
    <row r="7672">
      <c r="A7672" s="9"/>
      <c r="B7672" s="15"/>
      <c r="C7672" s="9">
        <f>IFERROR(__xludf.DUMMYFUNCTION("""COMPUTED_VALUE"""),44524.706498912)</f>
        <v>44524.7065</v>
      </c>
      <c r="D7672" s="15">
        <f>IFERROR(__xludf.DUMMYFUNCTION("""COMPUTED_VALUE"""),1.04)</f>
        <v>1.04</v>
      </c>
      <c r="E7672" s="16">
        <f>IFERROR(__xludf.DUMMYFUNCTION("""COMPUTED_VALUE"""),67.0)</f>
        <v>67</v>
      </c>
      <c r="F7672" s="19" t="str">
        <f>IFERROR(__xludf.DUMMYFUNCTION("""COMPUTED_VALUE"""),"BLUE")</f>
        <v>BLUE</v>
      </c>
      <c r="G7672" s="20" t="str">
        <f>IFERROR(__xludf.DUMMYFUNCTION("""COMPUTED_VALUE"""),"Uncle Sams Cider (11/12/2021) (Blue)")</f>
        <v>Uncle Sams Cider (11/12/2021) (Blue)</v>
      </c>
      <c r="H7672" s="19"/>
    </row>
    <row r="7673">
      <c r="A7673" s="9"/>
      <c r="B7673" s="15"/>
      <c r="C7673" s="9">
        <f>IFERROR(__xludf.DUMMYFUNCTION("""COMPUTED_VALUE"""),44524.6960789814)</f>
        <v>44524.69608</v>
      </c>
      <c r="D7673" s="15">
        <f>IFERROR(__xludf.DUMMYFUNCTION("""COMPUTED_VALUE"""),1.04)</f>
        <v>1.04</v>
      </c>
      <c r="E7673" s="16">
        <f>IFERROR(__xludf.DUMMYFUNCTION("""COMPUTED_VALUE"""),67.0)</f>
        <v>67</v>
      </c>
      <c r="F7673" s="19" t="str">
        <f>IFERROR(__xludf.DUMMYFUNCTION("""COMPUTED_VALUE"""),"BLUE")</f>
        <v>BLUE</v>
      </c>
      <c r="G7673" s="20" t="str">
        <f>IFERROR(__xludf.DUMMYFUNCTION("""COMPUTED_VALUE"""),"Uncle Sams Cider (11/12/2021) (Blue)")</f>
        <v>Uncle Sams Cider (11/12/2021) (Blue)</v>
      </c>
      <c r="H7673" s="19"/>
    </row>
    <row r="7674">
      <c r="A7674" s="9"/>
      <c r="B7674" s="15"/>
      <c r="C7674" s="9">
        <f>IFERROR(__xludf.DUMMYFUNCTION("""COMPUTED_VALUE"""),44524.6856574768)</f>
        <v>44524.68566</v>
      </c>
      <c r="D7674" s="15">
        <f>IFERROR(__xludf.DUMMYFUNCTION("""COMPUTED_VALUE"""),1.04)</f>
        <v>1.04</v>
      </c>
      <c r="E7674" s="16">
        <f>IFERROR(__xludf.DUMMYFUNCTION("""COMPUTED_VALUE"""),67.0)</f>
        <v>67</v>
      </c>
      <c r="F7674" s="19" t="str">
        <f>IFERROR(__xludf.DUMMYFUNCTION("""COMPUTED_VALUE"""),"BLUE")</f>
        <v>BLUE</v>
      </c>
      <c r="G7674" s="20" t="str">
        <f>IFERROR(__xludf.DUMMYFUNCTION("""COMPUTED_VALUE"""),"Uncle Sams Cider (11/12/2021) (Blue)")</f>
        <v>Uncle Sams Cider (11/12/2021) (Blue)</v>
      </c>
      <c r="H7674" s="19"/>
    </row>
    <row r="7675">
      <c r="A7675" s="9"/>
      <c r="B7675" s="15"/>
      <c r="C7675" s="9">
        <f>IFERROR(__xludf.DUMMYFUNCTION("""COMPUTED_VALUE"""),44524.6752360185)</f>
        <v>44524.67524</v>
      </c>
      <c r="D7675" s="15">
        <f>IFERROR(__xludf.DUMMYFUNCTION("""COMPUTED_VALUE"""),1.04)</f>
        <v>1.04</v>
      </c>
      <c r="E7675" s="16">
        <f>IFERROR(__xludf.DUMMYFUNCTION("""COMPUTED_VALUE"""),67.0)</f>
        <v>67</v>
      </c>
      <c r="F7675" s="19" t="str">
        <f>IFERROR(__xludf.DUMMYFUNCTION("""COMPUTED_VALUE"""),"BLUE")</f>
        <v>BLUE</v>
      </c>
      <c r="G7675" s="20" t="str">
        <f>IFERROR(__xludf.DUMMYFUNCTION("""COMPUTED_VALUE"""),"Uncle Sams Cider (11/12/2021) (Blue)")</f>
        <v>Uncle Sams Cider (11/12/2021) (Blue)</v>
      </c>
      <c r="H7675" s="19"/>
    </row>
    <row r="7676">
      <c r="A7676" s="9"/>
      <c r="B7676" s="15"/>
      <c r="C7676" s="9">
        <f>IFERROR(__xludf.DUMMYFUNCTION("""COMPUTED_VALUE"""),44524.6648153356)</f>
        <v>44524.66482</v>
      </c>
      <c r="D7676" s="15">
        <f>IFERROR(__xludf.DUMMYFUNCTION("""COMPUTED_VALUE"""),1.04)</f>
        <v>1.04</v>
      </c>
      <c r="E7676" s="16">
        <f>IFERROR(__xludf.DUMMYFUNCTION("""COMPUTED_VALUE"""),67.0)</f>
        <v>67</v>
      </c>
      <c r="F7676" s="19" t="str">
        <f>IFERROR(__xludf.DUMMYFUNCTION("""COMPUTED_VALUE"""),"BLUE")</f>
        <v>BLUE</v>
      </c>
      <c r="G7676" s="20" t="str">
        <f>IFERROR(__xludf.DUMMYFUNCTION("""COMPUTED_VALUE"""),"Uncle Sams Cider (11/12/2021) (Blue)")</f>
        <v>Uncle Sams Cider (11/12/2021) (Blue)</v>
      </c>
      <c r="H7676" s="19"/>
    </row>
    <row r="7677">
      <c r="A7677" s="9"/>
      <c r="B7677" s="15"/>
      <c r="C7677" s="9">
        <f>IFERROR(__xludf.DUMMYFUNCTION("""COMPUTED_VALUE"""),44524.6543931481)</f>
        <v>44524.65439</v>
      </c>
      <c r="D7677" s="15">
        <f>IFERROR(__xludf.DUMMYFUNCTION("""COMPUTED_VALUE"""),1.04)</f>
        <v>1.04</v>
      </c>
      <c r="E7677" s="16">
        <f>IFERROR(__xludf.DUMMYFUNCTION("""COMPUTED_VALUE"""),67.0)</f>
        <v>67</v>
      </c>
      <c r="F7677" s="19" t="str">
        <f>IFERROR(__xludf.DUMMYFUNCTION("""COMPUTED_VALUE"""),"BLUE")</f>
        <v>BLUE</v>
      </c>
      <c r="G7677" s="20" t="str">
        <f>IFERROR(__xludf.DUMMYFUNCTION("""COMPUTED_VALUE"""),"Uncle Sams Cider (11/12/2021) (Blue)")</f>
        <v>Uncle Sams Cider (11/12/2021) (Blue)</v>
      </c>
      <c r="H7677" s="19"/>
    </row>
    <row r="7678">
      <c r="A7678" s="9"/>
      <c r="B7678" s="15"/>
      <c r="C7678" s="9">
        <f>IFERROR(__xludf.DUMMYFUNCTION("""COMPUTED_VALUE"""),44524.6439606365)</f>
        <v>44524.64396</v>
      </c>
      <c r="D7678" s="15">
        <f>IFERROR(__xludf.DUMMYFUNCTION("""COMPUTED_VALUE"""),1.04)</f>
        <v>1.04</v>
      </c>
      <c r="E7678" s="16">
        <f>IFERROR(__xludf.DUMMYFUNCTION("""COMPUTED_VALUE"""),67.0)</f>
        <v>67</v>
      </c>
      <c r="F7678" s="19" t="str">
        <f>IFERROR(__xludf.DUMMYFUNCTION("""COMPUTED_VALUE"""),"BLUE")</f>
        <v>BLUE</v>
      </c>
      <c r="G7678" s="20" t="str">
        <f>IFERROR(__xludf.DUMMYFUNCTION("""COMPUTED_VALUE"""),"Uncle Sams Cider (11/12/2021) (Blue)")</f>
        <v>Uncle Sams Cider (11/12/2021) (Blue)</v>
      </c>
      <c r="H7678" s="19"/>
    </row>
    <row r="7679">
      <c r="A7679" s="9"/>
      <c r="B7679" s="15"/>
      <c r="C7679" s="9">
        <f>IFERROR(__xludf.DUMMYFUNCTION("""COMPUTED_VALUE"""),44524.6335385069)</f>
        <v>44524.63354</v>
      </c>
      <c r="D7679" s="15">
        <f>IFERROR(__xludf.DUMMYFUNCTION("""COMPUTED_VALUE"""),1.04)</f>
        <v>1.04</v>
      </c>
      <c r="E7679" s="16">
        <f>IFERROR(__xludf.DUMMYFUNCTION("""COMPUTED_VALUE"""),67.0)</f>
        <v>67</v>
      </c>
      <c r="F7679" s="19" t="str">
        <f>IFERROR(__xludf.DUMMYFUNCTION("""COMPUTED_VALUE"""),"BLUE")</f>
        <v>BLUE</v>
      </c>
      <c r="G7679" s="20" t="str">
        <f>IFERROR(__xludf.DUMMYFUNCTION("""COMPUTED_VALUE"""),"Uncle Sams Cider (11/12/2021) (Blue)")</f>
        <v>Uncle Sams Cider (11/12/2021) (Blue)</v>
      </c>
      <c r="H7679" s="19"/>
    </row>
    <row r="7680">
      <c r="A7680" s="9"/>
      <c r="B7680" s="15"/>
      <c r="C7680" s="9">
        <f>IFERROR(__xludf.DUMMYFUNCTION("""COMPUTED_VALUE"""),44524.6231153125)</f>
        <v>44524.62312</v>
      </c>
      <c r="D7680" s="15">
        <f>IFERROR(__xludf.DUMMYFUNCTION("""COMPUTED_VALUE"""),1.04)</f>
        <v>1.04</v>
      </c>
      <c r="E7680" s="16">
        <f>IFERROR(__xludf.DUMMYFUNCTION("""COMPUTED_VALUE"""),67.0)</f>
        <v>67</v>
      </c>
      <c r="F7680" s="19" t="str">
        <f>IFERROR(__xludf.DUMMYFUNCTION("""COMPUTED_VALUE"""),"BLUE")</f>
        <v>BLUE</v>
      </c>
      <c r="G7680" s="20" t="str">
        <f>IFERROR(__xludf.DUMMYFUNCTION("""COMPUTED_VALUE"""),"Uncle Sams Cider (11/12/2021) (Blue)")</f>
        <v>Uncle Sams Cider (11/12/2021) (Blue)</v>
      </c>
      <c r="H7680" s="19"/>
    </row>
    <row r="7681">
      <c r="A7681" s="9"/>
      <c r="B7681" s="15"/>
      <c r="C7681" s="9">
        <f>IFERROR(__xludf.DUMMYFUNCTION("""COMPUTED_VALUE"""),44524.6126944097)</f>
        <v>44524.61269</v>
      </c>
      <c r="D7681" s="15">
        <f>IFERROR(__xludf.DUMMYFUNCTION("""COMPUTED_VALUE"""),1.04)</f>
        <v>1.04</v>
      </c>
      <c r="E7681" s="16">
        <f>IFERROR(__xludf.DUMMYFUNCTION("""COMPUTED_VALUE"""),67.0)</f>
        <v>67</v>
      </c>
      <c r="F7681" s="19" t="str">
        <f>IFERROR(__xludf.DUMMYFUNCTION("""COMPUTED_VALUE"""),"BLUE")</f>
        <v>BLUE</v>
      </c>
      <c r="G7681" s="20" t="str">
        <f>IFERROR(__xludf.DUMMYFUNCTION("""COMPUTED_VALUE"""),"Uncle Sams Cider (11/12/2021) (Blue)")</f>
        <v>Uncle Sams Cider (11/12/2021) (Blue)</v>
      </c>
      <c r="H7681" s="19"/>
    </row>
    <row r="7682">
      <c r="A7682" s="9"/>
      <c r="B7682" s="15"/>
      <c r="C7682" s="9">
        <f>IFERROR(__xludf.DUMMYFUNCTION("""COMPUTED_VALUE"""),44524.6022725925)</f>
        <v>44524.60227</v>
      </c>
      <c r="D7682" s="15">
        <f>IFERROR(__xludf.DUMMYFUNCTION("""COMPUTED_VALUE"""),1.04)</f>
        <v>1.04</v>
      </c>
      <c r="E7682" s="16">
        <f>IFERROR(__xludf.DUMMYFUNCTION("""COMPUTED_VALUE"""),67.0)</f>
        <v>67</v>
      </c>
      <c r="F7682" s="19" t="str">
        <f>IFERROR(__xludf.DUMMYFUNCTION("""COMPUTED_VALUE"""),"BLUE")</f>
        <v>BLUE</v>
      </c>
      <c r="G7682" s="20" t="str">
        <f>IFERROR(__xludf.DUMMYFUNCTION("""COMPUTED_VALUE"""),"Uncle Sams Cider (11/12/2021) (Blue)")</f>
        <v>Uncle Sams Cider (11/12/2021) (Blue)</v>
      </c>
      <c r="H7682" s="19"/>
    </row>
    <row r="7683">
      <c r="A7683" s="9"/>
      <c r="B7683" s="15"/>
      <c r="C7683" s="9">
        <f>IFERROR(__xludf.DUMMYFUNCTION("""COMPUTED_VALUE"""),44524.5918509259)</f>
        <v>44524.59185</v>
      </c>
      <c r="D7683" s="15">
        <f>IFERROR(__xludf.DUMMYFUNCTION("""COMPUTED_VALUE"""),1.04)</f>
        <v>1.04</v>
      </c>
      <c r="E7683" s="16">
        <f>IFERROR(__xludf.DUMMYFUNCTION("""COMPUTED_VALUE"""),67.0)</f>
        <v>67</v>
      </c>
      <c r="F7683" s="19" t="str">
        <f>IFERROR(__xludf.DUMMYFUNCTION("""COMPUTED_VALUE"""),"BLUE")</f>
        <v>BLUE</v>
      </c>
      <c r="G7683" s="20" t="str">
        <f>IFERROR(__xludf.DUMMYFUNCTION("""COMPUTED_VALUE"""),"Uncle Sams Cider (11/12/2021) (Blue)")</f>
        <v>Uncle Sams Cider (11/12/2021) (Blue)</v>
      </c>
      <c r="H7683" s="19"/>
    </row>
    <row r="7684">
      <c r="A7684" s="9"/>
      <c r="B7684" s="15"/>
      <c r="C7684" s="9">
        <f>IFERROR(__xludf.DUMMYFUNCTION("""COMPUTED_VALUE"""),44524.5814301504)</f>
        <v>44524.58143</v>
      </c>
      <c r="D7684" s="15">
        <f>IFERROR(__xludf.DUMMYFUNCTION("""COMPUTED_VALUE"""),1.04)</f>
        <v>1.04</v>
      </c>
      <c r="E7684" s="16">
        <f>IFERROR(__xludf.DUMMYFUNCTION("""COMPUTED_VALUE"""),67.0)</f>
        <v>67</v>
      </c>
      <c r="F7684" s="19" t="str">
        <f>IFERROR(__xludf.DUMMYFUNCTION("""COMPUTED_VALUE"""),"BLUE")</f>
        <v>BLUE</v>
      </c>
      <c r="G7684" s="20" t="str">
        <f>IFERROR(__xludf.DUMMYFUNCTION("""COMPUTED_VALUE"""),"Uncle Sams Cider (11/12/2021) (Blue)")</f>
        <v>Uncle Sams Cider (11/12/2021) (Blue)</v>
      </c>
      <c r="H7684" s="19"/>
    </row>
    <row r="7685">
      <c r="A7685" s="9"/>
      <c r="B7685" s="15"/>
      <c r="C7685" s="9">
        <f>IFERROR(__xludf.DUMMYFUNCTION("""COMPUTED_VALUE"""),44524.5709964004)</f>
        <v>44524.571</v>
      </c>
      <c r="D7685" s="15">
        <f>IFERROR(__xludf.DUMMYFUNCTION("""COMPUTED_VALUE"""),1.041)</f>
        <v>1.041</v>
      </c>
      <c r="E7685" s="16">
        <f>IFERROR(__xludf.DUMMYFUNCTION("""COMPUTED_VALUE"""),67.0)</f>
        <v>67</v>
      </c>
      <c r="F7685" s="19" t="str">
        <f>IFERROR(__xludf.DUMMYFUNCTION("""COMPUTED_VALUE"""),"BLUE")</f>
        <v>BLUE</v>
      </c>
      <c r="G7685" s="20" t="str">
        <f>IFERROR(__xludf.DUMMYFUNCTION("""COMPUTED_VALUE"""),"Uncle Sams Cider (11/12/2021) (Blue)")</f>
        <v>Uncle Sams Cider (11/12/2021) (Blue)</v>
      </c>
      <c r="H7685" s="19"/>
    </row>
    <row r="7686">
      <c r="A7686" s="9"/>
      <c r="B7686" s="15"/>
      <c r="C7686" s="9">
        <f>IFERROR(__xludf.DUMMYFUNCTION("""COMPUTED_VALUE"""),44524.5605755555)</f>
        <v>44524.56058</v>
      </c>
      <c r="D7686" s="15">
        <f>IFERROR(__xludf.DUMMYFUNCTION("""COMPUTED_VALUE"""),1.04)</f>
        <v>1.04</v>
      </c>
      <c r="E7686" s="16">
        <f>IFERROR(__xludf.DUMMYFUNCTION("""COMPUTED_VALUE"""),67.0)</f>
        <v>67</v>
      </c>
      <c r="F7686" s="19" t="str">
        <f>IFERROR(__xludf.DUMMYFUNCTION("""COMPUTED_VALUE"""),"BLUE")</f>
        <v>BLUE</v>
      </c>
      <c r="G7686" s="20" t="str">
        <f>IFERROR(__xludf.DUMMYFUNCTION("""COMPUTED_VALUE"""),"Uncle Sams Cider (11/12/2021) (Blue)")</f>
        <v>Uncle Sams Cider (11/12/2021) (Blue)</v>
      </c>
      <c r="H7686" s="19"/>
    </row>
    <row r="7687">
      <c r="A7687" s="9"/>
      <c r="B7687" s="15"/>
      <c r="C7687" s="9">
        <f>IFERROR(__xludf.DUMMYFUNCTION("""COMPUTED_VALUE"""),44524.5501537962)</f>
        <v>44524.55015</v>
      </c>
      <c r="D7687" s="15">
        <f>IFERROR(__xludf.DUMMYFUNCTION("""COMPUTED_VALUE"""),1.04)</f>
        <v>1.04</v>
      </c>
      <c r="E7687" s="16">
        <f>IFERROR(__xludf.DUMMYFUNCTION("""COMPUTED_VALUE"""),67.0)</f>
        <v>67</v>
      </c>
      <c r="F7687" s="19" t="str">
        <f>IFERROR(__xludf.DUMMYFUNCTION("""COMPUTED_VALUE"""),"BLUE")</f>
        <v>BLUE</v>
      </c>
      <c r="G7687" s="20" t="str">
        <f>IFERROR(__xludf.DUMMYFUNCTION("""COMPUTED_VALUE"""),"Uncle Sams Cider (11/12/2021) (Blue)")</f>
        <v>Uncle Sams Cider (11/12/2021) (Blue)</v>
      </c>
      <c r="H7687" s="19"/>
    </row>
    <row r="7688">
      <c r="A7688" s="9"/>
      <c r="B7688" s="15"/>
      <c r="C7688" s="9">
        <f>IFERROR(__xludf.DUMMYFUNCTION("""COMPUTED_VALUE"""),44524.5397330671)</f>
        <v>44524.53973</v>
      </c>
      <c r="D7688" s="15">
        <f>IFERROR(__xludf.DUMMYFUNCTION("""COMPUTED_VALUE"""),1.04)</f>
        <v>1.04</v>
      </c>
      <c r="E7688" s="16">
        <f>IFERROR(__xludf.DUMMYFUNCTION("""COMPUTED_VALUE"""),67.0)</f>
        <v>67</v>
      </c>
      <c r="F7688" s="19" t="str">
        <f>IFERROR(__xludf.DUMMYFUNCTION("""COMPUTED_VALUE"""),"BLUE")</f>
        <v>BLUE</v>
      </c>
      <c r="G7688" s="20" t="str">
        <f>IFERROR(__xludf.DUMMYFUNCTION("""COMPUTED_VALUE"""),"Uncle Sams Cider (11/12/2021) (Blue)")</f>
        <v>Uncle Sams Cider (11/12/2021) (Blue)</v>
      </c>
      <c r="H7688" s="19"/>
    </row>
    <row r="7689">
      <c r="A7689" s="9"/>
      <c r="B7689" s="15"/>
      <c r="C7689" s="9">
        <f>IFERROR(__xludf.DUMMYFUNCTION("""COMPUTED_VALUE"""),44524.5293139814)</f>
        <v>44524.52931</v>
      </c>
      <c r="D7689" s="15">
        <f>IFERROR(__xludf.DUMMYFUNCTION("""COMPUTED_VALUE"""),1.04)</f>
        <v>1.04</v>
      </c>
      <c r="E7689" s="16">
        <f>IFERROR(__xludf.DUMMYFUNCTION("""COMPUTED_VALUE"""),67.0)</f>
        <v>67</v>
      </c>
      <c r="F7689" s="19" t="str">
        <f>IFERROR(__xludf.DUMMYFUNCTION("""COMPUTED_VALUE"""),"BLUE")</f>
        <v>BLUE</v>
      </c>
      <c r="G7689" s="20" t="str">
        <f>IFERROR(__xludf.DUMMYFUNCTION("""COMPUTED_VALUE"""),"Uncle Sams Cider (11/12/2021) (Blue)")</f>
        <v>Uncle Sams Cider (11/12/2021) (Blue)</v>
      </c>
      <c r="H7689" s="19"/>
    </row>
    <row r="7690">
      <c r="A7690" s="9"/>
      <c r="B7690" s="15"/>
      <c r="C7690" s="9">
        <f>IFERROR(__xludf.DUMMYFUNCTION("""COMPUTED_VALUE"""),44524.5188920486)</f>
        <v>44524.51889</v>
      </c>
      <c r="D7690" s="15">
        <f>IFERROR(__xludf.DUMMYFUNCTION("""COMPUTED_VALUE"""),1.041)</f>
        <v>1.041</v>
      </c>
      <c r="E7690" s="16">
        <f>IFERROR(__xludf.DUMMYFUNCTION("""COMPUTED_VALUE"""),67.0)</f>
        <v>67</v>
      </c>
      <c r="F7690" s="19" t="str">
        <f>IFERROR(__xludf.DUMMYFUNCTION("""COMPUTED_VALUE"""),"BLUE")</f>
        <v>BLUE</v>
      </c>
      <c r="G7690" s="20" t="str">
        <f>IFERROR(__xludf.DUMMYFUNCTION("""COMPUTED_VALUE"""),"Uncle Sams Cider (11/12/2021) (Blue)")</f>
        <v>Uncle Sams Cider (11/12/2021) (Blue)</v>
      </c>
      <c r="H7690" s="19"/>
    </row>
    <row r="7691">
      <c r="A7691" s="9"/>
      <c r="B7691" s="15"/>
      <c r="C7691" s="9">
        <f>IFERROR(__xludf.DUMMYFUNCTION("""COMPUTED_VALUE"""),44524.5084717129)</f>
        <v>44524.50847</v>
      </c>
      <c r="D7691" s="15">
        <f>IFERROR(__xludf.DUMMYFUNCTION("""COMPUTED_VALUE"""),1.041)</f>
        <v>1.041</v>
      </c>
      <c r="E7691" s="16">
        <f>IFERROR(__xludf.DUMMYFUNCTION("""COMPUTED_VALUE"""),67.0)</f>
        <v>67</v>
      </c>
      <c r="F7691" s="19" t="str">
        <f>IFERROR(__xludf.DUMMYFUNCTION("""COMPUTED_VALUE"""),"BLUE")</f>
        <v>BLUE</v>
      </c>
      <c r="G7691" s="20" t="str">
        <f>IFERROR(__xludf.DUMMYFUNCTION("""COMPUTED_VALUE"""),"Uncle Sams Cider (11/12/2021) (Blue)")</f>
        <v>Uncle Sams Cider (11/12/2021) (Blue)</v>
      </c>
      <c r="H7691" s="19"/>
    </row>
    <row r="7692">
      <c r="A7692" s="9"/>
      <c r="B7692" s="15"/>
      <c r="C7692" s="9">
        <f>IFERROR(__xludf.DUMMYFUNCTION("""COMPUTED_VALUE"""),44524.498050787)</f>
        <v>44524.49805</v>
      </c>
      <c r="D7692" s="15">
        <f>IFERROR(__xludf.DUMMYFUNCTION("""COMPUTED_VALUE"""),1.041)</f>
        <v>1.041</v>
      </c>
      <c r="E7692" s="16">
        <f>IFERROR(__xludf.DUMMYFUNCTION("""COMPUTED_VALUE"""),67.0)</f>
        <v>67</v>
      </c>
      <c r="F7692" s="19" t="str">
        <f>IFERROR(__xludf.DUMMYFUNCTION("""COMPUTED_VALUE"""),"BLUE")</f>
        <v>BLUE</v>
      </c>
      <c r="G7692" s="20" t="str">
        <f>IFERROR(__xludf.DUMMYFUNCTION("""COMPUTED_VALUE"""),"Uncle Sams Cider (11/12/2021) (Blue)")</f>
        <v>Uncle Sams Cider (11/12/2021) (Blue)</v>
      </c>
      <c r="H7692" s="19"/>
    </row>
    <row r="7693">
      <c r="A7693" s="9"/>
      <c r="B7693" s="15"/>
      <c r="C7693" s="9">
        <f>IFERROR(__xludf.DUMMYFUNCTION("""COMPUTED_VALUE"""),44524.4876276157)</f>
        <v>44524.48763</v>
      </c>
      <c r="D7693" s="15">
        <f>IFERROR(__xludf.DUMMYFUNCTION("""COMPUTED_VALUE"""),1.041)</f>
        <v>1.041</v>
      </c>
      <c r="E7693" s="16">
        <f>IFERROR(__xludf.DUMMYFUNCTION("""COMPUTED_VALUE"""),67.0)</f>
        <v>67</v>
      </c>
      <c r="F7693" s="19" t="str">
        <f>IFERROR(__xludf.DUMMYFUNCTION("""COMPUTED_VALUE"""),"BLUE")</f>
        <v>BLUE</v>
      </c>
      <c r="G7693" s="20" t="str">
        <f>IFERROR(__xludf.DUMMYFUNCTION("""COMPUTED_VALUE"""),"Uncle Sams Cider (11/12/2021) (Blue)")</f>
        <v>Uncle Sams Cider (11/12/2021) (Blue)</v>
      </c>
      <c r="H7693" s="19"/>
    </row>
    <row r="7694">
      <c r="A7694" s="9"/>
      <c r="B7694" s="15"/>
      <c r="C7694" s="9">
        <f>IFERROR(__xludf.DUMMYFUNCTION("""COMPUTED_VALUE"""),44524.4772066666)</f>
        <v>44524.47721</v>
      </c>
      <c r="D7694" s="15">
        <f>IFERROR(__xludf.DUMMYFUNCTION("""COMPUTED_VALUE"""),1.041)</f>
        <v>1.041</v>
      </c>
      <c r="E7694" s="16">
        <f>IFERROR(__xludf.DUMMYFUNCTION("""COMPUTED_VALUE"""),67.0)</f>
        <v>67</v>
      </c>
      <c r="F7694" s="19" t="str">
        <f>IFERROR(__xludf.DUMMYFUNCTION("""COMPUTED_VALUE"""),"BLUE")</f>
        <v>BLUE</v>
      </c>
      <c r="G7694" s="20" t="str">
        <f>IFERROR(__xludf.DUMMYFUNCTION("""COMPUTED_VALUE"""),"Uncle Sams Cider (11/12/2021) (Blue)")</f>
        <v>Uncle Sams Cider (11/12/2021) (Blue)</v>
      </c>
      <c r="H7694" s="19"/>
    </row>
    <row r="7695">
      <c r="A7695" s="9"/>
      <c r="B7695" s="15"/>
      <c r="C7695" s="9">
        <f>IFERROR(__xludf.DUMMYFUNCTION("""COMPUTED_VALUE"""),44524.4667860879)</f>
        <v>44524.46679</v>
      </c>
      <c r="D7695" s="15">
        <f>IFERROR(__xludf.DUMMYFUNCTION("""COMPUTED_VALUE"""),1.041)</f>
        <v>1.041</v>
      </c>
      <c r="E7695" s="16">
        <f>IFERROR(__xludf.DUMMYFUNCTION("""COMPUTED_VALUE"""),67.0)</f>
        <v>67</v>
      </c>
      <c r="F7695" s="19" t="str">
        <f>IFERROR(__xludf.DUMMYFUNCTION("""COMPUTED_VALUE"""),"BLUE")</f>
        <v>BLUE</v>
      </c>
      <c r="G7695" s="20" t="str">
        <f>IFERROR(__xludf.DUMMYFUNCTION("""COMPUTED_VALUE"""),"Uncle Sams Cider (11/12/2021) (Blue)")</f>
        <v>Uncle Sams Cider (11/12/2021) (Blue)</v>
      </c>
      <c r="H7695" s="19"/>
    </row>
    <row r="7696">
      <c r="A7696" s="9"/>
      <c r="B7696" s="15"/>
      <c r="C7696" s="9">
        <f>IFERROR(__xludf.DUMMYFUNCTION("""COMPUTED_VALUE"""),44524.4563532175)</f>
        <v>44524.45635</v>
      </c>
      <c r="D7696" s="15">
        <f>IFERROR(__xludf.DUMMYFUNCTION("""COMPUTED_VALUE"""),1.041)</f>
        <v>1.041</v>
      </c>
      <c r="E7696" s="16">
        <f>IFERROR(__xludf.DUMMYFUNCTION("""COMPUTED_VALUE"""),67.0)</f>
        <v>67</v>
      </c>
      <c r="F7696" s="19" t="str">
        <f>IFERROR(__xludf.DUMMYFUNCTION("""COMPUTED_VALUE"""),"BLUE")</f>
        <v>BLUE</v>
      </c>
      <c r="G7696" s="20" t="str">
        <f>IFERROR(__xludf.DUMMYFUNCTION("""COMPUTED_VALUE"""),"Uncle Sams Cider (11/12/2021) (Blue)")</f>
        <v>Uncle Sams Cider (11/12/2021) (Blue)</v>
      </c>
      <c r="H7696" s="19"/>
    </row>
    <row r="7697">
      <c r="A7697" s="9"/>
      <c r="B7697" s="15"/>
      <c r="C7697" s="9">
        <f>IFERROR(__xludf.DUMMYFUNCTION("""COMPUTED_VALUE"""),44524.4459331944)</f>
        <v>44524.44593</v>
      </c>
      <c r="D7697" s="15">
        <f>IFERROR(__xludf.DUMMYFUNCTION("""COMPUTED_VALUE"""),1.041)</f>
        <v>1.041</v>
      </c>
      <c r="E7697" s="16">
        <f>IFERROR(__xludf.DUMMYFUNCTION("""COMPUTED_VALUE"""),67.0)</f>
        <v>67</v>
      </c>
      <c r="F7697" s="19" t="str">
        <f>IFERROR(__xludf.DUMMYFUNCTION("""COMPUTED_VALUE"""),"BLUE")</f>
        <v>BLUE</v>
      </c>
      <c r="G7697" s="20" t="str">
        <f>IFERROR(__xludf.DUMMYFUNCTION("""COMPUTED_VALUE"""),"Uncle Sams Cider (11/12/2021) (Blue)")</f>
        <v>Uncle Sams Cider (11/12/2021) (Blue)</v>
      </c>
      <c r="H7697" s="19"/>
    </row>
    <row r="7698">
      <c r="A7698" s="9"/>
      <c r="B7698" s="15"/>
      <c r="C7698" s="9">
        <f>IFERROR(__xludf.DUMMYFUNCTION("""COMPUTED_VALUE"""),44524.43551353)</f>
        <v>44524.43551</v>
      </c>
      <c r="D7698" s="15">
        <f>IFERROR(__xludf.DUMMYFUNCTION("""COMPUTED_VALUE"""),1.041)</f>
        <v>1.041</v>
      </c>
      <c r="E7698" s="16">
        <f>IFERROR(__xludf.DUMMYFUNCTION("""COMPUTED_VALUE"""),67.0)</f>
        <v>67</v>
      </c>
      <c r="F7698" s="19" t="str">
        <f>IFERROR(__xludf.DUMMYFUNCTION("""COMPUTED_VALUE"""),"BLUE")</f>
        <v>BLUE</v>
      </c>
      <c r="G7698" s="20" t="str">
        <f>IFERROR(__xludf.DUMMYFUNCTION("""COMPUTED_VALUE"""),"Uncle Sams Cider (11/12/2021) (Blue)")</f>
        <v>Uncle Sams Cider (11/12/2021) (Blue)</v>
      </c>
      <c r="H7698" s="19"/>
    </row>
    <row r="7699">
      <c r="A7699" s="9"/>
      <c r="B7699" s="15"/>
      <c r="C7699" s="9">
        <f>IFERROR(__xludf.DUMMYFUNCTION("""COMPUTED_VALUE"""),44524.4250917129)</f>
        <v>44524.42509</v>
      </c>
      <c r="D7699" s="15">
        <f>IFERROR(__xludf.DUMMYFUNCTION("""COMPUTED_VALUE"""),1.041)</f>
        <v>1.041</v>
      </c>
      <c r="E7699" s="16">
        <f>IFERROR(__xludf.DUMMYFUNCTION("""COMPUTED_VALUE"""),67.0)</f>
        <v>67</v>
      </c>
      <c r="F7699" s="19" t="str">
        <f>IFERROR(__xludf.DUMMYFUNCTION("""COMPUTED_VALUE"""),"BLUE")</f>
        <v>BLUE</v>
      </c>
      <c r="G7699" s="20" t="str">
        <f>IFERROR(__xludf.DUMMYFUNCTION("""COMPUTED_VALUE"""),"Uncle Sams Cider (11/12/2021) (Blue)")</f>
        <v>Uncle Sams Cider (11/12/2021) (Blue)</v>
      </c>
      <c r="H7699" s="19"/>
    </row>
    <row r="7700">
      <c r="A7700" s="9"/>
      <c r="B7700" s="15"/>
      <c r="C7700" s="9">
        <f>IFERROR(__xludf.DUMMYFUNCTION("""COMPUTED_VALUE"""),44524.414669456)</f>
        <v>44524.41467</v>
      </c>
      <c r="D7700" s="15">
        <f>IFERROR(__xludf.DUMMYFUNCTION("""COMPUTED_VALUE"""),1.041)</f>
        <v>1.041</v>
      </c>
      <c r="E7700" s="16">
        <f>IFERROR(__xludf.DUMMYFUNCTION("""COMPUTED_VALUE"""),67.0)</f>
        <v>67</v>
      </c>
      <c r="F7700" s="19" t="str">
        <f>IFERROR(__xludf.DUMMYFUNCTION("""COMPUTED_VALUE"""),"BLUE")</f>
        <v>BLUE</v>
      </c>
      <c r="G7700" s="20" t="str">
        <f>IFERROR(__xludf.DUMMYFUNCTION("""COMPUTED_VALUE"""),"Uncle Sams Cider (11/12/2021) (Blue)")</f>
        <v>Uncle Sams Cider (11/12/2021) (Blue)</v>
      </c>
      <c r="H7700" s="19"/>
    </row>
    <row r="7701">
      <c r="A7701" s="9"/>
      <c r="B7701" s="15"/>
      <c r="C7701" s="9">
        <f>IFERROR(__xludf.DUMMYFUNCTION("""COMPUTED_VALUE"""),44524.4042492361)</f>
        <v>44524.40425</v>
      </c>
      <c r="D7701" s="15">
        <f>IFERROR(__xludf.DUMMYFUNCTION("""COMPUTED_VALUE"""),1.041)</f>
        <v>1.041</v>
      </c>
      <c r="E7701" s="16">
        <f>IFERROR(__xludf.DUMMYFUNCTION("""COMPUTED_VALUE"""),67.0)</f>
        <v>67</v>
      </c>
      <c r="F7701" s="19" t="str">
        <f>IFERROR(__xludf.DUMMYFUNCTION("""COMPUTED_VALUE"""),"BLUE")</f>
        <v>BLUE</v>
      </c>
      <c r="G7701" s="20" t="str">
        <f>IFERROR(__xludf.DUMMYFUNCTION("""COMPUTED_VALUE"""),"Uncle Sams Cider (11/12/2021) (Blue)")</f>
        <v>Uncle Sams Cider (11/12/2021) (Blue)</v>
      </c>
      <c r="H7701" s="19"/>
    </row>
    <row r="7702">
      <c r="A7702" s="9"/>
      <c r="B7702" s="15"/>
      <c r="C7702" s="9">
        <f>IFERROR(__xludf.DUMMYFUNCTION("""COMPUTED_VALUE"""),44524.3938267013)</f>
        <v>44524.39383</v>
      </c>
      <c r="D7702" s="15">
        <f>IFERROR(__xludf.DUMMYFUNCTION("""COMPUTED_VALUE"""),1.041)</f>
        <v>1.041</v>
      </c>
      <c r="E7702" s="16">
        <f>IFERROR(__xludf.DUMMYFUNCTION("""COMPUTED_VALUE"""),67.0)</f>
        <v>67</v>
      </c>
      <c r="F7702" s="19" t="str">
        <f>IFERROR(__xludf.DUMMYFUNCTION("""COMPUTED_VALUE"""),"BLUE")</f>
        <v>BLUE</v>
      </c>
      <c r="G7702" s="20" t="str">
        <f>IFERROR(__xludf.DUMMYFUNCTION("""COMPUTED_VALUE"""),"Uncle Sams Cider (11/12/2021) (Blue)")</f>
        <v>Uncle Sams Cider (11/12/2021) (Blue)</v>
      </c>
      <c r="H7702" s="19"/>
    </row>
    <row r="7703">
      <c r="A7703" s="9"/>
      <c r="B7703" s="15"/>
      <c r="C7703" s="9">
        <f>IFERROR(__xludf.DUMMYFUNCTION("""COMPUTED_VALUE"""),44524.3834052314)</f>
        <v>44524.38341</v>
      </c>
      <c r="D7703" s="15">
        <f>IFERROR(__xludf.DUMMYFUNCTION("""COMPUTED_VALUE"""),1.041)</f>
        <v>1.041</v>
      </c>
      <c r="E7703" s="16">
        <f>IFERROR(__xludf.DUMMYFUNCTION("""COMPUTED_VALUE"""),67.0)</f>
        <v>67</v>
      </c>
      <c r="F7703" s="19" t="str">
        <f>IFERROR(__xludf.DUMMYFUNCTION("""COMPUTED_VALUE"""),"BLUE")</f>
        <v>BLUE</v>
      </c>
      <c r="G7703" s="20" t="str">
        <f>IFERROR(__xludf.DUMMYFUNCTION("""COMPUTED_VALUE"""),"Uncle Sams Cider (11/12/2021) (Blue)")</f>
        <v>Uncle Sams Cider (11/12/2021) (Blue)</v>
      </c>
      <c r="H7703" s="19"/>
    </row>
    <row r="7704">
      <c r="A7704" s="9"/>
      <c r="B7704" s="15"/>
      <c r="C7704" s="9">
        <f>IFERROR(__xludf.DUMMYFUNCTION("""COMPUTED_VALUE"""),44524.3729818055)</f>
        <v>44524.37298</v>
      </c>
      <c r="D7704" s="15">
        <f>IFERROR(__xludf.DUMMYFUNCTION("""COMPUTED_VALUE"""),1.041)</f>
        <v>1.041</v>
      </c>
      <c r="E7704" s="16">
        <f>IFERROR(__xludf.DUMMYFUNCTION("""COMPUTED_VALUE"""),67.0)</f>
        <v>67</v>
      </c>
      <c r="F7704" s="19" t="str">
        <f>IFERROR(__xludf.DUMMYFUNCTION("""COMPUTED_VALUE"""),"BLUE")</f>
        <v>BLUE</v>
      </c>
      <c r="G7704" s="20" t="str">
        <f>IFERROR(__xludf.DUMMYFUNCTION("""COMPUTED_VALUE"""),"Uncle Sams Cider (11/12/2021) (Blue)")</f>
        <v>Uncle Sams Cider (11/12/2021) (Blue)</v>
      </c>
      <c r="H7704" s="19"/>
    </row>
    <row r="7705">
      <c r="A7705" s="9"/>
      <c r="B7705" s="15"/>
      <c r="C7705" s="9">
        <f>IFERROR(__xludf.DUMMYFUNCTION("""COMPUTED_VALUE"""),44524.3625624768)</f>
        <v>44524.36256</v>
      </c>
      <c r="D7705" s="15">
        <f>IFERROR(__xludf.DUMMYFUNCTION("""COMPUTED_VALUE"""),1.041)</f>
        <v>1.041</v>
      </c>
      <c r="E7705" s="16">
        <f>IFERROR(__xludf.DUMMYFUNCTION("""COMPUTED_VALUE"""),67.0)</f>
        <v>67</v>
      </c>
      <c r="F7705" s="19" t="str">
        <f>IFERROR(__xludf.DUMMYFUNCTION("""COMPUTED_VALUE"""),"BLUE")</f>
        <v>BLUE</v>
      </c>
      <c r="G7705" s="20" t="str">
        <f>IFERROR(__xludf.DUMMYFUNCTION("""COMPUTED_VALUE"""),"Uncle Sams Cider (11/12/2021) (Blue)")</f>
        <v>Uncle Sams Cider (11/12/2021) (Blue)</v>
      </c>
      <c r="H7705" s="19"/>
    </row>
    <row r="7706">
      <c r="A7706" s="9"/>
      <c r="B7706" s="15"/>
      <c r="C7706" s="9">
        <f>IFERROR(__xludf.DUMMYFUNCTION("""COMPUTED_VALUE"""),44524.3521418749)</f>
        <v>44524.35214</v>
      </c>
      <c r="D7706" s="15">
        <f>IFERROR(__xludf.DUMMYFUNCTION("""COMPUTED_VALUE"""),1.041)</f>
        <v>1.041</v>
      </c>
      <c r="E7706" s="16">
        <f>IFERROR(__xludf.DUMMYFUNCTION("""COMPUTED_VALUE"""),67.0)</f>
        <v>67</v>
      </c>
      <c r="F7706" s="19" t="str">
        <f>IFERROR(__xludf.DUMMYFUNCTION("""COMPUTED_VALUE"""),"BLUE")</f>
        <v>BLUE</v>
      </c>
      <c r="G7706" s="20" t="str">
        <f>IFERROR(__xludf.DUMMYFUNCTION("""COMPUTED_VALUE"""),"Uncle Sams Cider (11/12/2021) (Blue)")</f>
        <v>Uncle Sams Cider (11/12/2021) (Blue)</v>
      </c>
      <c r="H7706" s="19"/>
    </row>
    <row r="7707">
      <c r="A7707" s="9"/>
      <c r="B7707" s="15"/>
      <c r="C7707" s="9">
        <f>IFERROR(__xludf.DUMMYFUNCTION("""COMPUTED_VALUE"""),44524.3417099652)</f>
        <v>44524.34171</v>
      </c>
      <c r="D7707" s="15">
        <f>IFERROR(__xludf.DUMMYFUNCTION("""COMPUTED_VALUE"""),1.041)</f>
        <v>1.041</v>
      </c>
      <c r="E7707" s="16">
        <f>IFERROR(__xludf.DUMMYFUNCTION("""COMPUTED_VALUE"""),67.0)</f>
        <v>67</v>
      </c>
      <c r="F7707" s="19" t="str">
        <f>IFERROR(__xludf.DUMMYFUNCTION("""COMPUTED_VALUE"""),"BLUE")</f>
        <v>BLUE</v>
      </c>
      <c r="G7707" s="20" t="str">
        <f>IFERROR(__xludf.DUMMYFUNCTION("""COMPUTED_VALUE"""),"Uncle Sams Cider (11/12/2021) (Blue)")</f>
        <v>Uncle Sams Cider (11/12/2021) (Blue)</v>
      </c>
      <c r="H7707" s="19"/>
    </row>
    <row r="7708">
      <c r="A7708" s="9"/>
      <c r="B7708" s="15"/>
      <c r="C7708" s="9">
        <f>IFERROR(__xludf.DUMMYFUNCTION("""COMPUTED_VALUE"""),44524.3312888657)</f>
        <v>44524.33129</v>
      </c>
      <c r="D7708" s="15">
        <f>IFERROR(__xludf.DUMMYFUNCTION("""COMPUTED_VALUE"""),1.041)</f>
        <v>1.041</v>
      </c>
      <c r="E7708" s="16">
        <f>IFERROR(__xludf.DUMMYFUNCTION("""COMPUTED_VALUE"""),67.0)</f>
        <v>67</v>
      </c>
      <c r="F7708" s="19" t="str">
        <f>IFERROR(__xludf.DUMMYFUNCTION("""COMPUTED_VALUE"""),"BLUE")</f>
        <v>BLUE</v>
      </c>
      <c r="G7708" s="20" t="str">
        <f>IFERROR(__xludf.DUMMYFUNCTION("""COMPUTED_VALUE"""),"Uncle Sams Cider (11/12/2021) (Blue)")</f>
        <v>Uncle Sams Cider (11/12/2021) (Blue)</v>
      </c>
      <c r="H7708" s="19"/>
    </row>
    <row r="7709">
      <c r="A7709" s="9"/>
      <c r="B7709" s="15"/>
      <c r="C7709" s="9">
        <f>IFERROR(__xludf.DUMMYFUNCTION("""COMPUTED_VALUE"""),44524.3208669328)</f>
        <v>44524.32087</v>
      </c>
      <c r="D7709" s="15">
        <f>IFERROR(__xludf.DUMMYFUNCTION("""COMPUTED_VALUE"""),1.041)</f>
        <v>1.041</v>
      </c>
      <c r="E7709" s="16">
        <f>IFERROR(__xludf.DUMMYFUNCTION("""COMPUTED_VALUE"""),67.0)</f>
        <v>67</v>
      </c>
      <c r="F7709" s="19" t="str">
        <f>IFERROR(__xludf.DUMMYFUNCTION("""COMPUTED_VALUE"""),"BLUE")</f>
        <v>BLUE</v>
      </c>
      <c r="G7709" s="20" t="str">
        <f>IFERROR(__xludf.DUMMYFUNCTION("""COMPUTED_VALUE"""),"Uncle Sams Cider (11/12/2021) (Blue)")</f>
        <v>Uncle Sams Cider (11/12/2021) (Blue)</v>
      </c>
      <c r="H7709" s="19"/>
    </row>
    <row r="7710">
      <c r="A7710" s="9"/>
      <c r="B7710" s="15"/>
      <c r="C7710" s="9">
        <f>IFERROR(__xludf.DUMMYFUNCTION("""COMPUTED_VALUE"""),44524.3104235185)</f>
        <v>44524.31042</v>
      </c>
      <c r="D7710" s="15">
        <f>IFERROR(__xludf.DUMMYFUNCTION("""COMPUTED_VALUE"""),1.041)</f>
        <v>1.041</v>
      </c>
      <c r="E7710" s="16">
        <f>IFERROR(__xludf.DUMMYFUNCTION("""COMPUTED_VALUE"""),67.0)</f>
        <v>67</v>
      </c>
      <c r="F7710" s="19" t="str">
        <f>IFERROR(__xludf.DUMMYFUNCTION("""COMPUTED_VALUE"""),"BLUE")</f>
        <v>BLUE</v>
      </c>
      <c r="G7710" s="20" t="str">
        <f>IFERROR(__xludf.DUMMYFUNCTION("""COMPUTED_VALUE"""),"Uncle Sams Cider (11/12/2021) (Blue)")</f>
        <v>Uncle Sams Cider (11/12/2021) (Blue)</v>
      </c>
      <c r="H7710" s="19"/>
    </row>
    <row r="7711">
      <c r="A7711" s="9"/>
      <c r="B7711" s="15"/>
      <c r="C7711" s="9">
        <f>IFERROR(__xludf.DUMMYFUNCTION("""COMPUTED_VALUE"""),44524.3000014351)</f>
        <v>44524.3</v>
      </c>
      <c r="D7711" s="15">
        <f>IFERROR(__xludf.DUMMYFUNCTION("""COMPUTED_VALUE"""),1.041)</f>
        <v>1.041</v>
      </c>
      <c r="E7711" s="16">
        <f>IFERROR(__xludf.DUMMYFUNCTION("""COMPUTED_VALUE"""),67.0)</f>
        <v>67</v>
      </c>
      <c r="F7711" s="19" t="str">
        <f>IFERROR(__xludf.DUMMYFUNCTION("""COMPUTED_VALUE"""),"BLUE")</f>
        <v>BLUE</v>
      </c>
      <c r="G7711" s="20" t="str">
        <f>IFERROR(__xludf.DUMMYFUNCTION("""COMPUTED_VALUE"""),"Uncle Sams Cider (11/12/2021) (Blue)")</f>
        <v>Uncle Sams Cider (11/12/2021) (Blue)</v>
      </c>
      <c r="H7711" s="19"/>
    </row>
    <row r="7712">
      <c r="A7712" s="9"/>
      <c r="B7712" s="15"/>
      <c r="C7712" s="9">
        <f>IFERROR(__xludf.DUMMYFUNCTION("""COMPUTED_VALUE"""),44524.2895812615)</f>
        <v>44524.28958</v>
      </c>
      <c r="D7712" s="15">
        <f>IFERROR(__xludf.DUMMYFUNCTION("""COMPUTED_VALUE"""),1.041)</f>
        <v>1.041</v>
      </c>
      <c r="E7712" s="16">
        <f>IFERROR(__xludf.DUMMYFUNCTION("""COMPUTED_VALUE"""),67.0)</f>
        <v>67</v>
      </c>
      <c r="F7712" s="19" t="str">
        <f>IFERROR(__xludf.DUMMYFUNCTION("""COMPUTED_VALUE"""),"BLUE")</f>
        <v>BLUE</v>
      </c>
      <c r="G7712" s="20" t="str">
        <f>IFERROR(__xludf.DUMMYFUNCTION("""COMPUTED_VALUE"""),"Uncle Sams Cider (11/12/2021) (Blue)")</f>
        <v>Uncle Sams Cider (11/12/2021) (Blue)</v>
      </c>
      <c r="H7712" s="19"/>
    </row>
    <row r="7713">
      <c r="A7713" s="9"/>
      <c r="B7713" s="15"/>
      <c r="C7713" s="9">
        <f>IFERROR(__xludf.DUMMYFUNCTION("""COMPUTED_VALUE"""),44524.2791593518)</f>
        <v>44524.27916</v>
      </c>
      <c r="D7713" s="15">
        <f>IFERROR(__xludf.DUMMYFUNCTION("""COMPUTED_VALUE"""),1.041)</f>
        <v>1.041</v>
      </c>
      <c r="E7713" s="16">
        <f>IFERROR(__xludf.DUMMYFUNCTION("""COMPUTED_VALUE"""),67.0)</f>
        <v>67</v>
      </c>
      <c r="F7713" s="19" t="str">
        <f>IFERROR(__xludf.DUMMYFUNCTION("""COMPUTED_VALUE"""),"BLUE")</f>
        <v>BLUE</v>
      </c>
      <c r="G7713" s="20" t="str">
        <f>IFERROR(__xludf.DUMMYFUNCTION("""COMPUTED_VALUE"""),"Uncle Sams Cider (11/12/2021) (Blue)")</f>
        <v>Uncle Sams Cider (11/12/2021) (Blue)</v>
      </c>
      <c r="H7713" s="19"/>
    </row>
    <row r="7714">
      <c r="A7714" s="9"/>
      <c r="B7714" s="15"/>
      <c r="C7714" s="9">
        <f>IFERROR(__xludf.DUMMYFUNCTION("""COMPUTED_VALUE"""),44524.2687397337)</f>
        <v>44524.26874</v>
      </c>
      <c r="D7714" s="15">
        <f>IFERROR(__xludf.DUMMYFUNCTION("""COMPUTED_VALUE"""),1.041)</f>
        <v>1.041</v>
      </c>
      <c r="E7714" s="16">
        <f>IFERROR(__xludf.DUMMYFUNCTION("""COMPUTED_VALUE"""),67.0)</f>
        <v>67</v>
      </c>
      <c r="F7714" s="19" t="str">
        <f>IFERROR(__xludf.DUMMYFUNCTION("""COMPUTED_VALUE"""),"BLUE")</f>
        <v>BLUE</v>
      </c>
      <c r="G7714" s="20" t="str">
        <f>IFERROR(__xludf.DUMMYFUNCTION("""COMPUTED_VALUE"""),"Uncle Sams Cider (11/12/2021) (Blue)")</f>
        <v>Uncle Sams Cider (11/12/2021) (Blue)</v>
      </c>
      <c r="H7714" s="19"/>
    </row>
    <row r="7715">
      <c r="A7715" s="9"/>
      <c r="B7715" s="15"/>
      <c r="C7715" s="9">
        <f>IFERROR(__xludf.DUMMYFUNCTION("""COMPUTED_VALUE"""),44524.2583186574)</f>
        <v>44524.25832</v>
      </c>
      <c r="D7715" s="15">
        <f>IFERROR(__xludf.DUMMYFUNCTION("""COMPUTED_VALUE"""),1.042)</f>
        <v>1.042</v>
      </c>
      <c r="E7715" s="16">
        <f>IFERROR(__xludf.DUMMYFUNCTION("""COMPUTED_VALUE"""),67.0)</f>
        <v>67</v>
      </c>
      <c r="F7715" s="19" t="str">
        <f>IFERROR(__xludf.DUMMYFUNCTION("""COMPUTED_VALUE"""),"BLUE")</f>
        <v>BLUE</v>
      </c>
      <c r="G7715" s="20" t="str">
        <f>IFERROR(__xludf.DUMMYFUNCTION("""COMPUTED_VALUE"""),"Uncle Sams Cider (11/12/2021) (Blue)")</f>
        <v>Uncle Sams Cider (11/12/2021) (Blue)</v>
      </c>
      <c r="H7715" s="19"/>
    </row>
    <row r="7716">
      <c r="A7716" s="9"/>
      <c r="B7716" s="15"/>
      <c r="C7716" s="9">
        <f>IFERROR(__xludf.DUMMYFUNCTION("""COMPUTED_VALUE"""),44524.2478965046)</f>
        <v>44524.2479</v>
      </c>
      <c r="D7716" s="15">
        <f>IFERROR(__xludf.DUMMYFUNCTION("""COMPUTED_VALUE"""),1.041)</f>
        <v>1.041</v>
      </c>
      <c r="E7716" s="16">
        <f>IFERROR(__xludf.DUMMYFUNCTION("""COMPUTED_VALUE"""),67.0)</f>
        <v>67</v>
      </c>
      <c r="F7716" s="19" t="str">
        <f>IFERROR(__xludf.DUMMYFUNCTION("""COMPUTED_VALUE"""),"BLUE")</f>
        <v>BLUE</v>
      </c>
      <c r="G7716" s="20" t="str">
        <f>IFERROR(__xludf.DUMMYFUNCTION("""COMPUTED_VALUE"""),"Uncle Sams Cider (11/12/2021) (Blue)")</f>
        <v>Uncle Sams Cider (11/12/2021) (Blue)</v>
      </c>
      <c r="H7716" s="19"/>
    </row>
    <row r="7717">
      <c r="A7717" s="9"/>
      <c r="B7717" s="15"/>
      <c r="C7717" s="9">
        <f>IFERROR(__xludf.DUMMYFUNCTION("""COMPUTED_VALUE"""),44524.2374630787)</f>
        <v>44524.23746</v>
      </c>
      <c r="D7717" s="15">
        <f>IFERROR(__xludf.DUMMYFUNCTION("""COMPUTED_VALUE"""),1.042)</f>
        <v>1.042</v>
      </c>
      <c r="E7717" s="16">
        <f>IFERROR(__xludf.DUMMYFUNCTION("""COMPUTED_VALUE"""),67.0)</f>
        <v>67</v>
      </c>
      <c r="F7717" s="19" t="str">
        <f>IFERROR(__xludf.DUMMYFUNCTION("""COMPUTED_VALUE"""),"BLUE")</f>
        <v>BLUE</v>
      </c>
      <c r="G7717" s="20" t="str">
        <f>IFERROR(__xludf.DUMMYFUNCTION("""COMPUTED_VALUE"""),"Uncle Sams Cider (11/12/2021) (Blue)")</f>
        <v>Uncle Sams Cider (11/12/2021) (Blue)</v>
      </c>
      <c r="H7717" s="19"/>
    </row>
    <row r="7718">
      <c r="A7718" s="9"/>
      <c r="B7718" s="15"/>
      <c r="C7718" s="9">
        <f>IFERROR(__xludf.DUMMYFUNCTION("""COMPUTED_VALUE"""),44524.2270307754)</f>
        <v>44524.22703</v>
      </c>
      <c r="D7718" s="15">
        <f>IFERROR(__xludf.DUMMYFUNCTION("""COMPUTED_VALUE"""),1.041)</f>
        <v>1.041</v>
      </c>
      <c r="E7718" s="16">
        <f>IFERROR(__xludf.DUMMYFUNCTION("""COMPUTED_VALUE"""),67.0)</f>
        <v>67</v>
      </c>
      <c r="F7718" s="19" t="str">
        <f>IFERROR(__xludf.DUMMYFUNCTION("""COMPUTED_VALUE"""),"BLUE")</f>
        <v>BLUE</v>
      </c>
      <c r="G7718" s="20" t="str">
        <f>IFERROR(__xludf.DUMMYFUNCTION("""COMPUTED_VALUE"""),"Uncle Sams Cider (11/12/2021) (Blue)")</f>
        <v>Uncle Sams Cider (11/12/2021) (Blue)</v>
      </c>
      <c r="H7718" s="19"/>
    </row>
    <row r="7719">
      <c r="A7719" s="9"/>
      <c r="B7719" s="15"/>
      <c r="C7719" s="9">
        <f>IFERROR(__xludf.DUMMYFUNCTION("""COMPUTED_VALUE"""),44524.2166090277)</f>
        <v>44524.21661</v>
      </c>
      <c r="D7719" s="15">
        <f>IFERROR(__xludf.DUMMYFUNCTION("""COMPUTED_VALUE"""),1.041)</f>
        <v>1.041</v>
      </c>
      <c r="E7719" s="16">
        <f>IFERROR(__xludf.DUMMYFUNCTION("""COMPUTED_VALUE"""),67.0)</f>
        <v>67</v>
      </c>
      <c r="F7719" s="19" t="str">
        <f>IFERROR(__xludf.DUMMYFUNCTION("""COMPUTED_VALUE"""),"BLUE")</f>
        <v>BLUE</v>
      </c>
      <c r="G7719" s="20" t="str">
        <f>IFERROR(__xludf.DUMMYFUNCTION("""COMPUTED_VALUE"""),"Uncle Sams Cider (11/12/2021) (Blue)")</f>
        <v>Uncle Sams Cider (11/12/2021) (Blue)</v>
      </c>
      <c r="H7719" s="19"/>
    </row>
    <row r="7720">
      <c r="A7720" s="9"/>
      <c r="B7720" s="15"/>
      <c r="C7720" s="9">
        <f>IFERROR(__xludf.DUMMYFUNCTION("""COMPUTED_VALUE"""),44524.2061759722)</f>
        <v>44524.20618</v>
      </c>
      <c r="D7720" s="15">
        <f>IFERROR(__xludf.DUMMYFUNCTION("""COMPUTED_VALUE"""),1.041)</f>
        <v>1.041</v>
      </c>
      <c r="E7720" s="16">
        <f>IFERROR(__xludf.DUMMYFUNCTION("""COMPUTED_VALUE"""),67.0)</f>
        <v>67</v>
      </c>
      <c r="F7720" s="19" t="str">
        <f>IFERROR(__xludf.DUMMYFUNCTION("""COMPUTED_VALUE"""),"BLUE")</f>
        <v>BLUE</v>
      </c>
      <c r="G7720" s="20" t="str">
        <f>IFERROR(__xludf.DUMMYFUNCTION("""COMPUTED_VALUE"""),"Uncle Sams Cider (11/12/2021) (Blue)")</f>
        <v>Uncle Sams Cider (11/12/2021) (Blue)</v>
      </c>
      <c r="H7720" s="19"/>
    </row>
    <row r="7721">
      <c r="A7721" s="9"/>
      <c r="B7721" s="15"/>
      <c r="C7721" s="9">
        <f>IFERROR(__xludf.DUMMYFUNCTION("""COMPUTED_VALUE"""),44524.1957540277)</f>
        <v>44524.19575</v>
      </c>
      <c r="D7721" s="15">
        <f>IFERROR(__xludf.DUMMYFUNCTION("""COMPUTED_VALUE"""),1.042)</f>
        <v>1.042</v>
      </c>
      <c r="E7721" s="16">
        <f>IFERROR(__xludf.DUMMYFUNCTION("""COMPUTED_VALUE"""),67.0)</f>
        <v>67</v>
      </c>
      <c r="F7721" s="19" t="str">
        <f>IFERROR(__xludf.DUMMYFUNCTION("""COMPUTED_VALUE"""),"BLUE")</f>
        <v>BLUE</v>
      </c>
      <c r="G7721" s="20" t="str">
        <f>IFERROR(__xludf.DUMMYFUNCTION("""COMPUTED_VALUE"""),"Uncle Sams Cider (11/12/2021) (Blue)")</f>
        <v>Uncle Sams Cider (11/12/2021) (Blue)</v>
      </c>
      <c r="H7721" s="19"/>
    </row>
    <row r="7722">
      <c r="A7722" s="9"/>
      <c r="B7722" s="15"/>
      <c r="C7722" s="9">
        <f>IFERROR(__xludf.DUMMYFUNCTION("""COMPUTED_VALUE"""),44524.1853322453)</f>
        <v>44524.18533</v>
      </c>
      <c r="D7722" s="15">
        <f>IFERROR(__xludf.DUMMYFUNCTION("""COMPUTED_VALUE"""),1.041)</f>
        <v>1.041</v>
      </c>
      <c r="E7722" s="16">
        <f>IFERROR(__xludf.DUMMYFUNCTION("""COMPUTED_VALUE"""),67.0)</f>
        <v>67</v>
      </c>
      <c r="F7722" s="19" t="str">
        <f>IFERROR(__xludf.DUMMYFUNCTION("""COMPUTED_VALUE"""),"BLUE")</f>
        <v>BLUE</v>
      </c>
      <c r="G7722" s="20" t="str">
        <f>IFERROR(__xludf.DUMMYFUNCTION("""COMPUTED_VALUE"""),"Uncle Sams Cider (11/12/2021) (Blue)")</f>
        <v>Uncle Sams Cider (11/12/2021) (Blue)</v>
      </c>
      <c r="H7722" s="19"/>
    </row>
    <row r="7723">
      <c r="A7723" s="9"/>
      <c r="B7723" s="15"/>
      <c r="C7723" s="9">
        <f>IFERROR(__xludf.DUMMYFUNCTION("""COMPUTED_VALUE"""),44524.1749116898)</f>
        <v>44524.17491</v>
      </c>
      <c r="D7723" s="15">
        <f>IFERROR(__xludf.DUMMYFUNCTION("""COMPUTED_VALUE"""),1.041)</f>
        <v>1.041</v>
      </c>
      <c r="E7723" s="16">
        <f>IFERROR(__xludf.DUMMYFUNCTION("""COMPUTED_VALUE"""),67.0)</f>
        <v>67</v>
      </c>
      <c r="F7723" s="19" t="str">
        <f>IFERROR(__xludf.DUMMYFUNCTION("""COMPUTED_VALUE"""),"BLUE")</f>
        <v>BLUE</v>
      </c>
      <c r="G7723" s="20" t="str">
        <f>IFERROR(__xludf.DUMMYFUNCTION("""COMPUTED_VALUE"""),"Uncle Sams Cider (11/12/2021) (Blue)")</f>
        <v>Uncle Sams Cider (11/12/2021) (Blue)</v>
      </c>
      <c r="H7723" s="19"/>
    </row>
    <row r="7724">
      <c r="A7724" s="9"/>
      <c r="B7724" s="15"/>
      <c r="C7724" s="9">
        <f>IFERROR(__xludf.DUMMYFUNCTION("""COMPUTED_VALUE"""),44524.1644898379)</f>
        <v>44524.16449</v>
      </c>
      <c r="D7724" s="15">
        <f>IFERROR(__xludf.DUMMYFUNCTION("""COMPUTED_VALUE"""),1.042)</f>
        <v>1.042</v>
      </c>
      <c r="E7724" s="16">
        <f>IFERROR(__xludf.DUMMYFUNCTION("""COMPUTED_VALUE"""),67.0)</f>
        <v>67</v>
      </c>
      <c r="F7724" s="19" t="str">
        <f>IFERROR(__xludf.DUMMYFUNCTION("""COMPUTED_VALUE"""),"BLUE")</f>
        <v>BLUE</v>
      </c>
      <c r="G7724" s="20" t="str">
        <f>IFERROR(__xludf.DUMMYFUNCTION("""COMPUTED_VALUE"""),"Uncle Sams Cider (11/12/2021) (Blue)")</f>
        <v>Uncle Sams Cider (11/12/2021) (Blue)</v>
      </c>
      <c r="H7724" s="19"/>
    </row>
    <row r="7725">
      <c r="A7725" s="9"/>
      <c r="B7725" s="15"/>
      <c r="C7725" s="9">
        <f>IFERROR(__xludf.DUMMYFUNCTION("""COMPUTED_VALUE"""),44524.1540702893)</f>
        <v>44524.15407</v>
      </c>
      <c r="D7725" s="15">
        <f>IFERROR(__xludf.DUMMYFUNCTION("""COMPUTED_VALUE"""),1.042)</f>
        <v>1.042</v>
      </c>
      <c r="E7725" s="16">
        <f>IFERROR(__xludf.DUMMYFUNCTION("""COMPUTED_VALUE"""),67.0)</f>
        <v>67</v>
      </c>
      <c r="F7725" s="19" t="str">
        <f>IFERROR(__xludf.DUMMYFUNCTION("""COMPUTED_VALUE"""),"BLUE")</f>
        <v>BLUE</v>
      </c>
      <c r="G7725" s="20" t="str">
        <f>IFERROR(__xludf.DUMMYFUNCTION("""COMPUTED_VALUE"""),"Uncle Sams Cider (11/12/2021) (Blue)")</f>
        <v>Uncle Sams Cider (11/12/2021) (Blue)</v>
      </c>
      <c r="H7725" s="19"/>
    </row>
    <row r="7726">
      <c r="A7726" s="9"/>
      <c r="B7726" s="15"/>
      <c r="C7726" s="9">
        <f>IFERROR(__xludf.DUMMYFUNCTION("""COMPUTED_VALUE"""),44524.1436494328)</f>
        <v>44524.14365</v>
      </c>
      <c r="D7726" s="15">
        <f>IFERROR(__xludf.DUMMYFUNCTION("""COMPUTED_VALUE"""),1.041)</f>
        <v>1.041</v>
      </c>
      <c r="E7726" s="16">
        <f>IFERROR(__xludf.DUMMYFUNCTION("""COMPUTED_VALUE"""),67.0)</f>
        <v>67</v>
      </c>
      <c r="F7726" s="19" t="str">
        <f>IFERROR(__xludf.DUMMYFUNCTION("""COMPUTED_VALUE"""),"BLUE")</f>
        <v>BLUE</v>
      </c>
      <c r="G7726" s="20" t="str">
        <f>IFERROR(__xludf.DUMMYFUNCTION("""COMPUTED_VALUE"""),"Uncle Sams Cider (11/12/2021) (Blue)")</f>
        <v>Uncle Sams Cider (11/12/2021) (Blue)</v>
      </c>
      <c r="H7726" s="19"/>
    </row>
    <row r="7727">
      <c r="A7727" s="9"/>
      <c r="B7727" s="15"/>
      <c r="C7727" s="9">
        <f>IFERROR(__xludf.DUMMYFUNCTION("""COMPUTED_VALUE"""),44524.1332280439)</f>
        <v>44524.13323</v>
      </c>
      <c r="D7727" s="15">
        <f>IFERROR(__xludf.DUMMYFUNCTION("""COMPUTED_VALUE"""),1.042)</f>
        <v>1.042</v>
      </c>
      <c r="E7727" s="16">
        <f>IFERROR(__xludf.DUMMYFUNCTION("""COMPUTED_VALUE"""),67.0)</f>
        <v>67</v>
      </c>
      <c r="F7727" s="19" t="str">
        <f>IFERROR(__xludf.DUMMYFUNCTION("""COMPUTED_VALUE"""),"BLUE")</f>
        <v>BLUE</v>
      </c>
      <c r="G7727" s="20" t="str">
        <f>IFERROR(__xludf.DUMMYFUNCTION("""COMPUTED_VALUE"""),"Uncle Sams Cider (11/12/2021) (Blue)")</f>
        <v>Uncle Sams Cider (11/12/2021) (Blue)</v>
      </c>
      <c r="H7727" s="19"/>
    </row>
    <row r="7728">
      <c r="A7728" s="9"/>
      <c r="B7728" s="15"/>
      <c r="C7728" s="9">
        <f>IFERROR(__xludf.DUMMYFUNCTION("""COMPUTED_VALUE"""),44524.1228070138)</f>
        <v>44524.12281</v>
      </c>
      <c r="D7728" s="15">
        <f>IFERROR(__xludf.DUMMYFUNCTION("""COMPUTED_VALUE"""),1.042)</f>
        <v>1.042</v>
      </c>
      <c r="E7728" s="16">
        <f>IFERROR(__xludf.DUMMYFUNCTION("""COMPUTED_VALUE"""),67.0)</f>
        <v>67</v>
      </c>
      <c r="F7728" s="19" t="str">
        <f>IFERROR(__xludf.DUMMYFUNCTION("""COMPUTED_VALUE"""),"BLUE")</f>
        <v>BLUE</v>
      </c>
      <c r="G7728" s="20" t="str">
        <f>IFERROR(__xludf.DUMMYFUNCTION("""COMPUTED_VALUE"""),"Uncle Sams Cider (11/12/2021) (Blue)")</f>
        <v>Uncle Sams Cider (11/12/2021) (Blue)</v>
      </c>
      <c r="H7728" s="19"/>
    </row>
    <row r="7729">
      <c r="A7729" s="9"/>
      <c r="B7729" s="15"/>
      <c r="C7729" s="9">
        <f>IFERROR(__xludf.DUMMYFUNCTION("""COMPUTED_VALUE"""),44524.1123855902)</f>
        <v>44524.11239</v>
      </c>
      <c r="D7729" s="15">
        <f>IFERROR(__xludf.DUMMYFUNCTION("""COMPUTED_VALUE"""),1.042)</f>
        <v>1.042</v>
      </c>
      <c r="E7729" s="16">
        <f>IFERROR(__xludf.DUMMYFUNCTION("""COMPUTED_VALUE"""),67.0)</f>
        <v>67</v>
      </c>
      <c r="F7729" s="19" t="str">
        <f>IFERROR(__xludf.DUMMYFUNCTION("""COMPUTED_VALUE"""),"BLUE")</f>
        <v>BLUE</v>
      </c>
      <c r="G7729" s="20" t="str">
        <f>IFERROR(__xludf.DUMMYFUNCTION("""COMPUTED_VALUE"""),"Uncle Sams Cider (11/12/2021) (Blue)")</f>
        <v>Uncle Sams Cider (11/12/2021) (Blue)</v>
      </c>
      <c r="H7729" s="19"/>
    </row>
    <row r="7730">
      <c r="A7730" s="9"/>
      <c r="B7730" s="15"/>
      <c r="C7730" s="9">
        <f>IFERROR(__xludf.DUMMYFUNCTION("""COMPUTED_VALUE"""),44524.1019622453)</f>
        <v>44524.10196</v>
      </c>
      <c r="D7730" s="15">
        <f>IFERROR(__xludf.DUMMYFUNCTION("""COMPUTED_VALUE"""),1.042)</f>
        <v>1.042</v>
      </c>
      <c r="E7730" s="16">
        <f>IFERROR(__xludf.DUMMYFUNCTION("""COMPUTED_VALUE"""),67.0)</f>
        <v>67</v>
      </c>
      <c r="F7730" s="19" t="str">
        <f>IFERROR(__xludf.DUMMYFUNCTION("""COMPUTED_VALUE"""),"BLUE")</f>
        <v>BLUE</v>
      </c>
      <c r="G7730" s="20" t="str">
        <f>IFERROR(__xludf.DUMMYFUNCTION("""COMPUTED_VALUE"""),"Uncle Sams Cider (11/12/2021) (Blue)")</f>
        <v>Uncle Sams Cider (11/12/2021) (Blue)</v>
      </c>
      <c r="H7730" s="19"/>
    </row>
    <row r="7731">
      <c r="A7731" s="9"/>
      <c r="B7731" s="15"/>
      <c r="C7731" s="9">
        <f>IFERROR(__xludf.DUMMYFUNCTION("""COMPUTED_VALUE"""),44524.0915430208)</f>
        <v>44524.09154</v>
      </c>
      <c r="D7731" s="15">
        <f>IFERROR(__xludf.DUMMYFUNCTION("""COMPUTED_VALUE"""),1.042)</f>
        <v>1.042</v>
      </c>
      <c r="E7731" s="16">
        <f>IFERROR(__xludf.DUMMYFUNCTION("""COMPUTED_VALUE"""),67.0)</f>
        <v>67</v>
      </c>
      <c r="F7731" s="19" t="str">
        <f>IFERROR(__xludf.DUMMYFUNCTION("""COMPUTED_VALUE"""),"BLUE")</f>
        <v>BLUE</v>
      </c>
      <c r="G7731" s="20" t="str">
        <f>IFERROR(__xludf.DUMMYFUNCTION("""COMPUTED_VALUE"""),"Uncle Sams Cider (11/12/2021) (Blue)")</f>
        <v>Uncle Sams Cider (11/12/2021) (Blue)</v>
      </c>
      <c r="H7731" s="19"/>
    </row>
    <row r="7732">
      <c r="A7732" s="9"/>
      <c r="B7732" s="15"/>
      <c r="C7732" s="9">
        <f>IFERROR(__xludf.DUMMYFUNCTION("""COMPUTED_VALUE"""),44524.0811211226)</f>
        <v>44524.08112</v>
      </c>
      <c r="D7732" s="15">
        <f>IFERROR(__xludf.DUMMYFUNCTION("""COMPUTED_VALUE"""),1.042)</f>
        <v>1.042</v>
      </c>
      <c r="E7732" s="16">
        <f>IFERROR(__xludf.DUMMYFUNCTION("""COMPUTED_VALUE"""),67.0)</f>
        <v>67</v>
      </c>
      <c r="F7732" s="19" t="str">
        <f>IFERROR(__xludf.DUMMYFUNCTION("""COMPUTED_VALUE"""),"BLUE")</f>
        <v>BLUE</v>
      </c>
      <c r="G7732" s="20" t="str">
        <f>IFERROR(__xludf.DUMMYFUNCTION("""COMPUTED_VALUE"""),"Uncle Sams Cider (11/12/2021) (Blue)")</f>
        <v>Uncle Sams Cider (11/12/2021) (Blue)</v>
      </c>
      <c r="H7732" s="19"/>
    </row>
    <row r="7733">
      <c r="A7733" s="9"/>
      <c r="B7733" s="15"/>
      <c r="C7733" s="9">
        <f>IFERROR(__xludf.DUMMYFUNCTION("""COMPUTED_VALUE"""),44524.0707003819)</f>
        <v>44524.0707</v>
      </c>
      <c r="D7733" s="15">
        <f>IFERROR(__xludf.DUMMYFUNCTION("""COMPUTED_VALUE"""),1.042)</f>
        <v>1.042</v>
      </c>
      <c r="E7733" s="16">
        <f>IFERROR(__xludf.DUMMYFUNCTION("""COMPUTED_VALUE"""),67.0)</f>
        <v>67</v>
      </c>
      <c r="F7733" s="19" t="str">
        <f>IFERROR(__xludf.DUMMYFUNCTION("""COMPUTED_VALUE"""),"BLUE")</f>
        <v>BLUE</v>
      </c>
      <c r="G7733" s="20" t="str">
        <f>IFERROR(__xludf.DUMMYFUNCTION("""COMPUTED_VALUE"""),"Uncle Sams Cider (11/12/2021) (Blue)")</f>
        <v>Uncle Sams Cider (11/12/2021) (Blue)</v>
      </c>
      <c r="H7733" s="19"/>
    </row>
    <row r="7734">
      <c r="A7734" s="9"/>
      <c r="B7734" s="15"/>
      <c r="C7734" s="9">
        <f>IFERROR(__xludf.DUMMYFUNCTION("""COMPUTED_VALUE"""),44524.0602773611)</f>
        <v>44524.06028</v>
      </c>
      <c r="D7734" s="15">
        <f>IFERROR(__xludf.DUMMYFUNCTION("""COMPUTED_VALUE"""),1.042)</f>
        <v>1.042</v>
      </c>
      <c r="E7734" s="16">
        <f>IFERROR(__xludf.DUMMYFUNCTION("""COMPUTED_VALUE"""),67.0)</f>
        <v>67</v>
      </c>
      <c r="F7734" s="19" t="str">
        <f>IFERROR(__xludf.DUMMYFUNCTION("""COMPUTED_VALUE"""),"BLUE")</f>
        <v>BLUE</v>
      </c>
      <c r="G7734" s="20" t="str">
        <f>IFERROR(__xludf.DUMMYFUNCTION("""COMPUTED_VALUE"""),"Uncle Sams Cider (11/12/2021) (Blue)")</f>
        <v>Uncle Sams Cider (11/12/2021) (Blue)</v>
      </c>
      <c r="H7734" s="19"/>
    </row>
    <row r="7735">
      <c r="A7735" s="9"/>
      <c r="B7735" s="15"/>
      <c r="C7735" s="9">
        <f>IFERROR(__xludf.DUMMYFUNCTION("""COMPUTED_VALUE"""),44524.0498445138)</f>
        <v>44524.04984</v>
      </c>
      <c r="D7735" s="15">
        <f>IFERROR(__xludf.DUMMYFUNCTION("""COMPUTED_VALUE"""),1.042)</f>
        <v>1.042</v>
      </c>
      <c r="E7735" s="16">
        <f>IFERROR(__xludf.DUMMYFUNCTION("""COMPUTED_VALUE"""),67.0)</f>
        <v>67</v>
      </c>
      <c r="F7735" s="19" t="str">
        <f>IFERROR(__xludf.DUMMYFUNCTION("""COMPUTED_VALUE"""),"BLUE")</f>
        <v>BLUE</v>
      </c>
      <c r="G7735" s="20" t="str">
        <f>IFERROR(__xludf.DUMMYFUNCTION("""COMPUTED_VALUE"""),"Uncle Sams Cider (11/12/2021) (Blue)")</f>
        <v>Uncle Sams Cider (11/12/2021) (Blue)</v>
      </c>
      <c r="H7735" s="19"/>
    </row>
    <row r="7736">
      <c r="A7736" s="9"/>
      <c r="B7736" s="15"/>
      <c r="C7736" s="9">
        <f>IFERROR(__xludf.DUMMYFUNCTION("""COMPUTED_VALUE"""),44524.0394101157)</f>
        <v>44524.03941</v>
      </c>
      <c r="D7736" s="15">
        <f>IFERROR(__xludf.DUMMYFUNCTION("""COMPUTED_VALUE"""),1.042)</f>
        <v>1.042</v>
      </c>
      <c r="E7736" s="16">
        <f>IFERROR(__xludf.DUMMYFUNCTION("""COMPUTED_VALUE"""),67.0)</f>
        <v>67</v>
      </c>
      <c r="F7736" s="19" t="str">
        <f>IFERROR(__xludf.DUMMYFUNCTION("""COMPUTED_VALUE"""),"BLUE")</f>
        <v>BLUE</v>
      </c>
      <c r="G7736" s="20" t="str">
        <f>IFERROR(__xludf.DUMMYFUNCTION("""COMPUTED_VALUE"""),"Uncle Sams Cider (11/12/2021) (Blue)")</f>
        <v>Uncle Sams Cider (11/12/2021) (Blue)</v>
      </c>
      <c r="H7736" s="19"/>
    </row>
    <row r="7737">
      <c r="A7737" s="9"/>
      <c r="B7737" s="15"/>
      <c r="C7737" s="9">
        <f>IFERROR(__xludf.DUMMYFUNCTION("""COMPUTED_VALUE"""),44524.0289890162)</f>
        <v>44524.02899</v>
      </c>
      <c r="D7737" s="15">
        <f>IFERROR(__xludf.DUMMYFUNCTION("""COMPUTED_VALUE"""),1.042)</f>
        <v>1.042</v>
      </c>
      <c r="E7737" s="16">
        <f>IFERROR(__xludf.DUMMYFUNCTION("""COMPUTED_VALUE"""),67.0)</f>
        <v>67</v>
      </c>
      <c r="F7737" s="19" t="str">
        <f>IFERROR(__xludf.DUMMYFUNCTION("""COMPUTED_VALUE"""),"BLUE")</f>
        <v>BLUE</v>
      </c>
      <c r="G7737" s="20" t="str">
        <f>IFERROR(__xludf.DUMMYFUNCTION("""COMPUTED_VALUE"""),"Uncle Sams Cider (11/12/2021) (Blue)")</f>
        <v>Uncle Sams Cider (11/12/2021) (Blue)</v>
      </c>
      <c r="H7737" s="19"/>
    </row>
    <row r="7738">
      <c r="A7738" s="9"/>
      <c r="B7738" s="15"/>
      <c r="C7738" s="9">
        <f>IFERROR(__xludf.DUMMYFUNCTION("""COMPUTED_VALUE"""),44524.0185690625)</f>
        <v>44524.01857</v>
      </c>
      <c r="D7738" s="15">
        <f>IFERROR(__xludf.DUMMYFUNCTION("""COMPUTED_VALUE"""),1.042)</f>
        <v>1.042</v>
      </c>
      <c r="E7738" s="16">
        <f>IFERROR(__xludf.DUMMYFUNCTION("""COMPUTED_VALUE"""),67.0)</f>
        <v>67</v>
      </c>
      <c r="F7738" s="19" t="str">
        <f>IFERROR(__xludf.DUMMYFUNCTION("""COMPUTED_VALUE"""),"BLUE")</f>
        <v>BLUE</v>
      </c>
      <c r="G7738" s="20" t="str">
        <f>IFERROR(__xludf.DUMMYFUNCTION("""COMPUTED_VALUE"""),"Uncle Sams Cider (11/12/2021) (Blue)")</f>
        <v>Uncle Sams Cider (11/12/2021) (Blue)</v>
      </c>
      <c r="H7738" s="19"/>
    </row>
    <row r="7739">
      <c r="A7739" s="9"/>
      <c r="B7739" s="15"/>
      <c r="C7739" s="9">
        <f>IFERROR(__xludf.DUMMYFUNCTION("""COMPUTED_VALUE"""),44524.0081467824)</f>
        <v>44524.00815</v>
      </c>
      <c r="D7739" s="15">
        <f>IFERROR(__xludf.DUMMYFUNCTION("""COMPUTED_VALUE"""),1.042)</f>
        <v>1.042</v>
      </c>
      <c r="E7739" s="16">
        <f>IFERROR(__xludf.DUMMYFUNCTION("""COMPUTED_VALUE"""),67.0)</f>
        <v>67</v>
      </c>
      <c r="F7739" s="19" t="str">
        <f>IFERROR(__xludf.DUMMYFUNCTION("""COMPUTED_VALUE"""),"BLUE")</f>
        <v>BLUE</v>
      </c>
      <c r="G7739" s="20" t="str">
        <f>IFERROR(__xludf.DUMMYFUNCTION("""COMPUTED_VALUE"""),"Uncle Sams Cider (11/12/2021) (Blue)")</f>
        <v>Uncle Sams Cider (11/12/2021) (Blue)</v>
      </c>
      <c r="H7739" s="19"/>
    </row>
    <row r="7740">
      <c r="A7740" s="9"/>
      <c r="B7740" s="15"/>
      <c r="C7740" s="9">
        <f>IFERROR(__xludf.DUMMYFUNCTION("""COMPUTED_VALUE"""),44523.9977256134)</f>
        <v>44523.99773</v>
      </c>
      <c r="D7740" s="15">
        <f>IFERROR(__xludf.DUMMYFUNCTION("""COMPUTED_VALUE"""),1.042)</f>
        <v>1.042</v>
      </c>
      <c r="E7740" s="16">
        <f>IFERROR(__xludf.DUMMYFUNCTION("""COMPUTED_VALUE"""),67.0)</f>
        <v>67</v>
      </c>
      <c r="F7740" s="19" t="str">
        <f>IFERROR(__xludf.DUMMYFUNCTION("""COMPUTED_VALUE"""),"BLUE")</f>
        <v>BLUE</v>
      </c>
      <c r="G7740" s="20" t="str">
        <f>IFERROR(__xludf.DUMMYFUNCTION("""COMPUTED_VALUE"""),"Uncle Sams Cider (11/12/2021) (Blue)")</f>
        <v>Uncle Sams Cider (11/12/2021) (Blue)</v>
      </c>
      <c r="H7740" s="19"/>
    </row>
    <row r="7741">
      <c r="A7741" s="9"/>
      <c r="B7741" s="15"/>
      <c r="C7741" s="9">
        <f>IFERROR(__xludf.DUMMYFUNCTION("""COMPUTED_VALUE"""),44523.9873069328)</f>
        <v>44523.98731</v>
      </c>
      <c r="D7741" s="15">
        <f>IFERROR(__xludf.DUMMYFUNCTION("""COMPUTED_VALUE"""),1.042)</f>
        <v>1.042</v>
      </c>
      <c r="E7741" s="16">
        <f>IFERROR(__xludf.DUMMYFUNCTION("""COMPUTED_VALUE"""),67.0)</f>
        <v>67</v>
      </c>
      <c r="F7741" s="19" t="str">
        <f>IFERROR(__xludf.DUMMYFUNCTION("""COMPUTED_VALUE"""),"BLUE")</f>
        <v>BLUE</v>
      </c>
      <c r="G7741" s="20" t="str">
        <f>IFERROR(__xludf.DUMMYFUNCTION("""COMPUTED_VALUE"""),"Uncle Sams Cider (11/12/2021) (Blue)")</f>
        <v>Uncle Sams Cider (11/12/2021) (Blue)</v>
      </c>
      <c r="H7741" s="19"/>
    </row>
    <row r="7742">
      <c r="A7742" s="9"/>
      <c r="B7742" s="15"/>
      <c r="C7742" s="9">
        <f>IFERROR(__xludf.DUMMYFUNCTION("""COMPUTED_VALUE"""),44523.9768862962)</f>
        <v>44523.97689</v>
      </c>
      <c r="D7742" s="15">
        <f>IFERROR(__xludf.DUMMYFUNCTION("""COMPUTED_VALUE"""),1.042)</f>
        <v>1.042</v>
      </c>
      <c r="E7742" s="16">
        <f>IFERROR(__xludf.DUMMYFUNCTION("""COMPUTED_VALUE"""),67.0)</f>
        <v>67</v>
      </c>
      <c r="F7742" s="19" t="str">
        <f>IFERROR(__xludf.DUMMYFUNCTION("""COMPUTED_VALUE"""),"BLUE")</f>
        <v>BLUE</v>
      </c>
      <c r="G7742" s="20" t="str">
        <f>IFERROR(__xludf.DUMMYFUNCTION("""COMPUTED_VALUE"""),"Uncle Sams Cider (11/12/2021) (Blue)")</f>
        <v>Uncle Sams Cider (11/12/2021) (Blue)</v>
      </c>
      <c r="H7742" s="19"/>
    </row>
    <row r="7743">
      <c r="A7743" s="9"/>
      <c r="B7743" s="15"/>
      <c r="C7743" s="9">
        <f>IFERROR(__xludf.DUMMYFUNCTION("""COMPUTED_VALUE"""),44523.9664642476)</f>
        <v>44523.96646</v>
      </c>
      <c r="D7743" s="15">
        <f>IFERROR(__xludf.DUMMYFUNCTION("""COMPUTED_VALUE"""),1.042)</f>
        <v>1.042</v>
      </c>
      <c r="E7743" s="16">
        <f>IFERROR(__xludf.DUMMYFUNCTION("""COMPUTED_VALUE"""),67.0)</f>
        <v>67</v>
      </c>
      <c r="F7743" s="19" t="str">
        <f>IFERROR(__xludf.DUMMYFUNCTION("""COMPUTED_VALUE"""),"BLUE")</f>
        <v>BLUE</v>
      </c>
      <c r="G7743" s="20" t="str">
        <f>IFERROR(__xludf.DUMMYFUNCTION("""COMPUTED_VALUE"""),"Uncle Sams Cider (11/12/2021) (Blue)")</f>
        <v>Uncle Sams Cider (11/12/2021) (Blue)</v>
      </c>
      <c r="H7743" s="19"/>
    </row>
    <row r="7744">
      <c r="A7744" s="9"/>
      <c r="B7744" s="15"/>
      <c r="C7744" s="9">
        <f>IFERROR(__xludf.DUMMYFUNCTION("""COMPUTED_VALUE"""),44523.9560425)</f>
        <v>44523.95604</v>
      </c>
      <c r="D7744" s="15">
        <f>IFERROR(__xludf.DUMMYFUNCTION("""COMPUTED_VALUE"""),1.042)</f>
        <v>1.042</v>
      </c>
      <c r="E7744" s="16">
        <f>IFERROR(__xludf.DUMMYFUNCTION("""COMPUTED_VALUE"""),67.0)</f>
        <v>67</v>
      </c>
      <c r="F7744" s="19" t="str">
        <f>IFERROR(__xludf.DUMMYFUNCTION("""COMPUTED_VALUE"""),"BLUE")</f>
        <v>BLUE</v>
      </c>
      <c r="G7744" s="20" t="str">
        <f>IFERROR(__xludf.DUMMYFUNCTION("""COMPUTED_VALUE"""),"Uncle Sams Cider (11/12/2021) (Blue)")</f>
        <v>Uncle Sams Cider (11/12/2021) (Blue)</v>
      </c>
      <c r="H7744" s="19"/>
    </row>
    <row r="7745">
      <c r="A7745" s="9"/>
      <c r="B7745" s="15"/>
      <c r="C7745" s="9">
        <f>IFERROR(__xludf.DUMMYFUNCTION("""COMPUTED_VALUE"""),44523.9456203703)</f>
        <v>44523.94562</v>
      </c>
      <c r="D7745" s="15">
        <f>IFERROR(__xludf.DUMMYFUNCTION("""COMPUTED_VALUE"""),1.042)</f>
        <v>1.042</v>
      </c>
      <c r="E7745" s="16">
        <f>IFERROR(__xludf.DUMMYFUNCTION("""COMPUTED_VALUE"""),67.0)</f>
        <v>67</v>
      </c>
      <c r="F7745" s="19" t="str">
        <f>IFERROR(__xludf.DUMMYFUNCTION("""COMPUTED_VALUE"""),"BLUE")</f>
        <v>BLUE</v>
      </c>
      <c r="G7745" s="20" t="str">
        <f>IFERROR(__xludf.DUMMYFUNCTION("""COMPUTED_VALUE"""),"Uncle Sams Cider (11/12/2021) (Blue)")</f>
        <v>Uncle Sams Cider (11/12/2021) (Blue)</v>
      </c>
      <c r="H7745" s="19"/>
    </row>
    <row r="7746">
      <c r="A7746" s="9"/>
      <c r="B7746" s="15"/>
      <c r="C7746" s="9">
        <f>IFERROR(__xludf.DUMMYFUNCTION("""COMPUTED_VALUE"""),44523.9351993749)</f>
        <v>44523.9352</v>
      </c>
      <c r="D7746" s="15">
        <f>IFERROR(__xludf.DUMMYFUNCTION("""COMPUTED_VALUE"""),1.042)</f>
        <v>1.042</v>
      </c>
      <c r="E7746" s="16">
        <f>IFERROR(__xludf.DUMMYFUNCTION("""COMPUTED_VALUE"""),67.0)</f>
        <v>67</v>
      </c>
      <c r="F7746" s="19" t="str">
        <f>IFERROR(__xludf.DUMMYFUNCTION("""COMPUTED_VALUE"""),"BLUE")</f>
        <v>BLUE</v>
      </c>
      <c r="G7746" s="20" t="str">
        <f>IFERROR(__xludf.DUMMYFUNCTION("""COMPUTED_VALUE"""),"Uncle Sams Cider (11/12/2021) (Blue)")</f>
        <v>Uncle Sams Cider (11/12/2021) (Blue)</v>
      </c>
      <c r="H7746" s="19"/>
    </row>
    <row r="7747">
      <c r="A7747" s="9"/>
      <c r="B7747" s="15"/>
      <c r="C7747" s="9">
        <f>IFERROR(__xludf.DUMMYFUNCTION("""COMPUTED_VALUE"""),44523.9247783333)</f>
        <v>44523.92478</v>
      </c>
      <c r="D7747" s="15">
        <f>IFERROR(__xludf.DUMMYFUNCTION("""COMPUTED_VALUE"""),1.042)</f>
        <v>1.042</v>
      </c>
      <c r="E7747" s="16">
        <f>IFERROR(__xludf.DUMMYFUNCTION("""COMPUTED_VALUE"""),67.0)</f>
        <v>67</v>
      </c>
      <c r="F7747" s="19" t="str">
        <f>IFERROR(__xludf.DUMMYFUNCTION("""COMPUTED_VALUE"""),"BLUE")</f>
        <v>BLUE</v>
      </c>
      <c r="G7747" s="20" t="str">
        <f>IFERROR(__xludf.DUMMYFUNCTION("""COMPUTED_VALUE"""),"Uncle Sams Cider (11/12/2021) (Blue)")</f>
        <v>Uncle Sams Cider (11/12/2021) (Blue)</v>
      </c>
      <c r="H7747" s="19"/>
    </row>
    <row r="7748">
      <c r="A7748" s="9"/>
      <c r="B7748" s="15"/>
      <c r="C7748" s="9">
        <f>IFERROR(__xludf.DUMMYFUNCTION("""COMPUTED_VALUE"""),44523.9143592592)</f>
        <v>44523.91436</v>
      </c>
      <c r="D7748" s="15">
        <f>IFERROR(__xludf.DUMMYFUNCTION("""COMPUTED_VALUE"""),1.042)</f>
        <v>1.042</v>
      </c>
      <c r="E7748" s="16">
        <f>IFERROR(__xludf.DUMMYFUNCTION("""COMPUTED_VALUE"""),67.0)</f>
        <v>67</v>
      </c>
      <c r="F7748" s="19" t="str">
        <f>IFERROR(__xludf.DUMMYFUNCTION("""COMPUTED_VALUE"""),"BLUE")</f>
        <v>BLUE</v>
      </c>
      <c r="G7748" s="20" t="str">
        <f>IFERROR(__xludf.DUMMYFUNCTION("""COMPUTED_VALUE"""),"Uncle Sams Cider (11/12/2021) (Blue)")</f>
        <v>Uncle Sams Cider (11/12/2021) (Blue)</v>
      </c>
      <c r="H7748" s="19"/>
    </row>
    <row r="7749">
      <c r="A7749" s="9"/>
      <c r="B7749" s="15"/>
      <c r="C7749" s="9">
        <f>IFERROR(__xludf.DUMMYFUNCTION("""COMPUTED_VALUE"""),44523.9039391203)</f>
        <v>44523.90394</v>
      </c>
      <c r="D7749" s="15">
        <f>IFERROR(__xludf.DUMMYFUNCTION("""COMPUTED_VALUE"""),1.042)</f>
        <v>1.042</v>
      </c>
      <c r="E7749" s="16">
        <f>IFERROR(__xludf.DUMMYFUNCTION("""COMPUTED_VALUE"""),67.0)</f>
        <v>67</v>
      </c>
      <c r="F7749" s="19" t="str">
        <f>IFERROR(__xludf.DUMMYFUNCTION("""COMPUTED_VALUE"""),"BLUE")</f>
        <v>BLUE</v>
      </c>
      <c r="G7749" s="20" t="str">
        <f>IFERROR(__xludf.DUMMYFUNCTION("""COMPUTED_VALUE"""),"Uncle Sams Cider (11/12/2021) (Blue)")</f>
        <v>Uncle Sams Cider (11/12/2021) (Blue)</v>
      </c>
      <c r="H7749" s="19"/>
    </row>
    <row r="7750">
      <c r="A7750" s="9"/>
      <c r="B7750" s="15"/>
      <c r="C7750" s="9">
        <f>IFERROR(__xludf.DUMMYFUNCTION("""COMPUTED_VALUE"""),44523.8935189351)</f>
        <v>44523.89352</v>
      </c>
      <c r="D7750" s="15">
        <f>IFERROR(__xludf.DUMMYFUNCTION("""COMPUTED_VALUE"""),1.042)</f>
        <v>1.042</v>
      </c>
      <c r="E7750" s="16">
        <f>IFERROR(__xludf.DUMMYFUNCTION("""COMPUTED_VALUE"""),67.0)</f>
        <v>67</v>
      </c>
      <c r="F7750" s="19" t="str">
        <f>IFERROR(__xludf.DUMMYFUNCTION("""COMPUTED_VALUE"""),"BLUE")</f>
        <v>BLUE</v>
      </c>
      <c r="G7750" s="20" t="str">
        <f>IFERROR(__xludf.DUMMYFUNCTION("""COMPUTED_VALUE"""),"Uncle Sams Cider (11/12/2021) (Blue)")</f>
        <v>Uncle Sams Cider (11/12/2021) (Blue)</v>
      </c>
      <c r="H7750" s="19"/>
    </row>
    <row r="7751">
      <c r="A7751" s="9"/>
      <c r="B7751" s="15"/>
      <c r="C7751" s="9">
        <f>IFERROR(__xludf.DUMMYFUNCTION("""COMPUTED_VALUE"""),44523.8830982407)</f>
        <v>44523.8831</v>
      </c>
      <c r="D7751" s="15">
        <f>IFERROR(__xludf.DUMMYFUNCTION("""COMPUTED_VALUE"""),1.042)</f>
        <v>1.042</v>
      </c>
      <c r="E7751" s="16">
        <f>IFERROR(__xludf.DUMMYFUNCTION("""COMPUTED_VALUE"""),67.0)</f>
        <v>67</v>
      </c>
      <c r="F7751" s="19" t="str">
        <f>IFERROR(__xludf.DUMMYFUNCTION("""COMPUTED_VALUE"""),"BLUE")</f>
        <v>BLUE</v>
      </c>
      <c r="G7751" s="20" t="str">
        <f>IFERROR(__xludf.DUMMYFUNCTION("""COMPUTED_VALUE"""),"Uncle Sams Cider (11/12/2021) (Blue)")</f>
        <v>Uncle Sams Cider (11/12/2021) (Blue)</v>
      </c>
      <c r="H7751" s="19"/>
    </row>
    <row r="7752">
      <c r="A7752" s="9"/>
      <c r="B7752" s="15"/>
      <c r="C7752" s="9">
        <f>IFERROR(__xludf.DUMMYFUNCTION("""COMPUTED_VALUE"""),44523.8726772453)</f>
        <v>44523.87268</v>
      </c>
      <c r="D7752" s="15">
        <f>IFERROR(__xludf.DUMMYFUNCTION("""COMPUTED_VALUE"""),1.042)</f>
        <v>1.042</v>
      </c>
      <c r="E7752" s="16">
        <f>IFERROR(__xludf.DUMMYFUNCTION("""COMPUTED_VALUE"""),67.0)</f>
        <v>67</v>
      </c>
      <c r="F7752" s="19" t="str">
        <f>IFERROR(__xludf.DUMMYFUNCTION("""COMPUTED_VALUE"""),"BLUE")</f>
        <v>BLUE</v>
      </c>
      <c r="G7752" s="20" t="str">
        <f>IFERROR(__xludf.DUMMYFUNCTION("""COMPUTED_VALUE"""),"Uncle Sams Cider (11/12/2021) (Blue)")</f>
        <v>Uncle Sams Cider (11/12/2021) (Blue)</v>
      </c>
      <c r="H7752" s="19"/>
    </row>
    <row r="7753">
      <c r="A7753" s="9"/>
      <c r="B7753" s="15"/>
      <c r="C7753" s="9">
        <f>IFERROR(__xludf.DUMMYFUNCTION("""COMPUTED_VALUE"""),44523.8622551388)</f>
        <v>44523.86226</v>
      </c>
      <c r="D7753" s="15">
        <f>IFERROR(__xludf.DUMMYFUNCTION("""COMPUTED_VALUE"""),1.042)</f>
        <v>1.042</v>
      </c>
      <c r="E7753" s="16">
        <f>IFERROR(__xludf.DUMMYFUNCTION("""COMPUTED_VALUE"""),67.0)</f>
        <v>67</v>
      </c>
      <c r="F7753" s="19" t="str">
        <f>IFERROR(__xludf.DUMMYFUNCTION("""COMPUTED_VALUE"""),"BLUE")</f>
        <v>BLUE</v>
      </c>
      <c r="G7753" s="20" t="str">
        <f>IFERROR(__xludf.DUMMYFUNCTION("""COMPUTED_VALUE"""),"Uncle Sams Cider (11/12/2021) (Blue)")</f>
        <v>Uncle Sams Cider (11/12/2021) (Blue)</v>
      </c>
      <c r="H7753" s="19"/>
    </row>
    <row r="7754">
      <c r="A7754" s="9"/>
      <c r="B7754" s="15"/>
      <c r="C7754" s="9">
        <f>IFERROR(__xludf.DUMMYFUNCTION("""COMPUTED_VALUE"""),44523.8518228356)</f>
        <v>44523.85182</v>
      </c>
      <c r="D7754" s="15">
        <f>IFERROR(__xludf.DUMMYFUNCTION("""COMPUTED_VALUE"""),1.042)</f>
        <v>1.042</v>
      </c>
      <c r="E7754" s="16">
        <f>IFERROR(__xludf.DUMMYFUNCTION("""COMPUTED_VALUE"""),67.0)</f>
        <v>67</v>
      </c>
      <c r="F7754" s="19" t="str">
        <f>IFERROR(__xludf.DUMMYFUNCTION("""COMPUTED_VALUE"""),"BLUE")</f>
        <v>BLUE</v>
      </c>
      <c r="G7754" s="20" t="str">
        <f>IFERROR(__xludf.DUMMYFUNCTION("""COMPUTED_VALUE"""),"Uncle Sams Cider (11/12/2021) (Blue)")</f>
        <v>Uncle Sams Cider (11/12/2021) (Blue)</v>
      </c>
      <c r="H7754" s="19"/>
    </row>
    <row r="7755">
      <c r="A7755" s="9"/>
      <c r="B7755" s="15"/>
      <c r="C7755" s="9">
        <f>IFERROR(__xludf.DUMMYFUNCTION("""COMPUTED_VALUE"""),44523.8414012847)</f>
        <v>44523.8414</v>
      </c>
      <c r="D7755" s="15">
        <f>IFERROR(__xludf.DUMMYFUNCTION("""COMPUTED_VALUE"""),1.042)</f>
        <v>1.042</v>
      </c>
      <c r="E7755" s="16">
        <f>IFERROR(__xludf.DUMMYFUNCTION("""COMPUTED_VALUE"""),67.0)</f>
        <v>67</v>
      </c>
      <c r="F7755" s="19" t="str">
        <f>IFERROR(__xludf.DUMMYFUNCTION("""COMPUTED_VALUE"""),"BLUE")</f>
        <v>BLUE</v>
      </c>
      <c r="G7755" s="20" t="str">
        <f>IFERROR(__xludf.DUMMYFUNCTION("""COMPUTED_VALUE"""),"Uncle Sams Cider (11/12/2021) (Blue)")</f>
        <v>Uncle Sams Cider (11/12/2021) (Blue)</v>
      </c>
      <c r="H7755" s="19"/>
    </row>
    <row r="7756">
      <c r="A7756" s="9"/>
      <c r="B7756" s="15"/>
      <c r="C7756" s="9">
        <f>IFERROR(__xludf.DUMMYFUNCTION("""COMPUTED_VALUE"""),44523.8309805555)</f>
        <v>44523.83098</v>
      </c>
      <c r="D7756" s="15">
        <f>IFERROR(__xludf.DUMMYFUNCTION("""COMPUTED_VALUE"""),1.043)</f>
        <v>1.043</v>
      </c>
      <c r="E7756" s="16">
        <f>IFERROR(__xludf.DUMMYFUNCTION("""COMPUTED_VALUE"""),67.0)</f>
        <v>67</v>
      </c>
      <c r="F7756" s="19" t="str">
        <f>IFERROR(__xludf.DUMMYFUNCTION("""COMPUTED_VALUE"""),"BLUE")</f>
        <v>BLUE</v>
      </c>
      <c r="G7756" s="20" t="str">
        <f>IFERROR(__xludf.DUMMYFUNCTION("""COMPUTED_VALUE"""),"Uncle Sams Cider (11/12/2021) (Blue)")</f>
        <v>Uncle Sams Cider (11/12/2021) (Blue)</v>
      </c>
      <c r="H7756" s="19"/>
    </row>
    <row r="7757">
      <c r="A7757" s="9"/>
      <c r="B7757" s="15"/>
      <c r="C7757" s="9">
        <f>IFERROR(__xludf.DUMMYFUNCTION("""COMPUTED_VALUE"""),44523.8205592592)</f>
        <v>44523.82056</v>
      </c>
      <c r="D7757" s="15">
        <f>IFERROR(__xludf.DUMMYFUNCTION("""COMPUTED_VALUE"""),1.043)</f>
        <v>1.043</v>
      </c>
      <c r="E7757" s="16">
        <f>IFERROR(__xludf.DUMMYFUNCTION("""COMPUTED_VALUE"""),67.0)</f>
        <v>67</v>
      </c>
      <c r="F7757" s="19" t="str">
        <f>IFERROR(__xludf.DUMMYFUNCTION("""COMPUTED_VALUE"""),"BLUE")</f>
        <v>BLUE</v>
      </c>
      <c r="G7757" s="20" t="str">
        <f>IFERROR(__xludf.DUMMYFUNCTION("""COMPUTED_VALUE"""),"Uncle Sams Cider (11/12/2021) (Blue)")</f>
        <v>Uncle Sams Cider (11/12/2021) (Blue)</v>
      </c>
      <c r="H7757" s="19"/>
    </row>
    <row r="7758">
      <c r="A7758" s="9"/>
      <c r="B7758" s="15"/>
      <c r="C7758" s="9">
        <f>IFERROR(__xludf.DUMMYFUNCTION("""COMPUTED_VALUE"""),44523.8101380902)</f>
        <v>44523.81014</v>
      </c>
      <c r="D7758" s="15">
        <f>IFERROR(__xludf.DUMMYFUNCTION("""COMPUTED_VALUE"""),1.043)</f>
        <v>1.043</v>
      </c>
      <c r="E7758" s="16">
        <f>IFERROR(__xludf.DUMMYFUNCTION("""COMPUTED_VALUE"""),67.0)</f>
        <v>67</v>
      </c>
      <c r="F7758" s="19" t="str">
        <f>IFERROR(__xludf.DUMMYFUNCTION("""COMPUTED_VALUE"""),"BLUE")</f>
        <v>BLUE</v>
      </c>
      <c r="G7758" s="20" t="str">
        <f>IFERROR(__xludf.DUMMYFUNCTION("""COMPUTED_VALUE"""),"Uncle Sams Cider (11/12/2021) (Blue)")</f>
        <v>Uncle Sams Cider (11/12/2021) (Blue)</v>
      </c>
      <c r="H7758" s="19"/>
    </row>
    <row r="7759">
      <c r="A7759" s="9"/>
      <c r="B7759" s="15"/>
      <c r="C7759" s="9">
        <f>IFERROR(__xludf.DUMMYFUNCTION("""COMPUTED_VALUE"""),44523.7997037615)</f>
        <v>44523.7997</v>
      </c>
      <c r="D7759" s="15">
        <f>IFERROR(__xludf.DUMMYFUNCTION("""COMPUTED_VALUE"""),1.043)</f>
        <v>1.043</v>
      </c>
      <c r="E7759" s="16">
        <f>IFERROR(__xludf.DUMMYFUNCTION("""COMPUTED_VALUE"""),67.0)</f>
        <v>67</v>
      </c>
      <c r="F7759" s="19" t="str">
        <f>IFERROR(__xludf.DUMMYFUNCTION("""COMPUTED_VALUE"""),"BLUE")</f>
        <v>BLUE</v>
      </c>
      <c r="G7759" s="20" t="str">
        <f>IFERROR(__xludf.DUMMYFUNCTION("""COMPUTED_VALUE"""),"Uncle Sams Cider (11/12/2021) (Blue)")</f>
        <v>Uncle Sams Cider (11/12/2021) (Blue)</v>
      </c>
      <c r="H7759" s="19"/>
    </row>
    <row r="7760">
      <c r="A7760" s="9"/>
      <c r="B7760" s="15"/>
      <c r="C7760" s="9">
        <f>IFERROR(__xludf.DUMMYFUNCTION("""COMPUTED_VALUE"""),44523.7892807291)</f>
        <v>44523.78928</v>
      </c>
      <c r="D7760" s="15">
        <f>IFERROR(__xludf.DUMMYFUNCTION("""COMPUTED_VALUE"""),1.043)</f>
        <v>1.043</v>
      </c>
      <c r="E7760" s="16">
        <f>IFERROR(__xludf.DUMMYFUNCTION("""COMPUTED_VALUE"""),67.0)</f>
        <v>67</v>
      </c>
      <c r="F7760" s="19" t="str">
        <f>IFERROR(__xludf.DUMMYFUNCTION("""COMPUTED_VALUE"""),"BLUE")</f>
        <v>BLUE</v>
      </c>
      <c r="G7760" s="20" t="str">
        <f>IFERROR(__xludf.DUMMYFUNCTION("""COMPUTED_VALUE"""),"Uncle Sams Cider (11/12/2021) (Blue)")</f>
        <v>Uncle Sams Cider (11/12/2021) (Blue)</v>
      </c>
      <c r="H7760" s="19"/>
    </row>
    <row r="7761">
      <c r="A7761" s="9"/>
      <c r="B7761" s="15"/>
      <c r="C7761" s="9">
        <f>IFERROR(__xludf.DUMMYFUNCTION("""COMPUTED_VALUE"""),44523.7788585185)</f>
        <v>44523.77886</v>
      </c>
      <c r="D7761" s="15">
        <f>IFERROR(__xludf.DUMMYFUNCTION("""COMPUTED_VALUE"""),1.043)</f>
        <v>1.043</v>
      </c>
      <c r="E7761" s="16">
        <f>IFERROR(__xludf.DUMMYFUNCTION("""COMPUTED_VALUE"""),67.0)</f>
        <v>67</v>
      </c>
      <c r="F7761" s="19" t="str">
        <f>IFERROR(__xludf.DUMMYFUNCTION("""COMPUTED_VALUE"""),"BLUE")</f>
        <v>BLUE</v>
      </c>
      <c r="G7761" s="20" t="str">
        <f>IFERROR(__xludf.DUMMYFUNCTION("""COMPUTED_VALUE"""),"Uncle Sams Cider (11/12/2021) (Blue)")</f>
        <v>Uncle Sams Cider (11/12/2021) (Blue)</v>
      </c>
      <c r="H7761" s="19"/>
    </row>
    <row r="7762">
      <c r="A7762" s="9"/>
      <c r="B7762" s="15"/>
      <c r="C7762" s="9">
        <f>IFERROR(__xludf.DUMMYFUNCTION("""COMPUTED_VALUE"""),44523.7684371643)</f>
        <v>44523.76844</v>
      </c>
      <c r="D7762" s="15">
        <f>IFERROR(__xludf.DUMMYFUNCTION("""COMPUTED_VALUE"""),1.043)</f>
        <v>1.043</v>
      </c>
      <c r="E7762" s="16">
        <f>IFERROR(__xludf.DUMMYFUNCTION("""COMPUTED_VALUE"""),67.0)</f>
        <v>67</v>
      </c>
      <c r="F7762" s="19" t="str">
        <f>IFERROR(__xludf.DUMMYFUNCTION("""COMPUTED_VALUE"""),"BLUE")</f>
        <v>BLUE</v>
      </c>
      <c r="G7762" s="20" t="str">
        <f>IFERROR(__xludf.DUMMYFUNCTION("""COMPUTED_VALUE"""),"Uncle Sams Cider (11/12/2021) (Blue)")</f>
        <v>Uncle Sams Cider (11/12/2021) (Blue)</v>
      </c>
      <c r="H7762" s="19"/>
    </row>
    <row r="7763">
      <c r="A7763" s="9"/>
      <c r="B7763" s="15"/>
      <c r="C7763" s="9">
        <f>IFERROR(__xludf.DUMMYFUNCTION("""COMPUTED_VALUE"""),44523.7580157407)</f>
        <v>44523.75802</v>
      </c>
      <c r="D7763" s="15">
        <f>IFERROR(__xludf.DUMMYFUNCTION("""COMPUTED_VALUE"""),1.043)</f>
        <v>1.043</v>
      </c>
      <c r="E7763" s="16">
        <f>IFERROR(__xludf.DUMMYFUNCTION("""COMPUTED_VALUE"""),68.0)</f>
        <v>68</v>
      </c>
      <c r="F7763" s="19" t="str">
        <f>IFERROR(__xludf.DUMMYFUNCTION("""COMPUTED_VALUE"""),"BLUE")</f>
        <v>BLUE</v>
      </c>
      <c r="G7763" s="20" t="str">
        <f>IFERROR(__xludf.DUMMYFUNCTION("""COMPUTED_VALUE"""),"Uncle Sams Cider (11/12/2021) (Blue)")</f>
        <v>Uncle Sams Cider (11/12/2021) (Blue)</v>
      </c>
      <c r="H7763" s="19"/>
    </row>
    <row r="7764">
      <c r="A7764" s="9"/>
      <c r="B7764" s="15"/>
      <c r="C7764" s="9">
        <f>IFERROR(__xludf.DUMMYFUNCTION("""COMPUTED_VALUE"""),44523.7475939351)</f>
        <v>44523.74759</v>
      </c>
      <c r="D7764" s="15">
        <f>IFERROR(__xludf.DUMMYFUNCTION("""COMPUTED_VALUE"""),1.043)</f>
        <v>1.043</v>
      </c>
      <c r="E7764" s="16">
        <f>IFERROR(__xludf.DUMMYFUNCTION("""COMPUTED_VALUE"""),67.0)</f>
        <v>67</v>
      </c>
      <c r="F7764" s="19" t="str">
        <f>IFERROR(__xludf.DUMMYFUNCTION("""COMPUTED_VALUE"""),"BLUE")</f>
        <v>BLUE</v>
      </c>
      <c r="G7764" s="20" t="str">
        <f>IFERROR(__xludf.DUMMYFUNCTION("""COMPUTED_VALUE"""),"Uncle Sams Cider (11/12/2021) (Blue)")</f>
        <v>Uncle Sams Cider (11/12/2021) (Blue)</v>
      </c>
      <c r="H7764" s="19"/>
    </row>
    <row r="7765">
      <c r="A7765" s="9"/>
      <c r="B7765" s="15"/>
      <c r="C7765" s="9">
        <f>IFERROR(__xludf.DUMMYFUNCTION("""COMPUTED_VALUE"""),44523.7371727083)</f>
        <v>44523.73717</v>
      </c>
      <c r="D7765" s="15">
        <f>IFERROR(__xludf.DUMMYFUNCTION("""COMPUTED_VALUE"""),1.043)</f>
        <v>1.043</v>
      </c>
      <c r="E7765" s="16">
        <f>IFERROR(__xludf.DUMMYFUNCTION("""COMPUTED_VALUE"""),68.0)</f>
        <v>68</v>
      </c>
      <c r="F7765" s="19" t="str">
        <f>IFERROR(__xludf.DUMMYFUNCTION("""COMPUTED_VALUE"""),"BLUE")</f>
        <v>BLUE</v>
      </c>
      <c r="G7765" s="20" t="str">
        <f>IFERROR(__xludf.DUMMYFUNCTION("""COMPUTED_VALUE"""),"Uncle Sams Cider (11/12/2021) (Blue)")</f>
        <v>Uncle Sams Cider (11/12/2021) (Blue)</v>
      </c>
      <c r="H7765" s="19"/>
    </row>
    <row r="7766">
      <c r="A7766" s="9"/>
      <c r="B7766" s="15"/>
      <c r="C7766" s="9">
        <f>IFERROR(__xludf.DUMMYFUNCTION("""COMPUTED_VALUE"""),44523.7267529398)</f>
        <v>44523.72675</v>
      </c>
      <c r="D7766" s="15">
        <f>IFERROR(__xludf.DUMMYFUNCTION("""COMPUTED_VALUE"""),1.043)</f>
        <v>1.043</v>
      </c>
      <c r="E7766" s="16">
        <f>IFERROR(__xludf.DUMMYFUNCTION("""COMPUTED_VALUE"""),67.0)</f>
        <v>67</v>
      </c>
      <c r="F7766" s="19" t="str">
        <f>IFERROR(__xludf.DUMMYFUNCTION("""COMPUTED_VALUE"""),"BLUE")</f>
        <v>BLUE</v>
      </c>
      <c r="G7766" s="20" t="str">
        <f>IFERROR(__xludf.DUMMYFUNCTION("""COMPUTED_VALUE"""),"Uncle Sams Cider (11/12/2021) (Blue)")</f>
        <v>Uncle Sams Cider (11/12/2021) (Blue)</v>
      </c>
      <c r="H7766" s="19"/>
    </row>
    <row r="7767">
      <c r="A7767" s="9"/>
      <c r="B7767" s="15"/>
      <c r="C7767" s="9">
        <f>IFERROR(__xludf.DUMMYFUNCTION("""COMPUTED_VALUE"""),44523.7163332523)</f>
        <v>44523.71633</v>
      </c>
      <c r="D7767" s="15">
        <f>IFERROR(__xludf.DUMMYFUNCTION("""COMPUTED_VALUE"""),1.043)</f>
        <v>1.043</v>
      </c>
      <c r="E7767" s="16">
        <f>IFERROR(__xludf.DUMMYFUNCTION("""COMPUTED_VALUE"""),68.0)</f>
        <v>68</v>
      </c>
      <c r="F7767" s="19" t="str">
        <f>IFERROR(__xludf.DUMMYFUNCTION("""COMPUTED_VALUE"""),"BLUE")</f>
        <v>BLUE</v>
      </c>
      <c r="G7767" s="20" t="str">
        <f>IFERROR(__xludf.DUMMYFUNCTION("""COMPUTED_VALUE"""),"Uncle Sams Cider (11/12/2021) (Blue)")</f>
        <v>Uncle Sams Cider (11/12/2021) (Blue)</v>
      </c>
      <c r="H7767" s="19"/>
    </row>
    <row r="7768">
      <c r="A7768" s="9"/>
      <c r="B7768" s="15"/>
      <c r="C7768" s="9">
        <f>IFERROR(__xludf.DUMMYFUNCTION("""COMPUTED_VALUE"""),44523.7059122453)</f>
        <v>44523.70591</v>
      </c>
      <c r="D7768" s="15">
        <f>IFERROR(__xludf.DUMMYFUNCTION("""COMPUTED_VALUE"""),1.043)</f>
        <v>1.043</v>
      </c>
      <c r="E7768" s="16">
        <f>IFERROR(__xludf.DUMMYFUNCTION("""COMPUTED_VALUE"""),67.0)</f>
        <v>67</v>
      </c>
      <c r="F7768" s="19" t="str">
        <f>IFERROR(__xludf.DUMMYFUNCTION("""COMPUTED_VALUE"""),"BLUE")</f>
        <v>BLUE</v>
      </c>
      <c r="G7768" s="20" t="str">
        <f>IFERROR(__xludf.DUMMYFUNCTION("""COMPUTED_VALUE"""),"Uncle Sams Cider (11/12/2021) (Blue)")</f>
        <v>Uncle Sams Cider (11/12/2021) (Blue)</v>
      </c>
      <c r="H7768" s="19"/>
    </row>
    <row r="7769">
      <c r="A7769" s="9"/>
      <c r="B7769" s="15"/>
      <c r="C7769" s="9">
        <f>IFERROR(__xludf.DUMMYFUNCTION("""COMPUTED_VALUE"""),44523.695489618)</f>
        <v>44523.69549</v>
      </c>
      <c r="D7769" s="15">
        <f>IFERROR(__xludf.DUMMYFUNCTION("""COMPUTED_VALUE"""),1.043)</f>
        <v>1.043</v>
      </c>
      <c r="E7769" s="16">
        <f>IFERROR(__xludf.DUMMYFUNCTION("""COMPUTED_VALUE"""),68.0)</f>
        <v>68</v>
      </c>
      <c r="F7769" s="19" t="str">
        <f>IFERROR(__xludf.DUMMYFUNCTION("""COMPUTED_VALUE"""),"BLUE")</f>
        <v>BLUE</v>
      </c>
      <c r="G7769" s="20" t="str">
        <f>IFERROR(__xludf.DUMMYFUNCTION("""COMPUTED_VALUE"""),"Uncle Sams Cider (11/12/2021) (Blue)")</f>
        <v>Uncle Sams Cider (11/12/2021) (Blue)</v>
      </c>
      <c r="H7769" s="19"/>
    </row>
    <row r="7770">
      <c r="A7770" s="9"/>
      <c r="B7770" s="15"/>
      <c r="C7770" s="9">
        <f>IFERROR(__xludf.DUMMYFUNCTION("""COMPUTED_VALUE"""),44523.6850701736)</f>
        <v>44523.68507</v>
      </c>
      <c r="D7770" s="15">
        <f>IFERROR(__xludf.DUMMYFUNCTION("""COMPUTED_VALUE"""),1.043)</f>
        <v>1.043</v>
      </c>
      <c r="E7770" s="16">
        <f>IFERROR(__xludf.DUMMYFUNCTION("""COMPUTED_VALUE"""),68.0)</f>
        <v>68</v>
      </c>
      <c r="F7770" s="19" t="str">
        <f>IFERROR(__xludf.DUMMYFUNCTION("""COMPUTED_VALUE"""),"BLUE")</f>
        <v>BLUE</v>
      </c>
      <c r="G7770" s="20" t="str">
        <f>IFERROR(__xludf.DUMMYFUNCTION("""COMPUTED_VALUE"""),"Uncle Sams Cider (11/12/2021) (Blue)")</f>
        <v>Uncle Sams Cider (11/12/2021) (Blue)</v>
      </c>
      <c r="H7770" s="19"/>
    </row>
    <row r="7771">
      <c r="A7771" s="9"/>
      <c r="B7771" s="15"/>
      <c r="C7771" s="9">
        <f>IFERROR(__xludf.DUMMYFUNCTION("""COMPUTED_VALUE"""),44523.6746492245)</f>
        <v>44523.67465</v>
      </c>
      <c r="D7771" s="15">
        <f>IFERROR(__xludf.DUMMYFUNCTION("""COMPUTED_VALUE"""),1.043)</f>
        <v>1.043</v>
      </c>
      <c r="E7771" s="16">
        <f>IFERROR(__xludf.DUMMYFUNCTION("""COMPUTED_VALUE"""),68.0)</f>
        <v>68</v>
      </c>
      <c r="F7771" s="19" t="str">
        <f>IFERROR(__xludf.DUMMYFUNCTION("""COMPUTED_VALUE"""),"BLUE")</f>
        <v>BLUE</v>
      </c>
      <c r="G7771" s="20" t="str">
        <f>IFERROR(__xludf.DUMMYFUNCTION("""COMPUTED_VALUE"""),"Uncle Sams Cider (11/12/2021) (Blue)")</f>
        <v>Uncle Sams Cider (11/12/2021) (Blue)</v>
      </c>
      <c r="H7771" s="19"/>
    </row>
    <row r="7772">
      <c r="A7772" s="9"/>
      <c r="B7772" s="15"/>
      <c r="C7772" s="9">
        <f>IFERROR(__xludf.DUMMYFUNCTION("""COMPUTED_VALUE"""),44523.6642259606)</f>
        <v>44523.66423</v>
      </c>
      <c r="D7772" s="15">
        <f>IFERROR(__xludf.DUMMYFUNCTION("""COMPUTED_VALUE"""),1.043)</f>
        <v>1.043</v>
      </c>
      <c r="E7772" s="16">
        <f>IFERROR(__xludf.DUMMYFUNCTION("""COMPUTED_VALUE"""),68.0)</f>
        <v>68</v>
      </c>
      <c r="F7772" s="19" t="str">
        <f>IFERROR(__xludf.DUMMYFUNCTION("""COMPUTED_VALUE"""),"BLUE")</f>
        <v>BLUE</v>
      </c>
      <c r="G7772" s="20" t="str">
        <f>IFERROR(__xludf.DUMMYFUNCTION("""COMPUTED_VALUE"""),"Uncle Sams Cider (11/12/2021) (Blue)")</f>
        <v>Uncle Sams Cider (11/12/2021) (Blue)</v>
      </c>
      <c r="H7772" s="19"/>
    </row>
    <row r="7773">
      <c r="A7773" s="9"/>
      <c r="B7773" s="15"/>
      <c r="C7773" s="9">
        <f>IFERROR(__xludf.DUMMYFUNCTION("""COMPUTED_VALUE"""),44523.6538050462)</f>
        <v>44523.65381</v>
      </c>
      <c r="D7773" s="15">
        <f>IFERROR(__xludf.DUMMYFUNCTION("""COMPUTED_VALUE"""),1.043)</f>
        <v>1.043</v>
      </c>
      <c r="E7773" s="16">
        <f>IFERROR(__xludf.DUMMYFUNCTION("""COMPUTED_VALUE"""),68.0)</f>
        <v>68</v>
      </c>
      <c r="F7773" s="19" t="str">
        <f>IFERROR(__xludf.DUMMYFUNCTION("""COMPUTED_VALUE"""),"BLUE")</f>
        <v>BLUE</v>
      </c>
      <c r="G7773" s="20" t="str">
        <f>IFERROR(__xludf.DUMMYFUNCTION("""COMPUTED_VALUE"""),"Uncle Sams Cider (11/12/2021) (Blue)")</f>
        <v>Uncle Sams Cider (11/12/2021) (Blue)</v>
      </c>
      <c r="H7773" s="19"/>
    </row>
    <row r="7774">
      <c r="A7774" s="9"/>
      <c r="B7774" s="15"/>
      <c r="C7774" s="9">
        <f>IFERROR(__xludf.DUMMYFUNCTION("""COMPUTED_VALUE"""),44523.6433862962)</f>
        <v>44523.64339</v>
      </c>
      <c r="D7774" s="15">
        <f>IFERROR(__xludf.DUMMYFUNCTION("""COMPUTED_VALUE"""),1.043)</f>
        <v>1.043</v>
      </c>
      <c r="E7774" s="16">
        <f>IFERROR(__xludf.DUMMYFUNCTION("""COMPUTED_VALUE"""),68.0)</f>
        <v>68</v>
      </c>
      <c r="F7774" s="19" t="str">
        <f>IFERROR(__xludf.DUMMYFUNCTION("""COMPUTED_VALUE"""),"BLUE")</f>
        <v>BLUE</v>
      </c>
      <c r="G7774" s="20" t="str">
        <f>IFERROR(__xludf.DUMMYFUNCTION("""COMPUTED_VALUE"""),"Uncle Sams Cider (11/12/2021) (Blue)")</f>
        <v>Uncle Sams Cider (11/12/2021) (Blue)</v>
      </c>
      <c r="H7774" s="19"/>
    </row>
    <row r="7775">
      <c r="A7775" s="9"/>
      <c r="B7775" s="15"/>
      <c r="C7775" s="9">
        <f>IFERROR(__xludf.DUMMYFUNCTION("""COMPUTED_VALUE"""),44523.6329644212)</f>
        <v>44523.63296</v>
      </c>
      <c r="D7775" s="15">
        <f>IFERROR(__xludf.DUMMYFUNCTION("""COMPUTED_VALUE"""),1.043)</f>
        <v>1.043</v>
      </c>
      <c r="E7775" s="16">
        <f>IFERROR(__xludf.DUMMYFUNCTION("""COMPUTED_VALUE"""),68.0)</f>
        <v>68</v>
      </c>
      <c r="F7775" s="19" t="str">
        <f>IFERROR(__xludf.DUMMYFUNCTION("""COMPUTED_VALUE"""),"BLUE")</f>
        <v>BLUE</v>
      </c>
      <c r="G7775" s="20" t="str">
        <f>IFERROR(__xludf.DUMMYFUNCTION("""COMPUTED_VALUE"""),"Uncle Sams Cider (11/12/2021) (Blue)")</f>
        <v>Uncle Sams Cider (11/12/2021) (Blue)</v>
      </c>
      <c r="H7775" s="19"/>
    </row>
    <row r="7776">
      <c r="A7776" s="9"/>
      <c r="B7776" s="15"/>
      <c r="C7776" s="9">
        <f>IFERROR(__xludf.DUMMYFUNCTION("""COMPUTED_VALUE"""),44523.6225440972)</f>
        <v>44523.62254</v>
      </c>
      <c r="D7776" s="15">
        <f>IFERROR(__xludf.DUMMYFUNCTION("""COMPUTED_VALUE"""),1.043)</f>
        <v>1.043</v>
      </c>
      <c r="E7776" s="16">
        <f>IFERROR(__xludf.DUMMYFUNCTION("""COMPUTED_VALUE"""),68.0)</f>
        <v>68</v>
      </c>
      <c r="F7776" s="19" t="str">
        <f>IFERROR(__xludf.DUMMYFUNCTION("""COMPUTED_VALUE"""),"BLUE")</f>
        <v>BLUE</v>
      </c>
      <c r="G7776" s="20" t="str">
        <f>IFERROR(__xludf.DUMMYFUNCTION("""COMPUTED_VALUE"""),"Uncle Sams Cider (11/12/2021) (Blue)")</f>
        <v>Uncle Sams Cider (11/12/2021) (Blue)</v>
      </c>
      <c r="H7776" s="19"/>
    </row>
    <row r="7777">
      <c r="A7777" s="9"/>
      <c r="B7777" s="15"/>
      <c r="C7777" s="9">
        <f>IFERROR(__xludf.DUMMYFUNCTION("""COMPUTED_VALUE"""),44523.6121112384)</f>
        <v>44523.61211</v>
      </c>
      <c r="D7777" s="15">
        <f>IFERROR(__xludf.DUMMYFUNCTION("""COMPUTED_VALUE"""),1.043)</f>
        <v>1.043</v>
      </c>
      <c r="E7777" s="16">
        <f>IFERROR(__xludf.DUMMYFUNCTION("""COMPUTED_VALUE"""),68.0)</f>
        <v>68</v>
      </c>
      <c r="F7777" s="19" t="str">
        <f>IFERROR(__xludf.DUMMYFUNCTION("""COMPUTED_VALUE"""),"BLUE")</f>
        <v>BLUE</v>
      </c>
      <c r="G7777" s="20" t="str">
        <f>IFERROR(__xludf.DUMMYFUNCTION("""COMPUTED_VALUE"""),"Uncle Sams Cider (11/12/2021) (Blue)")</f>
        <v>Uncle Sams Cider (11/12/2021) (Blue)</v>
      </c>
      <c r="H7777" s="19"/>
    </row>
    <row r="7778">
      <c r="A7778" s="9"/>
      <c r="B7778" s="15"/>
      <c r="C7778" s="9">
        <f>IFERROR(__xludf.DUMMYFUNCTION("""COMPUTED_VALUE"""),44523.6016776388)</f>
        <v>44523.60168</v>
      </c>
      <c r="D7778" s="15">
        <f>IFERROR(__xludf.DUMMYFUNCTION("""COMPUTED_VALUE"""),1.043)</f>
        <v>1.043</v>
      </c>
      <c r="E7778" s="16">
        <f>IFERROR(__xludf.DUMMYFUNCTION("""COMPUTED_VALUE"""),68.0)</f>
        <v>68</v>
      </c>
      <c r="F7778" s="19" t="str">
        <f>IFERROR(__xludf.DUMMYFUNCTION("""COMPUTED_VALUE"""),"BLUE")</f>
        <v>BLUE</v>
      </c>
      <c r="G7778" s="20" t="str">
        <f>IFERROR(__xludf.DUMMYFUNCTION("""COMPUTED_VALUE"""),"Uncle Sams Cider (11/12/2021) (Blue)")</f>
        <v>Uncle Sams Cider (11/12/2021) (Blue)</v>
      </c>
      <c r="H7778" s="19"/>
    </row>
    <row r="7779">
      <c r="A7779" s="9"/>
      <c r="B7779" s="15"/>
      <c r="C7779" s="9">
        <f>IFERROR(__xludf.DUMMYFUNCTION("""COMPUTED_VALUE"""),44523.5912569675)</f>
        <v>44523.59126</v>
      </c>
      <c r="D7779" s="15">
        <f>IFERROR(__xludf.DUMMYFUNCTION("""COMPUTED_VALUE"""),1.044)</f>
        <v>1.044</v>
      </c>
      <c r="E7779" s="16">
        <f>IFERROR(__xludf.DUMMYFUNCTION("""COMPUTED_VALUE"""),68.0)</f>
        <v>68</v>
      </c>
      <c r="F7779" s="19" t="str">
        <f>IFERROR(__xludf.DUMMYFUNCTION("""COMPUTED_VALUE"""),"BLUE")</f>
        <v>BLUE</v>
      </c>
      <c r="G7779" s="20" t="str">
        <f>IFERROR(__xludf.DUMMYFUNCTION("""COMPUTED_VALUE"""),"Uncle Sams Cider (11/12/2021) (Blue)")</f>
        <v>Uncle Sams Cider (11/12/2021) (Blue)</v>
      </c>
      <c r="H7779" s="19"/>
    </row>
    <row r="7780">
      <c r="A7780" s="9"/>
      <c r="B7780" s="15"/>
      <c r="C7780" s="9">
        <f>IFERROR(__xludf.DUMMYFUNCTION("""COMPUTED_VALUE"""),44523.5808356481)</f>
        <v>44523.58084</v>
      </c>
      <c r="D7780" s="15">
        <f>IFERROR(__xludf.DUMMYFUNCTION("""COMPUTED_VALUE"""),1.044)</f>
        <v>1.044</v>
      </c>
      <c r="E7780" s="16">
        <f>IFERROR(__xludf.DUMMYFUNCTION("""COMPUTED_VALUE"""),68.0)</f>
        <v>68</v>
      </c>
      <c r="F7780" s="19" t="str">
        <f>IFERROR(__xludf.DUMMYFUNCTION("""COMPUTED_VALUE"""),"BLUE")</f>
        <v>BLUE</v>
      </c>
      <c r="G7780" s="20" t="str">
        <f>IFERROR(__xludf.DUMMYFUNCTION("""COMPUTED_VALUE"""),"Uncle Sams Cider (11/12/2021) (Blue)")</f>
        <v>Uncle Sams Cider (11/12/2021) (Blue)</v>
      </c>
      <c r="H7780" s="19"/>
    </row>
    <row r="7781">
      <c r="A7781" s="9"/>
      <c r="B7781" s="15"/>
      <c r="C7781" s="9">
        <f>IFERROR(__xludf.DUMMYFUNCTION("""COMPUTED_VALUE"""),44523.5704145486)</f>
        <v>44523.57041</v>
      </c>
      <c r="D7781" s="15">
        <f>IFERROR(__xludf.DUMMYFUNCTION("""COMPUTED_VALUE"""),1.044)</f>
        <v>1.044</v>
      </c>
      <c r="E7781" s="16">
        <f>IFERROR(__xludf.DUMMYFUNCTION("""COMPUTED_VALUE"""),68.0)</f>
        <v>68</v>
      </c>
      <c r="F7781" s="19" t="str">
        <f>IFERROR(__xludf.DUMMYFUNCTION("""COMPUTED_VALUE"""),"BLUE")</f>
        <v>BLUE</v>
      </c>
      <c r="G7781" s="20" t="str">
        <f>IFERROR(__xludf.DUMMYFUNCTION("""COMPUTED_VALUE"""),"Uncle Sams Cider (11/12/2021) (Blue)")</f>
        <v>Uncle Sams Cider (11/12/2021) (Blue)</v>
      </c>
      <c r="H7781" s="19"/>
    </row>
    <row r="7782">
      <c r="A7782" s="9"/>
      <c r="B7782" s="15"/>
      <c r="C7782" s="9">
        <f>IFERROR(__xludf.DUMMYFUNCTION("""COMPUTED_VALUE"""),44523.5599940046)</f>
        <v>44523.55999</v>
      </c>
      <c r="D7782" s="15">
        <f>IFERROR(__xludf.DUMMYFUNCTION("""COMPUTED_VALUE"""),1.044)</f>
        <v>1.044</v>
      </c>
      <c r="E7782" s="16">
        <f>IFERROR(__xludf.DUMMYFUNCTION("""COMPUTED_VALUE"""),68.0)</f>
        <v>68</v>
      </c>
      <c r="F7782" s="19" t="str">
        <f>IFERROR(__xludf.DUMMYFUNCTION("""COMPUTED_VALUE"""),"BLUE")</f>
        <v>BLUE</v>
      </c>
      <c r="G7782" s="20" t="str">
        <f>IFERROR(__xludf.DUMMYFUNCTION("""COMPUTED_VALUE"""),"Uncle Sams Cider (11/12/2021) (Blue)")</f>
        <v>Uncle Sams Cider (11/12/2021) (Blue)</v>
      </c>
      <c r="H7782" s="19"/>
    </row>
    <row r="7783">
      <c r="A7783" s="9"/>
      <c r="B7783" s="15"/>
      <c r="C7783" s="9">
        <f>IFERROR(__xludf.DUMMYFUNCTION("""COMPUTED_VALUE"""),44523.549571493)</f>
        <v>44523.54957</v>
      </c>
      <c r="D7783" s="15">
        <f>IFERROR(__xludf.DUMMYFUNCTION("""COMPUTED_VALUE"""),1.043)</f>
        <v>1.043</v>
      </c>
      <c r="E7783" s="16">
        <f>IFERROR(__xludf.DUMMYFUNCTION("""COMPUTED_VALUE"""),68.0)</f>
        <v>68</v>
      </c>
      <c r="F7783" s="19" t="str">
        <f>IFERROR(__xludf.DUMMYFUNCTION("""COMPUTED_VALUE"""),"BLUE")</f>
        <v>BLUE</v>
      </c>
      <c r="G7783" s="20" t="str">
        <f>IFERROR(__xludf.DUMMYFUNCTION("""COMPUTED_VALUE"""),"Uncle Sams Cider (11/12/2021) (Blue)")</f>
        <v>Uncle Sams Cider (11/12/2021) (Blue)</v>
      </c>
      <c r="H7783" s="19"/>
    </row>
    <row r="7784">
      <c r="A7784" s="9"/>
      <c r="B7784" s="15"/>
      <c r="C7784" s="9">
        <f>IFERROR(__xludf.DUMMYFUNCTION("""COMPUTED_VALUE"""),44523.5391503124)</f>
        <v>44523.53915</v>
      </c>
      <c r="D7784" s="15">
        <f>IFERROR(__xludf.DUMMYFUNCTION("""COMPUTED_VALUE"""),1.044)</f>
        <v>1.044</v>
      </c>
      <c r="E7784" s="16">
        <f>IFERROR(__xludf.DUMMYFUNCTION("""COMPUTED_VALUE"""),68.0)</f>
        <v>68</v>
      </c>
      <c r="F7784" s="19" t="str">
        <f>IFERROR(__xludf.DUMMYFUNCTION("""COMPUTED_VALUE"""),"BLUE")</f>
        <v>BLUE</v>
      </c>
      <c r="G7784" s="20" t="str">
        <f>IFERROR(__xludf.DUMMYFUNCTION("""COMPUTED_VALUE"""),"Uncle Sams Cider (11/12/2021) (Blue)")</f>
        <v>Uncle Sams Cider (11/12/2021) (Blue)</v>
      </c>
      <c r="H7784" s="19"/>
    </row>
    <row r="7785">
      <c r="A7785" s="9"/>
      <c r="B7785" s="15"/>
      <c r="C7785" s="9">
        <f>IFERROR(__xludf.DUMMYFUNCTION("""COMPUTED_VALUE"""),44523.5287298842)</f>
        <v>44523.52873</v>
      </c>
      <c r="D7785" s="15">
        <f>IFERROR(__xludf.DUMMYFUNCTION("""COMPUTED_VALUE"""),1.044)</f>
        <v>1.044</v>
      </c>
      <c r="E7785" s="16">
        <f>IFERROR(__xludf.DUMMYFUNCTION("""COMPUTED_VALUE"""),68.0)</f>
        <v>68</v>
      </c>
      <c r="F7785" s="19" t="str">
        <f>IFERROR(__xludf.DUMMYFUNCTION("""COMPUTED_VALUE"""),"BLUE")</f>
        <v>BLUE</v>
      </c>
      <c r="G7785" s="20" t="str">
        <f>IFERROR(__xludf.DUMMYFUNCTION("""COMPUTED_VALUE"""),"Uncle Sams Cider (11/12/2021) (Blue)")</f>
        <v>Uncle Sams Cider (11/12/2021) (Blue)</v>
      </c>
      <c r="H7785" s="19"/>
    </row>
    <row r="7786">
      <c r="A7786" s="9"/>
      <c r="B7786" s="15"/>
      <c r="C7786" s="9">
        <f>IFERROR(__xludf.DUMMYFUNCTION("""COMPUTED_VALUE"""),44523.5183095254)</f>
        <v>44523.51831</v>
      </c>
      <c r="D7786" s="15">
        <f>IFERROR(__xludf.DUMMYFUNCTION("""COMPUTED_VALUE"""),1.044)</f>
        <v>1.044</v>
      </c>
      <c r="E7786" s="16">
        <f>IFERROR(__xludf.DUMMYFUNCTION("""COMPUTED_VALUE"""),68.0)</f>
        <v>68</v>
      </c>
      <c r="F7786" s="19" t="str">
        <f>IFERROR(__xludf.DUMMYFUNCTION("""COMPUTED_VALUE"""),"BLUE")</f>
        <v>BLUE</v>
      </c>
      <c r="G7786" s="20" t="str">
        <f>IFERROR(__xludf.DUMMYFUNCTION("""COMPUTED_VALUE"""),"Uncle Sams Cider (11/12/2021) (Blue)")</f>
        <v>Uncle Sams Cider (11/12/2021) (Blue)</v>
      </c>
      <c r="H7786" s="19"/>
    </row>
    <row r="7787">
      <c r="A7787" s="9"/>
      <c r="B7787" s="15"/>
      <c r="C7787" s="9">
        <f>IFERROR(__xludf.DUMMYFUNCTION("""COMPUTED_VALUE"""),44523.5078767939)</f>
        <v>44523.50788</v>
      </c>
      <c r="D7787" s="15">
        <f>IFERROR(__xludf.DUMMYFUNCTION("""COMPUTED_VALUE"""),1.044)</f>
        <v>1.044</v>
      </c>
      <c r="E7787" s="16">
        <f>IFERROR(__xludf.DUMMYFUNCTION("""COMPUTED_VALUE"""),68.0)</f>
        <v>68</v>
      </c>
      <c r="F7787" s="19" t="str">
        <f>IFERROR(__xludf.DUMMYFUNCTION("""COMPUTED_VALUE"""),"BLUE")</f>
        <v>BLUE</v>
      </c>
      <c r="G7787" s="20" t="str">
        <f>IFERROR(__xludf.DUMMYFUNCTION("""COMPUTED_VALUE"""),"Uncle Sams Cider (11/12/2021) (Blue)")</f>
        <v>Uncle Sams Cider (11/12/2021) (Blue)</v>
      </c>
      <c r="H7787" s="19"/>
    </row>
    <row r="7788">
      <c r="A7788" s="9"/>
      <c r="B7788" s="15"/>
      <c r="C7788" s="9">
        <f>IFERROR(__xludf.DUMMYFUNCTION("""COMPUTED_VALUE"""),44523.4974559837)</f>
        <v>44523.49746</v>
      </c>
      <c r="D7788" s="15">
        <f>IFERROR(__xludf.DUMMYFUNCTION("""COMPUTED_VALUE"""),1.044)</f>
        <v>1.044</v>
      </c>
      <c r="E7788" s="16">
        <f>IFERROR(__xludf.DUMMYFUNCTION("""COMPUTED_VALUE"""),68.0)</f>
        <v>68</v>
      </c>
      <c r="F7788" s="19" t="str">
        <f>IFERROR(__xludf.DUMMYFUNCTION("""COMPUTED_VALUE"""),"BLUE")</f>
        <v>BLUE</v>
      </c>
      <c r="G7788" s="20" t="str">
        <f>IFERROR(__xludf.DUMMYFUNCTION("""COMPUTED_VALUE"""),"Uncle Sams Cider (11/12/2021) (Blue)")</f>
        <v>Uncle Sams Cider (11/12/2021) (Blue)</v>
      </c>
      <c r="H7788" s="19"/>
    </row>
    <row r="7789">
      <c r="A7789" s="9"/>
      <c r="B7789" s="15"/>
      <c r="C7789" s="9">
        <f>IFERROR(__xludf.DUMMYFUNCTION("""COMPUTED_VALUE"""),44523.4870345717)</f>
        <v>44523.48703</v>
      </c>
      <c r="D7789" s="15">
        <f>IFERROR(__xludf.DUMMYFUNCTION("""COMPUTED_VALUE"""),1.044)</f>
        <v>1.044</v>
      </c>
      <c r="E7789" s="16">
        <f>IFERROR(__xludf.DUMMYFUNCTION("""COMPUTED_VALUE"""),68.0)</f>
        <v>68</v>
      </c>
      <c r="F7789" s="19" t="str">
        <f>IFERROR(__xludf.DUMMYFUNCTION("""COMPUTED_VALUE"""),"BLUE")</f>
        <v>BLUE</v>
      </c>
      <c r="G7789" s="20" t="str">
        <f>IFERROR(__xludf.DUMMYFUNCTION("""COMPUTED_VALUE"""),"Uncle Sams Cider (11/12/2021) (Blue)")</f>
        <v>Uncle Sams Cider (11/12/2021) (Blue)</v>
      </c>
      <c r="H7789" s="19"/>
    </row>
    <row r="7790">
      <c r="A7790" s="9"/>
      <c r="B7790" s="15"/>
      <c r="C7790" s="9">
        <f>IFERROR(__xludf.DUMMYFUNCTION("""COMPUTED_VALUE"""),44523.4766038657)</f>
        <v>44523.4766</v>
      </c>
      <c r="D7790" s="15">
        <f>IFERROR(__xludf.DUMMYFUNCTION("""COMPUTED_VALUE"""),1.044)</f>
        <v>1.044</v>
      </c>
      <c r="E7790" s="16">
        <f>IFERROR(__xludf.DUMMYFUNCTION("""COMPUTED_VALUE"""),68.0)</f>
        <v>68</v>
      </c>
      <c r="F7790" s="19" t="str">
        <f>IFERROR(__xludf.DUMMYFUNCTION("""COMPUTED_VALUE"""),"BLUE")</f>
        <v>BLUE</v>
      </c>
      <c r="G7790" s="20" t="str">
        <f>IFERROR(__xludf.DUMMYFUNCTION("""COMPUTED_VALUE"""),"Uncle Sams Cider (11/12/2021) (Blue)")</f>
        <v>Uncle Sams Cider (11/12/2021) (Blue)</v>
      </c>
      <c r="H7790" s="19"/>
    </row>
    <row r="7791">
      <c r="A7791" s="9"/>
      <c r="B7791" s="15"/>
      <c r="C7791" s="9">
        <f>IFERROR(__xludf.DUMMYFUNCTION("""COMPUTED_VALUE"""),44523.4661830208)</f>
        <v>44523.46618</v>
      </c>
      <c r="D7791" s="15">
        <f>IFERROR(__xludf.DUMMYFUNCTION("""COMPUTED_VALUE"""),1.044)</f>
        <v>1.044</v>
      </c>
      <c r="E7791" s="16">
        <f>IFERROR(__xludf.DUMMYFUNCTION("""COMPUTED_VALUE"""),68.0)</f>
        <v>68</v>
      </c>
      <c r="F7791" s="19" t="str">
        <f>IFERROR(__xludf.DUMMYFUNCTION("""COMPUTED_VALUE"""),"BLUE")</f>
        <v>BLUE</v>
      </c>
      <c r="G7791" s="20" t="str">
        <f>IFERROR(__xludf.DUMMYFUNCTION("""COMPUTED_VALUE"""),"Uncle Sams Cider (11/12/2021) (Blue)")</f>
        <v>Uncle Sams Cider (11/12/2021) (Blue)</v>
      </c>
      <c r="H7791" s="19"/>
    </row>
    <row r="7792">
      <c r="A7792" s="9"/>
      <c r="B7792" s="15"/>
      <c r="C7792" s="9">
        <f>IFERROR(__xludf.DUMMYFUNCTION("""COMPUTED_VALUE"""),44523.455761331)</f>
        <v>44523.45576</v>
      </c>
      <c r="D7792" s="15">
        <f>IFERROR(__xludf.DUMMYFUNCTION("""COMPUTED_VALUE"""),1.044)</f>
        <v>1.044</v>
      </c>
      <c r="E7792" s="16">
        <f>IFERROR(__xludf.DUMMYFUNCTION("""COMPUTED_VALUE"""),68.0)</f>
        <v>68</v>
      </c>
      <c r="F7792" s="19" t="str">
        <f>IFERROR(__xludf.DUMMYFUNCTION("""COMPUTED_VALUE"""),"BLUE")</f>
        <v>BLUE</v>
      </c>
      <c r="G7792" s="20" t="str">
        <f>IFERROR(__xludf.DUMMYFUNCTION("""COMPUTED_VALUE"""),"Uncle Sams Cider (11/12/2021) (Blue)")</f>
        <v>Uncle Sams Cider (11/12/2021) (Blue)</v>
      </c>
      <c r="H7792" s="19"/>
    </row>
    <row r="7793">
      <c r="A7793" s="9"/>
      <c r="B7793" s="15"/>
      <c r="C7793" s="9">
        <f>IFERROR(__xludf.DUMMYFUNCTION("""COMPUTED_VALUE"""),44523.4453391782)</f>
        <v>44523.44534</v>
      </c>
      <c r="D7793" s="15">
        <f>IFERROR(__xludf.DUMMYFUNCTION("""COMPUTED_VALUE"""),1.044)</f>
        <v>1.044</v>
      </c>
      <c r="E7793" s="16">
        <f>IFERROR(__xludf.DUMMYFUNCTION("""COMPUTED_VALUE"""),68.0)</f>
        <v>68</v>
      </c>
      <c r="F7793" s="19" t="str">
        <f>IFERROR(__xludf.DUMMYFUNCTION("""COMPUTED_VALUE"""),"BLUE")</f>
        <v>BLUE</v>
      </c>
      <c r="G7793" s="20" t="str">
        <f>IFERROR(__xludf.DUMMYFUNCTION("""COMPUTED_VALUE"""),"Uncle Sams Cider (11/12/2021) (Blue)")</f>
        <v>Uncle Sams Cider (11/12/2021) (Blue)</v>
      </c>
      <c r="H7793" s="19"/>
    </row>
    <row r="7794">
      <c r="A7794" s="9"/>
      <c r="B7794" s="15"/>
      <c r="C7794" s="9">
        <f>IFERROR(__xludf.DUMMYFUNCTION("""COMPUTED_VALUE"""),44523.4349078819)</f>
        <v>44523.43491</v>
      </c>
      <c r="D7794" s="15">
        <f>IFERROR(__xludf.DUMMYFUNCTION("""COMPUTED_VALUE"""),1.044)</f>
        <v>1.044</v>
      </c>
      <c r="E7794" s="16">
        <f>IFERROR(__xludf.DUMMYFUNCTION("""COMPUTED_VALUE"""),68.0)</f>
        <v>68</v>
      </c>
      <c r="F7794" s="19" t="str">
        <f>IFERROR(__xludf.DUMMYFUNCTION("""COMPUTED_VALUE"""),"BLUE")</f>
        <v>BLUE</v>
      </c>
      <c r="G7794" s="20" t="str">
        <f>IFERROR(__xludf.DUMMYFUNCTION("""COMPUTED_VALUE"""),"Uncle Sams Cider (11/12/2021) (Blue)")</f>
        <v>Uncle Sams Cider (11/12/2021) (Blue)</v>
      </c>
      <c r="H7794" s="19"/>
    </row>
    <row r="7795">
      <c r="A7795" s="9"/>
      <c r="B7795" s="15"/>
      <c r="C7795" s="9">
        <f>IFERROR(__xludf.DUMMYFUNCTION("""COMPUTED_VALUE"""),44523.4244882638)</f>
        <v>44523.42449</v>
      </c>
      <c r="D7795" s="15">
        <f>IFERROR(__xludf.DUMMYFUNCTION("""COMPUTED_VALUE"""),1.044)</f>
        <v>1.044</v>
      </c>
      <c r="E7795" s="16">
        <f>IFERROR(__xludf.DUMMYFUNCTION("""COMPUTED_VALUE"""),68.0)</f>
        <v>68</v>
      </c>
      <c r="F7795" s="19" t="str">
        <f>IFERROR(__xludf.DUMMYFUNCTION("""COMPUTED_VALUE"""),"BLUE")</f>
        <v>BLUE</v>
      </c>
      <c r="G7795" s="20" t="str">
        <f>IFERROR(__xludf.DUMMYFUNCTION("""COMPUTED_VALUE"""),"Uncle Sams Cider (11/12/2021) (Blue)")</f>
        <v>Uncle Sams Cider (11/12/2021) (Blue)</v>
      </c>
      <c r="H7795" s="19"/>
    </row>
    <row r="7796">
      <c r="A7796" s="9"/>
      <c r="B7796" s="15"/>
      <c r="C7796" s="9">
        <f>IFERROR(__xludf.DUMMYFUNCTION("""COMPUTED_VALUE"""),44523.414065868)</f>
        <v>44523.41407</v>
      </c>
      <c r="D7796" s="15">
        <f>IFERROR(__xludf.DUMMYFUNCTION("""COMPUTED_VALUE"""),1.044)</f>
        <v>1.044</v>
      </c>
      <c r="E7796" s="16">
        <f>IFERROR(__xludf.DUMMYFUNCTION("""COMPUTED_VALUE"""),68.0)</f>
        <v>68</v>
      </c>
      <c r="F7796" s="19" t="str">
        <f>IFERROR(__xludf.DUMMYFUNCTION("""COMPUTED_VALUE"""),"BLUE")</f>
        <v>BLUE</v>
      </c>
      <c r="G7796" s="20" t="str">
        <f>IFERROR(__xludf.DUMMYFUNCTION("""COMPUTED_VALUE"""),"Uncle Sams Cider (11/12/2021) (Blue)")</f>
        <v>Uncle Sams Cider (11/12/2021) (Blue)</v>
      </c>
      <c r="H7796" s="19"/>
    </row>
    <row r="7797">
      <c r="A7797" s="9"/>
      <c r="B7797" s="15"/>
      <c r="C7797" s="9">
        <f>IFERROR(__xludf.DUMMYFUNCTION("""COMPUTED_VALUE"""),44523.4036437962)</f>
        <v>44523.40364</v>
      </c>
      <c r="D7797" s="15">
        <f>IFERROR(__xludf.DUMMYFUNCTION("""COMPUTED_VALUE"""),1.044)</f>
        <v>1.044</v>
      </c>
      <c r="E7797" s="16">
        <f>IFERROR(__xludf.DUMMYFUNCTION("""COMPUTED_VALUE"""),68.0)</f>
        <v>68</v>
      </c>
      <c r="F7797" s="19" t="str">
        <f>IFERROR(__xludf.DUMMYFUNCTION("""COMPUTED_VALUE"""),"BLUE")</f>
        <v>BLUE</v>
      </c>
      <c r="G7797" s="20" t="str">
        <f>IFERROR(__xludf.DUMMYFUNCTION("""COMPUTED_VALUE"""),"Uncle Sams Cider (11/12/2021) (Blue)")</f>
        <v>Uncle Sams Cider (11/12/2021) (Blue)</v>
      </c>
      <c r="H7797" s="19"/>
    </row>
    <row r="7798">
      <c r="A7798" s="9"/>
      <c r="B7798" s="15"/>
      <c r="C7798" s="9">
        <f>IFERROR(__xludf.DUMMYFUNCTION("""COMPUTED_VALUE"""),44523.3932223032)</f>
        <v>44523.39322</v>
      </c>
      <c r="D7798" s="15">
        <f>IFERROR(__xludf.DUMMYFUNCTION("""COMPUTED_VALUE"""),1.044)</f>
        <v>1.044</v>
      </c>
      <c r="E7798" s="16">
        <f>IFERROR(__xludf.DUMMYFUNCTION("""COMPUTED_VALUE"""),68.0)</f>
        <v>68</v>
      </c>
      <c r="F7798" s="19" t="str">
        <f>IFERROR(__xludf.DUMMYFUNCTION("""COMPUTED_VALUE"""),"BLUE")</f>
        <v>BLUE</v>
      </c>
      <c r="G7798" s="20" t="str">
        <f>IFERROR(__xludf.DUMMYFUNCTION("""COMPUTED_VALUE"""),"Uncle Sams Cider (11/12/2021) (Blue)")</f>
        <v>Uncle Sams Cider (11/12/2021) (Blue)</v>
      </c>
      <c r="H7798" s="19"/>
    </row>
    <row r="7799">
      <c r="A7799" s="9"/>
      <c r="B7799" s="15"/>
      <c r="C7799" s="9">
        <f>IFERROR(__xludf.DUMMYFUNCTION("""COMPUTED_VALUE"""),44523.3828014236)</f>
        <v>44523.3828</v>
      </c>
      <c r="D7799" s="15">
        <f>IFERROR(__xludf.DUMMYFUNCTION("""COMPUTED_VALUE"""),1.044)</f>
        <v>1.044</v>
      </c>
      <c r="E7799" s="16">
        <f>IFERROR(__xludf.DUMMYFUNCTION("""COMPUTED_VALUE"""),68.0)</f>
        <v>68</v>
      </c>
      <c r="F7799" s="19" t="str">
        <f>IFERROR(__xludf.DUMMYFUNCTION("""COMPUTED_VALUE"""),"BLUE")</f>
        <v>BLUE</v>
      </c>
      <c r="G7799" s="20" t="str">
        <f>IFERROR(__xludf.DUMMYFUNCTION("""COMPUTED_VALUE"""),"Uncle Sams Cider (11/12/2021) (Blue)")</f>
        <v>Uncle Sams Cider (11/12/2021) (Blue)</v>
      </c>
      <c r="H7799" s="19"/>
    </row>
    <row r="7800">
      <c r="A7800" s="9"/>
      <c r="B7800" s="15"/>
      <c r="C7800" s="9">
        <f>IFERROR(__xludf.DUMMYFUNCTION("""COMPUTED_VALUE"""),44523.3723697569)</f>
        <v>44523.37237</v>
      </c>
      <c r="D7800" s="15">
        <f>IFERROR(__xludf.DUMMYFUNCTION("""COMPUTED_VALUE"""),1.044)</f>
        <v>1.044</v>
      </c>
      <c r="E7800" s="16">
        <f>IFERROR(__xludf.DUMMYFUNCTION("""COMPUTED_VALUE"""),68.0)</f>
        <v>68</v>
      </c>
      <c r="F7800" s="19" t="str">
        <f>IFERROR(__xludf.DUMMYFUNCTION("""COMPUTED_VALUE"""),"BLUE")</f>
        <v>BLUE</v>
      </c>
      <c r="G7800" s="20" t="str">
        <f>IFERROR(__xludf.DUMMYFUNCTION("""COMPUTED_VALUE"""),"Uncle Sams Cider (11/12/2021) (Blue)")</f>
        <v>Uncle Sams Cider (11/12/2021) (Blue)</v>
      </c>
      <c r="H7800" s="19"/>
    </row>
    <row r="7801">
      <c r="A7801" s="9"/>
      <c r="B7801" s="15"/>
      <c r="C7801" s="9">
        <f>IFERROR(__xludf.DUMMYFUNCTION("""COMPUTED_VALUE"""),44523.3619493518)</f>
        <v>44523.36195</v>
      </c>
      <c r="D7801" s="15">
        <f>IFERROR(__xludf.DUMMYFUNCTION("""COMPUTED_VALUE"""),1.044)</f>
        <v>1.044</v>
      </c>
      <c r="E7801" s="16">
        <f>IFERROR(__xludf.DUMMYFUNCTION("""COMPUTED_VALUE"""),68.0)</f>
        <v>68</v>
      </c>
      <c r="F7801" s="19" t="str">
        <f>IFERROR(__xludf.DUMMYFUNCTION("""COMPUTED_VALUE"""),"BLUE")</f>
        <v>BLUE</v>
      </c>
      <c r="G7801" s="20" t="str">
        <f>IFERROR(__xludf.DUMMYFUNCTION("""COMPUTED_VALUE"""),"Uncle Sams Cider (11/12/2021) (Blue)")</f>
        <v>Uncle Sams Cider (11/12/2021) (Blue)</v>
      </c>
      <c r="H7801" s="19"/>
    </row>
    <row r="7802">
      <c r="A7802" s="9"/>
      <c r="B7802" s="15"/>
      <c r="C7802" s="9">
        <f>IFERROR(__xludf.DUMMYFUNCTION("""COMPUTED_VALUE"""),44523.3515280092)</f>
        <v>44523.35153</v>
      </c>
      <c r="D7802" s="15">
        <f>IFERROR(__xludf.DUMMYFUNCTION("""COMPUTED_VALUE"""),1.044)</f>
        <v>1.044</v>
      </c>
      <c r="E7802" s="16">
        <f>IFERROR(__xludf.DUMMYFUNCTION("""COMPUTED_VALUE"""),68.0)</f>
        <v>68</v>
      </c>
      <c r="F7802" s="19" t="str">
        <f>IFERROR(__xludf.DUMMYFUNCTION("""COMPUTED_VALUE"""),"BLUE")</f>
        <v>BLUE</v>
      </c>
      <c r="G7802" s="20" t="str">
        <f>IFERROR(__xludf.DUMMYFUNCTION("""COMPUTED_VALUE"""),"Uncle Sams Cider (11/12/2021) (Blue)")</f>
        <v>Uncle Sams Cider (11/12/2021) (Blue)</v>
      </c>
      <c r="H7802" s="19"/>
    </row>
    <row r="7803">
      <c r="A7803" s="9"/>
      <c r="B7803" s="15"/>
      <c r="C7803" s="9">
        <f>IFERROR(__xludf.DUMMYFUNCTION("""COMPUTED_VALUE"""),44523.3411056944)</f>
        <v>44523.34111</v>
      </c>
      <c r="D7803" s="15">
        <f>IFERROR(__xludf.DUMMYFUNCTION("""COMPUTED_VALUE"""),1.044)</f>
        <v>1.044</v>
      </c>
      <c r="E7803" s="16">
        <f>IFERROR(__xludf.DUMMYFUNCTION("""COMPUTED_VALUE"""),68.0)</f>
        <v>68</v>
      </c>
      <c r="F7803" s="19" t="str">
        <f>IFERROR(__xludf.DUMMYFUNCTION("""COMPUTED_VALUE"""),"BLUE")</f>
        <v>BLUE</v>
      </c>
      <c r="G7803" s="20" t="str">
        <f>IFERROR(__xludf.DUMMYFUNCTION("""COMPUTED_VALUE"""),"Uncle Sams Cider (11/12/2021) (Blue)")</f>
        <v>Uncle Sams Cider (11/12/2021) (Blue)</v>
      </c>
      <c r="H7803" s="19"/>
    </row>
    <row r="7804">
      <c r="A7804" s="9"/>
      <c r="B7804" s="15"/>
      <c r="C7804" s="9">
        <f>IFERROR(__xludf.DUMMYFUNCTION("""COMPUTED_VALUE"""),44523.3306839583)</f>
        <v>44523.33068</v>
      </c>
      <c r="D7804" s="15">
        <f>IFERROR(__xludf.DUMMYFUNCTION("""COMPUTED_VALUE"""),1.044)</f>
        <v>1.044</v>
      </c>
      <c r="E7804" s="16">
        <f>IFERROR(__xludf.DUMMYFUNCTION("""COMPUTED_VALUE"""),68.0)</f>
        <v>68</v>
      </c>
      <c r="F7804" s="19" t="str">
        <f>IFERROR(__xludf.DUMMYFUNCTION("""COMPUTED_VALUE"""),"BLUE")</f>
        <v>BLUE</v>
      </c>
      <c r="G7804" s="20" t="str">
        <f>IFERROR(__xludf.DUMMYFUNCTION("""COMPUTED_VALUE"""),"Uncle Sams Cider (11/12/2021) (Blue)")</f>
        <v>Uncle Sams Cider (11/12/2021) (Blue)</v>
      </c>
      <c r="H7804" s="19"/>
    </row>
    <row r="7805">
      <c r="A7805" s="9"/>
      <c r="B7805" s="15"/>
      <c r="C7805" s="9">
        <f>IFERROR(__xludf.DUMMYFUNCTION("""COMPUTED_VALUE"""),44523.3202515393)</f>
        <v>44523.32025</v>
      </c>
      <c r="D7805" s="15">
        <f>IFERROR(__xludf.DUMMYFUNCTION("""COMPUTED_VALUE"""),1.044)</f>
        <v>1.044</v>
      </c>
      <c r="E7805" s="16">
        <f>IFERROR(__xludf.DUMMYFUNCTION("""COMPUTED_VALUE"""),68.0)</f>
        <v>68</v>
      </c>
      <c r="F7805" s="19" t="str">
        <f>IFERROR(__xludf.DUMMYFUNCTION("""COMPUTED_VALUE"""),"BLUE")</f>
        <v>BLUE</v>
      </c>
      <c r="G7805" s="20" t="str">
        <f>IFERROR(__xludf.DUMMYFUNCTION("""COMPUTED_VALUE"""),"Uncle Sams Cider (11/12/2021) (Blue)")</f>
        <v>Uncle Sams Cider (11/12/2021) (Blue)</v>
      </c>
      <c r="H7805" s="19"/>
    </row>
    <row r="7806">
      <c r="A7806" s="9"/>
      <c r="B7806" s="15"/>
      <c r="C7806" s="9">
        <f>IFERROR(__xludf.DUMMYFUNCTION("""COMPUTED_VALUE"""),44523.3098285416)</f>
        <v>44523.30983</v>
      </c>
      <c r="D7806" s="15">
        <f>IFERROR(__xludf.DUMMYFUNCTION("""COMPUTED_VALUE"""),1.044)</f>
        <v>1.044</v>
      </c>
      <c r="E7806" s="16">
        <f>IFERROR(__xludf.DUMMYFUNCTION("""COMPUTED_VALUE"""),68.0)</f>
        <v>68</v>
      </c>
      <c r="F7806" s="19" t="str">
        <f>IFERROR(__xludf.DUMMYFUNCTION("""COMPUTED_VALUE"""),"BLUE")</f>
        <v>BLUE</v>
      </c>
      <c r="G7806" s="20" t="str">
        <f>IFERROR(__xludf.DUMMYFUNCTION("""COMPUTED_VALUE"""),"Uncle Sams Cider (11/12/2021) (Blue)")</f>
        <v>Uncle Sams Cider (11/12/2021) (Blue)</v>
      </c>
      <c r="H7806" s="19"/>
    </row>
    <row r="7807">
      <c r="A7807" s="9"/>
      <c r="B7807" s="15"/>
      <c r="C7807" s="9">
        <f>IFERROR(__xludf.DUMMYFUNCTION("""COMPUTED_VALUE"""),44523.2994068865)</f>
        <v>44523.29941</v>
      </c>
      <c r="D7807" s="15">
        <f>IFERROR(__xludf.DUMMYFUNCTION("""COMPUTED_VALUE"""),1.044)</f>
        <v>1.044</v>
      </c>
      <c r="E7807" s="16">
        <f>IFERROR(__xludf.DUMMYFUNCTION("""COMPUTED_VALUE"""),68.0)</f>
        <v>68</v>
      </c>
      <c r="F7807" s="19" t="str">
        <f>IFERROR(__xludf.DUMMYFUNCTION("""COMPUTED_VALUE"""),"BLUE")</f>
        <v>BLUE</v>
      </c>
      <c r="G7807" s="20" t="str">
        <f>IFERROR(__xludf.DUMMYFUNCTION("""COMPUTED_VALUE"""),"Uncle Sams Cider (11/12/2021) (Blue)")</f>
        <v>Uncle Sams Cider (11/12/2021) (Blue)</v>
      </c>
      <c r="H7807" s="19"/>
    </row>
    <row r="7808">
      <c r="A7808" s="9"/>
      <c r="B7808" s="15"/>
      <c r="C7808" s="9">
        <f>IFERROR(__xludf.DUMMYFUNCTION("""COMPUTED_VALUE"""),44523.2889857175)</f>
        <v>44523.28899</v>
      </c>
      <c r="D7808" s="15">
        <f>IFERROR(__xludf.DUMMYFUNCTION("""COMPUTED_VALUE"""),1.044)</f>
        <v>1.044</v>
      </c>
      <c r="E7808" s="16">
        <f>IFERROR(__xludf.DUMMYFUNCTION("""COMPUTED_VALUE"""),68.0)</f>
        <v>68</v>
      </c>
      <c r="F7808" s="19" t="str">
        <f>IFERROR(__xludf.DUMMYFUNCTION("""COMPUTED_VALUE"""),"BLUE")</f>
        <v>BLUE</v>
      </c>
      <c r="G7808" s="20" t="str">
        <f>IFERROR(__xludf.DUMMYFUNCTION("""COMPUTED_VALUE"""),"Uncle Sams Cider (11/12/2021) (Blue)")</f>
        <v>Uncle Sams Cider (11/12/2021) (Blue)</v>
      </c>
      <c r="H7808" s="19"/>
    </row>
    <row r="7809">
      <c r="A7809" s="9"/>
      <c r="B7809" s="15"/>
      <c r="C7809" s="9">
        <f>IFERROR(__xludf.DUMMYFUNCTION("""COMPUTED_VALUE"""),44523.2785639467)</f>
        <v>44523.27856</v>
      </c>
      <c r="D7809" s="15">
        <f>IFERROR(__xludf.DUMMYFUNCTION("""COMPUTED_VALUE"""),1.045)</f>
        <v>1.045</v>
      </c>
      <c r="E7809" s="16">
        <f>IFERROR(__xludf.DUMMYFUNCTION("""COMPUTED_VALUE"""),68.0)</f>
        <v>68</v>
      </c>
      <c r="F7809" s="19" t="str">
        <f>IFERROR(__xludf.DUMMYFUNCTION("""COMPUTED_VALUE"""),"BLUE")</f>
        <v>BLUE</v>
      </c>
      <c r="G7809" s="20" t="str">
        <f>IFERROR(__xludf.DUMMYFUNCTION("""COMPUTED_VALUE"""),"Uncle Sams Cider (11/12/2021) (Blue)")</f>
        <v>Uncle Sams Cider (11/12/2021) (Blue)</v>
      </c>
      <c r="H7809" s="19"/>
    </row>
    <row r="7810">
      <c r="A7810" s="9"/>
      <c r="B7810" s="15"/>
      <c r="C7810" s="9">
        <f>IFERROR(__xludf.DUMMYFUNCTION("""COMPUTED_VALUE"""),44523.2681423726)</f>
        <v>44523.26814</v>
      </c>
      <c r="D7810" s="15">
        <f>IFERROR(__xludf.DUMMYFUNCTION("""COMPUTED_VALUE"""),1.045)</f>
        <v>1.045</v>
      </c>
      <c r="E7810" s="16">
        <f>IFERROR(__xludf.DUMMYFUNCTION("""COMPUTED_VALUE"""),68.0)</f>
        <v>68</v>
      </c>
      <c r="F7810" s="19" t="str">
        <f>IFERROR(__xludf.DUMMYFUNCTION("""COMPUTED_VALUE"""),"BLUE")</f>
        <v>BLUE</v>
      </c>
      <c r="G7810" s="20" t="str">
        <f>IFERROR(__xludf.DUMMYFUNCTION("""COMPUTED_VALUE"""),"Uncle Sams Cider (11/12/2021) (Blue)")</f>
        <v>Uncle Sams Cider (11/12/2021) (Blue)</v>
      </c>
      <c r="H7810" s="19"/>
    </row>
    <row r="7811">
      <c r="A7811" s="9"/>
      <c r="B7811" s="15"/>
      <c r="C7811" s="9">
        <f>IFERROR(__xludf.DUMMYFUNCTION("""COMPUTED_VALUE"""),44523.2577206249)</f>
        <v>44523.25772</v>
      </c>
      <c r="D7811" s="15">
        <f>IFERROR(__xludf.DUMMYFUNCTION("""COMPUTED_VALUE"""),1.045)</f>
        <v>1.045</v>
      </c>
      <c r="E7811" s="16">
        <f>IFERROR(__xludf.DUMMYFUNCTION("""COMPUTED_VALUE"""),68.0)</f>
        <v>68</v>
      </c>
      <c r="F7811" s="19" t="str">
        <f>IFERROR(__xludf.DUMMYFUNCTION("""COMPUTED_VALUE"""),"BLUE")</f>
        <v>BLUE</v>
      </c>
      <c r="G7811" s="20" t="str">
        <f>IFERROR(__xludf.DUMMYFUNCTION("""COMPUTED_VALUE"""),"Uncle Sams Cider (11/12/2021) (Blue)")</f>
        <v>Uncle Sams Cider (11/12/2021) (Blue)</v>
      </c>
      <c r="H7811" s="19"/>
    </row>
    <row r="7812">
      <c r="A7812" s="9"/>
      <c r="B7812" s="15"/>
      <c r="C7812" s="9">
        <f>IFERROR(__xludf.DUMMYFUNCTION("""COMPUTED_VALUE"""),44523.2472997453)</f>
        <v>44523.2473</v>
      </c>
      <c r="D7812" s="15">
        <f>IFERROR(__xludf.DUMMYFUNCTION("""COMPUTED_VALUE"""),1.045)</f>
        <v>1.045</v>
      </c>
      <c r="E7812" s="16">
        <f>IFERROR(__xludf.DUMMYFUNCTION("""COMPUTED_VALUE"""),68.0)</f>
        <v>68</v>
      </c>
      <c r="F7812" s="19" t="str">
        <f>IFERROR(__xludf.DUMMYFUNCTION("""COMPUTED_VALUE"""),"BLUE")</f>
        <v>BLUE</v>
      </c>
      <c r="G7812" s="20" t="str">
        <f>IFERROR(__xludf.DUMMYFUNCTION("""COMPUTED_VALUE"""),"Uncle Sams Cider (11/12/2021) (Blue)")</f>
        <v>Uncle Sams Cider (11/12/2021) (Blue)</v>
      </c>
      <c r="H7812" s="19"/>
    </row>
    <row r="7813">
      <c r="A7813" s="9"/>
      <c r="B7813" s="15"/>
      <c r="C7813" s="9">
        <f>IFERROR(__xludf.DUMMYFUNCTION("""COMPUTED_VALUE"""),44523.2368785763)</f>
        <v>44523.23688</v>
      </c>
      <c r="D7813" s="15">
        <f>IFERROR(__xludf.DUMMYFUNCTION("""COMPUTED_VALUE"""),1.045)</f>
        <v>1.045</v>
      </c>
      <c r="E7813" s="16">
        <f>IFERROR(__xludf.DUMMYFUNCTION("""COMPUTED_VALUE"""),68.0)</f>
        <v>68</v>
      </c>
      <c r="F7813" s="19" t="str">
        <f>IFERROR(__xludf.DUMMYFUNCTION("""COMPUTED_VALUE"""),"BLUE")</f>
        <v>BLUE</v>
      </c>
      <c r="G7813" s="20" t="str">
        <f>IFERROR(__xludf.DUMMYFUNCTION("""COMPUTED_VALUE"""),"Uncle Sams Cider (11/12/2021) (Blue)")</f>
        <v>Uncle Sams Cider (11/12/2021) (Blue)</v>
      </c>
      <c r="H7813" s="19"/>
    </row>
    <row r="7814">
      <c r="A7814" s="9"/>
      <c r="B7814" s="15"/>
      <c r="C7814" s="9">
        <f>IFERROR(__xludf.DUMMYFUNCTION("""COMPUTED_VALUE"""),44523.2264582291)</f>
        <v>44523.22646</v>
      </c>
      <c r="D7814" s="15">
        <f>IFERROR(__xludf.DUMMYFUNCTION("""COMPUTED_VALUE"""),1.045)</f>
        <v>1.045</v>
      </c>
      <c r="E7814" s="16">
        <f>IFERROR(__xludf.DUMMYFUNCTION("""COMPUTED_VALUE"""),68.0)</f>
        <v>68</v>
      </c>
      <c r="F7814" s="19" t="str">
        <f>IFERROR(__xludf.DUMMYFUNCTION("""COMPUTED_VALUE"""),"BLUE")</f>
        <v>BLUE</v>
      </c>
      <c r="G7814" s="20" t="str">
        <f>IFERROR(__xludf.DUMMYFUNCTION("""COMPUTED_VALUE"""),"Uncle Sams Cider (11/12/2021) (Blue)")</f>
        <v>Uncle Sams Cider (11/12/2021) (Blue)</v>
      </c>
      <c r="H7814" s="19"/>
    </row>
    <row r="7815">
      <c r="A7815" s="9"/>
      <c r="B7815" s="15"/>
      <c r="C7815" s="9">
        <f>IFERROR(__xludf.DUMMYFUNCTION("""COMPUTED_VALUE"""),44523.2160364351)</f>
        <v>44523.21604</v>
      </c>
      <c r="D7815" s="15">
        <f>IFERROR(__xludf.DUMMYFUNCTION("""COMPUTED_VALUE"""),1.045)</f>
        <v>1.045</v>
      </c>
      <c r="E7815" s="16">
        <f>IFERROR(__xludf.DUMMYFUNCTION("""COMPUTED_VALUE"""),68.0)</f>
        <v>68</v>
      </c>
      <c r="F7815" s="19" t="str">
        <f>IFERROR(__xludf.DUMMYFUNCTION("""COMPUTED_VALUE"""),"BLUE")</f>
        <v>BLUE</v>
      </c>
      <c r="G7815" s="20" t="str">
        <f>IFERROR(__xludf.DUMMYFUNCTION("""COMPUTED_VALUE"""),"Uncle Sams Cider (11/12/2021) (Blue)")</f>
        <v>Uncle Sams Cider (11/12/2021) (Blue)</v>
      </c>
      <c r="H7815" s="19"/>
    </row>
    <row r="7816">
      <c r="A7816" s="9"/>
      <c r="B7816" s="15"/>
      <c r="C7816" s="9">
        <f>IFERROR(__xludf.DUMMYFUNCTION("""COMPUTED_VALUE"""),44523.2056151504)</f>
        <v>44523.20562</v>
      </c>
      <c r="D7816" s="15">
        <f>IFERROR(__xludf.DUMMYFUNCTION("""COMPUTED_VALUE"""),1.045)</f>
        <v>1.045</v>
      </c>
      <c r="E7816" s="16">
        <f>IFERROR(__xludf.DUMMYFUNCTION("""COMPUTED_VALUE"""),68.0)</f>
        <v>68</v>
      </c>
      <c r="F7816" s="19" t="str">
        <f>IFERROR(__xludf.DUMMYFUNCTION("""COMPUTED_VALUE"""),"BLUE")</f>
        <v>BLUE</v>
      </c>
      <c r="G7816" s="20" t="str">
        <f>IFERROR(__xludf.DUMMYFUNCTION("""COMPUTED_VALUE"""),"Uncle Sams Cider (11/12/2021) (Blue)")</f>
        <v>Uncle Sams Cider (11/12/2021) (Blue)</v>
      </c>
      <c r="H7816" s="19"/>
    </row>
    <row r="7817">
      <c r="A7817" s="9"/>
      <c r="B7817" s="15"/>
      <c r="C7817" s="9">
        <f>IFERROR(__xludf.DUMMYFUNCTION("""COMPUTED_VALUE"""),44523.1951932986)</f>
        <v>44523.19519</v>
      </c>
      <c r="D7817" s="15">
        <f>IFERROR(__xludf.DUMMYFUNCTION("""COMPUTED_VALUE"""),1.045)</f>
        <v>1.045</v>
      </c>
      <c r="E7817" s="16">
        <f>IFERROR(__xludf.DUMMYFUNCTION("""COMPUTED_VALUE"""),68.0)</f>
        <v>68</v>
      </c>
      <c r="F7817" s="19" t="str">
        <f>IFERROR(__xludf.DUMMYFUNCTION("""COMPUTED_VALUE"""),"BLUE")</f>
        <v>BLUE</v>
      </c>
      <c r="G7817" s="20" t="str">
        <f>IFERROR(__xludf.DUMMYFUNCTION("""COMPUTED_VALUE"""),"Uncle Sams Cider (11/12/2021) (Blue)")</f>
        <v>Uncle Sams Cider (11/12/2021) (Blue)</v>
      </c>
      <c r="H7817" s="19"/>
    </row>
    <row r="7818">
      <c r="A7818" s="9"/>
      <c r="B7818" s="15"/>
      <c r="C7818" s="9">
        <f>IFERROR(__xludf.DUMMYFUNCTION("""COMPUTED_VALUE"""),44523.1847733101)</f>
        <v>44523.18477</v>
      </c>
      <c r="D7818" s="15">
        <f>IFERROR(__xludf.DUMMYFUNCTION("""COMPUTED_VALUE"""),1.045)</f>
        <v>1.045</v>
      </c>
      <c r="E7818" s="16">
        <f>IFERROR(__xludf.DUMMYFUNCTION("""COMPUTED_VALUE"""),68.0)</f>
        <v>68</v>
      </c>
      <c r="F7818" s="19" t="str">
        <f>IFERROR(__xludf.DUMMYFUNCTION("""COMPUTED_VALUE"""),"BLUE")</f>
        <v>BLUE</v>
      </c>
      <c r="G7818" s="20" t="str">
        <f>IFERROR(__xludf.DUMMYFUNCTION("""COMPUTED_VALUE"""),"Uncle Sams Cider (11/12/2021) (Blue)")</f>
        <v>Uncle Sams Cider (11/12/2021) (Blue)</v>
      </c>
      <c r="H7818" s="19"/>
    </row>
    <row r="7819">
      <c r="A7819" s="9"/>
      <c r="B7819" s="15"/>
      <c r="C7819" s="9">
        <f>IFERROR(__xludf.DUMMYFUNCTION("""COMPUTED_VALUE"""),44523.1743532407)</f>
        <v>44523.17435</v>
      </c>
      <c r="D7819" s="15">
        <f>IFERROR(__xludf.DUMMYFUNCTION("""COMPUTED_VALUE"""),1.045)</f>
        <v>1.045</v>
      </c>
      <c r="E7819" s="16">
        <f>IFERROR(__xludf.DUMMYFUNCTION("""COMPUTED_VALUE"""),68.0)</f>
        <v>68</v>
      </c>
      <c r="F7819" s="19" t="str">
        <f>IFERROR(__xludf.DUMMYFUNCTION("""COMPUTED_VALUE"""),"BLUE")</f>
        <v>BLUE</v>
      </c>
      <c r="G7819" s="20" t="str">
        <f>IFERROR(__xludf.DUMMYFUNCTION("""COMPUTED_VALUE"""),"Uncle Sams Cider (11/12/2021) (Blue)")</f>
        <v>Uncle Sams Cider (11/12/2021) (Blue)</v>
      </c>
      <c r="H7819" s="19"/>
    </row>
    <row r="7820">
      <c r="A7820" s="9"/>
      <c r="B7820" s="15"/>
      <c r="C7820" s="9">
        <f>IFERROR(__xludf.DUMMYFUNCTION("""COMPUTED_VALUE"""),44523.1639322569)</f>
        <v>44523.16393</v>
      </c>
      <c r="D7820" s="15">
        <f>IFERROR(__xludf.DUMMYFUNCTION("""COMPUTED_VALUE"""),1.045)</f>
        <v>1.045</v>
      </c>
      <c r="E7820" s="16">
        <f>IFERROR(__xludf.DUMMYFUNCTION("""COMPUTED_VALUE"""),68.0)</f>
        <v>68</v>
      </c>
      <c r="F7820" s="19" t="str">
        <f>IFERROR(__xludf.DUMMYFUNCTION("""COMPUTED_VALUE"""),"BLUE")</f>
        <v>BLUE</v>
      </c>
      <c r="G7820" s="20" t="str">
        <f>IFERROR(__xludf.DUMMYFUNCTION("""COMPUTED_VALUE"""),"Uncle Sams Cider (11/12/2021) (Blue)")</f>
        <v>Uncle Sams Cider (11/12/2021) (Blue)</v>
      </c>
      <c r="H7820" s="19"/>
    </row>
    <row r="7821">
      <c r="A7821" s="9"/>
      <c r="B7821" s="15"/>
      <c r="C7821" s="9">
        <f>IFERROR(__xludf.DUMMYFUNCTION("""COMPUTED_VALUE"""),44523.153511412)</f>
        <v>44523.15351</v>
      </c>
      <c r="D7821" s="15">
        <f>IFERROR(__xludf.DUMMYFUNCTION("""COMPUTED_VALUE"""),1.045)</f>
        <v>1.045</v>
      </c>
      <c r="E7821" s="16">
        <f>IFERROR(__xludf.DUMMYFUNCTION("""COMPUTED_VALUE"""),68.0)</f>
        <v>68</v>
      </c>
      <c r="F7821" s="19" t="str">
        <f>IFERROR(__xludf.DUMMYFUNCTION("""COMPUTED_VALUE"""),"BLUE")</f>
        <v>BLUE</v>
      </c>
      <c r="G7821" s="20" t="str">
        <f>IFERROR(__xludf.DUMMYFUNCTION("""COMPUTED_VALUE"""),"Uncle Sams Cider (11/12/2021) (Blue)")</f>
        <v>Uncle Sams Cider (11/12/2021) (Blue)</v>
      </c>
      <c r="H7821" s="19"/>
    </row>
    <row r="7822">
      <c r="A7822" s="9"/>
      <c r="B7822" s="15"/>
      <c r="C7822" s="9">
        <f>IFERROR(__xludf.DUMMYFUNCTION("""COMPUTED_VALUE"""),44523.1430918518)</f>
        <v>44523.14309</v>
      </c>
      <c r="D7822" s="15">
        <f>IFERROR(__xludf.DUMMYFUNCTION("""COMPUTED_VALUE"""),1.045)</f>
        <v>1.045</v>
      </c>
      <c r="E7822" s="16">
        <f>IFERROR(__xludf.DUMMYFUNCTION("""COMPUTED_VALUE"""),68.0)</f>
        <v>68</v>
      </c>
      <c r="F7822" s="19" t="str">
        <f>IFERROR(__xludf.DUMMYFUNCTION("""COMPUTED_VALUE"""),"BLUE")</f>
        <v>BLUE</v>
      </c>
      <c r="G7822" s="20" t="str">
        <f>IFERROR(__xludf.DUMMYFUNCTION("""COMPUTED_VALUE"""),"Uncle Sams Cider (11/12/2021) (Blue)")</f>
        <v>Uncle Sams Cider (11/12/2021) (Blue)</v>
      </c>
      <c r="H7822" s="19"/>
    </row>
    <row r="7823">
      <c r="A7823" s="9"/>
      <c r="B7823" s="15"/>
      <c r="C7823" s="9">
        <f>IFERROR(__xludf.DUMMYFUNCTION("""COMPUTED_VALUE"""),44523.1326712615)</f>
        <v>44523.13267</v>
      </c>
      <c r="D7823" s="15">
        <f>IFERROR(__xludf.DUMMYFUNCTION("""COMPUTED_VALUE"""),1.045)</f>
        <v>1.045</v>
      </c>
      <c r="E7823" s="16">
        <f>IFERROR(__xludf.DUMMYFUNCTION("""COMPUTED_VALUE"""),68.0)</f>
        <v>68</v>
      </c>
      <c r="F7823" s="19" t="str">
        <f>IFERROR(__xludf.DUMMYFUNCTION("""COMPUTED_VALUE"""),"BLUE")</f>
        <v>BLUE</v>
      </c>
      <c r="G7823" s="20" t="str">
        <f>IFERROR(__xludf.DUMMYFUNCTION("""COMPUTED_VALUE"""),"Uncle Sams Cider (11/12/2021) (Blue)")</f>
        <v>Uncle Sams Cider (11/12/2021) (Blue)</v>
      </c>
      <c r="H7823" s="19"/>
    </row>
    <row r="7824">
      <c r="A7824" s="9"/>
      <c r="B7824" s="15"/>
      <c r="C7824" s="9">
        <f>IFERROR(__xludf.DUMMYFUNCTION("""COMPUTED_VALUE"""),44523.1222525347)</f>
        <v>44523.12225</v>
      </c>
      <c r="D7824" s="15">
        <f>IFERROR(__xludf.DUMMYFUNCTION("""COMPUTED_VALUE"""),1.045)</f>
        <v>1.045</v>
      </c>
      <c r="E7824" s="16">
        <f>IFERROR(__xludf.DUMMYFUNCTION("""COMPUTED_VALUE"""),68.0)</f>
        <v>68</v>
      </c>
      <c r="F7824" s="19" t="str">
        <f>IFERROR(__xludf.DUMMYFUNCTION("""COMPUTED_VALUE"""),"BLUE")</f>
        <v>BLUE</v>
      </c>
      <c r="G7824" s="20" t="str">
        <f>IFERROR(__xludf.DUMMYFUNCTION("""COMPUTED_VALUE"""),"Uncle Sams Cider (11/12/2021) (Blue)")</f>
        <v>Uncle Sams Cider (11/12/2021) (Blue)</v>
      </c>
      <c r="H7824" s="19"/>
    </row>
    <row r="7825">
      <c r="A7825" s="9"/>
      <c r="B7825" s="15"/>
      <c r="C7825" s="9">
        <f>IFERROR(__xludf.DUMMYFUNCTION("""COMPUTED_VALUE"""),44523.1118307175)</f>
        <v>44523.11183</v>
      </c>
      <c r="D7825" s="15">
        <f>IFERROR(__xludf.DUMMYFUNCTION("""COMPUTED_VALUE"""),1.045)</f>
        <v>1.045</v>
      </c>
      <c r="E7825" s="16">
        <f>IFERROR(__xludf.DUMMYFUNCTION("""COMPUTED_VALUE"""),68.0)</f>
        <v>68</v>
      </c>
      <c r="F7825" s="19" t="str">
        <f>IFERROR(__xludf.DUMMYFUNCTION("""COMPUTED_VALUE"""),"BLUE")</f>
        <v>BLUE</v>
      </c>
      <c r="G7825" s="20" t="str">
        <f>IFERROR(__xludf.DUMMYFUNCTION("""COMPUTED_VALUE"""),"Uncle Sams Cider (11/12/2021) (Blue)")</f>
        <v>Uncle Sams Cider (11/12/2021) (Blue)</v>
      </c>
      <c r="H7825" s="19"/>
    </row>
    <row r="7826">
      <c r="A7826" s="9"/>
      <c r="B7826" s="15"/>
      <c r="C7826" s="9">
        <f>IFERROR(__xludf.DUMMYFUNCTION("""COMPUTED_VALUE"""),44523.1014123148)</f>
        <v>44523.10141</v>
      </c>
      <c r="D7826" s="15">
        <f>IFERROR(__xludf.DUMMYFUNCTION("""COMPUTED_VALUE"""),1.045)</f>
        <v>1.045</v>
      </c>
      <c r="E7826" s="16">
        <f>IFERROR(__xludf.DUMMYFUNCTION("""COMPUTED_VALUE"""),68.0)</f>
        <v>68</v>
      </c>
      <c r="F7826" s="19" t="str">
        <f>IFERROR(__xludf.DUMMYFUNCTION("""COMPUTED_VALUE"""),"BLUE")</f>
        <v>BLUE</v>
      </c>
      <c r="G7826" s="20" t="str">
        <f>IFERROR(__xludf.DUMMYFUNCTION("""COMPUTED_VALUE"""),"Uncle Sams Cider (11/12/2021) (Blue)")</f>
        <v>Uncle Sams Cider (11/12/2021) (Blue)</v>
      </c>
      <c r="H7826" s="19"/>
    </row>
    <row r="7827">
      <c r="A7827" s="9"/>
      <c r="B7827" s="15"/>
      <c r="C7827" s="9">
        <f>IFERROR(__xludf.DUMMYFUNCTION("""COMPUTED_VALUE"""),44523.0909917476)</f>
        <v>44523.09099</v>
      </c>
      <c r="D7827" s="15">
        <f>IFERROR(__xludf.DUMMYFUNCTION("""COMPUTED_VALUE"""),1.045)</f>
        <v>1.045</v>
      </c>
      <c r="E7827" s="16">
        <f>IFERROR(__xludf.DUMMYFUNCTION("""COMPUTED_VALUE"""),68.0)</f>
        <v>68</v>
      </c>
      <c r="F7827" s="19" t="str">
        <f>IFERROR(__xludf.DUMMYFUNCTION("""COMPUTED_VALUE"""),"BLUE")</f>
        <v>BLUE</v>
      </c>
      <c r="G7827" s="20" t="str">
        <f>IFERROR(__xludf.DUMMYFUNCTION("""COMPUTED_VALUE"""),"Uncle Sams Cider (11/12/2021) (Blue)")</f>
        <v>Uncle Sams Cider (11/12/2021) (Blue)</v>
      </c>
      <c r="H7827" s="19"/>
    </row>
    <row r="7828">
      <c r="A7828" s="9"/>
      <c r="B7828" s="15"/>
      <c r="C7828" s="9">
        <f>IFERROR(__xludf.DUMMYFUNCTION("""COMPUTED_VALUE"""),44523.0805701388)</f>
        <v>44523.08057</v>
      </c>
      <c r="D7828" s="15">
        <f>IFERROR(__xludf.DUMMYFUNCTION("""COMPUTED_VALUE"""),1.045)</f>
        <v>1.045</v>
      </c>
      <c r="E7828" s="16">
        <f>IFERROR(__xludf.DUMMYFUNCTION("""COMPUTED_VALUE"""),68.0)</f>
        <v>68</v>
      </c>
      <c r="F7828" s="19" t="str">
        <f>IFERROR(__xludf.DUMMYFUNCTION("""COMPUTED_VALUE"""),"BLUE")</f>
        <v>BLUE</v>
      </c>
      <c r="G7828" s="20" t="str">
        <f>IFERROR(__xludf.DUMMYFUNCTION("""COMPUTED_VALUE"""),"Uncle Sams Cider (11/12/2021) (Blue)")</f>
        <v>Uncle Sams Cider (11/12/2021) (Blue)</v>
      </c>
      <c r="H7828" s="19"/>
    </row>
    <row r="7829">
      <c r="A7829" s="9"/>
      <c r="B7829" s="15"/>
      <c r="C7829" s="9">
        <f>IFERROR(__xludf.DUMMYFUNCTION("""COMPUTED_VALUE"""),44523.0701370717)</f>
        <v>44523.07014</v>
      </c>
      <c r="D7829" s="15">
        <f>IFERROR(__xludf.DUMMYFUNCTION("""COMPUTED_VALUE"""),1.045)</f>
        <v>1.045</v>
      </c>
      <c r="E7829" s="16">
        <f>IFERROR(__xludf.DUMMYFUNCTION("""COMPUTED_VALUE"""),68.0)</f>
        <v>68</v>
      </c>
      <c r="F7829" s="19" t="str">
        <f>IFERROR(__xludf.DUMMYFUNCTION("""COMPUTED_VALUE"""),"BLUE")</f>
        <v>BLUE</v>
      </c>
      <c r="G7829" s="20" t="str">
        <f>IFERROR(__xludf.DUMMYFUNCTION("""COMPUTED_VALUE"""),"Uncle Sams Cider (11/12/2021) (Blue)")</f>
        <v>Uncle Sams Cider (11/12/2021) (Blue)</v>
      </c>
      <c r="H7829" s="19"/>
    </row>
    <row r="7830">
      <c r="A7830" s="9"/>
      <c r="B7830" s="15"/>
      <c r="C7830" s="9">
        <f>IFERROR(__xludf.DUMMYFUNCTION("""COMPUTED_VALUE"""),44523.0597166666)</f>
        <v>44523.05972</v>
      </c>
      <c r="D7830" s="15">
        <f>IFERROR(__xludf.DUMMYFUNCTION("""COMPUTED_VALUE"""),1.045)</f>
        <v>1.045</v>
      </c>
      <c r="E7830" s="16">
        <f>IFERROR(__xludf.DUMMYFUNCTION("""COMPUTED_VALUE"""),68.0)</f>
        <v>68</v>
      </c>
      <c r="F7830" s="19" t="str">
        <f>IFERROR(__xludf.DUMMYFUNCTION("""COMPUTED_VALUE"""),"BLUE")</f>
        <v>BLUE</v>
      </c>
      <c r="G7830" s="20" t="str">
        <f>IFERROR(__xludf.DUMMYFUNCTION("""COMPUTED_VALUE"""),"Uncle Sams Cider (11/12/2021) (Blue)")</f>
        <v>Uncle Sams Cider (11/12/2021) (Blue)</v>
      </c>
      <c r="H7830" s="19"/>
    </row>
    <row r="7831">
      <c r="A7831" s="9"/>
      <c r="B7831" s="15"/>
      <c r="C7831" s="9">
        <f>IFERROR(__xludf.DUMMYFUNCTION("""COMPUTED_VALUE"""),44523.049284537)</f>
        <v>44523.04928</v>
      </c>
      <c r="D7831" s="15">
        <f>IFERROR(__xludf.DUMMYFUNCTION("""COMPUTED_VALUE"""),1.045)</f>
        <v>1.045</v>
      </c>
      <c r="E7831" s="16">
        <f>IFERROR(__xludf.DUMMYFUNCTION("""COMPUTED_VALUE"""),68.0)</f>
        <v>68</v>
      </c>
      <c r="F7831" s="19" t="str">
        <f>IFERROR(__xludf.DUMMYFUNCTION("""COMPUTED_VALUE"""),"BLUE")</f>
        <v>BLUE</v>
      </c>
      <c r="G7831" s="20" t="str">
        <f>IFERROR(__xludf.DUMMYFUNCTION("""COMPUTED_VALUE"""),"Uncle Sams Cider (11/12/2021) (Blue)")</f>
        <v>Uncle Sams Cider (11/12/2021) (Blue)</v>
      </c>
      <c r="H7831" s="19"/>
    </row>
    <row r="7832">
      <c r="A7832" s="9"/>
      <c r="B7832" s="15"/>
      <c r="C7832" s="9">
        <f>IFERROR(__xludf.DUMMYFUNCTION("""COMPUTED_VALUE"""),44523.0388628703)</f>
        <v>44523.03886</v>
      </c>
      <c r="D7832" s="15">
        <f>IFERROR(__xludf.DUMMYFUNCTION("""COMPUTED_VALUE"""),1.045)</f>
        <v>1.045</v>
      </c>
      <c r="E7832" s="16">
        <f>IFERROR(__xludf.DUMMYFUNCTION("""COMPUTED_VALUE"""),68.0)</f>
        <v>68</v>
      </c>
      <c r="F7832" s="19" t="str">
        <f>IFERROR(__xludf.DUMMYFUNCTION("""COMPUTED_VALUE"""),"BLUE")</f>
        <v>BLUE</v>
      </c>
      <c r="G7832" s="20" t="str">
        <f>IFERROR(__xludf.DUMMYFUNCTION("""COMPUTED_VALUE"""),"Uncle Sams Cider (11/12/2021) (Blue)")</f>
        <v>Uncle Sams Cider (11/12/2021) (Blue)</v>
      </c>
      <c r="H7832" s="19"/>
    </row>
    <row r="7833">
      <c r="A7833" s="9"/>
      <c r="B7833" s="15"/>
      <c r="C7833" s="9">
        <f>IFERROR(__xludf.DUMMYFUNCTION("""COMPUTED_VALUE"""),44523.028431412)</f>
        <v>44523.02843</v>
      </c>
      <c r="D7833" s="15">
        <f>IFERROR(__xludf.DUMMYFUNCTION("""COMPUTED_VALUE"""),1.046)</f>
        <v>1.046</v>
      </c>
      <c r="E7833" s="16">
        <f>IFERROR(__xludf.DUMMYFUNCTION("""COMPUTED_VALUE"""),68.0)</f>
        <v>68</v>
      </c>
      <c r="F7833" s="19" t="str">
        <f>IFERROR(__xludf.DUMMYFUNCTION("""COMPUTED_VALUE"""),"BLUE")</f>
        <v>BLUE</v>
      </c>
      <c r="G7833" s="20" t="str">
        <f>IFERROR(__xludf.DUMMYFUNCTION("""COMPUTED_VALUE"""),"Uncle Sams Cider (11/12/2021) (Blue)")</f>
        <v>Uncle Sams Cider (11/12/2021) (Blue)</v>
      </c>
      <c r="H7833" s="19"/>
    </row>
    <row r="7834">
      <c r="A7834" s="9"/>
      <c r="B7834" s="15"/>
      <c r="C7834" s="9">
        <f>IFERROR(__xludf.DUMMYFUNCTION("""COMPUTED_VALUE"""),44523.0180112384)</f>
        <v>44523.01801</v>
      </c>
      <c r="D7834" s="15">
        <f>IFERROR(__xludf.DUMMYFUNCTION("""COMPUTED_VALUE"""),1.046)</f>
        <v>1.046</v>
      </c>
      <c r="E7834" s="16">
        <f>IFERROR(__xludf.DUMMYFUNCTION("""COMPUTED_VALUE"""),68.0)</f>
        <v>68</v>
      </c>
      <c r="F7834" s="19" t="str">
        <f>IFERROR(__xludf.DUMMYFUNCTION("""COMPUTED_VALUE"""),"BLUE")</f>
        <v>BLUE</v>
      </c>
      <c r="G7834" s="20" t="str">
        <f>IFERROR(__xludf.DUMMYFUNCTION("""COMPUTED_VALUE"""),"Uncle Sams Cider (11/12/2021) (Blue)")</f>
        <v>Uncle Sams Cider (11/12/2021) (Blue)</v>
      </c>
      <c r="H7834" s="19"/>
    </row>
    <row r="7835">
      <c r="A7835" s="9"/>
      <c r="B7835" s="15"/>
      <c r="C7835" s="9">
        <f>IFERROR(__xludf.DUMMYFUNCTION("""COMPUTED_VALUE"""),44523.0075892013)</f>
        <v>44523.00759</v>
      </c>
      <c r="D7835" s="15">
        <f>IFERROR(__xludf.DUMMYFUNCTION("""COMPUTED_VALUE"""),1.046)</f>
        <v>1.046</v>
      </c>
      <c r="E7835" s="16">
        <f>IFERROR(__xludf.DUMMYFUNCTION("""COMPUTED_VALUE"""),68.0)</f>
        <v>68</v>
      </c>
      <c r="F7835" s="19" t="str">
        <f>IFERROR(__xludf.DUMMYFUNCTION("""COMPUTED_VALUE"""),"BLUE")</f>
        <v>BLUE</v>
      </c>
      <c r="G7835" s="20" t="str">
        <f>IFERROR(__xludf.DUMMYFUNCTION("""COMPUTED_VALUE"""),"Uncle Sams Cider (11/12/2021) (Blue)")</f>
        <v>Uncle Sams Cider (11/12/2021) (Blue)</v>
      </c>
      <c r="H7835" s="19"/>
    </row>
    <row r="7836">
      <c r="A7836" s="9"/>
      <c r="B7836" s="15"/>
      <c r="C7836" s="9">
        <f>IFERROR(__xludf.DUMMYFUNCTION("""COMPUTED_VALUE"""),44522.9971697569)</f>
        <v>44522.99717</v>
      </c>
      <c r="D7836" s="15">
        <f>IFERROR(__xludf.DUMMYFUNCTION("""COMPUTED_VALUE"""),1.046)</f>
        <v>1.046</v>
      </c>
      <c r="E7836" s="16">
        <f>IFERROR(__xludf.DUMMYFUNCTION("""COMPUTED_VALUE"""),68.0)</f>
        <v>68</v>
      </c>
      <c r="F7836" s="19" t="str">
        <f>IFERROR(__xludf.DUMMYFUNCTION("""COMPUTED_VALUE"""),"BLUE")</f>
        <v>BLUE</v>
      </c>
      <c r="G7836" s="20" t="str">
        <f>IFERROR(__xludf.DUMMYFUNCTION("""COMPUTED_VALUE"""),"Uncle Sams Cider (11/12/2021) (Blue)")</f>
        <v>Uncle Sams Cider (11/12/2021) (Blue)</v>
      </c>
      <c r="H7836" s="19"/>
    </row>
    <row r="7837">
      <c r="A7837" s="9"/>
      <c r="B7837" s="15"/>
      <c r="C7837" s="9">
        <f>IFERROR(__xludf.DUMMYFUNCTION("""COMPUTED_VALUE"""),44522.9867494212)</f>
        <v>44522.98675</v>
      </c>
      <c r="D7837" s="15">
        <f>IFERROR(__xludf.DUMMYFUNCTION("""COMPUTED_VALUE"""),1.046)</f>
        <v>1.046</v>
      </c>
      <c r="E7837" s="16">
        <f>IFERROR(__xludf.DUMMYFUNCTION("""COMPUTED_VALUE"""),68.0)</f>
        <v>68</v>
      </c>
      <c r="F7837" s="19" t="str">
        <f>IFERROR(__xludf.DUMMYFUNCTION("""COMPUTED_VALUE"""),"BLUE")</f>
        <v>BLUE</v>
      </c>
      <c r="G7837" s="20" t="str">
        <f>IFERROR(__xludf.DUMMYFUNCTION("""COMPUTED_VALUE"""),"Uncle Sams Cider (11/12/2021) (Blue)")</f>
        <v>Uncle Sams Cider (11/12/2021) (Blue)</v>
      </c>
      <c r="H7837" s="19"/>
    </row>
    <row r="7838">
      <c r="A7838" s="9"/>
      <c r="B7838" s="15"/>
      <c r="C7838" s="9">
        <f>IFERROR(__xludf.DUMMYFUNCTION("""COMPUTED_VALUE"""),44522.9763259606)</f>
        <v>44522.97633</v>
      </c>
      <c r="D7838" s="15">
        <f>IFERROR(__xludf.DUMMYFUNCTION("""COMPUTED_VALUE"""),1.046)</f>
        <v>1.046</v>
      </c>
      <c r="E7838" s="16">
        <f>IFERROR(__xludf.DUMMYFUNCTION("""COMPUTED_VALUE"""),68.0)</f>
        <v>68</v>
      </c>
      <c r="F7838" s="19" t="str">
        <f>IFERROR(__xludf.DUMMYFUNCTION("""COMPUTED_VALUE"""),"BLUE")</f>
        <v>BLUE</v>
      </c>
      <c r="G7838" s="20" t="str">
        <f>IFERROR(__xludf.DUMMYFUNCTION("""COMPUTED_VALUE"""),"Uncle Sams Cider (11/12/2021) (Blue)")</f>
        <v>Uncle Sams Cider (11/12/2021) (Blue)</v>
      </c>
      <c r="H7838" s="19"/>
    </row>
    <row r="7839">
      <c r="A7839" s="9"/>
      <c r="B7839" s="15"/>
      <c r="C7839" s="9">
        <f>IFERROR(__xludf.DUMMYFUNCTION("""COMPUTED_VALUE"""),44522.9659050115)</f>
        <v>44522.96591</v>
      </c>
      <c r="D7839" s="15">
        <f>IFERROR(__xludf.DUMMYFUNCTION("""COMPUTED_VALUE"""),1.046)</f>
        <v>1.046</v>
      </c>
      <c r="E7839" s="16">
        <f>IFERROR(__xludf.DUMMYFUNCTION("""COMPUTED_VALUE"""),68.0)</f>
        <v>68</v>
      </c>
      <c r="F7839" s="19" t="str">
        <f>IFERROR(__xludf.DUMMYFUNCTION("""COMPUTED_VALUE"""),"BLUE")</f>
        <v>BLUE</v>
      </c>
      <c r="G7839" s="20" t="str">
        <f>IFERROR(__xludf.DUMMYFUNCTION("""COMPUTED_VALUE"""),"Uncle Sams Cider (11/12/2021) (Blue)")</f>
        <v>Uncle Sams Cider (11/12/2021) (Blue)</v>
      </c>
      <c r="H7839" s="19"/>
    </row>
    <row r="7840">
      <c r="A7840" s="9"/>
      <c r="B7840" s="15"/>
      <c r="C7840" s="9">
        <f>IFERROR(__xludf.DUMMYFUNCTION("""COMPUTED_VALUE"""),44522.9554859606)</f>
        <v>44522.95549</v>
      </c>
      <c r="D7840" s="15">
        <f>IFERROR(__xludf.DUMMYFUNCTION("""COMPUTED_VALUE"""),1.046)</f>
        <v>1.046</v>
      </c>
      <c r="E7840" s="16">
        <f>IFERROR(__xludf.DUMMYFUNCTION("""COMPUTED_VALUE"""),68.0)</f>
        <v>68</v>
      </c>
      <c r="F7840" s="19" t="str">
        <f>IFERROR(__xludf.DUMMYFUNCTION("""COMPUTED_VALUE"""),"BLUE")</f>
        <v>BLUE</v>
      </c>
      <c r="G7840" s="20" t="str">
        <f>IFERROR(__xludf.DUMMYFUNCTION("""COMPUTED_VALUE"""),"Uncle Sams Cider (11/12/2021) (Blue)")</f>
        <v>Uncle Sams Cider (11/12/2021) (Blue)</v>
      </c>
      <c r="H7840" s="19"/>
    </row>
    <row r="7841">
      <c r="A7841" s="9"/>
      <c r="B7841" s="15"/>
      <c r="C7841" s="9">
        <f>IFERROR(__xludf.DUMMYFUNCTION("""COMPUTED_VALUE"""),44522.9450662499)</f>
        <v>44522.94507</v>
      </c>
      <c r="D7841" s="15">
        <f>IFERROR(__xludf.DUMMYFUNCTION("""COMPUTED_VALUE"""),1.046)</f>
        <v>1.046</v>
      </c>
      <c r="E7841" s="16">
        <f>IFERROR(__xludf.DUMMYFUNCTION("""COMPUTED_VALUE"""),68.0)</f>
        <v>68</v>
      </c>
      <c r="F7841" s="19" t="str">
        <f>IFERROR(__xludf.DUMMYFUNCTION("""COMPUTED_VALUE"""),"BLUE")</f>
        <v>BLUE</v>
      </c>
      <c r="G7841" s="20" t="str">
        <f>IFERROR(__xludf.DUMMYFUNCTION("""COMPUTED_VALUE"""),"Uncle Sams Cider (11/12/2021) (Blue)")</f>
        <v>Uncle Sams Cider (11/12/2021) (Blue)</v>
      </c>
      <c r="H7841" s="19"/>
    </row>
    <row r="7842">
      <c r="A7842" s="9"/>
      <c r="B7842" s="15"/>
      <c r="C7842" s="9">
        <f>IFERROR(__xludf.DUMMYFUNCTION("""COMPUTED_VALUE"""),44522.93464478)</f>
        <v>44522.93464</v>
      </c>
      <c r="D7842" s="15">
        <f>IFERROR(__xludf.DUMMYFUNCTION("""COMPUTED_VALUE"""),1.046)</f>
        <v>1.046</v>
      </c>
      <c r="E7842" s="16">
        <f>IFERROR(__xludf.DUMMYFUNCTION("""COMPUTED_VALUE"""),68.0)</f>
        <v>68</v>
      </c>
      <c r="F7842" s="19" t="str">
        <f>IFERROR(__xludf.DUMMYFUNCTION("""COMPUTED_VALUE"""),"BLUE")</f>
        <v>BLUE</v>
      </c>
      <c r="G7842" s="20" t="str">
        <f>IFERROR(__xludf.DUMMYFUNCTION("""COMPUTED_VALUE"""),"Uncle Sams Cider (11/12/2021) (Blue)")</f>
        <v>Uncle Sams Cider (11/12/2021) (Blue)</v>
      </c>
      <c r="H7842" s="19"/>
    </row>
    <row r="7843">
      <c r="A7843" s="9"/>
      <c r="B7843" s="15"/>
      <c r="C7843" s="9">
        <f>IFERROR(__xludf.DUMMYFUNCTION("""COMPUTED_VALUE"""),44522.9242220717)</f>
        <v>44522.92422</v>
      </c>
      <c r="D7843" s="15">
        <f>IFERROR(__xludf.DUMMYFUNCTION("""COMPUTED_VALUE"""),1.046)</f>
        <v>1.046</v>
      </c>
      <c r="E7843" s="16">
        <f>IFERROR(__xludf.DUMMYFUNCTION("""COMPUTED_VALUE"""),68.0)</f>
        <v>68</v>
      </c>
      <c r="F7843" s="19" t="str">
        <f>IFERROR(__xludf.DUMMYFUNCTION("""COMPUTED_VALUE"""),"BLUE")</f>
        <v>BLUE</v>
      </c>
      <c r="G7843" s="20" t="str">
        <f>IFERROR(__xludf.DUMMYFUNCTION("""COMPUTED_VALUE"""),"Uncle Sams Cider (11/12/2021) (Blue)")</f>
        <v>Uncle Sams Cider (11/12/2021) (Blue)</v>
      </c>
      <c r="H7843" s="19"/>
    </row>
    <row r="7844">
      <c r="A7844" s="9"/>
      <c r="B7844" s="15"/>
      <c r="C7844" s="9">
        <f>IFERROR(__xludf.DUMMYFUNCTION("""COMPUTED_VALUE"""),44522.9137894444)</f>
        <v>44522.91379</v>
      </c>
      <c r="D7844" s="15">
        <f>IFERROR(__xludf.DUMMYFUNCTION("""COMPUTED_VALUE"""),1.046)</f>
        <v>1.046</v>
      </c>
      <c r="E7844" s="16">
        <f>IFERROR(__xludf.DUMMYFUNCTION("""COMPUTED_VALUE"""),68.0)</f>
        <v>68</v>
      </c>
      <c r="F7844" s="19" t="str">
        <f>IFERROR(__xludf.DUMMYFUNCTION("""COMPUTED_VALUE"""),"BLUE")</f>
        <v>BLUE</v>
      </c>
      <c r="G7844" s="20" t="str">
        <f>IFERROR(__xludf.DUMMYFUNCTION("""COMPUTED_VALUE"""),"Uncle Sams Cider (11/12/2021) (Blue)")</f>
        <v>Uncle Sams Cider (11/12/2021) (Blue)</v>
      </c>
      <c r="H7844" s="19"/>
    </row>
    <row r="7845">
      <c r="A7845" s="9"/>
      <c r="B7845" s="15"/>
      <c r="C7845" s="9">
        <f>IFERROR(__xludf.DUMMYFUNCTION("""COMPUTED_VALUE"""),44522.9033691203)</f>
        <v>44522.90337</v>
      </c>
      <c r="D7845" s="15">
        <f>IFERROR(__xludf.DUMMYFUNCTION("""COMPUTED_VALUE"""),1.046)</f>
        <v>1.046</v>
      </c>
      <c r="E7845" s="16">
        <f>IFERROR(__xludf.DUMMYFUNCTION("""COMPUTED_VALUE"""),68.0)</f>
        <v>68</v>
      </c>
      <c r="F7845" s="19" t="str">
        <f>IFERROR(__xludf.DUMMYFUNCTION("""COMPUTED_VALUE"""),"BLUE")</f>
        <v>BLUE</v>
      </c>
      <c r="G7845" s="20" t="str">
        <f>IFERROR(__xludf.DUMMYFUNCTION("""COMPUTED_VALUE"""),"Uncle Sams Cider (11/12/2021) (Blue)")</f>
        <v>Uncle Sams Cider (11/12/2021) (Blue)</v>
      </c>
      <c r="H7845" s="19"/>
    </row>
    <row r="7846">
      <c r="A7846" s="9"/>
      <c r="B7846" s="15"/>
      <c r="C7846" s="9">
        <f>IFERROR(__xludf.DUMMYFUNCTION("""COMPUTED_VALUE"""),44522.8929480671)</f>
        <v>44522.89295</v>
      </c>
      <c r="D7846" s="15">
        <f>IFERROR(__xludf.DUMMYFUNCTION("""COMPUTED_VALUE"""),1.046)</f>
        <v>1.046</v>
      </c>
      <c r="E7846" s="16">
        <f>IFERROR(__xludf.DUMMYFUNCTION("""COMPUTED_VALUE"""),68.0)</f>
        <v>68</v>
      </c>
      <c r="F7846" s="19" t="str">
        <f>IFERROR(__xludf.DUMMYFUNCTION("""COMPUTED_VALUE"""),"BLUE")</f>
        <v>BLUE</v>
      </c>
      <c r="G7846" s="20" t="str">
        <f>IFERROR(__xludf.DUMMYFUNCTION("""COMPUTED_VALUE"""),"Uncle Sams Cider (11/12/2021) (Blue)")</f>
        <v>Uncle Sams Cider (11/12/2021) (Blue)</v>
      </c>
      <c r="H7846" s="19"/>
    </row>
    <row r="7847">
      <c r="A7847" s="9"/>
      <c r="B7847" s="15"/>
      <c r="C7847" s="9">
        <f>IFERROR(__xludf.DUMMYFUNCTION("""COMPUTED_VALUE"""),44522.8825275)</f>
        <v>44522.88253</v>
      </c>
      <c r="D7847" s="15">
        <f>IFERROR(__xludf.DUMMYFUNCTION("""COMPUTED_VALUE"""),1.046)</f>
        <v>1.046</v>
      </c>
      <c r="E7847" s="16">
        <f>IFERROR(__xludf.DUMMYFUNCTION("""COMPUTED_VALUE"""),68.0)</f>
        <v>68</v>
      </c>
      <c r="F7847" s="19" t="str">
        <f>IFERROR(__xludf.DUMMYFUNCTION("""COMPUTED_VALUE"""),"BLUE")</f>
        <v>BLUE</v>
      </c>
      <c r="G7847" s="20" t="str">
        <f>IFERROR(__xludf.DUMMYFUNCTION("""COMPUTED_VALUE"""),"Uncle Sams Cider (11/12/2021) (Blue)")</f>
        <v>Uncle Sams Cider (11/12/2021) (Blue)</v>
      </c>
      <c r="H7847" s="19"/>
    </row>
    <row r="7848">
      <c r="A7848" s="9"/>
      <c r="B7848" s="15"/>
      <c r="C7848" s="9">
        <f>IFERROR(__xludf.DUMMYFUNCTION("""COMPUTED_VALUE"""),44522.8721067245)</f>
        <v>44522.87211</v>
      </c>
      <c r="D7848" s="15">
        <f>IFERROR(__xludf.DUMMYFUNCTION("""COMPUTED_VALUE"""),1.046)</f>
        <v>1.046</v>
      </c>
      <c r="E7848" s="16">
        <f>IFERROR(__xludf.DUMMYFUNCTION("""COMPUTED_VALUE"""),68.0)</f>
        <v>68</v>
      </c>
      <c r="F7848" s="19" t="str">
        <f>IFERROR(__xludf.DUMMYFUNCTION("""COMPUTED_VALUE"""),"BLUE")</f>
        <v>BLUE</v>
      </c>
      <c r="G7848" s="20" t="str">
        <f>IFERROR(__xludf.DUMMYFUNCTION("""COMPUTED_VALUE"""),"Uncle Sams Cider (11/12/2021) (Blue)")</f>
        <v>Uncle Sams Cider (11/12/2021) (Blue)</v>
      </c>
      <c r="H7848" s="19"/>
    </row>
    <row r="7849">
      <c r="A7849" s="9"/>
      <c r="B7849" s="15"/>
      <c r="C7849" s="9">
        <f>IFERROR(__xludf.DUMMYFUNCTION("""COMPUTED_VALUE"""),44522.8616872222)</f>
        <v>44522.86169</v>
      </c>
      <c r="D7849" s="15">
        <f>IFERROR(__xludf.DUMMYFUNCTION("""COMPUTED_VALUE"""),1.046)</f>
        <v>1.046</v>
      </c>
      <c r="E7849" s="16">
        <f>IFERROR(__xludf.DUMMYFUNCTION("""COMPUTED_VALUE"""),68.0)</f>
        <v>68</v>
      </c>
      <c r="F7849" s="19" t="str">
        <f>IFERROR(__xludf.DUMMYFUNCTION("""COMPUTED_VALUE"""),"BLUE")</f>
        <v>BLUE</v>
      </c>
      <c r="G7849" s="20" t="str">
        <f>IFERROR(__xludf.DUMMYFUNCTION("""COMPUTED_VALUE"""),"Uncle Sams Cider (11/12/2021) (Blue)")</f>
        <v>Uncle Sams Cider (11/12/2021) (Blue)</v>
      </c>
      <c r="H7849" s="19"/>
    </row>
    <row r="7850">
      <c r="A7850" s="9"/>
      <c r="B7850" s="15"/>
      <c r="C7850" s="9">
        <f>IFERROR(__xludf.DUMMYFUNCTION("""COMPUTED_VALUE"""),44522.8512676157)</f>
        <v>44522.85127</v>
      </c>
      <c r="D7850" s="15">
        <f>IFERROR(__xludf.DUMMYFUNCTION("""COMPUTED_VALUE"""),1.046)</f>
        <v>1.046</v>
      </c>
      <c r="E7850" s="16">
        <f>IFERROR(__xludf.DUMMYFUNCTION("""COMPUTED_VALUE"""),68.0)</f>
        <v>68</v>
      </c>
      <c r="F7850" s="19" t="str">
        <f>IFERROR(__xludf.DUMMYFUNCTION("""COMPUTED_VALUE"""),"BLUE")</f>
        <v>BLUE</v>
      </c>
      <c r="G7850" s="20" t="str">
        <f>IFERROR(__xludf.DUMMYFUNCTION("""COMPUTED_VALUE"""),"Uncle Sams Cider (11/12/2021) (Blue)")</f>
        <v>Uncle Sams Cider (11/12/2021) (Blue)</v>
      </c>
      <c r="H7850" s="19"/>
    </row>
    <row r="7851">
      <c r="A7851" s="9"/>
      <c r="B7851" s="15"/>
      <c r="C7851" s="9">
        <f>IFERROR(__xludf.DUMMYFUNCTION("""COMPUTED_VALUE"""),44522.8408457291)</f>
        <v>44522.84085</v>
      </c>
      <c r="D7851" s="15">
        <f>IFERROR(__xludf.DUMMYFUNCTION("""COMPUTED_VALUE"""),1.046)</f>
        <v>1.046</v>
      </c>
      <c r="E7851" s="16">
        <f>IFERROR(__xludf.DUMMYFUNCTION("""COMPUTED_VALUE"""),68.0)</f>
        <v>68</v>
      </c>
      <c r="F7851" s="19" t="str">
        <f>IFERROR(__xludf.DUMMYFUNCTION("""COMPUTED_VALUE"""),"BLUE")</f>
        <v>BLUE</v>
      </c>
      <c r="G7851" s="20" t="str">
        <f>IFERROR(__xludf.DUMMYFUNCTION("""COMPUTED_VALUE"""),"Uncle Sams Cider (11/12/2021) (Blue)")</f>
        <v>Uncle Sams Cider (11/12/2021) (Blue)</v>
      </c>
      <c r="H7851" s="19"/>
    </row>
    <row r="7852">
      <c r="A7852" s="9"/>
      <c r="B7852" s="15"/>
      <c r="C7852" s="9">
        <f>IFERROR(__xludf.DUMMYFUNCTION("""COMPUTED_VALUE"""),44522.8304231481)</f>
        <v>44522.83042</v>
      </c>
      <c r="D7852" s="15">
        <f>IFERROR(__xludf.DUMMYFUNCTION("""COMPUTED_VALUE"""),1.046)</f>
        <v>1.046</v>
      </c>
      <c r="E7852" s="16">
        <f>IFERROR(__xludf.DUMMYFUNCTION("""COMPUTED_VALUE"""),68.0)</f>
        <v>68</v>
      </c>
      <c r="F7852" s="19" t="str">
        <f>IFERROR(__xludf.DUMMYFUNCTION("""COMPUTED_VALUE"""),"BLUE")</f>
        <v>BLUE</v>
      </c>
      <c r="G7852" s="20" t="str">
        <f>IFERROR(__xludf.DUMMYFUNCTION("""COMPUTED_VALUE"""),"Uncle Sams Cider (11/12/2021) (Blue)")</f>
        <v>Uncle Sams Cider (11/12/2021) (Blue)</v>
      </c>
      <c r="H7852" s="19"/>
    </row>
    <row r="7853">
      <c r="A7853" s="9"/>
      <c r="B7853" s="15"/>
      <c r="C7853" s="9">
        <f>IFERROR(__xludf.DUMMYFUNCTION("""COMPUTED_VALUE"""),44522.8200031249)</f>
        <v>44522.82</v>
      </c>
      <c r="D7853" s="15">
        <f>IFERROR(__xludf.DUMMYFUNCTION("""COMPUTED_VALUE"""),1.046)</f>
        <v>1.046</v>
      </c>
      <c r="E7853" s="16">
        <f>IFERROR(__xludf.DUMMYFUNCTION("""COMPUTED_VALUE"""),68.0)</f>
        <v>68</v>
      </c>
      <c r="F7853" s="19" t="str">
        <f>IFERROR(__xludf.DUMMYFUNCTION("""COMPUTED_VALUE"""),"BLUE")</f>
        <v>BLUE</v>
      </c>
      <c r="G7853" s="20" t="str">
        <f>IFERROR(__xludf.DUMMYFUNCTION("""COMPUTED_VALUE"""),"Uncle Sams Cider (11/12/2021) (Blue)")</f>
        <v>Uncle Sams Cider (11/12/2021) (Blue)</v>
      </c>
      <c r="H7853" s="19"/>
    </row>
    <row r="7854">
      <c r="A7854" s="9"/>
      <c r="B7854" s="15"/>
      <c r="C7854" s="9">
        <f>IFERROR(__xludf.DUMMYFUNCTION("""COMPUTED_VALUE"""),44522.8095823726)</f>
        <v>44522.80958</v>
      </c>
      <c r="D7854" s="15">
        <f>IFERROR(__xludf.DUMMYFUNCTION("""COMPUTED_VALUE"""),1.046)</f>
        <v>1.046</v>
      </c>
      <c r="E7854" s="16">
        <f>IFERROR(__xludf.DUMMYFUNCTION("""COMPUTED_VALUE"""),68.0)</f>
        <v>68</v>
      </c>
      <c r="F7854" s="19" t="str">
        <f>IFERROR(__xludf.DUMMYFUNCTION("""COMPUTED_VALUE"""),"BLUE")</f>
        <v>BLUE</v>
      </c>
      <c r="G7854" s="20" t="str">
        <f>IFERROR(__xludf.DUMMYFUNCTION("""COMPUTED_VALUE"""),"Uncle Sams Cider (11/12/2021) (Blue)")</f>
        <v>Uncle Sams Cider (11/12/2021) (Blue)</v>
      </c>
      <c r="H7854" s="19"/>
    </row>
    <row r="7855">
      <c r="A7855" s="9"/>
      <c r="B7855" s="15"/>
      <c r="C7855" s="9">
        <f>IFERROR(__xludf.DUMMYFUNCTION("""COMPUTED_VALUE"""),44522.7991601504)</f>
        <v>44522.79916</v>
      </c>
      <c r="D7855" s="15">
        <f>IFERROR(__xludf.DUMMYFUNCTION("""COMPUTED_VALUE"""),1.046)</f>
        <v>1.046</v>
      </c>
      <c r="E7855" s="16">
        <f>IFERROR(__xludf.DUMMYFUNCTION("""COMPUTED_VALUE"""),68.0)</f>
        <v>68</v>
      </c>
      <c r="F7855" s="19" t="str">
        <f>IFERROR(__xludf.DUMMYFUNCTION("""COMPUTED_VALUE"""),"BLUE")</f>
        <v>BLUE</v>
      </c>
      <c r="G7855" s="20" t="str">
        <f>IFERROR(__xludf.DUMMYFUNCTION("""COMPUTED_VALUE"""),"Uncle Sams Cider (11/12/2021) (Blue)")</f>
        <v>Uncle Sams Cider (11/12/2021) (Blue)</v>
      </c>
      <c r="H7855" s="19"/>
    </row>
    <row r="7856">
      <c r="A7856" s="9"/>
      <c r="B7856" s="15"/>
      <c r="C7856" s="9">
        <f>IFERROR(__xludf.DUMMYFUNCTION("""COMPUTED_VALUE"""),44522.7887374884)</f>
        <v>44522.78874</v>
      </c>
      <c r="D7856" s="15">
        <f>IFERROR(__xludf.DUMMYFUNCTION("""COMPUTED_VALUE"""),1.046)</f>
        <v>1.046</v>
      </c>
      <c r="E7856" s="16">
        <f>IFERROR(__xludf.DUMMYFUNCTION("""COMPUTED_VALUE"""),68.0)</f>
        <v>68</v>
      </c>
      <c r="F7856" s="19" t="str">
        <f>IFERROR(__xludf.DUMMYFUNCTION("""COMPUTED_VALUE"""),"BLUE")</f>
        <v>BLUE</v>
      </c>
      <c r="G7856" s="20" t="str">
        <f>IFERROR(__xludf.DUMMYFUNCTION("""COMPUTED_VALUE"""),"Uncle Sams Cider (11/12/2021) (Blue)")</f>
        <v>Uncle Sams Cider (11/12/2021) (Blue)</v>
      </c>
      <c r="H7856" s="19"/>
    </row>
    <row r="7857">
      <c r="A7857" s="9"/>
      <c r="B7857" s="15"/>
      <c r="C7857" s="9">
        <f>IFERROR(__xludf.DUMMYFUNCTION("""COMPUTED_VALUE"""),44522.7783161921)</f>
        <v>44522.77832</v>
      </c>
      <c r="D7857" s="15">
        <f>IFERROR(__xludf.DUMMYFUNCTION("""COMPUTED_VALUE"""),1.046)</f>
        <v>1.046</v>
      </c>
      <c r="E7857" s="16">
        <f>IFERROR(__xludf.DUMMYFUNCTION("""COMPUTED_VALUE"""),68.0)</f>
        <v>68</v>
      </c>
      <c r="F7857" s="19" t="str">
        <f>IFERROR(__xludf.DUMMYFUNCTION("""COMPUTED_VALUE"""),"BLUE")</f>
        <v>BLUE</v>
      </c>
      <c r="G7857" s="20" t="str">
        <f>IFERROR(__xludf.DUMMYFUNCTION("""COMPUTED_VALUE"""),"Uncle Sams Cider (11/12/2021) (Blue)")</f>
        <v>Uncle Sams Cider (11/12/2021) (Blue)</v>
      </c>
      <c r="H7857" s="19"/>
    </row>
    <row r="7858">
      <c r="A7858" s="9"/>
      <c r="B7858" s="15"/>
      <c r="C7858" s="9">
        <f>IFERROR(__xludf.DUMMYFUNCTION("""COMPUTED_VALUE"""),44522.7678939004)</f>
        <v>44522.76789</v>
      </c>
      <c r="D7858" s="15">
        <f>IFERROR(__xludf.DUMMYFUNCTION("""COMPUTED_VALUE"""),1.046)</f>
        <v>1.046</v>
      </c>
      <c r="E7858" s="16">
        <f>IFERROR(__xludf.DUMMYFUNCTION("""COMPUTED_VALUE"""),68.0)</f>
        <v>68</v>
      </c>
      <c r="F7858" s="19" t="str">
        <f>IFERROR(__xludf.DUMMYFUNCTION("""COMPUTED_VALUE"""),"BLUE")</f>
        <v>BLUE</v>
      </c>
      <c r="G7858" s="20" t="str">
        <f>IFERROR(__xludf.DUMMYFUNCTION("""COMPUTED_VALUE"""),"Uncle Sams Cider (11/12/2021) (Blue)")</f>
        <v>Uncle Sams Cider (11/12/2021) (Blue)</v>
      </c>
      <c r="H7858" s="19"/>
    </row>
    <row r="7859">
      <c r="A7859" s="9"/>
      <c r="B7859" s="15"/>
      <c r="C7859" s="9">
        <f>IFERROR(__xludf.DUMMYFUNCTION("""COMPUTED_VALUE"""),44522.7574607291)</f>
        <v>44522.75746</v>
      </c>
      <c r="D7859" s="15">
        <f>IFERROR(__xludf.DUMMYFUNCTION("""COMPUTED_VALUE"""),1.046)</f>
        <v>1.046</v>
      </c>
      <c r="E7859" s="16">
        <f>IFERROR(__xludf.DUMMYFUNCTION("""COMPUTED_VALUE"""),68.0)</f>
        <v>68</v>
      </c>
      <c r="F7859" s="19" t="str">
        <f>IFERROR(__xludf.DUMMYFUNCTION("""COMPUTED_VALUE"""),"BLUE")</f>
        <v>BLUE</v>
      </c>
      <c r="G7859" s="20" t="str">
        <f>IFERROR(__xludf.DUMMYFUNCTION("""COMPUTED_VALUE"""),"Uncle Sams Cider (11/12/2021) (Blue)")</f>
        <v>Uncle Sams Cider (11/12/2021) (Blue)</v>
      </c>
      <c r="H7859" s="19"/>
    </row>
    <row r="7860">
      <c r="A7860" s="9"/>
      <c r="B7860" s="15"/>
      <c r="C7860" s="9">
        <f>IFERROR(__xludf.DUMMYFUNCTION("""COMPUTED_VALUE"""),44522.7470419212)</f>
        <v>44522.74704</v>
      </c>
      <c r="D7860" s="15">
        <f>IFERROR(__xludf.DUMMYFUNCTION("""COMPUTED_VALUE"""),1.046)</f>
        <v>1.046</v>
      </c>
      <c r="E7860" s="16">
        <f>IFERROR(__xludf.DUMMYFUNCTION("""COMPUTED_VALUE"""),68.0)</f>
        <v>68</v>
      </c>
      <c r="F7860" s="19" t="str">
        <f>IFERROR(__xludf.DUMMYFUNCTION("""COMPUTED_VALUE"""),"BLUE")</f>
        <v>BLUE</v>
      </c>
      <c r="G7860" s="20" t="str">
        <f>IFERROR(__xludf.DUMMYFUNCTION("""COMPUTED_VALUE"""),"Uncle Sams Cider (11/12/2021) (Blue)")</f>
        <v>Uncle Sams Cider (11/12/2021) (Blue)</v>
      </c>
      <c r="H7860" s="19"/>
    </row>
    <row r="7861">
      <c r="A7861" s="9"/>
      <c r="B7861" s="15"/>
      <c r="C7861" s="9">
        <f>IFERROR(__xludf.DUMMYFUNCTION("""COMPUTED_VALUE"""),44522.7366207523)</f>
        <v>44522.73662</v>
      </c>
      <c r="D7861" s="15">
        <f>IFERROR(__xludf.DUMMYFUNCTION("""COMPUTED_VALUE"""),1.046)</f>
        <v>1.046</v>
      </c>
      <c r="E7861" s="16">
        <f>IFERROR(__xludf.DUMMYFUNCTION("""COMPUTED_VALUE"""),68.0)</f>
        <v>68</v>
      </c>
      <c r="F7861" s="19" t="str">
        <f>IFERROR(__xludf.DUMMYFUNCTION("""COMPUTED_VALUE"""),"BLUE")</f>
        <v>BLUE</v>
      </c>
      <c r="G7861" s="20" t="str">
        <f>IFERROR(__xludf.DUMMYFUNCTION("""COMPUTED_VALUE"""),"Uncle Sams Cider (11/12/2021) (Blue)")</f>
        <v>Uncle Sams Cider (11/12/2021) (Blue)</v>
      </c>
      <c r="H7861" s="19"/>
    </row>
    <row r="7862">
      <c r="A7862" s="9"/>
      <c r="B7862" s="15"/>
      <c r="C7862" s="9">
        <f>IFERROR(__xludf.DUMMYFUNCTION("""COMPUTED_VALUE"""),44522.7262000925)</f>
        <v>44522.7262</v>
      </c>
      <c r="D7862" s="15">
        <f>IFERROR(__xludf.DUMMYFUNCTION("""COMPUTED_VALUE"""),1.047)</f>
        <v>1.047</v>
      </c>
      <c r="E7862" s="16">
        <f>IFERROR(__xludf.DUMMYFUNCTION("""COMPUTED_VALUE"""),68.0)</f>
        <v>68</v>
      </c>
      <c r="F7862" s="19" t="str">
        <f>IFERROR(__xludf.DUMMYFUNCTION("""COMPUTED_VALUE"""),"BLUE")</f>
        <v>BLUE</v>
      </c>
      <c r="G7862" s="20" t="str">
        <f>IFERROR(__xludf.DUMMYFUNCTION("""COMPUTED_VALUE"""),"Uncle Sams Cider (11/12/2021) (Blue)")</f>
        <v>Uncle Sams Cider (11/12/2021) (Blue)</v>
      </c>
      <c r="H7862" s="19"/>
    </row>
    <row r="7863">
      <c r="A7863" s="9"/>
      <c r="B7863" s="15"/>
      <c r="C7863" s="9">
        <f>IFERROR(__xludf.DUMMYFUNCTION("""COMPUTED_VALUE"""),44522.71578)</f>
        <v>44522.71578</v>
      </c>
      <c r="D7863" s="15">
        <f>IFERROR(__xludf.DUMMYFUNCTION("""COMPUTED_VALUE"""),1.047)</f>
        <v>1.047</v>
      </c>
      <c r="E7863" s="16">
        <f>IFERROR(__xludf.DUMMYFUNCTION("""COMPUTED_VALUE"""),68.0)</f>
        <v>68</v>
      </c>
      <c r="F7863" s="19" t="str">
        <f>IFERROR(__xludf.DUMMYFUNCTION("""COMPUTED_VALUE"""),"BLUE")</f>
        <v>BLUE</v>
      </c>
      <c r="G7863" s="20" t="str">
        <f>IFERROR(__xludf.DUMMYFUNCTION("""COMPUTED_VALUE"""),"Uncle Sams Cider (11/12/2021) (Blue)")</f>
        <v>Uncle Sams Cider (11/12/2021) (Blue)</v>
      </c>
      <c r="H7863" s="19"/>
    </row>
    <row r="7864">
      <c r="A7864" s="9"/>
      <c r="B7864" s="15"/>
      <c r="C7864" s="9">
        <f>IFERROR(__xludf.DUMMYFUNCTION("""COMPUTED_VALUE"""),44522.7053565509)</f>
        <v>44522.70536</v>
      </c>
      <c r="D7864" s="15">
        <f>IFERROR(__xludf.DUMMYFUNCTION("""COMPUTED_VALUE"""),1.047)</f>
        <v>1.047</v>
      </c>
      <c r="E7864" s="16">
        <f>IFERROR(__xludf.DUMMYFUNCTION("""COMPUTED_VALUE"""),68.0)</f>
        <v>68</v>
      </c>
      <c r="F7864" s="19" t="str">
        <f>IFERROR(__xludf.DUMMYFUNCTION("""COMPUTED_VALUE"""),"BLUE")</f>
        <v>BLUE</v>
      </c>
      <c r="G7864" s="20" t="str">
        <f>IFERROR(__xludf.DUMMYFUNCTION("""COMPUTED_VALUE"""),"Uncle Sams Cider (11/12/2021) (Blue)")</f>
        <v>Uncle Sams Cider (11/12/2021) (Blue)</v>
      </c>
      <c r="H7864" s="19"/>
    </row>
    <row r="7865">
      <c r="A7865" s="9"/>
      <c r="B7865" s="15"/>
      <c r="C7865" s="9">
        <f>IFERROR(__xludf.DUMMYFUNCTION("""COMPUTED_VALUE"""),44522.6949344675)</f>
        <v>44522.69493</v>
      </c>
      <c r="D7865" s="15">
        <f>IFERROR(__xludf.DUMMYFUNCTION("""COMPUTED_VALUE"""),1.047)</f>
        <v>1.047</v>
      </c>
      <c r="E7865" s="16">
        <f>IFERROR(__xludf.DUMMYFUNCTION("""COMPUTED_VALUE"""),68.0)</f>
        <v>68</v>
      </c>
      <c r="F7865" s="19" t="str">
        <f>IFERROR(__xludf.DUMMYFUNCTION("""COMPUTED_VALUE"""),"BLUE")</f>
        <v>BLUE</v>
      </c>
      <c r="G7865" s="20" t="str">
        <f>IFERROR(__xludf.DUMMYFUNCTION("""COMPUTED_VALUE"""),"Uncle Sams Cider (11/12/2021) (Blue)")</f>
        <v>Uncle Sams Cider (11/12/2021) (Blue)</v>
      </c>
      <c r="H7865" s="19"/>
    </row>
    <row r="7866">
      <c r="A7866" s="9"/>
      <c r="B7866" s="15"/>
      <c r="C7866" s="9">
        <f>IFERROR(__xludf.DUMMYFUNCTION("""COMPUTED_VALUE"""),44522.6845122222)</f>
        <v>44522.68451</v>
      </c>
      <c r="D7866" s="15">
        <f>IFERROR(__xludf.DUMMYFUNCTION("""COMPUTED_VALUE"""),1.047)</f>
        <v>1.047</v>
      </c>
      <c r="E7866" s="16">
        <f>IFERROR(__xludf.DUMMYFUNCTION("""COMPUTED_VALUE"""),68.0)</f>
        <v>68</v>
      </c>
      <c r="F7866" s="19" t="str">
        <f>IFERROR(__xludf.DUMMYFUNCTION("""COMPUTED_VALUE"""),"BLUE")</f>
        <v>BLUE</v>
      </c>
      <c r="G7866" s="20" t="str">
        <f>IFERROR(__xludf.DUMMYFUNCTION("""COMPUTED_VALUE"""),"Uncle Sams Cider (11/12/2021) (Blue)")</f>
        <v>Uncle Sams Cider (11/12/2021) (Blue)</v>
      </c>
      <c r="H7866" s="19"/>
    </row>
    <row r="7867">
      <c r="A7867" s="9"/>
      <c r="B7867" s="15"/>
      <c r="C7867" s="9">
        <f>IFERROR(__xludf.DUMMYFUNCTION("""COMPUTED_VALUE"""),44522.6740899305)</f>
        <v>44522.67409</v>
      </c>
      <c r="D7867" s="15">
        <f>IFERROR(__xludf.DUMMYFUNCTION("""COMPUTED_VALUE"""),1.047)</f>
        <v>1.047</v>
      </c>
      <c r="E7867" s="16">
        <f>IFERROR(__xludf.DUMMYFUNCTION("""COMPUTED_VALUE"""),68.0)</f>
        <v>68</v>
      </c>
      <c r="F7867" s="19" t="str">
        <f>IFERROR(__xludf.DUMMYFUNCTION("""COMPUTED_VALUE"""),"BLUE")</f>
        <v>BLUE</v>
      </c>
      <c r="G7867" s="20" t="str">
        <f>IFERROR(__xludf.DUMMYFUNCTION("""COMPUTED_VALUE"""),"Uncle Sams Cider (11/12/2021) (Blue)")</f>
        <v>Uncle Sams Cider (11/12/2021) (Blue)</v>
      </c>
      <c r="H7867" s="19"/>
    </row>
    <row r="7868">
      <c r="A7868" s="9"/>
      <c r="B7868" s="15"/>
      <c r="C7868" s="9">
        <f>IFERROR(__xludf.DUMMYFUNCTION("""COMPUTED_VALUE"""),44522.6636700925)</f>
        <v>44522.66367</v>
      </c>
      <c r="D7868" s="15">
        <f>IFERROR(__xludf.DUMMYFUNCTION("""COMPUTED_VALUE"""),1.047)</f>
        <v>1.047</v>
      </c>
      <c r="E7868" s="16">
        <f>IFERROR(__xludf.DUMMYFUNCTION("""COMPUTED_VALUE"""),68.0)</f>
        <v>68</v>
      </c>
      <c r="F7868" s="19" t="str">
        <f>IFERROR(__xludf.DUMMYFUNCTION("""COMPUTED_VALUE"""),"BLUE")</f>
        <v>BLUE</v>
      </c>
      <c r="G7868" s="20" t="str">
        <f>IFERROR(__xludf.DUMMYFUNCTION("""COMPUTED_VALUE"""),"Uncle Sams Cider (11/12/2021) (Blue)")</f>
        <v>Uncle Sams Cider (11/12/2021) (Blue)</v>
      </c>
      <c r="H7868" s="19"/>
    </row>
    <row r="7869">
      <c r="A7869" s="9"/>
      <c r="B7869" s="15"/>
      <c r="C7869" s="9">
        <f>IFERROR(__xludf.DUMMYFUNCTION("""COMPUTED_VALUE"""),44522.6532498842)</f>
        <v>44522.65325</v>
      </c>
      <c r="D7869" s="15">
        <f>IFERROR(__xludf.DUMMYFUNCTION("""COMPUTED_VALUE"""),1.047)</f>
        <v>1.047</v>
      </c>
      <c r="E7869" s="16">
        <f>IFERROR(__xludf.DUMMYFUNCTION("""COMPUTED_VALUE"""),68.0)</f>
        <v>68</v>
      </c>
      <c r="F7869" s="19" t="str">
        <f>IFERROR(__xludf.DUMMYFUNCTION("""COMPUTED_VALUE"""),"BLUE")</f>
        <v>BLUE</v>
      </c>
      <c r="G7869" s="20" t="str">
        <f>IFERROR(__xludf.DUMMYFUNCTION("""COMPUTED_VALUE"""),"Uncle Sams Cider (11/12/2021) (Blue)")</f>
        <v>Uncle Sams Cider (11/12/2021) (Blue)</v>
      </c>
      <c r="H7869" s="19"/>
    </row>
    <row r="7870">
      <c r="A7870" s="9"/>
      <c r="B7870" s="15"/>
      <c r="C7870" s="9">
        <f>IFERROR(__xludf.DUMMYFUNCTION("""COMPUTED_VALUE"""),44522.6428285995)</f>
        <v>44522.64283</v>
      </c>
      <c r="D7870" s="15">
        <f>IFERROR(__xludf.DUMMYFUNCTION("""COMPUTED_VALUE"""),1.047)</f>
        <v>1.047</v>
      </c>
      <c r="E7870" s="16">
        <f>IFERROR(__xludf.DUMMYFUNCTION("""COMPUTED_VALUE"""),68.0)</f>
        <v>68</v>
      </c>
      <c r="F7870" s="19" t="str">
        <f>IFERROR(__xludf.DUMMYFUNCTION("""COMPUTED_VALUE"""),"BLUE")</f>
        <v>BLUE</v>
      </c>
      <c r="G7870" s="20" t="str">
        <f>IFERROR(__xludf.DUMMYFUNCTION("""COMPUTED_VALUE"""),"Uncle Sams Cider (11/12/2021) (Blue)")</f>
        <v>Uncle Sams Cider (11/12/2021) (Blue)</v>
      </c>
      <c r="H7870" s="19"/>
    </row>
    <row r="7871">
      <c r="A7871" s="9"/>
      <c r="B7871" s="15"/>
      <c r="C7871" s="9">
        <f>IFERROR(__xludf.DUMMYFUNCTION("""COMPUTED_VALUE"""),44522.632406655)</f>
        <v>44522.63241</v>
      </c>
      <c r="D7871" s="15">
        <f>IFERROR(__xludf.DUMMYFUNCTION("""COMPUTED_VALUE"""),1.047)</f>
        <v>1.047</v>
      </c>
      <c r="E7871" s="16">
        <f>IFERROR(__xludf.DUMMYFUNCTION("""COMPUTED_VALUE"""),68.0)</f>
        <v>68</v>
      </c>
      <c r="F7871" s="19" t="str">
        <f>IFERROR(__xludf.DUMMYFUNCTION("""COMPUTED_VALUE"""),"BLUE")</f>
        <v>BLUE</v>
      </c>
      <c r="G7871" s="20" t="str">
        <f>IFERROR(__xludf.DUMMYFUNCTION("""COMPUTED_VALUE"""),"Uncle Sams Cider (11/12/2021) (Blue)")</f>
        <v>Uncle Sams Cider (11/12/2021) (Blue)</v>
      </c>
      <c r="H7871" s="19"/>
    </row>
    <row r="7872">
      <c r="A7872" s="9"/>
      <c r="B7872" s="15"/>
      <c r="C7872" s="9">
        <f>IFERROR(__xludf.DUMMYFUNCTION("""COMPUTED_VALUE"""),44522.6219729166)</f>
        <v>44522.62197</v>
      </c>
      <c r="D7872" s="15">
        <f>IFERROR(__xludf.DUMMYFUNCTION("""COMPUTED_VALUE"""),1.047)</f>
        <v>1.047</v>
      </c>
      <c r="E7872" s="16">
        <f>IFERROR(__xludf.DUMMYFUNCTION("""COMPUTED_VALUE"""),68.0)</f>
        <v>68</v>
      </c>
      <c r="F7872" s="19" t="str">
        <f>IFERROR(__xludf.DUMMYFUNCTION("""COMPUTED_VALUE"""),"BLUE")</f>
        <v>BLUE</v>
      </c>
      <c r="G7872" s="20" t="str">
        <f>IFERROR(__xludf.DUMMYFUNCTION("""COMPUTED_VALUE"""),"Uncle Sams Cider (11/12/2021) (Blue)")</f>
        <v>Uncle Sams Cider (11/12/2021) (Blue)</v>
      </c>
      <c r="H7872" s="19"/>
    </row>
    <row r="7873">
      <c r="A7873" s="9"/>
      <c r="B7873" s="15"/>
      <c r="C7873" s="9">
        <f>IFERROR(__xludf.DUMMYFUNCTION("""COMPUTED_VALUE"""),44522.6115510532)</f>
        <v>44522.61155</v>
      </c>
      <c r="D7873" s="15">
        <f>IFERROR(__xludf.DUMMYFUNCTION("""COMPUTED_VALUE"""),1.047)</f>
        <v>1.047</v>
      </c>
      <c r="E7873" s="16">
        <f>IFERROR(__xludf.DUMMYFUNCTION("""COMPUTED_VALUE"""),68.0)</f>
        <v>68</v>
      </c>
      <c r="F7873" s="19" t="str">
        <f>IFERROR(__xludf.DUMMYFUNCTION("""COMPUTED_VALUE"""),"BLUE")</f>
        <v>BLUE</v>
      </c>
      <c r="G7873" s="20" t="str">
        <f>IFERROR(__xludf.DUMMYFUNCTION("""COMPUTED_VALUE"""),"Uncle Sams Cider (11/12/2021) (Blue)")</f>
        <v>Uncle Sams Cider (11/12/2021) (Blue)</v>
      </c>
      <c r="H7873" s="19"/>
    </row>
    <row r="7874">
      <c r="A7874" s="9"/>
      <c r="B7874" s="15"/>
      <c r="C7874" s="9">
        <f>IFERROR(__xludf.DUMMYFUNCTION("""COMPUTED_VALUE"""),44522.6011295601)</f>
        <v>44522.60113</v>
      </c>
      <c r="D7874" s="15">
        <f>IFERROR(__xludf.DUMMYFUNCTION("""COMPUTED_VALUE"""),1.047)</f>
        <v>1.047</v>
      </c>
      <c r="E7874" s="16">
        <f>IFERROR(__xludf.DUMMYFUNCTION("""COMPUTED_VALUE"""),68.0)</f>
        <v>68</v>
      </c>
      <c r="F7874" s="19" t="str">
        <f>IFERROR(__xludf.DUMMYFUNCTION("""COMPUTED_VALUE"""),"BLUE")</f>
        <v>BLUE</v>
      </c>
      <c r="G7874" s="20" t="str">
        <f>IFERROR(__xludf.DUMMYFUNCTION("""COMPUTED_VALUE"""),"Uncle Sams Cider (11/12/2021) (Blue)")</f>
        <v>Uncle Sams Cider (11/12/2021) (Blue)</v>
      </c>
      <c r="H7874" s="19"/>
    </row>
    <row r="7875">
      <c r="A7875" s="9"/>
      <c r="B7875" s="15"/>
      <c r="C7875" s="9">
        <f>IFERROR(__xludf.DUMMYFUNCTION("""COMPUTED_VALUE"""),44522.5907093634)</f>
        <v>44522.59071</v>
      </c>
      <c r="D7875" s="15">
        <f>IFERROR(__xludf.DUMMYFUNCTION("""COMPUTED_VALUE"""),1.047)</f>
        <v>1.047</v>
      </c>
      <c r="E7875" s="16">
        <f>IFERROR(__xludf.DUMMYFUNCTION("""COMPUTED_VALUE"""),68.0)</f>
        <v>68</v>
      </c>
      <c r="F7875" s="19" t="str">
        <f>IFERROR(__xludf.DUMMYFUNCTION("""COMPUTED_VALUE"""),"BLUE")</f>
        <v>BLUE</v>
      </c>
      <c r="G7875" s="20" t="str">
        <f>IFERROR(__xludf.DUMMYFUNCTION("""COMPUTED_VALUE"""),"Uncle Sams Cider (11/12/2021) (Blue)")</f>
        <v>Uncle Sams Cider (11/12/2021) (Blue)</v>
      </c>
      <c r="H7875" s="19"/>
    </row>
    <row r="7876">
      <c r="A7876" s="9"/>
      <c r="B7876" s="15"/>
      <c r="C7876" s="9">
        <f>IFERROR(__xludf.DUMMYFUNCTION("""COMPUTED_VALUE"""),44522.5802870486)</f>
        <v>44522.58029</v>
      </c>
      <c r="D7876" s="15">
        <f>IFERROR(__xludf.DUMMYFUNCTION("""COMPUTED_VALUE"""),1.047)</f>
        <v>1.047</v>
      </c>
      <c r="E7876" s="16">
        <f>IFERROR(__xludf.DUMMYFUNCTION("""COMPUTED_VALUE"""),68.0)</f>
        <v>68</v>
      </c>
      <c r="F7876" s="19" t="str">
        <f>IFERROR(__xludf.DUMMYFUNCTION("""COMPUTED_VALUE"""),"BLUE")</f>
        <v>BLUE</v>
      </c>
      <c r="G7876" s="20" t="str">
        <f>IFERROR(__xludf.DUMMYFUNCTION("""COMPUTED_VALUE"""),"Uncle Sams Cider (11/12/2021) (Blue)")</f>
        <v>Uncle Sams Cider (11/12/2021) (Blue)</v>
      </c>
      <c r="H7876" s="19"/>
    </row>
    <row r="7877">
      <c r="A7877" s="9"/>
      <c r="B7877" s="15"/>
      <c r="C7877" s="9">
        <f>IFERROR(__xludf.DUMMYFUNCTION("""COMPUTED_VALUE"""),44522.5698660879)</f>
        <v>44522.56987</v>
      </c>
      <c r="D7877" s="15">
        <f>IFERROR(__xludf.DUMMYFUNCTION("""COMPUTED_VALUE"""),1.047)</f>
        <v>1.047</v>
      </c>
      <c r="E7877" s="16">
        <f>IFERROR(__xludf.DUMMYFUNCTION("""COMPUTED_VALUE"""),68.0)</f>
        <v>68</v>
      </c>
      <c r="F7877" s="19" t="str">
        <f>IFERROR(__xludf.DUMMYFUNCTION("""COMPUTED_VALUE"""),"BLUE")</f>
        <v>BLUE</v>
      </c>
      <c r="G7877" s="20" t="str">
        <f>IFERROR(__xludf.DUMMYFUNCTION("""COMPUTED_VALUE"""),"Uncle Sams Cider (11/12/2021) (Blue)")</f>
        <v>Uncle Sams Cider (11/12/2021) (Blue)</v>
      </c>
      <c r="H7877" s="19"/>
    </row>
    <row r="7878">
      <c r="A7878" s="9"/>
      <c r="B7878" s="15"/>
      <c r="C7878" s="9">
        <f>IFERROR(__xludf.DUMMYFUNCTION("""COMPUTED_VALUE"""),44522.5594447222)</f>
        <v>44522.55944</v>
      </c>
      <c r="D7878" s="15">
        <f>IFERROR(__xludf.DUMMYFUNCTION("""COMPUTED_VALUE"""),1.047)</f>
        <v>1.047</v>
      </c>
      <c r="E7878" s="16">
        <f>IFERROR(__xludf.DUMMYFUNCTION("""COMPUTED_VALUE"""),68.0)</f>
        <v>68</v>
      </c>
      <c r="F7878" s="19" t="str">
        <f>IFERROR(__xludf.DUMMYFUNCTION("""COMPUTED_VALUE"""),"BLUE")</f>
        <v>BLUE</v>
      </c>
      <c r="G7878" s="20" t="str">
        <f>IFERROR(__xludf.DUMMYFUNCTION("""COMPUTED_VALUE"""),"Uncle Sams Cider (11/12/2021) (Blue)")</f>
        <v>Uncle Sams Cider (11/12/2021) (Blue)</v>
      </c>
      <c r="H7878" s="19"/>
    </row>
    <row r="7879">
      <c r="A7879" s="9"/>
      <c r="B7879" s="15"/>
      <c r="C7879" s="9">
        <f>IFERROR(__xludf.DUMMYFUNCTION("""COMPUTED_VALUE"""),44522.5490239467)</f>
        <v>44522.54902</v>
      </c>
      <c r="D7879" s="15">
        <f>IFERROR(__xludf.DUMMYFUNCTION("""COMPUTED_VALUE"""),1.047)</f>
        <v>1.047</v>
      </c>
      <c r="E7879" s="16">
        <f>IFERROR(__xludf.DUMMYFUNCTION("""COMPUTED_VALUE"""),68.0)</f>
        <v>68</v>
      </c>
      <c r="F7879" s="19" t="str">
        <f>IFERROR(__xludf.DUMMYFUNCTION("""COMPUTED_VALUE"""),"BLUE")</f>
        <v>BLUE</v>
      </c>
      <c r="G7879" s="20" t="str">
        <f>IFERROR(__xludf.DUMMYFUNCTION("""COMPUTED_VALUE"""),"Uncle Sams Cider (11/12/2021) (Blue)")</f>
        <v>Uncle Sams Cider (11/12/2021) (Blue)</v>
      </c>
      <c r="H7879" s="19"/>
    </row>
    <row r="7880">
      <c r="A7880" s="9"/>
      <c r="B7880" s="15"/>
      <c r="C7880" s="9">
        <f>IFERROR(__xludf.DUMMYFUNCTION("""COMPUTED_VALUE"""),44522.5386019328)</f>
        <v>44522.5386</v>
      </c>
      <c r="D7880" s="15">
        <f>IFERROR(__xludf.DUMMYFUNCTION("""COMPUTED_VALUE"""),1.047)</f>
        <v>1.047</v>
      </c>
      <c r="E7880" s="16">
        <f>IFERROR(__xludf.DUMMYFUNCTION("""COMPUTED_VALUE"""),68.0)</f>
        <v>68</v>
      </c>
      <c r="F7880" s="19" t="str">
        <f>IFERROR(__xludf.DUMMYFUNCTION("""COMPUTED_VALUE"""),"BLUE")</f>
        <v>BLUE</v>
      </c>
      <c r="G7880" s="20" t="str">
        <f>IFERROR(__xludf.DUMMYFUNCTION("""COMPUTED_VALUE"""),"Uncle Sams Cider (11/12/2021) (Blue)")</f>
        <v>Uncle Sams Cider (11/12/2021) (Blue)</v>
      </c>
      <c r="H7880" s="19"/>
    </row>
    <row r="7881">
      <c r="A7881" s="9"/>
      <c r="B7881" s="15"/>
      <c r="C7881" s="9">
        <f>IFERROR(__xludf.DUMMYFUNCTION("""COMPUTED_VALUE"""),44522.5281688657)</f>
        <v>44522.52817</v>
      </c>
      <c r="D7881" s="15">
        <f>IFERROR(__xludf.DUMMYFUNCTION("""COMPUTED_VALUE"""),1.047)</f>
        <v>1.047</v>
      </c>
      <c r="E7881" s="16">
        <f>IFERROR(__xludf.DUMMYFUNCTION("""COMPUTED_VALUE"""),68.0)</f>
        <v>68</v>
      </c>
      <c r="F7881" s="19" t="str">
        <f>IFERROR(__xludf.DUMMYFUNCTION("""COMPUTED_VALUE"""),"BLUE")</f>
        <v>BLUE</v>
      </c>
      <c r="G7881" s="20" t="str">
        <f>IFERROR(__xludf.DUMMYFUNCTION("""COMPUTED_VALUE"""),"Uncle Sams Cider (11/12/2021) (Blue)")</f>
        <v>Uncle Sams Cider (11/12/2021) (Blue)</v>
      </c>
      <c r="H7881" s="19"/>
    </row>
    <row r="7882">
      <c r="A7882" s="9"/>
      <c r="B7882" s="15"/>
      <c r="C7882" s="9">
        <f>IFERROR(__xludf.DUMMYFUNCTION("""COMPUTED_VALUE"""),44522.5177366898)</f>
        <v>44522.51774</v>
      </c>
      <c r="D7882" s="15">
        <f>IFERROR(__xludf.DUMMYFUNCTION("""COMPUTED_VALUE"""),1.047)</f>
        <v>1.047</v>
      </c>
      <c r="E7882" s="16">
        <f>IFERROR(__xludf.DUMMYFUNCTION("""COMPUTED_VALUE"""),68.0)</f>
        <v>68</v>
      </c>
      <c r="F7882" s="19" t="str">
        <f>IFERROR(__xludf.DUMMYFUNCTION("""COMPUTED_VALUE"""),"BLUE")</f>
        <v>BLUE</v>
      </c>
      <c r="G7882" s="20" t="str">
        <f>IFERROR(__xludf.DUMMYFUNCTION("""COMPUTED_VALUE"""),"Uncle Sams Cider (11/12/2021) (Blue)")</f>
        <v>Uncle Sams Cider (11/12/2021) (Blue)</v>
      </c>
      <c r="H7882" s="19"/>
    </row>
    <row r="7883">
      <c r="A7883" s="9"/>
      <c r="B7883" s="15"/>
      <c r="C7883" s="9">
        <f>IFERROR(__xludf.DUMMYFUNCTION("""COMPUTED_VALUE"""),44522.507315243)</f>
        <v>44522.50732</v>
      </c>
      <c r="D7883" s="15">
        <f>IFERROR(__xludf.DUMMYFUNCTION("""COMPUTED_VALUE"""),1.047)</f>
        <v>1.047</v>
      </c>
      <c r="E7883" s="16">
        <f>IFERROR(__xludf.DUMMYFUNCTION("""COMPUTED_VALUE"""),68.0)</f>
        <v>68</v>
      </c>
      <c r="F7883" s="19" t="str">
        <f>IFERROR(__xludf.DUMMYFUNCTION("""COMPUTED_VALUE"""),"BLUE")</f>
        <v>BLUE</v>
      </c>
      <c r="G7883" s="20" t="str">
        <f>IFERROR(__xludf.DUMMYFUNCTION("""COMPUTED_VALUE"""),"Uncle Sams Cider (11/12/2021) (Blue)")</f>
        <v>Uncle Sams Cider (11/12/2021) (Blue)</v>
      </c>
      <c r="H7883" s="19"/>
    </row>
    <row r="7884">
      <c r="A7884" s="9"/>
      <c r="B7884" s="15"/>
      <c r="C7884" s="9">
        <f>IFERROR(__xludf.DUMMYFUNCTION("""COMPUTED_VALUE"""),44522.4968940046)</f>
        <v>44522.49689</v>
      </c>
      <c r="D7884" s="15">
        <f>IFERROR(__xludf.DUMMYFUNCTION("""COMPUTED_VALUE"""),1.047)</f>
        <v>1.047</v>
      </c>
      <c r="E7884" s="16">
        <f>IFERROR(__xludf.DUMMYFUNCTION("""COMPUTED_VALUE"""),68.0)</f>
        <v>68</v>
      </c>
      <c r="F7884" s="19" t="str">
        <f>IFERROR(__xludf.DUMMYFUNCTION("""COMPUTED_VALUE"""),"BLUE")</f>
        <v>BLUE</v>
      </c>
      <c r="G7884" s="20" t="str">
        <f>IFERROR(__xludf.DUMMYFUNCTION("""COMPUTED_VALUE"""),"Uncle Sams Cider (11/12/2021) (Blue)")</f>
        <v>Uncle Sams Cider (11/12/2021) (Blue)</v>
      </c>
      <c r="H7884" s="19"/>
    </row>
    <row r="7885">
      <c r="A7885" s="9"/>
      <c r="B7885" s="15"/>
      <c r="C7885" s="9">
        <f>IFERROR(__xludf.DUMMYFUNCTION("""COMPUTED_VALUE"""),44522.4864604745)</f>
        <v>44522.48646</v>
      </c>
      <c r="D7885" s="15">
        <f>IFERROR(__xludf.DUMMYFUNCTION("""COMPUTED_VALUE"""),1.047)</f>
        <v>1.047</v>
      </c>
      <c r="E7885" s="16">
        <f>IFERROR(__xludf.DUMMYFUNCTION("""COMPUTED_VALUE"""),68.0)</f>
        <v>68</v>
      </c>
      <c r="F7885" s="19" t="str">
        <f>IFERROR(__xludf.DUMMYFUNCTION("""COMPUTED_VALUE"""),"BLUE")</f>
        <v>BLUE</v>
      </c>
      <c r="G7885" s="20" t="str">
        <f>IFERROR(__xludf.DUMMYFUNCTION("""COMPUTED_VALUE"""),"Uncle Sams Cider (11/12/2021) (Blue)")</f>
        <v>Uncle Sams Cider (11/12/2021) (Blue)</v>
      </c>
      <c r="H7885" s="19"/>
    </row>
    <row r="7886">
      <c r="A7886" s="9"/>
      <c r="B7886" s="15"/>
      <c r="C7886" s="9">
        <f>IFERROR(__xludf.DUMMYFUNCTION("""COMPUTED_VALUE"""),44522.4760405902)</f>
        <v>44522.47604</v>
      </c>
      <c r="D7886" s="15">
        <f>IFERROR(__xludf.DUMMYFUNCTION("""COMPUTED_VALUE"""),1.047)</f>
        <v>1.047</v>
      </c>
      <c r="E7886" s="16">
        <f>IFERROR(__xludf.DUMMYFUNCTION("""COMPUTED_VALUE"""),68.0)</f>
        <v>68</v>
      </c>
      <c r="F7886" s="19" t="str">
        <f>IFERROR(__xludf.DUMMYFUNCTION("""COMPUTED_VALUE"""),"BLUE")</f>
        <v>BLUE</v>
      </c>
      <c r="G7886" s="20" t="str">
        <f>IFERROR(__xludf.DUMMYFUNCTION("""COMPUTED_VALUE"""),"Uncle Sams Cider (11/12/2021) (Blue)")</f>
        <v>Uncle Sams Cider (11/12/2021) (Blue)</v>
      </c>
      <c r="H7886" s="19"/>
    </row>
    <row r="7887">
      <c r="A7887" s="9"/>
      <c r="B7887" s="15"/>
      <c r="C7887" s="9">
        <f>IFERROR(__xludf.DUMMYFUNCTION("""COMPUTED_VALUE"""),44522.4656183449)</f>
        <v>44522.46562</v>
      </c>
      <c r="D7887" s="15">
        <f>IFERROR(__xludf.DUMMYFUNCTION("""COMPUTED_VALUE"""),1.048)</f>
        <v>1.048</v>
      </c>
      <c r="E7887" s="16">
        <f>IFERROR(__xludf.DUMMYFUNCTION("""COMPUTED_VALUE"""),68.0)</f>
        <v>68</v>
      </c>
      <c r="F7887" s="19" t="str">
        <f>IFERROR(__xludf.DUMMYFUNCTION("""COMPUTED_VALUE"""),"BLUE")</f>
        <v>BLUE</v>
      </c>
      <c r="G7887" s="20" t="str">
        <f>IFERROR(__xludf.DUMMYFUNCTION("""COMPUTED_VALUE"""),"Uncle Sams Cider (11/12/2021) (Blue)")</f>
        <v>Uncle Sams Cider (11/12/2021) (Blue)</v>
      </c>
      <c r="H7887" s="19"/>
    </row>
    <row r="7888">
      <c r="A7888" s="9"/>
      <c r="B7888" s="15"/>
      <c r="C7888" s="9">
        <f>IFERROR(__xludf.DUMMYFUNCTION("""COMPUTED_VALUE"""),44522.4551973611)</f>
        <v>44522.4552</v>
      </c>
      <c r="D7888" s="15">
        <f>IFERROR(__xludf.DUMMYFUNCTION("""COMPUTED_VALUE"""),1.048)</f>
        <v>1.048</v>
      </c>
      <c r="E7888" s="16">
        <f>IFERROR(__xludf.DUMMYFUNCTION("""COMPUTED_VALUE"""),68.0)</f>
        <v>68</v>
      </c>
      <c r="F7888" s="19" t="str">
        <f>IFERROR(__xludf.DUMMYFUNCTION("""COMPUTED_VALUE"""),"BLUE")</f>
        <v>BLUE</v>
      </c>
      <c r="G7888" s="20" t="str">
        <f>IFERROR(__xludf.DUMMYFUNCTION("""COMPUTED_VALUE"""),"Uncle Sams Cider (11/12/2021) (Blue)")</f>
        <v>Uncle Sams Cider (11/12/2021) (Blue)</v>
      </c>
      <c r="H7888" s="19"/>
    </row>
    <row r="7889">
      <c r="A7889" s="9"/>
      <c r="B7889" s="15"/>
      <c r="C7889" s="9">
        <f>IFERROR(__xludf.DUMMYFUNCTION("""COMPUTED_VALUE"""),44522.4447631365)</f>
        <v>44522.44476</v>
      </c>
      <c r="D7889" s="15">
        <f>IFERROR(__xludf.DUMMYFUNCTION("""COMPUTED_VALUE"""),1.048)</f>
        <v>1.048</v>
      </c>
      <c r="E7889" s="16">
        <f>IFERROR(__xludf.DUMMYFUNCTION("""COMPUTED_VALUE"""),68.0)</f>
        <v>68</v>
      </c>
      <c r="F7889" s="19" t="str">
        <f>IFERROR(__xludf.DUMMYFUNCTION("""COMPUTED_VALUE"""),"BLUE")</f>
        <v>BLUE</v>
      </c>
      <c r="G7889" s="20" t="str">
        <f>IFERROR(__xludf.DUMMYFUNCTION("""COMPUTED_VALUE"""),"Uncle Sams Cider (11/12/2021) (Blue)")</f>
        <v>Uncle Sams Cider (11/12/2021) (Blue)</v>
      </c>
      <c r="H7889" s="19"/>
    </row>
    <row r="7890">
      <c r="A7890" s="9"/>
      <c r="B7890" s="15"/>
      <c r="C7890" s="9">
        <f>IFERROR(__xludf.DUMMYFUNCTION("""COMPUTED_VALUE"""),44522.4343418865)</f>
        <v>44522.43434</v>
      </c>
      <c r="D7890" s="15">
        <f>IFERROR(__xludf.DUMMYFUNCTION("""COMPUTED_VALUE"""),1.048)</f>
        <v>1.048</v>
      </c>
      <c r="E7890" s="16">
        <f>IFERROR(__xludf.DUMMYFUNCTION("""COMPUTED_VALUE"""),68.0)</f>
        <v>68</v>
      </c>
      <c r="F7890" s="19" t="str">
        <f>IFERROR(__xludf.DUMMYFUNCTION("""COMPUTED_VALUE"""),"BLUE")</f>
        <v>BLUE</v>
      </c>
      <c r="G7890" s="20" t="str">
        <f>IFERROR(__xludf.DUMMYFUNCTION("""COMPUTED_VALUE"""),"Uncle Sams Cider (11/12/2021) (Blue)")</f>
        <v>Uncle Sams Cider (11/12/2021) (Blue)</v>
      </c>
      <c r="H7890" s="19"/>
    </row>
    <row r="7891">
      <c r="A7891" s="9"/>
      <c r="B7891" s="15"/>
      <c r="C7891" s="9">
        <f>IFERROR(__xludf.DUMMYFUNCTION("""COMPUTED_VALUE"""),44522.423920324)</f>
        <v>44522.42392</v>
      </c>
      <c r="D7891" s="15">
        <f>IFERROR(__xludf.DUMMYFUNCTION("""COMPUTED_VALUE"""),1.048)</f>
        <v>1.048</v>
      </c>
      <c r="E7891" s="16">
        <f>IFERROR(__xludf.DUMMYFUNCTION("""COMPUTED_VALUE"""),68.0)</f>
        <v>68</v>
      </c>
      <c r="F7891" s="19" t="str">
        <f>IFERROR(__xludf.DUMMYFUNCTION("""COMPUTED_VALUE"""),"BLUE")</f>
        <v>BLUE</v>
      </c>
      <c r="G7891" s="20" t="str">
        <f>IFERROR(__xludf.DUMMYFUNCTION("""COMPUTED_VALUE"""),"Uncle Sams Cider (11/12/2021) (Blue)")</f>
        <v>Uncle Sams Cider (11/12/2021) (Blue)</v>
      </c>
      <c r="H7891" s="19"/>
    </row>
    <row r="7892">
      <c r="A7892" s="9"/>
      <c r="B7892" s="15"/>
      <c r="C7892" s="9">
        <f>IFERROR(__xludf.DUMMYFUNCTION("""COMPUTED_VALUE"""),44522.4134996064)</f>
        <v>44522.4135</v>
      </c>
      <c r="D7892" s="15">
        <f>IFERROR(__xludf.DUMMYFUNCTION("""COMPUTED_VALUE"""),1.048)</f>
        <v>1.048</v>
      </c>
      <c r="E7892" s="16">
        <f>IFERROR(__xludf.DUMMYFUNCTION("""COMPUTED_VALUE"""),68.0)</f>
        <v>68</v>
      </c>
      <c r="F7892" s="19" t="str">
        <f>IFERROR(__xludf.DUMMYFUNCTION("""COMPUTED_VALUE"""),"BLUE")</f>
        <v>BLUE</v>
      </c>
      <c r="G7892" s="20" t="str">
        <f>IFERROR(__xludf.DUMMYFUNCTION("""COMPUTED_VALUE"""),"Uncle Sams Cider (11/12/2021) (Blue)")</f>
        <v>Uncle Sams Cider (11/12/2021) (Blue)</v>
      </c>
      <c r="H7892" s="19"/>
    </row>
    <row r="7893">
      <c r="A7893" s="9"/>
      <c r="B7893" s="15"/>
      <c r="C7893" s="9">
        <f>IFERROR(__xludf.DUMMYFUNCTION("""COMPUTED_VALUE"""),44522.4030805439)</f>
        <v>44522.40308</v>
      </c>
      <c r="D7893" s="15">
        <f>IFERROR(__xludf.DUMMYFUNCTION("""COMPUTED_VALUE"""),1.048)</f>
        <v>1.048</v>
      </c>
      <c r="E7893" s="16">
        <f>IFERROR(__xludf.DUMMYFUNCTION("""COMPUTED_VALUE"""),68.0)</f>
        <v>68</v>
      </c>
      <c r="F7893" s="19" t="str">
        <f>IFERROR(__xludf.DUMMYFUNCTION("""COMPUTED_VALUE"""),"BLUE")</f>
        <v>BLUE</v>
      </c>
      <c r="G7893" s="20" t="str">
        <f>IFERROR(__xludf.DUMMYFUNCTION("""COMPUTED_VALUE"""),"Uncle Sams Cider (11/12/2021) (Blue)")</f>
        <v>Uncle Sams Cider (11/12/2021) (Blue)</v>
      </c>
      <c r="H7893" s="19"/>
    </row>
    <row r="7894">
      <c r="A7894" s="9"/>
      <c r="B7894" s="15"/>
      <c r="C7894" s="9">
        <f>IFERROR(__xludf.DUMMYFUNCTION("""COMPUTED_VALUE"""),44522.3926591898)</f>
        <v>44522.39266</v>
      </c>
      <c r="D7894" s="15">
        <f>IFERROR(__xludf.DUMMYFUNCTION("""COMPUTED_VALUE"""),1.048)</f>
        <v>1.048</v>
      </c>
      <c r="E7894" s="16">
        <f>IFERROR(__xludf.DUMMYFUNCTION("""COMPUTED_VALUE"""),68.0)</f>
        <v>68</v>
      </c>
      <c r="F7894" s="19" t="str">
        <f>IFERROR(__xludf.DUMMYFUNCTION("""COMPUTED_VALUE"""),"BLUE")</f>
        <v>BLUE</v>
      </c>
      <c r="G7894" s="20" t="str">
        <f>IFERROR(__xludf.DUMMYFUNCTION("""COMPUTED_VALUE"""),"Uncle Sams Cider (11/12/2021) (Blue)")</f>
        <v>Uncle Sams Cider (11/12/2021) (Blue)</v>
      </c>
      <c r="H7894" s="19"/>
    </row>
    <row r="7895">
      <c r="A7895" s="9"/>
      <c r="B7895" s="15"/>
      <c r="C7895" s="9">
        <f>IFERROR(__xludf.DUMMYFUNCTION("""COMPUTED_VALUE"""),44522.3822388773)</f>
        <v>44522.38224</v>
      </c>
      <c r="D7895" s="15">
        <f>IFERROR(__xludf.DUMMYFUNCTION("""COMPUTED_VALUE"""),1.048)</f>
        <v>1.048</v>
      </c>
      <c r="E7895" s="16">
        <f>IFERROR(__xludf.DUMMYFUNCTION("""COMPUTED_VALUE"""),68.0)</f>
        <v>68</v>
      </c>
      <c r="F7895" s="19" t="str">
        <f>IFERROR(__xludf.DUMMYFUNCTION("""COMPUTED_VALUE"""),"BLUE")</f>
        <v>BLUE</v>
      </c>
      <c r="G7895" s="20" t="str">
        <f>IFERROR(__xludf.DUMMYFUNCTION("""COMPUTED_VALUE"""),"Uncle Sams Cider (11/12/2021) (Blue)")</f>
        <v>Uncle Sams Cider (11/12/2021) (Blue)</v>
      </c>
      <c r="H7895" s="19"/>
    </row>
    <row r="7896">
      <c r="A7896" s="9"/>
      <c r="B7896" s="15"/>
      <c r="C7896" s="9">
        <f>IFERROR(__xludf.DUMMYFUNCTION("""COMPUTED_VALUE"""),44522.3718193287)</f>
        <v>44522.37182</v>
      </c>
      <c r="D7896" s="15">
        <f>IFERROR(__xludf.DUMMYFUNCTION("""COMPUTED_VALUE"""),1.048)</f>
        <v>1.048</v>
      </c>
      <c r="E7896" s="16">
        <f>IFERROR(__xludf.DUMMYFUNCTION("""COMPUTED_VALUE"""),68.0)</f>
        <v>68</v>
      </c>
      <c r="F7896" s="19" t="str">
        <f>IFERROR(__xludf.DUMMYFUNCTION("""COMPUTED_VALUE"""),"BLUE")</f>
        <v>BLUE</v>
      </c>
      <c r="G7896" s="20" t="str">
        <f>IFERROR(__xludf.DUMMYFUNCTION("""COMPUTED_VALUE"""),"Uncle Sams Cider (11/12/2021) (Blue)")</f>
        <v>Uncle Sams Cider (11/12/2021) (Blue)</v>
      </c>
      <c r="H7896" s="19"/>
    </row>
    <row r="7897">
      <c r="A7897" s="9"/>
      <c r="B7897" s="15"/>
      <c r="C7897" s="9">
        <f>IFERROR(__xludf.DUMMYFUNCTION("""COMPUTED_VALUE"""),44522.3613996527)</f>
        <v>44522.3614</v>
      </c>
      <c r="D7897" s="15">
        <f>IFERROR(__xludf.DUMMYFUNCTION("""COMPUTED_VALUE"""),1.048)</f>
        <v>1.048</v>
      </c>
      <c r="E7897" s="16">
        <f>IFERROR(__xludf.DUMMYFUNCTION("""COMPUTED_VALUE"""),68.0)</f>
        <v>68</v>
      </c>
      <c r="F7897" s="19" t="str">
        <f>IFERROR(__xludf.DUMMYFUNCTION("""COMPUTED_VALUE"""),"BLUE")</f>
        <v>BLUE</v>
      </c>
      <c r="G7897" s="20" t="str">
        <f>IFERROR(__xludf.DUMMYFUNCTION("""COMPUTED_VALUE"""),"Uncle Sams Cider (11/12/2021) (Blue)")</f>
        <v>Uncle Sams Cider (11/12/2021) (Blue)</v>
      </c>
      <c r="H7897" s="19"/>
    </row>
    <row r="7898">
      <c r="A7898" s="9"/>
      <c r="B7898" s="15"/>
      <c r="C7898" s="9">
        <f>IFERROR(__xludf.DUMMYFUNCTION("""COMPUTED_VALUE"""),44522.350978287)</f>
        <v>44522.35098</v>
      </c>
      <c r="D7898" s="15">
        <f>IFERROR(__xludf.DUMMYFUNCTION("""COMPUTED_VALUE"""),1.048)</f>
        <v>1.048</v>
      </c>
      <c r="E7898" s="16">
        <f>IFERROR(__xludf.DUMMYFUNCTION("""COMPUTED_VALUE"""),68.0)</f>
        <v>68</v>
      </c>
      <c r="F7898" s="19" t="str">
        <f>IFERROR(__xludf.DUMMYFUNCTION("""COMPUTED_VALUE"""),"BLUE")</f>
        <v>BLUE</v>
      </c>
      <c r="G7898" s="20" t="str">
        <f>IFERROR(__xludf.DUMMYFUNCTION("""COMPUTED_VALUE"""),"Uncle Sams Cider (11/12/2021) (Blue)")</f>
        <v>Uncle Sams Cider (11/12/2021) (Blue)</v>
      </c>
      <c r="H7898" s="19"/>
    </row>
    <row r="7899">
      <c r="A7899" s="9"/>
      <c r="B7899" s="15"/>
      <c r="C7899" s="9">
        <f>IFERROR(__xludf.DUMMYFUNCTION("""COMPUTED_VALUE"""),44522.3405578703)</f>
        <v>44522.34056</v>
      </c>
      <c r="D7899" s="15">
        <f>IFERROR(__xludf.DUMMYFUNCTION("""COMPUTED_VALUE"""),1.048)</f>
        <v>1.048</v>
      </c>
      <c r="E7899" s="16">
        <f>IFERROR(__xludf.DUMMYFUNCTION("""COMPUTED_VALUE"""),68.0)</f>
        <v>68</v>
      </c>
      <c r="F7899" s="19" t="str">
        <f>IFERROR(__xludf.DUMMYFUNCTION("""COMPUTED_VALUE"""),"BLUE")</f>
        <v>BLUE</v>
      </c>
      <c r="G7899" s="20" t="str">
        <f>IFERROR(__xludf.DUMMYFUNCTION("""COMPUTED_VALUE"""),"Uncle Sams Cider (11/12/2021) (Blue)")</f>
        <v>Uncle Sams Cider (11/12/2021) (Blue)</v>
      </c>
      <c r="H7899" s="19"/>
    </row>
    <row r="7900">
      <c r="A7900" s="9"/>
      <c r="B7900" s="15"/>
      <c r="C7900" s="9">
        <f>IFERROR(__xludf.DUMMYFUNCTION("""COMPUTED_VALUE"""),44522.3301370486)</f>
        <v>44522.33014</v>
      </c>
      <c r="D7900" s="15">
        <f>IFERROR(__xludf.DUMMYFUNCTION("""COMPUTED_VALUE"""),1.048)</f>
        <v>1.048</v>
      </c>
      <c r="E7900" s="16">
        <f>IFERROR(__xludf.DUMMYFUNCTION("""COMPUTED_VALUE"""),68.0)</f>
        <v>68</v>
      </c>
      <c r="F7900" s="19" t="str">
        <f>IFERROR(__xludf.DUMMYFUNCTION("""COMPUTED_VALUE"""),"BLUE")</f>
        <v>BLUE</v>
      </c>
      <c r="G7900" s="20" t="str">
        <f>IFERROR(__xludf.DUMMYFUNCTION("""COMPUTED_VALUE"""),"Uncle Sams Cider (11/12/2021) (Blue)")</f>
        <v>Uncle Sams Cider (11/12/2021) (Blue)</v>
      </c>
      <c r="H7900" s="19"/>
    </row>
    <row r="7901">
      <c r="A7901" s="9"/>
      <c r="B7901" s="15"/>
      <c r="C7901" s="9">
        <f>IFERROR(__xludf.DUMMYFUNCTION("""COMPUTED_VALUE"""),44522.319714155)</f>
        <v>44522.31971</v>
      </c>
      <c r="D7901" s="15">
        <f>IFERROR(__xludf.DUMMYFUNCTION("""COMPUTED_VALUE"""),1.048)</f>
        <v>1.048</v>
      </c>
      <c r="E7901" s="16">
        <f>IFERROR(__xludf.DUMMYFUNCTION("""COMPUTED_VALUE"""),68.0)</f>
        <v>68</v>
      </c>
      <c r="F7901" s="19" t="str">
        <f>IFERROR(__xludf.DUMMYFUNCTION("""COMPUTED_VALUE"""),"BLUE")</f>
        <v>BLUE</v>
      </c>
      <c r="G7901" s="20" t="str">
        <f>IFERROR(__xludf.DUMMYFUNCTION("""COMPUTED_VALUE"""),"Uncle Sams Cider (11/12/2021) (Blue)")</f>
        <v>Uncle Sams Cider (11/12/2021) (Blue)</v>
      </c>
      <c r="H7901" s="19"/>
    </row>
    <row r="7902">
      <c r="A7902" s="9"/>
      <c r="B7902" s="15"/>
      <c r="C7902" s="9">
        <f>IFERROR(__xludf.DUMMYFUNCTION("""COMPUTED_VALUE"""),44522.3092810532)</f>
        <v>44522.30928</v>
      </c>
      <c r="D7902" s="15">
        <f>IFERROR(__xludf.DUMMYFUNCTION("""COMPUTED_VALUE"""),1.048)</f>
        <v>1.048</v>
      </c>
      <c r="E7902" s="16">
        <f>IFERROR(__xludf.DUMMYFUNCTION("""COMPUTED_VALUE"""),68.0)</f>
        <v>68</v>
      </c>
      <c r="F7902" s="19" t="str">
        <f>IFERROR(__xludf.DUMMYFUNCTION("""COMPUTED_VALUE"""),"BLUE")</f>
        <v>BLUE</v>
      </c>
      <c r="G7902" s="20" t="str">
        <f>IFERROR(__xludf.DUMMYFUNCTION("""COMPUTED_VALUE"""),"Uncle Sams Cider (11/12/2021) (Blue)")</f>
        <v>Uncle Sams Cider (11/12/2021) (Blue)</v>
      </c>
      <c r="H7902" s="19"/>
    </row>
    <row r="7903">
      <c r="A7903" s="9"/>
      <c r="B7903" s="15"/>
      <c r="C7903" s="9">
        <f>IFERROR(__xludf.DUMMYFUNCTION("""COMPUTED_VALUE"""),44522.2988585069)</f>
        <v>44522.29886</v>
      </c>
      <c r="D7903" s="15">
        <f>IFERROR(__xludf.DUMMYFUNCTION("""COMPUTED_VALUE"""),1.048)</f>
        <v>1.048</v>
      </c>
      <c r="E7903" s="16">
        <f>IFERROR(__xludf.DUMMYFUNCTION("""COMPUTED_VALUE"""),68.0)</f>
        <v>68</v>
      </c>
      <c r="F7903" s="19" t="str">
        <f>IFERROR(__xludf.DUMMYFUNCTION("""COMPUTED_VALUE"""),"BLUE")</f>
        <v>BLUE</v>
      </c>
      <c r="G7903" s="20" t="str">
        <f>IFERROR(__xludf.DUMMYFUNCTION("""COMPUTED_VALUE"""),"Uncle Sams Cider (11/12/2021) (Blue)")</f>
        <v>Uncle Sams Cider (11/12/2021) (Blue)</v>
      </c>
      <c r="H7903" s="19"/>
    </row>
    <row r="7904">
      <c r="A7904" s="9"/>
      <c r="B7904" s="15"/>
      <c r="C7904" s="9">
        <f>IFERROR(__xludf.DUMMYFUNCTION("""COMPUTED_VALUE"""),44522.2884377893)</f>
        <v>44522.28844</v>
      </c>
      <c r="D7904" s="15">
        <f>IFERROR(__xludf.DUMMYFUNCTION("""COMPUTED_VALUE"""),1.048)</f>
        <v>1.048</v>
      </c>
      <c r="E7904" s="16">
        <f>IFERROR(__xludf.DUMMYFUNCTION("""COMPUTED_VALUE"""),68.0)</f>
        <v>68</v>
      </c>
      <c r="F7904" s="19" t="str">
        <f>IFERROR(__xludf.DUMMYFUNCTION("""COMPUTED_VALUE"""),"BLUE")</f>
        <v>BLUE</v>
      </c>
      <c r="G7904" s="20" t="str">
        <f>IFERROR(__xludf.DUMMYFUNCTION("""COMPUTED_VALUE"""),"Uncle Sams Cider (11/12/2021) (Blue)")</f>
        <v>Uncle Sams Cider (11/12/2021) (Blue)</v>
      </c>
      <c r="H7904" s="19"/>
    </row>
    <row r="7905">
      <c r="A7905" s="9"/>
      <c r="B7905" s="15"/>
      <c r="C7905" s="9">
        <f>IFERROR(__xludf.DUMMYFUNCTION("""COMPUTED_VALUE"""),44522.2780170023)</f>
        <v>44522.27802</v>
      </c>
      <c r="D7905" s="15">
        <f>IFERROR(__xludf.DUMMYFUNCTION("""COMPUTED_VALUE"""),1.048)</f>
        <v>1.048</v>
      </c>
      <c r="E7905" s="16">
        <f>IFERROR(__xludf.DUMMYFUNCTION("""COMPUTED_VALUE"""),68.0)</f>
        <v>68</v>
      </c>
      <c r="F7905" s="19" t="str">
        <f>IFERROR(__xludf.DUMMYFUNCTION("""COMPUTED_VALUE"""),"BLUE")</f>
        <v>BLUE</v>
      </c>
      <c r="G7905" s="20" t="str">
        <f>IFERROR(__xludf.DUMMYFUNCTION("""COMPUTED_VALUE"""),"Uncle Sams Cider (11/12/2021) (Blue)")</f>
        <v>Uncle Sams Cider (11/12/2021) (Blue)</v>
      </c>
      <c r="H7905" s="19"/>
    </row>
    <row r="7906">
      <c r="A7906" s="9"/>
      <c r="B7906" s="15"/>
      <c r="C7906" s="9">
        <f>IFERROR(__xludf.DUMMYFUNCTION("""COMPUTED_VALUE"""),44522.2675954166)</f>
        <v>44522.2676</v>
      </c>
      <c r="D7906" s="15">
        <f>IFERROR(__xludf.DUMMYFUNCTION("""COMPUTED_VALUE"""),1.048)</f>
        <v>1.048</v>
      </c>
      <c r="E7906" s="16">
        <f>IFERROR(__xludf.DUMMYFUNCTION("""COMPUTED_VALUE"""),68.0)</f>
        <v>68</v>
      </c>
      <c r="F7906" s="19" t="str">
        <f>IFERROR(__xludf.DUMMYFUNCTION("""COMPUTED_VALUE"""),"BLUE")</f>
        <v>BLUE</v>
      </c>
      <c r="G7906" s="20" t="str">
        <f>IFERROR(__xludf.DUMMYFUNCTION("""COMPUTED_VALUE"""),"Uncle Sams Cider (11/12/2021) (Blue)")</f>
        <v>Uncle Sams Cider (11/12/2021) (Blue)</v>
      </c>
      <c r="H7906" s="19"/>
    </row>
    <row r="7907">
      <c r="A7907" s="9"/>
      <c r="B7907" s="15"/>
      <c r="C7907" s="9">
        <f>IFERROR(__xludf.DUMMYFUNCTION("""COMPUTED_VALUE"""),44522.2571724421)</f>
        <v>44522.25717</v>
      </c>
      <c r="D7907" s="15">
        <f>IFERROR(__xludf.DUMMYFUNCTION("""COMPUTED_VALUE"""),1.048)</f>
        <v>1.048</v>
      </c>
      <c r="E7907" s="16">
        <f>IFERROR(__xludf.DUMMYFUNCTION("""COMPUTED_VALUE"""),68.0)</f>
        <v>68</v>
      </c>
      <c r="F7907" s="19" t="str">
        <f>IFERROR(__xludf.DUMMYFUNCTION("""COMPUTED_VALUE"""),"BLUE")</f>
        <v>BLUE</v>
      </c>
      <c r="G7907" s="20" t="str">
        <f>IFERROR(__xludf.DUMMYFUNCTION("""COMPUTED_VALUE"""),"Uncle Sams Cider (11/12/2021) (Blue)")</f>
        <v>Uncle Sams Cider (11/12/2021) (Blue)</v>
      </c>
      <c r="H7907" s="19"/>
    </row>
    <row r="7908">
      <c r="A7908" s="9"/>
      <c r="B7908" s="15"/>
      <c r="C7908" s="9">
        <f>IFERROR(__xludf.DUMMYFUNCTION("""COMPUTED_VALUE"""),44522.2467516087)</f>
        <v>44522.24675</v>
      </c>
      <c r="D7908" s="15">
        <f>IFERROR(__xludf.DUMMYFUNCTION("""COMPUTED_VALUE"""),1.048)</f>
        <v>1.048</v>
      </c>
      <c r="E7908" s="16">
        <f>IFERROR(__xludf.DUMMYFUNCTION("""COMPUTED_VALUE"""),68.0)</f>
        <v>68</v>
      </c>
      <c r="F7908" s="19" t="str">
        <f>IFERROR(__xludf.DUMMYFUNCTION("""COMPUTED_VALUE"""),"BLUE")</f>
        <v>BLUE</v>
      </c>
      <c r="G7908" s="20" t="str">
        <f>IFERROR(__xludf.DUMMYFUNCTION("""COMPUTED_VALUE"""),"Uncle Sams Cider (11/12/2021) (Blue)")</f>
        <v>Uncle Sams Cider (11/12/2021) (Blue)</v>
      </c>
      <c r="H7908" s="19"/>
    </row>
    <row r="7909">
      <c r="A7909" s="9"/>
      <c r="B7909" s="15"/>
      <c r="C7909" s="9">
        <f>IFERROR(__xludf.DUMMYFUNCTION("""COMPUTED_VALUE"""),44522.2363071759)</f>
        <v>44522.23631</v>
      </c>
      <c r="D7909" s="15">
        <f>IFERROR(__xludf.DUMMYFUNCTION("""COMPUTED_VALUE"""),1.048)</f>
        <v>1.048</v>
      </c>
      <c r="E7909" s="16">
        <f>IFERROR(__xludf.DUMMYFUNCTION("""COMPUTED_VALUE"""),68.0)</f>
        <v>68</v>
      </c>
      <c r="F7909" s="19" t="str">
        <f>IFERROR(__xludf.DUMMYFUNCTION("""COMPUTED_VALUE"""),"BLUE")</f>
        <v>BLUE</v>
      </c>
      <c r="G7909" s="20" t="str">
        <f>IFERROR(__xludf.DUMMYFUNCTION("""COMPUTED_VALUE"""),"Uncle Sams Cider (11/12/2021) (Blue)")</f>
        <v>Uncle Sams Cider (11/12/2021) (Blue)</v>
      </c>
      <c r="H7909" s="19"/>
    </row>
    <row r="7910">
      <c r="A7910" s="9"/>
      <c r="B7910" s="15"/>
      <c r="C7910" s="9">
        <f>IFERROR(__xludf.DUMMYFUNCTION("""COMPUTED_VALUE"""),44522.2258854745)</f>
        <v>44522.22589</v>
      </c>
      <c r="D7910" s="15">
        <f>IFERROR(__xludf.DUMMYFUNCTION("""COMPUTED_VALUE"""),1.049)</f>
        <v>1.049</v>
      </c>
      <c r="E7910" s="16">
        <f>IFERROR(__xludf.DUMMYFUNCTION("""COMPUTED_VALUE"""),68.0)</f>
        <v>68</v>
      </c>
      <c r="F7910" s="19" t="str">
        <f>IFERROR(__xludf.DUMMYFUNCTION("""COMPUTED_VALUE"""),"BLUE")</f>
        <v>BLUE</v>
      </c>
      <c r="G7910" s="20" t="str">
        <f>IFERROR(__xludf.DUMMYFUNCTION("""COMPUTED_VALUE"""),"Uncle Sams Cider (11/12/2021) (Blue)")</f>
        <v>Uncle Sams Cider (11/12/2021) (Blue)</v>
      </c>
      <c r="H7910" s="19"/>
    </row>
    <row r="7911">
      <c r="A7911" s="9"/>
      <c r="B7911" s="15"/>
      <c r="C7911" s="9">
        <f>IFERROR(__xludf.DUMMYFUNCTION("""COMPUTED_VALUE"""),44522.2154642939)</f>
        <v>44522.21546</v>
      </c>
      <c r="D7911" s="15">
        <f>IFERROR(__xludf.DUMMYFUNCTION("""COMPUTED_VALUE"""),1.049)</f>
        <v>1.049</v>
      </c>
      <c r="E7911" s="16">
        <f>IFERROR(__xludf.DUMMYFUNCTION("""COMPUTED_VALUE"""),68.0)</f>
        <v>68</v>
      </c>
      <c r="F7911" s="19" t="str">
        <f>IFERROR(__xludf.DUMMYFUNCTION("""COMPUTED_VALUE"""),"BLUE")</f>
        <v>BLUE</v>
      </c>
      <c r="G7911" s="20" t="str">
        <f>IFERROR(__xludf.DUMMYFUNCTION("""COMPUTED_VALUE"""),"Uncle Sams Cider (11/12/2021) (Blue)")</f>
        <v>Uncle Sams Cider (11/12/2021) (Blue)</v>
      </c>
      <c r="H7911" s="19"/>
    </row>
    <row r="7912">
      <c r="A7912" s="9"/>
      <c r="B7912" s="15"/>
      <c r="C7912" s="9">
        <f>IFERROR(__xludf.DUMMYFUNCTION("""COMPUTED_VALUE"""),44522.2050444328)</f>
        <v>44522.20504</v>
      </c>
      <c r="D7912" s="15">
        <f>IFERROR(__xludf.DUMMYFUNCTION("""COMPUTED_VALUE"""),1.049)</f>
        <v>1.049</v>
      </c>
      <c r="E7912" s="16">
        <f>IFERROR(__xludf.DUMMYFUNCTION("""COMPUTED_VALUE"""),68.0)</f>
        <v>68</v>
      </c>
      <c r="F7912" s="19" t="str">
        <f>IFERROR(__xludf.DUMMYFUNCTION("""COMPUTED_VALUE"""),"BLUE")</f>
        <v>BLUE</v>
      </c>
      <c r="G7912" s="20" t="str">
        <f>IFERROR(__xludf.DUMMYFUNCTION("""COMPUTED_VALUE"""),"Uncle Sams Cider (11/12/2021) (Blue)")</f>
        <v>Uncle Sams Cider (11/12/2021) (Blue)</v>
      </c>
      <c r="H7912" s="19"/>
    </row>
    <row r="7913">
      <c r="A7913" s="9"/>
      <c r="B7913" s="15"/>
      <c r="C7913" s="9">
        <f>IFERROR(__xludf.DUMMYFUNCTION("""COMPUTED_VALUE"""),44522.1946263194)</f>
        <v>44522.19463</v>
      </c>
      <c r="D7913" s="15">
        <f>IFERROR(__xludf.DUMMYFUNCTION("""COMPUTED_VALUE"""),1.049)</f>
        <v>1.049</v>
      </c>
      <c r="E7913" s="16">
        <f>IFERROR(__xludf.DUMMYFUNCTION("""COMPUTED_VALUE"""),68.0)</f>
        <v>68</v>
      </c>
      <c r="F7913" s="19" t="str">
        <f>IFERROR(__xludf.DUMMYFUNCTION("""COMPUTED_VALUE"""),"BLUE")</f>
        <v>BLUE</v>
      </c>
      <c r="G7913" s="20" t="str">
        <f>IFERROR(__xludf.DUMMYFUNCTION("""COMPUTED_VALUE"""),"Uncle Sams Cider (11/12/2021) (Blue)")</f>
        <v>Uncle Sams Cider (11/12/2021) (Blue)</v>
      </c>
      <c r="H7913" s="19"/>
    </row>
    <row r="7914">
      <c r="A7914" s="9"/>
      <c r="B7914" s="15"/>
      <c r="C7914" s="9">
        <f>IFERROR(__xludf.DUMMYFUNCTION("""COMPUTED_VALUE"""),44522.1842060763)</f>
        <v>44522.18421</v>
      </c>
      <c r="D7914" s="15">
        <f>IFERROR(__xludf.DUMMYFUNCTION("""COMPUTED_VALUE"""),1.049)</f>
        <v>1.049</v>
      </c>
      <c r="E7914" s="16">
        <f>IFERROR(__xludf.DUMMYFUNCTION("""COMPUTED_VALUE"""),68.0)</f>
        <v>68</v>
      </c>
      <c r="F7914" s="19" t="str">
        <f>IFERROR(__xludf.DUMMYFUNCTION("""COMPUTED_VALUE"""),"BLUE")</f>
        <v>BLUE</v>
      </c>
      <c r="G7914" s="20" t="str">
        <f>IFERROR(__xludf.DUMMYFUNCTION("""COMPUTED_VALUE"""),"Uncle Sams Cider (11/12/2021) (Blue)")</f>
        <v>Uncle Sams Cider (11/12/2021) (Blue)</v>
      </c>
      <c r="H7914" s="19"/>
    </row>
    <row r="7915">
      <c r="A7915" s="9"/>
      <c r="B7915" s="15"/>
      <c r="C7915" s="9">
        <f>IFERROR(__xludf.DUMMYFUNCTION("""COMPUTED_VALUE"""),44522.1737846643)</f>
        <v>44522.17378</v>
      </c>
      <c r="D7915" s="15">
        <f>IFERROR(__xludf.DUMMYFUNCTION("""COMPUTED_VALUE"""),1.049)</f>
        <v>1.049</v>
      </c>
      <c r="E7915" s="16">
        <f>IFERROR(__xludf.DUMMYFUNCTION("""COMPUTED_VALUE"""),68.0)</f>
        <v>68</v>
      </c>
      <c r="F7915" s="19" t="str">
        <f>IFERROR(__xludf.DUMMYFUNCTION("""COMPUTED_VALUE"""),"BLUE")</f>
        <v>BLUE</v>
      </c>
      <c r="G7915" s="20" t="str">
        <f>IFERROR(__xludf.DUMMYFUNCTION("""COMPUTED_VALUE"""),"Uncle Sams Cider (11/12/2021) (Blue)")</f>
        <v>Uncle Sams Cider (11/12/2021) (Blue)</v>
      </c>
      <c r="H7915" s="19"/>
    </row>
    <row r="7916">
      <c r="A7916" s="9"/>
      <c r="B7916" s="15"/>
      <c r="C7916" s="9">
        <f>IFERROR(__xludf.DUMMYFUNCTION("""COMPUTED_VALUE"""),44522.1633626157)</f>
        <v>44522.16336</v>
      </c>
      <c r="D7916" s="15">
        <f>IFERROR(__xludf.DUMMYFUNCTION("""COMPUTED_VALUE"""),1.049)</f>
        <v>1.049</v>
      </c>
      <c r="E7916" s="16">
        <f>IFERROR(__xludf.DUMMYFUNCTION("""COMPUTED_VALUE"""),68.0)</f>
        <v>68</v>
      </c>
      <c r="F7916" s="19" t="str">
        <f>IFERROR(__xludf.DUMMYFUNCTION("""COMPUTED_VALUE"""),"BLUE")</f>
        <v>BLUE</v>
      </c>
      <c r="G7916" s="20" t="str">
        <f>IFERROR(__xludf.DUMMYFUNCTION("""COMPUTED_VALUE"""),"Uncle Sams Cider (11/12/2021) (Blue)")</f>
        <v>Uncle Sams Cider (11/12/2021) (Blue)</v>
      </c>
      <c r="H7916" s="19"/>
    </row>
    <row r="7917">
      <c r="A7917" s="9"/>
      <c r="B7917" s="15"/>
      <c r="C7917" s="9">
        <f>IFERROR(__xludf.DUMMYFUNCTION("""COMPUTED_VALUE"""),44522.1529417824)</f>
        <v>44522.15294</v>
      </c>
      <c r="D7917" s="15">
        <f>IFERROR(__xludf.DUMMYFUNCTION("""COMPUTED_VALUE"""),1.049)</f>
        <v>1.049</v>
      </c>
      <c r="E7917" s="16">
        <f>IFERROR(__xludf.DUMMYFUNCTION("""COMPUTED_VALUE"""),68.0)</f>
        <v>68</v>
      </c>
      <c r="F7917" s="19" t="str">
        <f>IFERROR(__xludf.DUMMYFUNCTION("""COMPUTED_VALUE"""),"BLUE")</f>
        <v>BLUE</v>
      </c>
      <c r="G7917" s="20" t="str">
        <f>IFERROR(__xludf.DUMMYFUNCTION("""COMPUTED_VALUE"""),"Uncle Sams Cider (11/12/2021) (Blue)")</f>
        <v>Uncle Sams Cider (11/12/2021) (Blue)</v>
      </c>
      <c r="H7917" s="19"/>
    </row>
    <row r="7918">
      <c r="A7918" s="9"/>
      <c r="B7918" s="15"/>
      <c r="C7918" s="9">
        <f>IFERROR(__xludf.DUMMYFUNCTION("""COMPUTED_VALUE"""),44522.1425109027)</f>
        <v>44522.14251</v>
      </c>
      <c r="D7918" s="15">
        <f>IFERROR(__xludf.DUMMYFUNCTION("""COMPUTED_VALUE"""),1.049)</f>
        <v>1.049</v>
      </c>
      <c r="E7918" s="16">
        <f>IFERROR(__xludf.DUMMYFUNCTION("""COMPUTED_VALUE"""),68.0)</f>
        <v>68</v>
      </c>
      <c r="F7918" s="19" t="str">
        <f>IFERROR(__xludf.DUMMYFUNCTION("""COMPUTED_VALUE"""),"BLUE")</f>
        <v>BLUE</v>
      </c>
      <c r="G7918" s="20" t="str">
        <f>IFERROR(__xludf.DUMMYFUNCTION("""COMPUTED_VALUE"""),"Uncle Sams Cider (11/12/2021) (Blue)")</f>
        <v>Uncle Sams Cider (11/12/2021) (Blue)</v>
      </c>
      <c r="H7918" s="19"/>
    </row>
    <row r="7919">
      <c r="A7919" s="9"/>
      <c r="B7919" s="15"/>
      <c r="C7919" s="9">
        <f>IFERROR(__xludf.DUMMYFUNCTION("""COMPUTED_VALUE"""),44522.1320897222)</f>
        <v>44522.13209</v>
      </c>
      <c r="D7919" s="15">
        <f>IFERROR(__xludf.DUMMYFUNCTION("""COMPUTED_VALUE"""),1.049)</f>
        <v>1.049</v>
      </c>
      <c r="E7919" s="16">
        <f>IFERROR(__xludf.DUMMYFUNCTION("""COMPUTED_VALUE"""),68.0)</f>
        <v>68</v>
      </c>
      <c r="F7919" s="19" t="str">
        <f>IFERROR(__xludf.DUMMYFUNCTION("""COMPUTED_VALUE"""),"BLUE")</f>
        <v>BLUE</v>
      </c>
      <c r="G7919" s="20" t="str">
        <f>IFERROR(__xludf.DUMMYFUNCTION("""COMPUTED_VALUE"""),"Uncle Sams Cider (11/12/2021) (Blue)")</f>
        <v>Uncle Sams Cider (11/12/2021) (Blue)</v>
      </c>
      <c r="H7919" s="19"/>
    </row>
    <row r="7920">
      <c r="A7920" s="9"/>
      <c r="B7920" s="15"/>
      <c r="C7920" s="9">
        <f>IFERROR(__xludf.DUMMYFUNCTION("""COMPUTED_VALUE"""),44522.121668912)</f>
        <v>44522.12167</v>
      </c>
      <c r="D7920" s="15">
        <f>IFERROR(__xludf.DUMMYFUNCTION("""COMPUTED_VALUE"""),1.049)</f>
        <v>1.049</v>
      </c>
      <c r="E7920" s="16">
        <f>IFERROR(__xludf.DUMMYFUNCTION("""COMPUTED_VALUE"""),68.0)</f>
        <v>68</v>
      </c>
      <c r="F7920" s="19" t="str">
        <f>IFERROR(__xludf.DUMMYFUNCTION("""COMPUTED_VALUE"""),"BLUE")</f>
        <v>BLUE</v>
      </c>
      <c r="G7920" s="20" t="str">
        <f>IFERROR(__xludf.DUMMYFUNCTION("""COMPUTED_VALUE"""),"Uncle Sams Cider (11/12/2021) (Blue)")</f>
        <v>Uncle Sams Cider (11/12/2021) (Blue)</v>
      </c>
      <c r="H7920" s="19"/>
    </row>
    <row r="7921">
      <c r="A7921" s="9"/>
      <c r="B7921" s="15"/>
      <c r="C7921" s="9">
        <f>IFERROR(__xludf.DUMMYFUNCTION("""COMPUTED_VALUE"""),44522.1112489467)</f>
        <v>44522.11125</v>
      </c>
      <c r="D7921" s="15">
        <f>IFERROR(__xludf.DUMMYFUNCTION("""COMPUTED_VALUE"""),1.049)</f>
        <v>1.049</v>
      </c>
      <c r="E7921" s="16">
        <f>IFERROR(__xludf.DUMMYFUNCTION("""COMPUTED_VALUE"""),68.0)</f>
        <v>68</v>
      </c>
      <c r="F7921" s="19" t="str">
        <f>IFERROR(__xludf.DUMMYFUNCTION("""COMPUTED_VALUE"""),"BLUE")</f>
        <v>BLUE</v>
      </c>
      <c r="G7921" s="20" t="str">
        <f>IFERROR(__xludf.DUMMYFUNCTION("""COMPUTED_VALUE"""),"Uncle Sams Cider (11/12/2021) (Blue)")</f>
        <v>Uncle Sams Cider (11/12/2021) (Blue)</v>
      </c>
      <c r="H7921" s="19"/>
    </row>
    <row r="7922">
      <c r="A7922" s="9"/>
      <c r="B7922" s="15"/>
      <c r="C7922" s="9">
        <f>IFERROR(__xludf.DUMMYFUNCTION("""COMPUTED_VALUE"""),44522.1008287847)</f>
        <v>44522.10083</v>
      </c>
      <c r="D7922" s="15">
        <f>IFERROR(__xludf.DUMMYFUNCTION("""COMPUTED_VALUE"""),1.049)</f>
        <v>1.049</v>
      </c>
      <c r="E7922" s="16">
        <f>IFERROR(__xludf.DUMMYFUNCTION("""COMPUTED_VALUE"""),68.0)</f>
        <v>68</v>
      </c>
      <c r="F7922" s="19" t="str">
        <f>IFERROR(__xludf.DUMMYFUNCTION("""COMPUTED_VALUE"""),"BLUE")</f>
        <v>BLUE</v>
      </c>
      <c r="G7922" s="20" t="str">
        <f>IFERROR(__xludf.DUMMYFUNCTION("""COMPUTED_VALUE"""),"Uncle Sams Cider (11/12/2021) (Blue)")</f>
        <v>Uncle Sams Cider (11/12/2021) (Blue)</v>
      </c>
      <c r="H7922" s="19"/>
    </row>
    <row r="7923">
      <c r="A7923" s="9"/>
      <c r="B7923" s="15"/>
      <c r="C7923" s="9">
        <f>IFERROR(__xludf.DUMMYFUNCTION("""COMPUTED_VALUE"""),44522.0904096296)</f>
        <v>44522.09041</v>
      </c>
      <c r="D7923" s="15">
        <f>IFERROR(__xludf.DUMMYFUNCTION("""COMPUTED_VALUE"""),1.049)</f>
        <v>1.049</v>
      </c>
      <c r="E7923" s="16">
        <f>IFERROR(__xludf.DUMMYFUNCTION("""COMPUTED_VALUE"""),68.0)</f>
        <v>68</v>
      </c>
      <c r="F7923" s="19" t="str">
        <f>IFERROR(__xludf.DUMMYFUNCTION("""COMPUTED_VALUE"""),"BLUE")</f>
        <v>BLUE</v>
      </c>
      <c r="G7923" s="20" t="str">
        <f>IFERROR(__xludf.DUMMYFUNCTION("""COMPUTED_VALUE"""),"Uncle Sams Cider (11/12/2021) (Blue)")</f>
        <v>Uncle Sams Cider (11/12/2021) (Blue)</v>
      </c>
      <c r="H7923" s="19"/>
    </row>
    <row r="7924">
      <c r="A7924" s="9"/>
      <c r="B7924" s="15"/>
      <c r="C7924" s="9">
        <f>IFERROR(__xludf.DUMMYFUNCTION("""COMPUTED_VALUE"""),44522.0799893518)</f>
        <v>44522.07999</v>
      </c>
      <c r="D7924" s="15">
        <f>IFERROR(__xludf.DUMMYFUNCTION("""COMPUTED_VALUE"""),1.049)</f>
        <v>1.049</v>
      </c>
      <c r="E7924" s="16">
        <f>IFERROR(__xludf.DUMMYFUNCTION("""COMPUTED_VALUE"""),68.0)</f>
        <v>68</v>
      </c>
      <c r="F7924" s="19" t="str">
        <f>IFERROR(__xludf.DUMMYFUNCTION("""COMPUTED_VALUE"""),"BLUE")</f>
        <v>BLUE</v>
      </c>
      <c r="G7924" s="20" t="str">
        <f>IFERROR(__xludf.DUMMYFUNCTION("""COMPUTED_VALUE"""),"Uncle Sams Cider (11/12/2021) (Blue)")</f>
        <v>Uncle Sams Cider (11/12/2021) (Blue)</v>
      </c>
      <c r="H7924" s="19"/>
    </row>
    <row r="7925">
      <c r="A7925" s="9"/>
      <c r="B7925" s="15"/>
      <c r="C7925" s="9">
        <f>IFERROR(__xludf.DUMMYFUNCTION("""COMPUTED_VALUE"""),44522.0695698379)</f>
        <v>44522.06957</v>
      </c>
      <c r="D7925" s="15">
        <f>IFERROR(__xludf.DUMMYFUNCTION("""COMPUTED_VALUE"""),1.049)</f>
        <v>1.049</v>
      </c>
      <c r="E7925" s="16">
        <f>IFERROR(__xludf.DUMMYFUNCTION("""COMPUTED_VALUE"""),68.0)</f>
        <v>68</v>
      </c>
      <c r="F7925" s="19" t="str">
        <f>IFERROR(__xludf.DUMMYFUNCTION("""COMPUTED_VALUE"""),"BLUE")</f>
        <v>BLUE</v>
      </c>
      <c r="G7925" s="20" t="str">
        <f>IFERROR(__xludf.DUMMYFUNCTION("""COMPUTED_VALUE"""),"Uncle Sams Cider (11/12/2021) (Blue)")</f>
        <v>Uncle Sams Cider (11/12/2021) (Blue)</v>
      </c>
      <c r="H7925" s="19"/>
    </row>
    <row r="7926">
      <c r="A7926" s="9"/>
      <c r="B7926" s="15"/>
      <c r="C7926" s="9">
        <f>IFERROR(__xludf.DUMMYFUNCTION("""COMPUTED_VALUE"""),44522.0591493402)</f>
        <v>44522.05915</v>
      </c>
      <c r="D7926" s="15">
        <f>IFERROR(__xludf.DUMMYFUNCTION("""COMPUTED_VALUE"""),1.049)</f>
        <v>1.049</v>
      </c>
      <c r="E7926" s="16">
        <f>IFERROR(__xludf.DUMMYFUNCTION("""COMPUTED_VALUE"""),68.0)</f>
        <v>68</v>
      </c>
      <c r="F7926" s="19" t="str">
        <f>IFERROR(__xludf.DUMMYFUNCTION("""COMPUTED_VALUE"""),"BLUE")</f>
        <v>BLUE</v>
      </c>
      <c r="G7926" s="20" t="str">
        <f>IFERROR(__xludf.DUMMYFUNCTION("""COMPUTED_VALUE"""),"Uncle Sams Cider (11/12/2021) (Blue)")</f>
        <v>Uncle Sams Cider (11/12/2021) (Blue)</v>
      </c>
      <c r="H7926" s="19"/>
    </row>
    <row r="7927">
      <c r="A7927" s="9"/>
      <c r="B7927" s="15"/>
      <c r="C7927" s="9">
        <f>IFERROR(__xludf.DUMMYFUNCTION("""COMPUTED_VALUE"""),44522.0487269907)</f>
        <v>44522.04873</v>
      </c>
      <c r="D7927" s="15">
        <f>IFERROR(__xludf.DUMMYFUNCTION("""COMPUTED_VALUE"""),1.049)</f>
        <v>1.049</v>
      </c>
      <c r="E7927" s="16">
        <f>IFERROR(__xludf.DUMMYFUNCTION("""COMPUTED_VALUE"""),68.0)</f>
        <v>68</v>
      </c>
      <c r="F7927" s="19" t="str">
        <f>IFERROR(__xludf.DUMMYFUNCTION("""COMPUTED_VALUE"""),"BLUE")</f>
        <v>BLUE</v>
      </c>
      <c r="G7927" s="20" t="str">
        <f>IFERROR(__xludf.DUMMYFUNCTION("""COMPUTED_VALUE"""),"Uncle Sams Cider (11/12/2021) (Blue)")</f>
        <v>Uncle Sams Cider (11/12/2021) (Blue)</v>
      </c>
      <c r="H7927" s="19"/>
    </row>
    <row r="7928">
      <c r="A7928" s="9"/>
      <c r="B7928" s="15"/>
      <c r="C7928" s="9">
        <f>IFERROR(__xludf.DUMMYFUNCTION("""COMPUTED_VALUE"""),44522.0383057523)</f>
        <v>44522.03831</v>
      </c>
      <c r="D7928" s="15">
        <f>IFERROR(__xludf.DUMMYFUNCTION("""COMPUTED_VALUE"""),1.049)</f>
        <v>1.049</v>
      </c>
      <c r="E7928" s="16">
        <f>IFERROR(__xludf.DUMMYFUNCTION("""COMPUTED_VALUE"""),68.0)</f>
        <v>68</v>
      </c>
      <c r="F7928" s="19" t="str">
        <f>IFERROR(__xludf.DUMMYFUNCTION("""COMPUTED_VALUE"""),"BLUE")</f>
        <v>BLUE</v>
      </c>
      <c r="G7928" s="20" t="str">
        <f>IFERROR(__xludf.DUMMYFUNCTION("""COMPUTED_VALUE"""),"Uncle Sams Cider (11/12/2021) (Blue)")</f>
        <v>Uncle Sams Cider (11/12/2021) (Blue)</v>
      </c>
      <c r="H7928" s="19"/>
    </row>
    <row r="7929">
      <c r="A7929" s="9"/>
      <c r="B7929" s="15"/>
      <c r="C7929" s="9">
        <f>IFERROR(__xludf.DUMMYFUNCTION("""COMPUTED_VALUE"""),44522.0278836921)</f>
        <v>44522.02788</v>
      </c>
      <c r="D7929" s="15">
        <f>IFERROR(__xludf.DUMMYFUNCTION("""COMPUTED_VALUE"""),1.049)</f>
        <v>1.049</v>
      </c>
      <c r="E7929" s="16">
        <f>IFERROR(__xludf.DUMMYFUNCTION("""COMPUTED_VALUE"""),68.0)</f>
        <v>68</v>
      </c>
      <c r="F7929" s="19" t="str">
        <f>IFERROR(__xludf.DUMMYFUNCTION("""COMPUTED_VALUE"""),"BLUE")</f>
        <v>BLUE</v>
      </c>
      <c r="G7929" s="20" t="str">
        <f>IFERROR(__xludf.DUMMYFUNCTION("""COMPUTED_VALUE"""),"Uncle Sams Cider (11/12/2021) (Blue)")</f>
        <v>Uncle Sams Cider (11/12/2021) (Blue)</v>
      </c>
      <c r="H7929" s="19"/>
    </row>
    <row r="7930">
      <c r="A7930" s="9"/>
      <c r="B7930" s="15"/>
      <c r="C7930" s="9">
        <f>IFERROR(__xludf.DUMMYFUNCTION("""COMPUTED_VALUE"""),44522.0174517939)</f>
        <v>44522.01745</v>
      </c>
      <c r="D7930" s="15">
        <f>IFERROR(__xludf.DUMMYFUNCTION("""COMPUTED_VALUE"""),1.049)</f>
        <v>1.049</v>
      </c>
      <c r="E7930" s="16">
        <f>IFERROR(__xludf.DUMMYFUNCTION("""COMPUTED_VALUE"""),68.0)</f>
        <v>68</v>
      </c>
      <c r="F7930" s="19" t="str">
        <f>IFERROR(__xludf.DUMMYFUNCTION("""COMPUTED_VALUE"""),"BLUE")</f>
        <v>BLUE</v>
      </c>
      <c r="G7930" s="20" t="str">
        <f>IFERROR(__xludf.DUMMYFUNCTION("""COMPUTED_VALUE"""),"Uncle Sams Cider (11/12/2021) (Blue)")</f>
        <v>Uncle Sams Cider (11/12/2021) (Blue)</v>
      </c>
      <c r="H7930" s="19"/>
    </row>
    <row r="7931">
      <c r="A7931" s="9"/>
      <c r="B7931" s="15"/>
      <c r="C7931" s="9">
        <f>IFERROR(__xludf.DUMMYFUNCTION("""COMPUTED_VALUE"""),44522.0070306481)</f>
        <v>44522.00703</v>
      </c>
      <c r="D7931" s="15">
        <f>IFERROR(__xludf.DUMMYFUNCTION("""COMPUTED_VALUE"""),1.049)</f>
        <v>1.049</v>
      </c>
      <c r="E7931" s="16">
        <f>IFERROR(__xludf.DUMMYFUNCTION("""COMPUTED_VALUE"""),68.0)</f>
        <v>68</v>
      </c>
      <c r="F7931" s="19" t="str">
        <f>IFERROR(__xludf.DUMMYFUNCTION("""COMPUTED_VALUE"""),"BLUE")</f>
        <v>BLUE</v>
      </c>
      <c r="G7931" s="20" t="str">
        <f>IFERROR(__xludf.DUMMYFUNCTION("""COMPUTED_VALUE"""),"Uncle Sams Cider (11/12/2021) (Blue)")</f>
        <v>Uncle Sams Cider (11/12/2021) (Blue)</v>
      </c>
      <c r="H7931" s="19"/>
    </row>
    <row r="7932">
      <c r="A7932" s="9"/>
      <c r="B7932" s="15"/>
      <c r="C7932" s="9">
        <f>IFERROR(__xludf.DUMMYFUNCTION("""COMPUTED_VALUE"""),44521.9966099189)</f>
        <v>44521.99661</v>
      </c>
      <c r="D7932" s="15">
        <f>IFERROR(__xludf.DUMMYFUNCTION("""COMPUTED_VALUE"""),1.049)</f>
        <v>1.049</v>
      </c>
      <c r="E7932" s="16">
        <f>IFERROR(__xludf.DUMMYFUNCTION("""COMPUTED_VALUE"""),68.0)</f>
        <v>68</v>
      </c>
      <c r="F7932" s="19" t="str">
        <f>IFERROR(__xludf.DUMMYFUNCTION("""COMPUTED_VALUE"""),"BLUE")</f>
        <v>BLUE</v>
      </c>
      <c r="G7932" s="20" t="str">
        <f>IFERROR(__xludf.DUMMYFUNCTION("""COMPUTED_VALUE"""),"Uncle Sams Cider (11/12/2021) (Blue)")</f>
        <v>Uncle Sams Cider (11/12/2021) (Blue)</v>
      </c>
      <c r="H7932" s="19"/>
    </row>
    <row r="7933">
      <c r="A7933" s="9"/>
      <c r="B7933" s="15"/>
      <c r="C7933" s="9">
        <f>IFERROR(__xludf.DUMMYFUNCTION("""COMPUTED_VALUE"""),44521.9861879398)</f>
        <v>44521.98619</v>
      </c>
      <c r="D7933" s="15">
        <f>IFERROR(__xludf.DUMMYFUNCTION("""COMPUTED_VALUE"""),1.05)</f>
        <v>1.05</v>
      </c>
      <c r="E7933" s="16">
        <f>IFERROR(__xludf.DUMMYFUNCTION("""COMPUTED_VALUE"""),68.0)</f>
        <v>68</v>
      </c>
      <c r="F7933" s="19" t="str">
        <f>IFERROR(__xludf.DUMMYFUNCTION("""COMPUTED_VALUE"""),"BLUE")</f>
        <v>BLUE</v>
      </c>
      <c r="G7933" s="20" t="str">
        <f>IFERROR(__xludf.DUMMYFUNCTION("""COMPUTED_VALUE"""),"Uncle Sams Cider (11/12/2021) (Blue)")</f>
        <v>Uncle Sams Cider (11/12/2021) (Blue)</v>
      </c>
      <c r="H7933" s="19"/>
    </row>
    <row r="7934">
      <c r="A7934" s="9"/>
      <c r="B7934" s="15"/>
      <c r="C7934" s="9">
        <f>IFERROR(__xludf.DUMMYFUNCTION("""COMPUTED_VALUE"""),44521.9757549652)</f>
        <v>44521.97575</v>
      </c>
      <c r="D7934" s="15">
        <f>IFERROR(__xludf.DUMMYFUNCTION("""COMPUTED_VALUE"""),1.05)</f>
        <v>1.05</v>
      </c>
      <c r="E7934" s="16">
        <f>IFERROR(__xludf.DUMMYFUNCTION("""COMPUTED_VALUE"""),68.0)</f>
        <v>68</v>
      </c>
      <c r="F7934" s="19" t="str">
        <f>IFERROR(__xludf.DUMMYFUNCTION("""COMPUTED_VALUE"""),"BLUE")</f>
        <v>BLUE</v>
      </c>
      <c r="G7934" s="20" t="str">
        <f>IFERROR(__xludf.DUMMYFUNCTION("""COMPUTED_VALUE"""),"Uncle Sams Cider (11/12/2021) (Blue)")</f>
        <v>Uncle Sams Cider (11/12/2021) (Blue)</v>
      </c>
      <c r="H7934" s="19"/>
    </row>
    <row r="7935">
      <c r="A7935" s="9"/>
      <c r="B7935" s="15"/>
      <c r="C7935" s="9">
        <f>IFERROR(__xludf.DUMMYFUNCTION("""COMPUTED_VALUE"""),44521.965335405)</f>
        <v>44521.96534</v>
      </c>
      <c r="D7935" s="15">
        <f>IFERROR(__xludf.DUMMYFUNCTION("""COMPUTED_VALUE"""),1.05)</f>
        <v>1.05</v>
      </c>
      <c r="E7935" s="16">
        <f>IFERROR(__xludf.DUMMYFUNCTION("""COMPUTED_VALUE"""),68.0)</f>
        <v>68</v>
      </c>
      <c r="F7935" s="19" t="str">
        <f>IFERROR(__xludf.DUMMYFUNCTION("""COMPUTED_VALUE"""),"BLUE")</f>
        <v>BLUE</v>
      </c>
      <c r="G7935" s="20" t="str">
        <f>IFERROR(__xludf.DUMMYFUNCTION("""COMPUTED_VALUE"""),"Uncle Sams Cider (11/12/2021) (Blue)")</f>
        <v>Uncle Sams Cider (11/12/2021) (Blue)</v>
      </c>
      <c r="H7935" s="19"/>
    </row>
    <row r="7936">
      <c r="A7936" s="9"/>
      <c r="B7936" s="15"/>
      <c r="C7936" s="9">
        <f>IFERROR(__xludf.DUMMYFUNCTION("""COMPUTED_VALUE"""),44521.9549020254)</f>
        <v>44521.9549</v>
      </c>
      <c r="D7936" s="15">
        <f>IFERROR(__xludf.DUMMYFUNCTION("""COMPUTED_VALUE"""),1.05)</f>
        <v>1.05</v>
      </c>
      <c r="E7936" s="16">
        <f>IFERROR(__xludf.DUMMYFUNCTION("""COMPUTED_VALUE"""),68.0)</f>
        <v>68</v>
      </c>
      <c r="F7936" s="19" t="str">
        <f>IFERROR(__xludf.DUMMYFUNCTION("""COMPUTED_VALUE"""),"BLUE")</f>
        <v>BLUE</v>
      </c>
      <c r="G7936" s="20" t="str">
        <f>IFERROR(__xludf.DUMMYFUNCTION("""COMPUTED_VALUE"""),"Uncle Sams Cider (11/12/2021) (Blue)")</f>
        <v>Uncle Sams Cider (11/12/2021) (Blue)</v>
      </c>
      <c r="H7936" s="19"/>
    </row>
    <row r="7937">
      <c r="A7937" s="9"/>
      <c r="B7937" s="15"/>
      <c r="C7937" s="9">
        <f>IFERROR(__xludf.DUMMYFUNCTION("""COMPUTED_VALUE"""),44521.9444818287)</f>
        <v>44521.94448</v>
      </c>
      <c r="D7937" s="15">
        <f>IFERROR(__xludf.DUMMYFUNCTION("""COMPUTED_VALUE"""),1.05)</f>
        <v>1.05</v>
      </c>
      <c r="E7937" s="16">
        <f>IFERROR(__xludf.DUMMYFUNCTION("""COMPUTED_VALUE"""),68.0)</f>
        <v>68</v>
      </c>
      <c r="F7937" s="19" t="str">
        <f>IFERROR(__xludf.DUMMYFUNCTION("""COMPUTED_VALUE"""),"BLUE")</f>
        <v>BLUE</v>
      </c>
      <c r="G7937" s="20" t="str">
        <f>IFERROR(__xludf.DUMMYFUNCTION("""COMPUTED_VALUE"""),"Uncle Sams Cider (11/12/2021) (Blue)")</f>
        <v>Uncle Sams Cider (11/12/2021) (Blue)</v>
      </c>
      <c r="H7937" s="19"/>
    </row>
    <row r="7938">
      <c r="A7938" s="9"/>
      <c r="B7938" s="15"/>
      <c r="C7938" s="9">
        <f>IFERROR(__xludf.DUMMYFUNCTION("""COMPUTED_VALUE"""),44521.9340613773)</f>
        <v>44521.93406</v>
      </c>
      <c r="D7938" s="15">
        <f>IFERROR(__xludf.DUMMYFUNCTION("""COMPUTED_VALUE"""),1.05)</f>
        <v>1.05</v>
      </c>
      <c r="E7938" s="16">
        <f>IFERROR(__xludf.DUMMYFUNCTION("""COMPUTED_VALUE"""),68.0)</f>
        <v>68</v>
      </c>
      <c r="F7938" s="19" t="str">
        <f>IFERROR(__xludf.DUMMYFUNCTION("""COMPUTED_VALUE"""),"BLUE")</f>
        <v>BLUE</v>
      </c>
      <c r="G7938" s="20" t="str">
        <f>IFERROR(__xludf.DUMMYFUNCTION("""COMPUTED_VALUE"""),"Uncle Sams Cider (11/12/2021) (Blue)")</f>
        <v>Uncle Sams Cider (11/12/2021) (Blue)</v>
      </c>
      <c r="H7938" s="19"/>
    </row>
    <row r="7939">
      <c r="A7939" s="9"/>
      <c r="B7939" s="15"/>
      <c r="C7939" s="9">
        <f>IFERROR(__xludf.DUMMYFUNCTION("""COMPUTED_VALUE"""),44521.9236410995)</f>
        <v>44521.92364</v>
      </c>
      <c r="D7939" s="15">
        <f>IFERROR(__xludf.DUMMYFUNCTION("""COMPUTED_VALUE"""),1.05)</f>
        <v>1.05</v>
      </c>
      <c r="E7939" s="16">
        <f>IFERROR(__xludf.DUMMYFUNCTION("""COMPUTED_VALUE"""),68.0)</f>
        <v>68</v>
      </c>
      <c r="F7939" s="19" t="str">
        <f>IFERROR(__xludf.DUMMYFUNCTION("""COMPUTED_VALUE"""),"BLUE")</f>
        <v>BLUE</v>
      </c>
      <c r="G7939" s="20" t="str">
        <f>IFERROR(__xludf.DUMMYFUNCTION("""COMPUTED_VALUE"""),"Uncle Sams Cider (11/12/2021) (Blue)")</f>
        <v>Uncle Sams Cider (11/12/2021) (Blue)</v>
      </c>
      <c r="H7939" s="19"/>
    </row>
    <row r="7940">
      <c r="A7940" s="9"/>
      <c r="B7940" s="15"/>
      <c r="C7940" s="9">
        <f>IFERROR(__xludf.DUMMYFUNCTION("""COMPUTED_VALUE"""),44521.9132197685)</f>
        <v>44521.91322</v>
      </c>
      <c r="D7940" s="15">
        <f>IFERROR(__xludf.DUMMYFUNCTION("""COMPUTED_VALUE"""),1.05)</f>
        <v>1.05</v>
      </c>
      <c r="E7940" s="16">
        <f>IFERROR(__xludf.DUMMYFUNCTION("""COMPUTED_VALUE"""),68.0)</f>
        <v>68</v>
      </c>
      <c r="F7940" s="19" t="str">
        <f>IFERROR(__xludf.DUMMYFUNCTION("""COMPUTED_VALUE"""),"BLUE")</f>
        <v>BLUE</v>
      </c>
      <c r="G7940" s="20" t="str">
        <f>IFERROR(__xludf.DUMMYFUNCTION("""COMPUTED_VALUE"""),"Uncle Sams Cider (11/12/2021) (Blue)")</f>
        <v>Uncle Sams Cider (11/12/2021) (Blue)</v>
      </c>
      <c r="H7940" s="19"/>
    </row>
    <row r="7941">
      <c r="A7941" s="9"/>
      <c r="B7941" s="15"/>
      <c r="C7941" s="9">
        <f>IFERROR(__xludf.DUMMYFUNCTION("""COMPUTED_VALUE"""),44521.9027878125)</f>
        <v>44521.90279</v>
      </c>
      <c r="D7941" s="15">
        <f>IFERROR(__xludf.DUMMYFUNCTION("""COMPUTED_VALUE"""),1.05)</f>
        <v>1.05</v>
      </c>
      <c r="E7941" s="16">
        <f>IFERROR(__xludf.DUMMYFUNCTION("""COMPUTED_VALUE"""),68.0)</f>
        <v>68</v>
      </c>
      <c r="F7941" s="19" t="str">
        <f>IFERROR(__xludf.DUMMYFUNCTION("""COMPUTED_VALUE"""),"BLUE")</f>
        <v>BLUE</v>
      </c>
      <c r="G7941" s="20" t="str">
        <f>IFERROR(__xludf.DUMMYFUNCTION("""COMPUTED_VALUE"""),"Uncle Sams Cider (11/12/2021) (Blue)")</f>
        <v>Uncle Sams Cider (11/12/2021) (Blue)</v>
      </c>
      <c r="H7941" s="19"/>
    </row>
    <row r="7942">
      <c r="A7942" s="9"/>
      <c r="B7942" s="15"/>
      <c r="C7942" s="9">
        <f>IFERROR(__xludf.DUMMYFUNCTION("""COMPUTED_VALUE"""),44521.8923324421)</f>
        <v>44521.89233</v>
      </c>
      <c r="D7942" s="15">
        <f>IFERROR(__xludf.DUMMYFUNCTION("""COMPUTED_VALUE"""),1.05)</f>
        <v>1.05</v>
      </c>
      <c r="E7942" s="16">
        <f>IFERROR(__xludf.DUMMYFUNCTION("""COMPUTED_VALUE"""),68.0)</f>
        <v>68</v>
      </c>
      <c r="F7942" s="19" t="str">
        <f>IFERROR(__xludf.DUMMYFUNCTION("""COMPUTED_VALUE"""),"BLUE")</f>
        <v>BLUE</v>
      </c>
      <c r="G7942" s="20" t="str">
        <f>IFERROR(__xludf.DUMMYFUNCTION("""COMPUTED_VALUE"""),"Uncle Sams Cider (11/12/2021) (Blue)")</f>
        <v>Uncle Sams Cider (11/12/2021) (Blue)</v>
      </c>
      <c r="H7942" s="19"/>
    </row>
    <row r="7943">
      <c r="A7943" s="9"/>
      <c r="B7943" s="15"/>
      <c r="C7943" s="9">
        <f>IFERROR(__xludf.DUMMYFUNCTION("""COMPUTED_VALUE"""),44521.8819092361)</f>
        <v>44521.88191</v>
      </c>
      <c r="D7943" s="15">
        <f>IFERROR(__xludf.DUMMYFUNCTION("""COMPUTED_VALUE"""),1.05)</f>
        <v>1.05</v>
      </c>
      <c r="E7943" s="16">
        <f>IFERROR(__xludf.DUMMYFUNCTION("""COMPUTED_VALUE"""),68.0)</f>
        <v>68</v>
      </c>
      <c r="F7943" s="19" t="str">
        <f>IFERROR(__xludf.DUMMYFUNCTION("""COMPUTED_VALUE"""),"BLUE")</f>
        <v>BLUE</v>
      </c>
      <c r="G7943" s="20" t="str">
        <f>IFERROR(__xludf.DUMMYFUNCTION("""COMPUTED_VALUE"""),"Uncle Sams Cider (11/12/2021) (Blue)")</f>
        <v>Uncle Sams Cider (11/12/2021) (Blue)</v>
      </c>
      <c r="H7943" s="19"/>
    </row>
    <row r="7944">
      <c r="A7944" s="9"/>
      <c r="B7944" s="15"/>
      <c r="C7944" s="9">
        <f>IFERROR(__xludf.DUMMYFUNCTION("""COMPUTED_VALUE"""),44521.8714879398)</f>
        <v>44521.87149</v>
      </c>
      <c r="D7944" s="15">
        <f>IFERROR(__xludf.DUMMYFUNCTION("""COMPUTED_VALUE"""),1.05)</f>
        <v>1.05</v>
      </c>
      <c r="E7944" s="16">
        <f>IFERROR(__xludf.DUMMYFUNCTION("""COMPUTED_VALUE"""),68.0)</f>
        <v>68</v>
      </c>
      <c r="F7944" s="19" t="str">
        <f>IFERROR(__xludf.DUMMYFUNCTION("""COMPUTED_VALUE"""),"BLUE")</f>
        <v>BLUE</v>
      </c>
      <c r="G7944" s="20" t="str">
        <f>IFERROR(__xludf.DUMMYFUNCTION("""COMPUTED_VALUE"""),"Uncle Sams Cider (11/12/2021) (Blue)")</f>
        <v>Uncle Sams Cider (11/12/2021) (Blue)</v>
      </c>
      <c r="H7944" s="19"/>
    </row>
    <row r="7945">
      <c r="A7945" s="9"/>
      <c r="B7945" s="15"/>
      <c r="C7945" s="9">
        <f>IFERROR(__xludf.DUMMYFUNCTION("""COMPUTED_VALUE"""),44521.861055787)</f>
        <v>44521.86106</v>
      </c>
      <c r="D7945" s="15">
        <f>IFERROR(__xludf.DUMMYFUNCTION("""COMPUTED_VALUE"""),1.05)</f>
        <v>1.05</v>
      </c>
      <c r="E7945" s="16">
        <f>IFERROR(__xludf.DUMMYFUNCTION("""COMPUTED_VALUE"""),68.0)</f>
        <v>68</v>
      </c>
      <c r="F7945" s="19" t="str">
        <f>IFERROR(__xludf.DUMMYFUNCTION("""COMPUTED_VALUE"""),"BLUE")</f>
        <v>BLUE</v>
      </c>
      <c r="G7945" s="20" t="str">
        <f>IFERROR(__xludf.DUMMYFUNCTION("""COMPUTED_VALUE"""),"Uncle Sams Cider (11/12/2021) (Blue)")</f>
        <v>Uncle Sams Cider (11/12/2021) (Blue)</v>
      </c>
      <c r="H7945" s="19"/>
    </row>
    <row r="7946">
      <c r="A7946" s="9"/>
      <c r="B7946" s="15"/>
      <c r="C7946" s="9">
        <f>IFERROR(__xludf.DUMMYFUNCTION("""COMPUTED_VALUE"""),44521.8506354282)</f>
        <v>44521.85064</v>
      </c>
      <c r="D7946" s="15">
        <f>IFERROR(__xludf.DUMMYFUNCTION("""COMPUTED_VALUE"""),1.05)</f>
        <v>1.05</v>
      </c>
      <c r="E7946" s="16">
        <f>IFERROR(__xludf.DUMMYFUNCTION("""COMPUTED_VALUE"""),68.0)</f>
        <v>68</v>
      </c>
      <c r="F7946" s="19" t="str">
        <f>IFERROR(__xludf.DUMMYFUNCTION("""COMPUTED_VALUE"""),"BLUE")</f>
        <v>BLUE</v>
      </c>
      <c r="G7946" s="20" t="str">
        <f>IFERROR(__xludf.DUMMYFUNCTION("""COMPUTED_VALUE"""),"Uncle Sams Cider (11/12/2021) (Blue)")</f>
        <v>Uncle Sams Cider (11/12/2021) (Blue)</v>
      </c>
      <c r="H7946" s="19"/>
    </row>
    <row r="7947">
      <c r="A7947" s="9"/>
      <c r="B7947" s="15"/>
      <c r="C7947" s="9">
        <f>IFERROR(__xludf.DUMMYFUNCTION("""COMPUTED_VALUE"""),44521.8402147916)</f>
        <v>44521.84021</v>
      </c>
      <c r="D7947" s="15">
        <f>IFERROR(__xludf.DUMMYFUNCTION("""COMPUTED_VALUE"""),1.05)</f>
        <v>1.05</v>
      </c>
      <c r="E7947" s="16">
        <f>IFERROR(__xludf.DUMMYFUNCTION("""COMPUTED_VALUE"""),68.0)</f>
        <v>68</v>
      </c>
      <c r="F7947" s="19" t="str">
        <f>IFERROR(__xludf.DUMMYFUNCTION("""COMPUTED_VALUE"""),"BLUE")</f>
        <v>BLUE</v>
      </c>
      <c r="G7947" s="20" t="str">
        <f>IFERROR(__xludf.DUMMYFUNCTION("""COMPUTED_VALUE"""),"Uncle Sams Cider (11/12/2021) (Blue)")</f>
        <v>Uncle Sams Cider (11/12/2021) (Blue)</v>
      </c>
      <c r="H7947" s="19"/>
    </row>
    <row r="7948">
      <c r="A7948" s="9"/>
      <c r="B7948" s="15"/>
      <c r="C7948" s="9">
        <f>IFERROR(__xludf.DUMMYFUNCTION("""COMPUTED_VALUE"""),44521.8297932175)</f>
        <v>44521.82979</v>
      </c>
      <c r="D7948" s="15">
        <f>IFERROR(__xludf.DUMMYFUNCTION("""COMPUTED_VALUE"""),1.05)</f>
        <v>1.05</v>
      </c>
      <c r="E7948" s="16">
        <f>IFERROR(__xludf.DUMMYFUNCTION("""COMPUTED_VALUE"""),68.0)</f>
        <v>68</v>
      </c>
      <c r="F7948" s="19" t="str">
        <f>IFERROR(__xludf.DUMMYFUNCTION("""COMPUTED_VALUE"""),"BLUE")</f>
        <v>BLUE</v>
      </c>
      <c r="G7948" s="20" t="str">
        <f>IFERROR(__xludf.DUMMYFUNCTION("""COMPUTED_VALUE"""),"Uncle Sams Cider (11/12/2021) (Blue)")</f>
        <v>Uncle Sams Cider (11/12/2021) (Blue)</v>
      </c>
      <c r="H7948" s="19"/>
    </row>
    <row r="7949">
      <c r="A7949" s="9"/>
      <c r="B7949" s="15"/>
      <c r="C7949" s="9">
        <f>IFERROR(__xludf.DUMMYFUNCTION("""COMPUTED_VALUE"""),44521.8193598148)</f>
        <v>44521.81936</v>
      </c>
      <c r="D7949" s="15">
        <f>IFERROR(__xludf.DUMMYFUNCTION("""COMPUTED_VALUE"""),1.05)</f>
        <v>1.05</v>
      </c>
      <c r="E7949" s="16">
        <f>IFERROR(__xludf.DUMMYFUNCTION("""COMPUTED_VALUE"""),68.0)</f>
        <v>68</v>
      </c>
      <c r="F7949" s="19" t="str">
        <f>IFERROR(__xludf.DUMMYFUNCTION("""COMPUTED_VALUE"""),"BLUE")</f>
        <v>BLUE</v>
      </c>
      <c r="G7949" s="20" t="str">
        <f>IFERROR(__xludf.DUMMYFUNCTION("""COMPUTED_VALUE"""),"Uncle Sams Cider (11/12/2021) (Blue)")</f>
        <v>Uncle Sams Cider (11/12/2021) (Blue)</v>
      </c>
      <c r="H7949" s="19"/>
    </row>
    <row r="7950">
      <c r="A7950" s="9"/>
      <c r="B7950" s="15"/>
      <c r="C7950" s="9">
        <f>IFERROR(__xludf.DUMMYFUNCTION("""COMPUTED_VALUE"""),44521.8089282175)</f>
        <v>44521.80893</v>
      </c>
      <c r="D7950" s="15">
        <f>IFERROR(__xludf.DUMMYFUNCTION("""COMPUTED_VALUE"""),1.05)</f>
        <v>1.05</v>
      </c>
      <c r="E7950" s="16">
        <f>IFERROR(__xludf.DUMMYFUNCTION("""COMPUTED_VALUE"""),68.0)</f>
        <v>68</v>
      </c>
      <c r="F7950" s="19" t="str">
        <f>IFERROR(__xludf.DUMMYFUNCTION("""COMPUTED_VALUE"""),"BLUE")</f>
        <v>BLUE</v>
      </c>
      <c r="G7950" s="20" t="str">
        <f>IFERROR(__xludf.DUMMYFUNCTION("""COMPUTED_VALUE"""),"Uncle Sams Cider (11/12/2021) (Blue)")</f>
        <v>Uncle Sams Cider (11/12/2021) (Blue)</v>
      </c>
      <c r="H7950" s="19"/>
    </row>
    <row r="7951">
      <c r="A7951" s="9"/>
      <c r="B7951" s="15"/>
      <c r="C7951" s="9">
        <f>IFERROR(__xludf.DUMMYFUNCTION("""COMPUTED_VALUE"""),44521.7985060185)</f>
        <v>44521.79851</v>
      </c>
      <c r="D7951" s="15">
        <f>IFERROR(__xludf.DUMMYFUNCTION("""COMPUTED_VALUE"""),1.05)</f>
        <v>1.05</v>
      </c>
      <c r="E7951" s="16">
        <f>IFERROR(__xludf.DUMMYFUNCTION("""COMPUTED_VALUE"""),68.0)</f>
        <v>68</v>
      </c>
      <c r="F7951" s="19" t="str">
        <f>IFERROR(__xludf.DUMMYFUNCTION("""COMPUTED_VALUE"""),"BLUE")</f>
        <v>BLUE</v>
      </c>
      <c r="G7951" s="20" t="str">
        <f>IFERROR(__xludf.DUMMYFUNCTION("""COMPUTED_VALUE"""),"Uncle Sams Cider (11/12/2021) (Blue)")</f>
        <v>Uncle Sams Cider (11/12/2021) (Blue)</v>
      </c>
      <c r="H7951" s="19"/>
    </row>
    <row r="7952">
      <c r="A7952" s="9"/>
      <c r="B7952" s="15"/>
      <c r="C7952" s="9">
        <f>IFERROR(__xludf.DUMMYFUNCTION("""COMPUTED_VALUE"""),44521.7880846296)</f>
        <v>44521.78808</v>
      </c>
      <c r="D7952" s="15">
        <f>IFERROR(__xludf.DUMMYFUNCTION("""COMPUTED_VALUE"""),1.051)</f>
        <v>1.051</v>
      </c>
      <c r="E7952" s="16">
        <f>IFERROR(__xludf.DUMMYFUNCTION("""COMPUTED_VALUE"""),68.0)</f>
        <v>68</v>
      </c>
      <c r="F7952" s="19" t="str">
        <f>IFERROR(__xludf.DUMMYFUNCTION("""COMPUTED_VALUE"""),"BLUE")</f>
        <v>BLUE</v>
      </c>
      <c r="G7952" s="20" t="str">
        <f>IFERROR(__xludf.DUMMYFUNCTION("""COMPUTED_VALUE"""),"Uncle Sams Cider (11/12/2021) (Blue)")</f>
        <v>Uncle Sams Cider (11/12/2021) (Blue)</v>
      </c>
      <c r="H7952" s="19"/>
    </row>
    <row r="7953">
      <c r="A7953" s="9"/>
      <c r="B7953" s="15"/>
      <c r="C7953" s="9">
        <f>IFERROR(__xludf.DUMMYFUNCTION("""COMPUTED_VALUE"""),44521.7776642592)</f>
        <v>44521.77766</v>
      </c>
      <c r="D7953" s="15">
        <f>IFERROR(__xludf.DUMMYFUNCTION("""COMPUTED_VALUE"""),1.051)</f>
        <v>1.051</v>
      </c>
      <c r="E7953" s="16">
        <f>IFERROR(__xludf.DUMMYFUNCTION("""COMPUTED_VALUE"""),68.0)</f>
        <v>68</v>
      </c>
      <c r="F7953" s="19" t="str">
        <f>IFERROR(__xludf.DUMMYFUNCTION("""COMPUTED_VALUE"""),"BLUE")</f>
        <v>BLUE</v>
      </c>
      <c r="G7953" s="20" t="str">
        <f>IFERROR(__xludf.DUMMYFUNCTION("""COMPUTED_VALUE"""),"Uncle Sams Cider (11/12/2021) (Blue)")</f>
        <v>Uncle Sams Cider (11/12/2021) (Blue)</v>
      </c>
      <c r="H7953" s="19"/>
    </row>
    <row r="7954">
      <c r="A7954" s="9"/>
      <c r="B7954" s="15"/>
      <c r="C7954" s="9">
        <f>IFERROR(__xludf.DUMMYFUNCTION("""COMPUTED_VALUE"""),44521.7672411342)</f>
        <v>44521.76724</v>
      </c>
      <c r="D7954" s="15">
        <f>IFERROR(__xludf.DUMMYFUNCTION("""COMPUTED_VALUE"""),1.051)</f>
        <v>1.051</v>
      </c>
      <c r="E7954" s="16">
        <f>IFERROR(__xludf.DUMMYFUNCTION("""COMPUTED_VALUE"""),68.0)</f>
        <v>68</v>
      </c>
      <c r="F7954" s="19" t="str">
        <f>IFERROR(__xludf.DUMMYFUNCTION("""COMPUTED_VALUE"""),"BLUE")</f>
        <v>BLUE</v>
      </c>
      <c r="G7954" s="20" t="str">
        <f>IFERROR(__xludf.DUMMYFUNCTION("""COMPUTED_VALUE"""),"Uncle Sams Cider (11/12/2021) (Blue)")</f>
        <v>Uncle Sams Cider (11/12/2021) (Blue)</v>
      </c>
      <c r="H7954" s="19"/>
    </row>
    <row r="7955">
      <c r="A7955" s="9"/>
      <c r="B7955" s="15"/>
      <c r="C7955" s="9">
        <f>IFERROR(__xludf.DUMMYFUNCTION("""COMPUTED_VALUE"""),44521.7568204629)</f>
        <v>44521.75682</v>
      </c>
      <c r="D7955" s="15">
        <f>IFERROR(__xludf.DUMMYFUNCTION("""COMPUTED_VALUE"""),1.051)</f>
        <v>1.051</v>
      </c>
      <c r="E7955" s="16">
        <f>IFERROR(__xludf.DUMMYFUNCTION("""COMPUTED_VALUE"""),68.0)</f>
        <v>68</v>
      </c>
      <c r="F7955" s="19" t="str">
        <f>IFERROR(__xludf.DUMMYFUNCTION("""COMPUTED_VALUE"""),"BLUE")</f>
        <v>BLUE</v>
      </c>
      <c r="G7955" s="20" t="str">
        <f>IFERROR(__xludf.DUMMYFUNCTION("""COMPUTED_VALUE"""),"Uncle Sams Cider (11/12/2021) (Blue)")</f>
        <v>Uncle Sams Cider (11/12/2021) (Blue)</v>
      </c>
      <c r="H7955" s="19"/>
    </row>
    <row r="7956">
      <c r="A7956" s="9"/>
      <c r="B7956" s="15"/>
      <c r="C7956" s="9">
        <f>IFERROR(__xludf.DUMMYFUNCTION("""COMPUTED_VALUE"""),44521.7464006134)</f>
        <v>44521.7464</v>
      </c>
      <c r="D7956" s="15">
        <f>IFERROR(__xludf.DUMMYFUNCTION("""COMPUTED_VALUE"""),1.051)</f>
        <v>1.051</v>
      </c>
      <c r="E7956" s="16">
        <f>IFERROR(__xludf.DUMMYFUNCTION("""COMPUTED_VALUE"""),68.0)</f>
        <v>68</v>
      </c>
      <c r="F7956" s="19" t="str">
        <f>IFERROR(__xludf.DUMMYFUNCTION("""COMPUTED_VALUE"""),"BLUE")</f>
        <v>BLUE</v>
      </c>
      <c r="G7956" s="20" t="str">
        <f>IFERROR(__xludf.DUMMYFUNCTION("""COMPUTED_VALUE"""),"Uncle Sams Cider (11/12/2021) (Blue)")</f>
        <v>Uncle Sams Cider (11/12/2021) (Blue)</v>
      </c>
      <c r="H7956" s="19"/>
    </row>
    <row r="7957">
      <c r="A7957" s="9"/>
      <c r="B7957" s="15"/>
      <c r="C7957" s="9">
        <f>IFERROR(__xludf.DUMMYFUNCTION("""COMPUTED_VALUE"""),44521.7359781712)</f>
        <v>44521.73598</v>
      </c>
      <c r="D7957" s="15">
        <f>IFERROR(__xludf.DUMMYFUNCTION("""COMPUTED_VALUE"""),1.051)</f>
        <v>1.051</v>
      </c>
      <c r="E7957" s="16">
        <f>IFERROR(__xludf.DUMMYFUNCTION("""COMPUTED_VALUE"""),68.0)</f>
        <v>68</v>
      </c>
      <c r="F7957" s="19" t="str">
        <f>IFERROR(__xludf.DUMMYFUNCTION("""COMPUTED_VALUE"""),"BLUE")</f>
        <v>BLUE</v>
      </c>
      <c r="G7957" s="20" t="str">
        <f>IFERROR(__xludf.DUMMYFUNCTION("""COMPUTED_VALUE"""),"Uncle Sams Cider (11/12/2021) (Blue)")</f>
        <v>Uncle Sams Cider (11/12/2021) (Blue)</v>
      </c>
      <c r="H7957" s="19"/>
    </row>
    <row r="7958">
      <c r="A7958" s="9"/>
      <c r="B7958" s="15"/>
      <c r="C7958" s="9">
        <f>IFERROR(__xludf.DUMMYFUNCTION("""COMPUTED_VALUE"""),44521.7255566203)</f>
        <v>44521.72556</v>
      </c>
      <c r="D7958" s="15">
        <f>IFERROR(__xludf.DUMMYFUNCTION("""COMPUTED_VALUE"""),1.051)</f>
        <v>1.051</v>
      </c>
      <c r="E7958" s="16">
        <f>IFERROR(__xludf.DUMMYFUNCTION("""COMPUTED_VALUE"""),68.0)</f>
        <v>68</v>
      </c>
      <c r="F7958" s="19" t="str">
        <f>IFERROR(__xludf.DUMMYFUNCTION("""COMPUTED_VALUE"""),"BLUE")</f>
        <v>BLUE</v>
      </c>
      <c r="G7958" s="20" t="str">
        <f>IFERROR(__xludf.DUMMYFUNCTION("""COMPUTED_VALUE"""),"Uncle Sams Cider (11/12/2021) (Blue)")</f>
        <v>Uncle Sams Cider (11/12/2021) (Blue)</v>
      </c>
      <c r="H7958" s="19"/>
    </row>
    <row r="7959">
      <c r="A7959" s="9"/>
      <c r="B7959" s="15"/>
      <c r="C7959" s="9">
        <f>IFERROR(__xludf.DUMMYFUNCTION("""COMPUTED_VALUE"""),44521.7151352777)</f>
        <v>44521.71514</v>
      </c>
      <c r="D7959" s="15">
        <f>IFERROR(__xludf.DUMMYFUNCTION("""COMPUTED_VALUE"""),1.051)</f>
        <v>1.051</v>
      </c>
      <c r="E7959" s="16">
        <f>IFERROR(__xludf.DUMMYFUNCTION("""COMPUTED_VALUE"""),68.0)</f>
        <v>68</v>
      </c>
      <c r="F7959" s="19" t="str">
        <f>IFERROR(__xludf.DUMMYFUNCTION("""COMPUTED_VALUE"""),"BLUE")</f>
        <v>BLUE</v>
      </c>
      <c r="G7959" s="20" t="str">
        <f>IFERROR(__xludf.DUMMYFUNCTION("""COMPUTED_VALUE"""),"Uncle Sams Cider (11/12/2021) (Blue)")</f>
        <v>Uncle Sams Cider (11/12/2021) (Blue)</v>
      </c>
      <c r="H7959" s="19"/>
    </row>
    <row r="7960">
      <c r="A7960" s="9"/>
      <c r="B7960" s="15"/>
      <c r="C7960" s="9">
        <f>IFERROR(__xludf.DUMMYFUNCTION("""COMPUTED_VALUE"""),44521.7047143055)</f>
        <v>44521.70471</v>
      </c>
      <c r="D7960" s="15">
        <f>IFERROR(__xludf.DUMMYFUNCTION("""COMPUTED_VALUE"""),1.051)</f>
        <v>1.051</v>
      </c>
      <c r="E7960" s="16">
        <f>IFERROR(__xludf.DUMMYFUNCTION("""COMPUTED_VALUE"""),68.0)</f>
        <v>68</v>
      </c>
      <c r="F7960" s="19" t="str">
        <f>IFERROR(__xludf.DUMMYFUNCTION("""COMPUTED_VALUE"""),"BLUE")</f>
        <v>BLUE</v>
      </c>
      <c r="G7960" s="20" t="str">
        <f>IFERROR(__xludf.DUMMYFUNCTION("""COMPUTED_VALUE"""),"Uncle Sams Cider (11/12/2021) (Blue)")</f>
        <v>Uncle Sams Cider (11/12/2021) (Blue)</v>
      </c>
      <c r="H7960" s="19"/>
    </row>
    <row r="7961">
      <c r="A7961" s="9"/>
      <c r="B7961" s="15"/>
      <c r="C7961" s="9">
        <f>IFERROR(__xludf.DUMMYFUNCTION("""COMPUTED_VALUE"""),44521.6942697916)</f>
        <v>44521.69427</v>
      </c>
      <c r="D7961" s="15">
        <f>IFERROR(__xludf.DUMMYFUNCTION("""COMPUTED_VALUE"""),1.051)</f>
        <v>1.051</v>
      </c>
      <c r="E7961" s="16">
        <f>IFERROR(__xludf.DUMMYFUNCTION("""COMPUTED_VALUE"""),68.0)</f>
        <v>68</v>
      </c>
      <c r="F7961" s="19" t="str">
        <f>IFERROR(__xludf.DUMMYFUNCTION("""COMPUTED_VALUE"""),"BLUE")</f>
        <v>BLUE</v>
      </c>
      <c r="G7961" s="20" t="str">
        <f>IFERROR(__xludf.DUMMYFUNCTION("""COMPUTED_VALUE"""),"Uncle Sams Cider (11/12/2021) (Blue)")</f>
        <v>Uncle Sams Cider (11/12/2021) (Blue)</v>
      </c>
      <c r="H7961" s="19"/>
    </row>
    <row r="7962">
      <c r="A7962" s="9"/>
      <c r="B7962" s="15"/>
      <c r="C7962" s="9">
        <f>IFERROR(__xludf.DUMMYFUNCTION("""COMPUTED_VALUE"""),44521.6838490856)</f>
        <v>44521.68385</v>
      </c>
      <c r="D7962" s="15">
        <f>IFERROR(__xludf.DUMMYFUNCTION("""COMPUTED_VALUE"""),1.051)</f>
        <v>1.051</v>
      </c>
      <c r="E7962" s="16">
        <f>IFERROR(__xludf.DUMMYFUNCTION("""COMPUTED_VALUE"""),68.0)</f>
        <v>68</v>
      </c>
      <c r="F7962" s="19" t="str">
        <f>IFERROR(__xludf.DUMMYFUNCTION("""COMPUTED_VALUE"""),"BLUE")</f>
        <v>BLUE</v>
      </c>
      <c r="G7962" s="20" t="str">
        <f>IFERROR(__xludf.DUMMYFUNCTION("""COMPUTED_VALUE"""),"Uncle Sams Cider (11/12/2021) (Blue)")</f>
        <v>Uncle Sams Cider (11/12/2021) (Blue)</v>
      </c>
      <c r="H7962" s="19"/>
    </row>
    <row r="7963">
      <c r="A7963" s="9"/>
      <c r="B7963" s="15"/>
      <c r="C7963" s="9">
        <f>IFERROR(__xludf.DUMMYFUNCTION("""COMPUTED_VALUE"""),44521.6734258449)</f>
        <v>44521.67343</v>
      </c>
      <c r="D7963" s="15">
        <f>IFERROR(__xludf.DUMMYFUNCTION("""COMPUTED_VALUE"""),1.051)</f>
        <v>1.051</v>
      </c>
      <c r="E7963" s="16">
        <f>IFERROR(__xludf.DUMMYFUNCTION("""COMPUTED_VALUE"""),68.0)</f>
        <v>68</v>
      </c>
      <c r="F7963" s="19" t="str">
        <f>IFERROR(__xludf.DUMMYFUNCTION("""COMPUTED_VALUE"""),"BLUE")</f>
        <v>BLUE</v>
      </c>
      <c r="G7963" s="20" t="str">
        <f>IFERROR(__xludf.DUMMYFUNCTION("""COMPUTED_VALUE"""),"Uncle Sams Cider (11/12/2021) (Blue)")</f>
        <v>Uncle Sams Cider (11/12/2021) (Blue)</v>
      </c>
      <c r="H7963" s="19"/>
    </row>
    <row r="7964">
      <c r="A7964" s="9"/>
      <c r="B7964" s="15"/>
      <c r="C7964" s="9">
        <f>IFERROR(__xludf.DUMMYFUNCTION("""COMPUTED_VALUE"""),44521.6630056597)</f>
        <v>44521.66301</v>
      </c>
      <c r="D7964" s="15">
        <f>IFERROR(__xludf.DUMMYFUNCTION("""COMPUTED_VALUE"""),1.051)</f>
        <v>1.051</v>
      </c>
      <c r="E7964" s="16">
        <f>IFERROR(__xludf.DUMMYFUNCTION("""COMPUTED_VALUE"""),68.0)</f>
        <v>68</v>
      </c>
      <c r="F7964" s="19" t="str">
        <f>IFERROR(__xludf.DUMMYFUNCTION("""COMPUTED_VALUE"""),"BLUE")</f>
        <v>BLUE</v>
      </c>
      <c r="G7964" s="20" t="str">
        <f>IFERROR(__xludf.DUMMYFUNCTION("""COMPUTED_VALUE"""),"Uncle Sams Cider (11/12/2021) (Blue)")</f>
        <v>Uncle Sams Cider (11/12/2021) (Blue)</v>
      </c>
      <c r="H7964" s="19"/>
    </row>
    <row r="7965">
      <c r="A7965" s="9"/>
      <c r="B7965" s="15"/>
      <c r="C7965" s="9">
        <f>IFERROR(__xludf.DUMMYFUNCTION("""COMPUTED_VALUE"""),44521.6525843865)</f>
        <v>44521.65258</v>
      </c>
      <c r="D7965" s="15">
        <f>IFERROR(__xludf.DUMMYFUNCTION("""COMPUTED_VALUE"""),1.051)</f>
        <v>1.051</v>
      </c>
      <c r="E7965" s="16">
        <f>IFERROR(__xludf.DUMMYFUNCTION("""COMPUTED_VALUE"""),68.0)</f>
        <v>68</v>
      </c>
      <c r="F7965" s="19" t="str">
        <f>IFERROR(__xludf.DUMMYFUNCTION("""COMPUTED_VALUE"""),"BLUE")</f>
        <v>BLUE</v>
      </c>
      <c r="G7965" s="20" t="str">
        <f>IFERROR(__xludf.DUMMYFUNCTION("""COMPUTED_VALUE"""),"Uncle Sams Cider (11/12/2021) (Blue)")</f>
        <v>Uncle Sams Cider (11/12/2021) (Blue)</v>
      </c>
      <c r="H7965" s="19"/>
    </row>
    <row r="7966">
      <c r="A7966" s="9"/>
      <c r="B7966" s="15"/>
      <c r="C7966" s="9">
        <f>IFERROR(__xludf.DUMMYFUNCTION("""COMPUTED_VALUE"""),44521.6421619097)</f>
        <v>44521.64216</v>
      </c>
      <c r="D7966" s="15">
        <f>IFERROR(__xludf.DUMMYFUNCTION("""COMPUTED_VALUE"""),1.051)</f>
        <v>1.051</v>
      </c>
      <c r="E7966" s="16">
        <f>IFERROR(__xludf.DUMMYFUNCTION("""COMPUTED_VALUE"""),68.0)</f>
        <v>68</v>
      </c>
      <c r="F7966" s="19" t="str">
        <f>IFERROR(__xludf.DUMMYFUNCTION("""COMPUTED_VALUE"""),"BLUE")</f>
        <v>BLUE</v>
      </c>
      <c r="G7966" s="20" t="str">
        <f>IFERROR(__xludf.DUMMYFUNCTION("""COMPUTED_VALUE"""),"Uncle Sams Cider (11/12/2021) (Blue)")</f>
        <v>Uncle Sams Cider (11/12/2021) (Blue)</v>
      </c>
      <c r="H7966" s="19"/>
    </row>
    <row r="7967">
      <c r="A7967" s="9"/>
      <c r="B7967" s="15"/>
      <c r="C7967" s="9">
        <f>IFERROR(__xludf.DUMMYFUNCTION("""COMPUTED_VALUE"""),44521.6317421759)</f>
        <v>44521.63174</v>
      </c>
      <c r="D7967" s="15">
        <f>IFERROR(__xludf.DUMMYFUNCTION("""COMPUTED_VALUE"""),1.051)</f>
        <v>1.051</v>
      </c>
      <c r="E7967" s="16">
        <f>IFERROR(__xludf.DUMMYFUNCTION("""COMPUTED_VALUE"""),68.0)</f>
        <v>68</v>
      </c>
      <c r="F7967" s="19" t="str">
        <f>IFERROR(__xludf.DUMMYFUNCTION("""COMPUTED_VALUE"""),"BLUE")</f>
        <v>BLUE</v>
      </c>
      <c r="G7967" s="20" t="str">
        <f>IFERROR(__xludf.DUMMYFUNCTION("""COMPUTED_VALUE"""),"Uncle Sams Cider (11/12/2021) (Blue)")</f>
        <v>Uncle Sams Cider (11/12/2021) (Blue)</v>
      </c>
      <c r="H7967" s="19"/>
    </row>
    <row r="7968">
      <c r="A7968" s="9"/>
      <c r="B7968" s="15"/>
      <c r="C7968" s="9">
        <f>IFERROR(__xludf.DUMMYFUNCTION("""COMPUTED_VALUE"""),44521.6213217824)</f>
        <v>44521.62132</v>
      </c>
      <c r="D7968" s="15">
        <f>IFERROR(__xludf.DUMMYFUNCTION("""COMPUTED_VALUE"""),1.051)</f>
        <v>1.051</v>
      </c>
      <c r="E7968" s="16">
        <f>IFERROR(__xludf.DUMMYFUNCTION("""COMPUTED_VALUE"""),68.0)</f>
        <v>68</v>
      </c>
      <c r="F7968" s="19" t="str">
        <f>IFERROR(__xludf.DUMMYFUNCTION("""COMPUTED_VALUE"""),"BLUE")</f>
        <v>BLUE</v>
      </c>
      <c r="G7968" s="20" t="str">
        <f>IFERROR(__xludf.DUMMYFUNCTION("""COMPUTED_VALUE"""),"Uncle Sams Cider (11/12/2021) (Blue)")</f>
        <v>Uncle Sams Cider (11/12/2021) (Blue)</v>
      </c>
      <c r="H7968" s="19"/>
    </row>
    <row r="7969">
      <c r="A7969" s="9"/>
      <c r="B7969" s="15"/>
      <c r="C7969" s="9">
        <f>IFERROR(__xludf.DUMMYFUNCTION("""COMPUTED_VALUE"""),44521.6109005208)</f>
        <v>44521.6109</v>
      </c>
      <c r="D7969" s="15">
        <f>IFERROR(__xludf.DUMMYFUNCTION("""COMPUTED_VALUE"""),1.051)</f>
        <v>1.051</v>
      </c>
      <c r="E7969" s="16">
        <f>IFERROR(__xludf.DUMMYFUNCTION("""COMPUTED_VALUE"""),68.0)</f>
        <v>68</v>
      </c>
      <c r="F7969" s="19" t="str">
        <f>IFERROR(__xludf.DUMMYFUNCTION("""COMPUTED_VALUE"""),"BLUE")</f>
        <v>BLUE</v>
      </c>
      <c r="G7969" s="20" t="str">
        <f>IFERROR(__xludf.DUMMYFUNCTION("""COMPUTED_VALUE"""),"Uncle Sams Cider (11/12/2021) (Blue)")</f>
        <v>Uncle Sams Cider (11/12/2021) (Blue)</v>
      </c>
      <c r="H7969" s="19"/>
    </row>
    <row r="7970">
      <c r="A7970" s="9"/>
      <c r="B7970" s="15"/>
      <c r="C7970" s="9">
        <f>IFERROR(__xludf.DUMMYFUNCTION("""COMPUTED_VALUE"""),44521.600480405)</f>
        <v>44521.60048</v>
      </c>
      <c r="D7970" s="15">
        <f>IFERROR(__xludf.DUMMYFUNCTION("""COMPUTED_VALUE"""),1.051)</f>
        <v>1.051</v>
      </c>
      <c r="E7970" s="16">
        <f>IFERROR(__xludf.DUMMYFUNCTION("""COMPUTED_VALUE"""),68.0)</f>
        <v>68</v>
      </c>
      <c r="F7970" s="19" t="str">
        <f>IFERROR(__xludf.DUMMYFUNCTION("""COMPUTED_VALUE"""),"BLUE")</f>
        <v>BLUE</v>
      </c>
      <c r="G7970" s="20" t="str">
        <f>IFERROR(__xludf.DUMMYFUNCTION("""COMPUTED_VALUE"""),"Uncle Sams Cider (11/12/2021) (Blue)")</f>
        <v>Uncle Sams Cider (11/12/2021) (Blue)</v>
      </c>
      <c r="H7970" s="19"/>
    </row>
    <row r="7971">
      <c r="A7971" s="9"/>
      <c r="B7971" s="15"/>
      <c r="C7971" s="9">
        <f>IFERROR(__xludf.DUMMYFUNCTION("""COMPUTED_VALUE"""),44521.5900601041)</f>
        <v>44521.59006</v>
      </c>
      <c r="D7971" s="15">
        <f>IFERROR(__xludf.DUMMYFUNCTION("""COMPUTED_VALUE"""),1.052)</f>
        <v>1.052</v>
      </c>
      <c r="E7971" s="16">
        <f>IFERROR(__xludf.DUMMYFUNCTION("""COMPUTED_VALUE"""),68.0)</f>
        <v>68</v>
      </c>
      <c r="F7971" s="19" t="str">
        <f>IFERROR(__xludf.DUMMYFUNCTION("""COMPUTED_VALUE"""),"BLUE")</f>
        <v>BLUE</v>
      </c>
      <c r="G7971" s="20" t="str">
        <f>IFERROR(__xludf.DUMMYFUNCTION("""COMPUTED_VALUE"""),"Uncle Sams Cider (11/12/2021) (Blue)")</f>
        <v>Uncle Sams Cider (11/12/2021) (Blue)</v>
      </c>
      <c r="H7971" s="19"/>
    </row>
    <row r="7972">
      <c r="A7972" s="9"/>
      <c r="B7972" s="15"/>
      <c r="C7972" s="9">
        <f>IFERROR(__xludf.DUMMYFUNCTION("""COMPUTED_VALUE"""),44521.5796395717)</f>
        <v>44521.57964</v>
      </c>
      <c r="D7972" s="15">
        <f>IFERROR(__xludf.DUMMYFUNCTION("""COMPUTED_VALUE"""),1.051)</f>
        <v>1.051</v>
      </c>
      <c r="E7972" s="16">
        <f>IFERROR(__xludf.DUMMYFUNCTION("""COMPUTED_VALUE"""),68.0)</f>
        <v>68</v>
      </c>
      <c r="F7972" s="19" t="str">
        <f>IFERROR(__xludf.DUMMYFUNCTION("""COMPUTED_VALUE"""),"BLUE")</f>
        <v>BLUE</v>
      </c>
      <c r="G7972" s="20" t="str">
        <f>IFERROR(__xludf.DUMMYFUNCTION("""COMPUTED_VALUE"""),"Uncle Sams Cider (11/12/2021) (Blue)")</f>
        <v>Uncle Sams Cider (11/12/2021) (Blue)</v>
      </c>
      <c r="H7972" s="19"/>
    </row>
    <row r="7973">
      <c r="A7973" s="9"/>
      <c r="B7973" s="15"/>
      <c r="C7973" s="9">
        <f>IFERROR(__xludf.DUMMYFUNCTION("""COMPUTED_VALUE"""),44521.5692198495)</f>
        <v>44521.56922</v>
      </c>
      <c r="D7973" s="15">
        <f>IFERROR(__xludf.DUMMYFUNCTION("""COMPUTED_VALUE"""),1.051)</f>
        <v>1.051</v>
      </c>
      <c r="E7973" s="16">
        <f>IFERROR(__xludf.DUMMYFUNCTION("""COMPUTED_VALUE"""),68.0)</f>
        <v>68</v>
      </c>
      <c r="F7973" s="19" t="str">
        <f>IFERROR(__xludf.DUMMYFUNCTION("""COMPUTED_VALUE"""),"BLUE")</f>
        <v>BLUE</v>
      </c>
      <c r="G7973" s="20" t="str">
        <f>IFERROR(__xludf.DUMMYFUNCTION("""COMPUTED_VALUE"""),"Uncle Sams Cider (11/12/2021) (Blue)")</f>
        <v>Uncle Sams Cider (11/12/2021) (Blue)</v>
      </c>
      <c r="H7973" s="19"/>
    </row>
    <row r="7974">
      <c r="A7974" s="9"/>
      <c r="B7974" s="15"/>
      <c r="C7974" s="9">
        <f>IFERROR(__xludf.DUMMYFUNCTION("""COMPUTED_VALUE"""),44521.5587976851)</f>
        <v>44521.5588</v>
      </c>
      <c r="D7974" s="15">
        <f>IFERROR(__xludf.DUMMYFUNCTION("""COMPUTED_VALUE"""),1.052)</f>
        <v>1.052</v>
      </c>
      <c r="E7974" s="16">
        <f>IFERROR(__xludf.DUMMYFUNCTION("""COMPUTED_VALUE"""),68.0)</f>
        <v>68</v>
      </c>
      <c r="F7974" s="19" t="str">
        <f>IFERROR(__xludf.DUMMYFUNCTION("""COMPUTED_VALUE"""),"BLUE")</f>
        <v>BLUE</v>
      </c>
      <c r="G7974" s="20" t="str">
        <f>IFERROR(__xludf.DUMMYFUNCTION("""COMPUTED_VALUE"""),"Uncle Sams Cider (11/12/2021) (Blue)")</f>
        <v>Uncle Sams Cider (11/12/2021) (Blue)</v>
      </c>
      <c r="H7974" s="19"/>
    </row>
    <row r="7975">
      <c r="A7975" s="9"/>
      <c r="B7975" s="15"/>
      <c r="C7975" s="9">
        <f>IFERROR(__xludf.DUMMYFUNCTION("""COMPUTED_VALUE"""),44521.5483784143)</f>
        <v>44521.54838</v>
      </c>
      <c r="D7975" s="15">
        <f>IFERROR(__xludf.DUMMYFUNCTION("""COMPUTED_VALUE"""),1.052)</f>
        <v>1.052</v>
      </c>
      <c r="E7975" s="16">
        <f>IFERROR(__xludf.DUMMYFUNCTION("""COMPUTED_VALUE"""),69.0)</f>
        <v>69</v>
      </c>
      <c r="F7975" s="19" t="str">
        <f>IFERROR(__xludf.DUMMYFUNCTION("""COMPUTED_VALUE"""),"BLUE")</f>
        <v>BLUE</v>
      </c>
      <c r="G7975" s="20" t="str">
        <f>IFERROR(__xludf.DUMMYFUNCTION("""COMPUTED_VALUE"""),"Uncle Sams Cider (11/12/2021) (Blue)")</f>
        <v>Uncle Sams Cider (11/12/2021) (Blue)</v>
      </c>
      <c r="H7975" s="19"/>
    </row>
    <row r="7976">
      <c r="A7976" s="9"/>
      <c r="B7976" s="15"/>
      <c r="C7976" s="9">
        <f>IFERROR(__xludf.DUMMYFUNCTION("""COMPUTED_VALUE"""),44521.5379342013)</f>
        <v>44521.53793</v>
      </c>
      <c r="D7976" s="15">
        <f>IFERROR(__xludf.DUMMYFUNCTION("""COMPUTED_VALUE"""),1.052)</f>
        <v>1.052</v>
      </c>
      <c r="E7976" s="16">
        <f>IFERROR(__xludf.DUMMYFUNCTION("""COMPUTED_VALUE"""),68.0)</f>
        <v>68</v>
      </c>
      <c r="F7976" s="19" t="str">
        <f>IFERROR(__xludf.DUMMYFUNCTION("""COMPUTED_VALUE"""),"BLUE")</f>
        <v>BLUE</v>
      </c>
      <c r="G7976" s="20" t="str">
        <f>IFERROR(__xludf.DUMMYFUNCTION("""COMPUTED_VALUE"""),"Uncle Sams Cider (11/12/2021) (Blue)")</f>
        <v>Uncle Sams Cider (11/12/2021) (Blue)</v>
      </c>
      <c r="H7976" s="19"/>
    </row>
    <row r="7977">
      <c r="A7977" s="9"/>
      <c r="B7977" s="15"/>
      <c r="C7977" s="9">
        <f>IFERROR(__xludf.DUMMYFUNCTION("""COMPUTED_VALUE"""),44521.5275129398)</f>
        <v>44521.52751</v>
      </c>
      <c r="D7977" s="15">
        <f>IFERROR(__xludf.DUMMYFUNCTION("""COMPUTED_VALUE"""),1.052)</f>
        <v>1.052</v>
      </c>
      <c r="E7977" s="16">
        <f>IFERROR(__xludf.DUMMYFUNCTION("""COMPUTED_VALUE"""),68.0)</f>
        <v>68</v>
      </c>
      <c r="F7977" s="19" t="str">
        <f>IFERROR(__xludf.DUMMYFUNCTION("""COMPUTED_VALUE"""),"BLUE")</f>
        <v>BLUE</v>
      </c>
      <c r="G7977" s="20" t="str">
        <f>IFERROR(__xludf.DUMMYFUNCTION("""COMPUTED_VALUE"""),"Uncle Sams Cider (11/12/2021) (Blue)")</f>
        <v>Uncle Sams Cider (11/12/2021) (Blue)</v>
      </c>
      <c r="H7977" s="19"/>
    </row>
    <row r="7978">
      <c r="A7978" s="9"/>
      <c r="B7978" s="15"/>
      <c r="C7978" s="9">
        <f>IFERROR(__xludf.DUMMYFUNCTION("""COMPUTED_VALUE"""),44521.5170916087)</f>
        <v>44521.51709</v>
      </c>
      <c r="D7978" s="15">
        <f>IFERROR(__xludf.DUMMYFUNCTION("""COMPUTED_VALUE"""),1.052)</f>
        <v>1.052</v>
      </c>
      <c r="E7978" s="16">
        <f>IFERROR(__xludf.DUMMYFUNCTION("""COMPUTED_VALUE"""),68.0)</f>
        <v>68</v>
      </c>
      <c r="F7978" s="19" t="str">
        <f>IFERROR(__xludf.DUMMYFUNCTION("""COMPUTED_VALUE"""),"BLUE")</f>
        <v>BLUE</v>
      </c>
      <c r="G7978" s="20" t="str">
        <f>IFERROR(__xludf.DUMMYFUNCTION("""COMPUTED_VALUE"""),"Uncle Sams Cider (11/12/2021) (Blue)")</f>
        <v>Uncle Sams Cider (11/12/2021) (Blue)</v>
      </c>
      <c r="H7978" s="19"/>
    </row>
    <row r="7979">
      <c r="A7979" s="9"/>
      <c r="B7979" s="15"/>
      <c r="C7979" s="9">
        <f>IFERROR(__xludf.DUMMYFUNCTION("""COMPUTED_VALUE"""),44521.5066704166)</f>
        <v>44521.50667</v>
      </c>
      <c r="D7979" s="15">
        <f>IFERROR(__xludf.DUMMYFUNCTION("""COMPUTED_VALUE"""),1.052)</f>
        <v>1.052</v>
      </c>
      <c r="E7979" s="16">
        <f>IFERROR(__xludf.DUMMYFUNCTION("""COMPUTED_VALUE"""),68.0)</f>
        <v>68</v>
      </c>
      <c r="F7979" s="19" t="str">
        <f>IFERROR(__xludf.DUMMYFUNCTION("""COMPUTED_VALUE"""),"BLUE")</f>
        <v>BLUE</v>
      </c>
      <c r="G7979" s="20" t="str">
        <f>IFERROR(__xludf.DUMMYFUNCTION("""COMPUTED_VALUE"""),"Uncle Sams Cider (11/12/2021) (Blue)")</f>
        <v>Uncle Sams Cider (11/12/2021) (Blue)</v>
      </c>
      <c r="H7979" s="19"/>
    </row>
    <row r="7980">
      <c r="A7980" s="9"/>
      <c r="B7980" s="15"/>
      <c r="C7980" s="9">
        <f>IFERROR(__xludf.DUMMYFUNCTION("""COMPUTED_VALUE"""),44521.4962488657)</f>
        <v>44521.49625</v>
      </c>
      <c r="D7980" s="15">
        <f>IFERROR(__xludf.DUMMYFUNCTION("""COMPUTED_VALUE"""),1.052)</f>
        <v>1.052</v>
      </c>
      <c r="E7980" s="16">
        <f>IFERROR(__xludf.DUMMYFUNCTION("""COMPUTED_VALUE"""),68.0)</f>
        <v>68</v>
      </c>
      <c r="F7980" s="19" t="str">
        <f>IFERROR(__xludf.DUMMYFUNCTION("""COMPUTED_VALUE"""),"BLUE")</f>
        <v>BLUE</v>
      </c>
      <c r="G7980" s="20" t="str">
        <f>IFERROR(__xludf.DUMMYFUNCTION("""COMPUTED_VALUE"""),"Uncle Sams Cider (11/12/2021) (Blue)")</f>
        <v>Uncle Sams Cider (11/12/2021) (Blue)</v>
      </c>
      <c r="H7980" s="19"/>
    </row>
    <row r="7981">
      <c r="A7981" s="9"/>
      <c r="B7981" s="15"/>
      <c r="C7981" s="9">
        <f>IFERROR(__xludf.DUMMYFUNCTION("""COMPUTED_VALUE"""),44521.4858259259)</f>
        <v>44521.48583</v>
      </c>
      <c r="D7981" s="15">
        <f>IFERROR(__xludf.DUMMYFUNCTION("""COMPUTED_VALUE"""),1.052)</f>
        <v>1.052</v>
      </c>
      <c r="E7981" s="16">
        <f>IFERROR(__xludf.DUMMYFUNCTION("""COMPUTED_VALUE"""),68.0)</f>
        <v>68</v>
      </c>
      <c r="F7981" s="19" t="str">
        <f>IFERROR(__xludf.DUMMYFUNCTION("""COMPUTED_VALUE"""),"BLUE")</f>
        <v>BLUE</v>
      </c>
      <c r="G7981" s="20" t="str">
        <f>IFERROR(__xludf.DUMMYFUNCTION("""COMPUTED_VALUE"""),"Uncle Sams Cider (11/12/2021) (Blue)")</f>
        <v>Uncle Sams Cider (11/12/2021) (Blue)</v>
      </c>
      <c r="H7981" s="19"/>
    </row>
    <row r="7982">
      <c r="A7982" s="9"/>
      <c r="B7982" s="15"/>
      <c r="C7982" s="9">
        <f>IFERROR(__xludf.DUMMYFUNCTION("""COMPUTED_VALUE"""),44521.4754045949)</f>
        <v>44521.4754</v>
      </c>
      <c r="D7982" s="15">
        <f>IFERROR(__xludf.DUMMYFUNCTION("""COMPUTED_VALUE"""),1.052)</f>
        <v>1.052</v>
      </c>
      <c r="E7982" s="16">
        <f>IFERROR(__xludf.DUMMYFUNCTION("""COMPUTED_VALUE"""),68.0)</f>
        <v>68</v>
      </c>
      <c r="F7982" s="19" t="str">
        <f>IFERROR(__xludf.DUMMYFUNCTION("""COMPUTED_VALUE"""),"BLUE")</f>
        <v>BLUE</v>
      </c>
      <c r="G7982" s="20" t="str">
        <f>IFERROR(__xludf.DUMMYFUNCTION("""COMPUTED_VALUE"""),"Uncle Sams Cider (11/12/2021) (Blue)")</f>
        <v>Uncle Sams Cider (11/12/2021) (Blue)</v>
      </c>
      <c r="H7982" s="19"/>
    </row>
    <row r="7983">
      <c r="A7983" s="9"/>
      <c r="B7983" s="15"/>
      <c r="C7983" s="9">
        <f>IFERROR(__xludf.DUMMYFUNCTION("""COMPUTED_VALUE"""),44521.4649832291)</f>
        <v>44521.46498</v>
      </c>
      <c r="D7983" s="15">
        <f>IFERROR(__xludf.DUMMYFUNCTION("""COMPUTED_VALUE"""),1.052)</f>
        <v>1.052</v>
      </c>
      <c r="E7983" s="16">
        <f>IFERROR(__xludf.DUMMYFUNCTION("""COMPUTED_VALUE"""),68.0)</f>
        <v>68</v>
      </c>
      <c r="F7983" s="19" t="str">
        <f>IFERROR(__xludf.DUMMYFUNCTION("""COMPUTED_VALUE"""),"BLUE")</f>
        <v>BLUE</v>
      </c>
      <c r="G7983" s="20" t="str">
        <f>IFERROR(__xludf.DUMMYFUNCTION("""COMPUTED_VALUE"""),"Uncle Sams Cider (11/12/2021) (Blue)")</f>
        <v>Uncle Sams Cider (11/12/2021) (Blue)</v>
      </c>
      <c r="H7983" s="19"/>
    </row>
    <row r="7984">
      <c r="A7984" s="9"/>
      <c r="B7984" s="15"/>
      <c r="C7984" s="9">
        <f>IFERROR(__xludf.DUMMYFUNCTION("""COMPUTED_VALUE"""),44521.4545612615)</f>
        <v>44521.45456</v>
      </c>
      <c r="D7984" s="15">
        <f>IFERROR(__xludf.DUMMYFUNCTION("""COMPUTED_VALUE"""),1.052)</f>
        <v>1.052</v>
      </c>
      <c r="E7984" s="16">
        <f>IFERROR(__xludf.DUMMYFUNCTION("""COMPUTED_VALUE"""),68.0)</f>
        <v>68</v>
      </c>
      <c r="F7984" s="19" t="str">
        <f>IFERROR(__xludf.DUMMYFUNCTION("""COMPUTED_VALUE"""),"BLUE")</f>
        <v>BLUE</v>
      </c>
      <c r="G7984" s="20" t="str">
        <f>IFERROR(__xludf.DUMMYFUNCTION("""COMPUTED_VALUE"""),"Uncle Sams Cider (11/12/2021) (Blue)")</f>
        <v>Uncle Sams Cider (11/12/2021) (Blue)</v>
      </c>
      <c r="H7984" s="19"/>
    </row>
    <row r="7985">
      <c r="A7985" s="9"/>
      <c r="B7985" s="15"/>
      <c r="C7985" s="9">
        <f>IFERROR(__xludf.DUMMYFUNCTION("""COMPUTED_VALUE"""),44521.4441399536)</f>
        <v>44521.44414</v>
      </c>
      <c r="D7985" s="15">
        <f>IFERROR(__xludf.DUMMYFUNCTION("""COMPUTED_VALUE"""),1.052)</f>
        <v>1.052</v>
      </c>
      <c r="E7985" s="16">
        <f>IFERROR(__xludf.DUMMYFUNCTION("""COMPUTED_VALUE"""),68.0)</f>
        <v>68</v>
      </c>
      <c r="F7985" s="19" t="str">
        <f>IFERROR(__xludf.DUMMYFUNCTION("""COMPUTED_VALUE"""),"BLUE")</f>
        <v>BLUE</v>
      </c>
      <c r="G7985" s="20" t="str">
        <f>IFERROR(__xludf.DUMMYFUNCTION("""COMPUTED_VALUE"""),"Uncle Sams Cider (11/12/2021) (Blue)")</f>
        <v>Uncle Sams Cider (11/12/2021) (Blue)</v>
      </c>
      <c r="H7985" s="19"/>
    </row>
    <row r="7986">
      <c r="A7986" s="9"/>
      <c r="B7986" s="15"/>
      <c r="C7986" s="9">
        <f>IFERROR(__xludf.DUMMYFUNCTION("""COMPUTED_VALUE"""),44521.4337197222)</f>
        <v>44521.43372</v>
      </c>
      <c r="D7986" s="15">
        <f>IFERROR(__xludf.DUMMYFUNCTION("""COMPUTED_VALUE"""),1.052)</f>
        <v>1.052</v>
      </c>
      <c r="E7986" s="16">
        <f>IFERROR(__xludf.DUMMYFUNCTION("""COMPUTED_VALUE"""),68.0)</f>
        <v>68</v>
      </c>
      <c r="F7986" s="19" t="str">
        <f>IFERROR(__xludf.DUMMYFUNCTION("""COMPUTED_VALUE"""),"BLUE")</f>
        <v>BLUE</v>
      </c>
      <c r="G7986" s="20" t="str">
        <f>IFERROR(__xludf.DUMMYFUNCTION("""COMPUTED_VALUE"""),"Uncle Sams Cider (11/12/2021) (Blue)")</f>
        <v>Uncle Sams Cider (11/12/2021) (Blue)</v>
      </c>
      <c r="H7986" s="19"/>
    </row>
    <row r="7987">
      <c r="A7987" s="9"/>
      <c r="B7987" s="15"/>
      <c r="C7987" s="9">
        <f>IFERROR(__xludf.DUMMYFUNCTION("""COMPUTED_VALUE"""),44521.4232976504)</f>
        <v>44521.4233</v>
      </c>
      <c r="D7987" s="15">
        <f>IFERROR(__xludf.DUMMYFUNCTION("""COMPUTED_VALUE"""),1.052)</f>
        <v>1.052</v>
      </c>
      <c r="E7987" s="16">
        <f>IFERROR(__xludf.DUMMYFUNCTION("""COMPUTED_VALUE"""),68.0)</f>
        <v>68</v>
      </c>
      <c r="F7987" s="19" t="str">
        <f>IFERROR(__xludf.DUMMYFUNCTION("""COMPUTED_VALUE"""),"BLUE")</f>
        <v>BLUE</v>
      </c>
      <c r="G7987" s="20" t="str">
        <f>IFERROR(__xludf.DUMMYFUNCTION("""COMPUTED_VALUE"""),"Uncle Sams Cider (11/12/2021) (Blue)")</f>
        <v>Uncle Sams Cider (11/12/2021) (Blue)</v>
      </c>
      <c r="H7987" s="19"/>
    </row>
    <row r="7988">
      <c r="A7988" s="9"/>
      <c r="B7988" s="15"/>
      <c r="C7988" s="9">
        <f>IFERROR(__xludf.DUMMYFUNCTION("""COMPUTED_VALUE"""),44521.4128766666)</f>
        <v>44521.41288</v>
      </c>
      <c r="D7988" s="15">
        <f>IFERROR(__xludf.DUMMYFUNCTION("""COMPUTED_VALUE"""),1.052)</f>
        <v>1.052</v>
      </c>
      <c r="E7988" s="16">
        <f>IFERROR(__xludf.DUMMYFUNCTION("""COMPUTED_VALUE"""),68.0)</f>
        <v>68</v>
      </c>
      <c r="F7988" s="19" t="str">
        <f>IFERROR(__xludf.DUMMYFUNCTION("""COMPUTED_VALUE"""),"BLUE")</f>
        <v>BLUE</v>
      </c>
      <c r="G7988" s="20" t="str">
        <f>IFERROR(__xludf.DUMMYFUNCTION("""COMPUTED_VALUE"""),"Uncle Sams Cider (11/12/2021) (Blue)")</f>
        <v>Uncle Sams Cider (11/12/2021) (Blue)</v>
      </c>
      <c r="H7988" s="19"/>
    </row>
    <row r="7989">
      <c r="A7989" s="9"/>
      <c r="B7989" s="15"/>
      <c r="C7989" s="9">
        <f>IFERROR(__xludf.DUMMYFUNCTION("""COMPUTED_VALUE"""),44521.4024450347)</f>
        <v>44521.40245</v>
      </c>
      <c r="D7989" s="15">
        <f>IFERROR(__xludf.DUMMYFUNCTION("""COMPUTED_VALUE"""),1.052)</f>
        <v>1.052</v>
      </c>
      <c r="E7989" s="16">
        <f>IFERROR(__xludf.DUMMYFUNCTION("""COMPUTED_VALUE"""),68.0)</f>
        <v>68</v>
      </c>
      <c r="F7989" s="19" t="str">
        <f>IFERROR(__xludf.DUMMYFUNCTION("""COMPUTED_VALUE"""),"BLUE")</f>
        <v>BLUE</v>
      </c>
      <c r="G7989" s="20" t="str">
        <f>IFERROR(__xludf.DUMMYFUNCTION("""COMPUTED_VALUE"""),"Uncle Sams Cider (11/12/2021) (Blue)")</f>
        <v>Uncle Sams Cider (11/12/2021) (Blue)</v>
      </c>
      <c r="H7989" s="19"/>
    </row>
    <row r="7990">
      <c r="A7990" s="9"/>
      <c r="B7990" s="15"/>
      <c r="C7990" s="9">
        <f>IFERROR(__xludf.DUMMYFUNCTION("""COMPUTED_VALUE"""),44521.3920224189)</f>
        <v>44521.39202</v>
      </c>
      <c r="D7990" s="15">
        <f>IFERROR(__xludf.DUMMYFUNCTION("""COMPUTED_VALUE"""),1.052)</f>
        <v>1.052</v>
      </c>
      <c r="E7990" s="16">
        <f>IFERROR(__xludf.DUMMYFUNCTION("""COMPUTED_VALUE"""),68.0)</f>
        <v>68</v>
      </c>
      <c r="F7990" s="19" t="str">
        <f>IFERROR(__xludf.DUMMYFUNCTION("""COMPUTED_VALUE"""),"BLUE")</f>
        <v>BLUE</v>
      </c>
      <c r="G7990" s="20" t="str">
        <f>IFERROR(__xludf.DUMMYFUNCTION("""COMPUTED_VALUE"""),"Uncle Sams Cider (11/12/2021) (Blue)")</f>
        <v>Uncle Sams Cider (11/12/2021) (Blue)</v>
      </c>
      <c r="H7990" s="19"/>
    </row>
    <row r="7991">
      <c r="A7991" s="9"/>
      <c r="B7991" s="15"/>
      <c r="C7991" s="9">
        <f>IFERROR(__xludf.DUMMYFUNCTION("""COMPUTED_VALUE"""),44521.3816003125)</f>
        <v>44521.3816</v>
      </c>
      <c r="D7991" s="15">
        <f>IFERROR(__xludf.DUMMYFUNCTION("""COMPUTED_VALUE"""),1.052)</f>
        <v>1.052</v>
      </c>
      <c r="E7991" s="16">
        <f>IFERROR(__xludf.DUMMYFUNCTION("""COMPUTED_VALUE"""),68.0)</f>
        <v>68</v>
      </c>
      <c r="F7991" s="19" t="str">
        <f>IFERROR(__xludf.DUMMYFUNCTION("""COMPUTED_VALUE"""),"BLUE")</f>
        <v>BLUE</v>
      </c>
      <c r="G7991" s="20" t="str">
        <f>IFERROR(__xludf.DUMMYFUNCTION("""COMPUTED_VALUE"""),"Uncle Sams Cider (11/12/2021) (Blue)")</f>
        <v>Uncle Sams Cider (11/12/2021) (Blue)</v>
      </c>
      <c r="H7991" s="19"/>
    </row>
    <row r="7992">
      <c r="A7992" s="9"/>
      <c r="B7992" s="15"/>
      <c r="C7992" s="9">
        <f>IFERROR(__xludf.DUMMYFUNCTION("""COMPUTED_VALUE"""),44521.3711658564)</f>
        <v>44521.37117</v>
      </c>
      <c r="D7992" s="15">
        <f>IFERROR(__xludf.DUMMYFUNCTION("""COMPUTED_VALUE"""),1.052)</f>
        <v>1.052</v>
      </c>
      <c r="E7992" s="16">
        <f>IFERROR(__xludf.DUMMYFUNCTION("""COMPUTED_VALUE"""),68.0)</f>
        <v>68</v>
      </c>
      <c r="F7992" s="19" t="str">
        <f>IFERROR(__xludf.DUMMYFUNCTION("""COMPUTED_VALUE"""),"BLUE")</f>
        <v>BLUE</v>
      </c>
      <c r="G7992" s="20" t="str">
        <f>IFERROR(__xludf.DUMMYFUNCTION("""COMPUTED_VALUE"""),"Uncle Sams Cider (11/12/2021) (Blue)")</f>
        <v>Uncle Sams Cider (11/12/2021) (Blue)</v>
      </c>
      <c r="H7992" s="19"/>
    </row>
    <row r="7993">
      <c r="A7993" s="9"/>
      <c r="B7993" s="15"/>
      <c r="C7993" s="9">
        <f>IFERROR(__xludf.DUMMYFUNCTION("""COMPUTED_VALUE"""),44521.3607451967)</f>
        <v>44521.36075</v>
      </c>
      <c r="D7993" s="15">
        <f>IFERROR(__xludf.DUMMYFUNCTION("""COMPUTED_VALUE"""),1.053)</f>
        <v>1.053</v>
      </c>
      <c r="E7993" s="16">
        <f>IFERROR(__xludf.DUMMYFUNCTION("""COMPUTED_VALUE"""),68.0)</f>
        <v>68</v>
      </c>
      <c r="F7993" s="19" t="str">
        <f>IFERROR(__xludf.DUMMYFUNCTION("""COMPUTED_VALUE"""),"BLUE")</f>
        <v>BLUE</v>
      </c>
      <c r="G7993" s="20" t="str">
        <f>IFERROR(__xludf.DUMMYFUNCTION("""COMPUTED_VALUE"""),"Uncle Sams Cider (11/12/2021) (Blue)")</f>
        <v>Uncle Sams Cider (11/12/2021) (Blue)</v>
      </c>
      <c r="H7993" s="19"/>
    </row>
    <row r="7994">
      <c r="A7994" s="9"/>
      <c r="B7994" s="15"/>
      <c r="C7994" s="9">
        <f>IFERROR(__xludf.DUMMYFUNCTION("""COMPUTED_VALUE"""),44521.3503253356)</f>
        <v>44521.35033</v>
      </c>
      <c r="D7994" s="15">
        <f>IFERROR(__xludf.DUMMYFUNCTION("""COMPUTED_VALUE"""),1.053)</f>
        <v>1.053</v>
      </c>
      <c r="E7994" s="16">
        <f>IFERROR(__xludf.DUMMYFUNCTION("""COMPUTED_VALUE"""),68.0)</f>
        <v>68</v>
      </c>
      <c r="F7994" s="19" t="str">
        <f>IFERROR(__xludf.DUMMYFUNCTION("""COMPUTED_VALUE"""),"BLUE")</f>
        <v>BLUE</v>
      </c>
      <c r="G7994" s="20" t="str">
        <f>IFERROR(__xludf.DUMMYFUNCTION("""COMPUTED_VALUE"""),"Uncle Sams Cider (11/12/2021) (Blue)")</f>
        <v>Uncle Sams Cider (11/12/2021) (Blue)</v>
      </c>
      <c r="H7994" s="19"/>
    </row>
    <row r="7995">
      <c r="A7995" s="9"/>
      <c r="B7995" s="15"/>
      <c r="C7995" s="9">
        <f>IFERROR(__xludf.DUMMYFUNCTION("""COMPUTED_VALUE"""),44521.3399041087)</f>
        <v>44521.3399</v>
      </c>
      <c r="D7995" s="15">
        <f>IFERROR(__xludf.DUMMYFUNCTION("""COMPUTED_VALUE"""),1.053)</f>
        <v>1.053</v>
      </c>
      <c r="E7995" s="16">
        <f>IFERROR(__xludf.DUMMYFUNCTION("""COMPUTED_VALUE"""),68.0)</f>
        <v>68</v>
      </c>
      <c r="F7995" s="19" t="str">
        <f>IFERROR(__xludf.DUMMYFUNCTION("""COMPUTED_VALUE"""),"BLUE")</f>
        <v>BLUE</v>
      </c>
      <c r="G7995" s="20" t="str">
        <f>IFERROR(__xludf.DUMMYFUNCTION("""COMPUTED_VALUE"""),"Uncle Sams Cider (11/12/2021) (Blue)")</f>
        <v>Uncle Sams Cider (11/12/2021) (Blue)</v>
      </c>
      <c r="H7995" s="19"/>
    </row>
    <row r="7996">
      <c r="A7996" s="9"/>
      <c r="B7996" s="15"/>
      <c r="C7996" s="9">
        <f>IFERROR(__xludf.DUMMYFUNCTION("""COMPUTED_VALUE"""),44521.3294843865)</f>
        <v>44521.32948</v>
      </c>
      <c r="D7996" s="15">
        <f>IFERROR(__xludf.DUMMYFUNCTION("""COMPUTED_VALUE"""),1.053)</f>
        <v>1.053</v>
      </c>
      <c r="E7996" s="16">
        <f>IFERROR(__xludf.DUMMYFUNCTION("""COMPUTED_VALUE"""),68.0)</f>
        <v>68</v>
      </c>
      <c r="F7996" s="19" t="str">
        <f>IFERROR(__xludf.DUMMYFUNCTION("""COMPUTED_VALUE"""),"BLUE")</f>
        <v>BLUE</v>
      </c>
      <c r="G7996" s="20" t="str">
        <f>IFERROR(__xludf.DUMMYFUNCTION("""COMPUTED_VALUE"""),"Uncle Sams Cider (11/12/2021) (Blue)")</f>
        <v>Uncle Sams Cider (11/12/2021) (Blue)</v>
      </c>
      <c r="H7996" s="19"/>
    </row>
    <row r="7997">
      <c r="A7997" s="9"/>
      <c r="B7997" s="15"/>
      <c r="C7997" s="9">
        <f>IFERROR(__xludf.DUMMYFUNCTION("""COMPUTED_VALUE"""),44521.3190636574)</f>
        <v>44521.31906</v>
      </c>
      <c r="D7997" s="15">
        <f>IFERROR(__xludf.DUMMYFUNCTION("""COMPUTED_VALUE"""),1.053)</f>
        <v>1.053</v>
      </c>
      <c r="E7997" s="16">
        <f>IFERROR(__xludf.DUMMYFUNCTION("""COMPUTED_VALUE"""),68.0)</f>
        <v>68</v>
      </c>
      <c r="F7997" s="19" t="str">
        <f>IFERROR(__xludf.DUMMYFUNCTION("""COMPUTED_VALUE"""),"BLUE")</f>
        <v>BLUE</v>
      </c>
      <c r="G7997" s="20" t="str">
        <f>IFERROR(__xludf.DUMMYFUNCTION("""COMPUTED_VALUE"""),"Uncle Sams Cider (11/12/2021) (Blue)")</f>
        <v>Uncle Sams Cider (11/12/2021) (Blue)</v>
      </c>
      <c r="H7997" s="19"/>
    </row>
    <row r="7998">
      <c r="A7998" s="9"/>
      <c r="B7998" s="15"/>
      <c r="C7998" s="9">
        <f>IFERROR(__xludf.DUMMYFUNCTION("""COMPUTED_VALUE"""),44521.3086411574)</f>
        <v>44521.30864</v>
      </c>
      <c r="D7998" s="15">
        <f>IFERROR(__xludf.DUMMYFUNCTION("""COMPUTED_VALUE"""),1.053)</f>
        <v>1.053</v>
      </c>
      <c r="E7998" s="16">
        <f>IFERROR(__xludf.DUMMYFUNCTION("""COMPUTED_VALUE"""),68.0)</f>
        <v>68</v>
      </c>
      <c r="F7998" s="19" t="str">
        <f>IFERROR(__xludf.DUMMYFUNCTION("""COMPUTED_VALUE"""),"BLUE")</f>
        <v>BLUE</v>
      </c>
      <c r="G7998" s="20" t="str">
        <f>IFERROR(__xludf.DUMMYFUNCTION("""COMPUTED_VALUE"""),"Uncle Sams Cider (11/12/2021) (Blue)")</f>
        <v>Uncle Sams Cider (11/12/2021) (Blue)</v>
      </c>
      <c r="H7998" s="19"/>
    </row>
    <row r="7999">
      <c r="A7999" s="9"/>
      <c r="B7999" s="15"/>
      <c r="C7999" s="9">
        <f>IFERROR(__xludf.DUMMYFUNCTION("""COMPUTED_VALUE"""),44521.2982193518)</f>
        <v>44521.29822</v>
      </c>
      <c r="D7999" s="15">
        <f>IFERROR(__xludf.DUMMYFUNCTION("""COMPUTED_VALUE"""),1.053)</f>
        <v>1.053</v>
      </c>
      <c r="E7999" s="16">
        <f>IFERROR(__xludf.DUMMYFUNCTION("""COMPUTED_VALUE"""),68.0)</f>
        <v>68</v>
      </c>
      <c r="F7999" s="19" t="str">
        <f>IFERROR(__xludf.DUMMYFUNCTION("""COMPUTED_VALUE"""),"BLUE")</f>
        <v>BLUE</v>
      </c>
      <c r="G7999" s="20" t="str">
        <f>IFERROR(__xludf.DUMMYFUNCTION("""COMPUTED_VALUE"""),"Uncle Sams Cider (11/12/2021) (Blue)")</f>
        <v>Uncle Sams Cider (11/12/2021) (Blue)</v>
      </c>
      <c r="H7999" s="19"/>
    </row>
    <row r="8000">
      <c r="A8000" s="9"/>
      <c r="B8000" s="15"/>
      <c r="C8000" s="9">
        <f>IFERROR(__xludf.DUMMYFUNCTION("""COMPUTED_VALUE"""),44521.2878000231)</f>
        <v>44521.2878</v>
      </c>
      <c r="D8000" s="15">
        <f>IFERROR(__xludf.DUMMYFUNCTION("""COMPUTED_VALUE"""),1.053)</f>
        <v>1.053</v>
      </c>
      <c r="E8000" s="16">
        <f>IFERROR(__xludf.DUMMYFUNCTION("""COMPUTED_VALUE"""),68.0)</f>
        <v>68</v>
      </c>
      <c r="F8000" s="19" t="str">
        <f>IFERROR(__xludf.DUMMYFUNCTION("""COMPUTED_VALUE"""),"BLUE")</f>
        <v>BLUE</v>
      </c>
      <c r="G8000" s="20" t="str">
        <f>IFERROR(__xludf.DUMMYFUNCTION("""COMPUTED_VALUE"""),"Uncle Sams Cider (11/12/2021) (Blue)")</f>
        <v>Uncle Sams Cider (11/12/2021) (Blue)</v>
      </c>
      <c r="H8000" s="19"/>
    </row>
    <row r="8001">
      <c r="A8001" s="9"/>
      <c r="B8001" s="15"/>
      <c r="C8001" s="9">
        <f>IFERROR(__xludf.DUMMYFUNCTION("""COMPUTED_VALUE"""),44521.2773790393)</f>
        <v>44521.27738</v>
      </c>
      <c r="D8001" s="15">
        <f>IFERROR(__xludf.DUMMYFUNCTION("""COMPUTED_VALUE"""),1.053)</f>
        <v>1.053</v>
      </c>
      <c r="E8001" s="16">
        <f>IFERROR(__xludf.DUMMYFUNCTION("""COMPUTED_VALUE"""),68.0)</f>
        <v>68</v>
      </c>
      <c r="F8001" s="19" t="str">
        <f>IFERROR(__xludf.DUMMYFUNCTION("""COMPUTED_VALUE"""),"BLUE")</f>
        <v>BLUE</v>
      </c>
      <c r="G8001" s="20" t="str">
        <f>IFERROR(__xludf.DUMMYFUNCTION("""COMPUTED_VALUE"""),"Uncle Sams Cider (11/12/2021) (Blue)")</f>
        <v>Uncle Sams Cider (11/12/2021) (Blue)</v>
      </c>
      <c r="H8001" s="19"/>
    </row>
    <row r="8002">
      <c r="A8002" s="9"/>
      <c r="B8002" s="15"/>
      <c r="C8002" s="9">
        <f>IFERROR(__xludf.DUMMYFUNCTION("""COMPUTED_VALUE"""),44521.2669577662)</f>
        <v>44521.26696</v>
      </c>
      <c r="D8002" s="15">
        <f>IFERROR(__xludf.DUMMYFUNCTION("""COMPUTED_VALUE"""),1.053)</f>
        <v>1.053</v>
      </c>
      <c r="E8002" s="16">
        <f>IFERROR(__xludf.DUMMYFUNCTION("""COMPUTED_VALUE"""),68.0)</f>
        <v>68</v>
      </c>
      <c r="F8002" s="19" t="str">
        <f>IFERROR(__xludf.DUMMYFUNCTION("""COMPUTED_VALUE"""),"BLUE")</f>
        <v>BLUE</v>
      </c>
      <c r="G8002" s="20" t="str">
        <f>IFERROR(__xludf.DUMMYFUNCTION("""COMPUTED_VALUE"""),"Uncle Sams Cider (11/12/2021) (Blue)")</f>
        <v>Uncle Sams Cider (11/12/2021) (Blue)</v>
      </c>
      <c r="H8002" s="19"/>
    </row>
    <row r="8003">
      <c r="A8003" s="9"/>
      <c r="B8003" s="15"/>
      <c r="C8003" s="9">
        <f>IFERROR(__xludf.DUMMYFUNCTION("""COMPUTED_VALUE"""),44521.2565244907)</f>
        <v>44521.25652</v>
      </c>
      <c r="D8003" s="15">
        <f>IFERROR(__xludf.DUMMYFUNCTION("""COMPUTED_VALUE"""),1.053)</f>
        <v>1.053</v>
      </c>
      <c r="E8003" s="16">
        <f>IFERROR(__xludf.DUMMYFUNCTION("""COMPUTED_VALUE"""),68.0)</f>
        <v>68</v>
      </c>
      <c r="F8003" s="19" t="str">
        <f>IFERROR(__xludf.DUMMYFUNCTION("""COMPUTED_VALUE"""),"BLUE")</f>
        <v>BLUE</v>
      </c>
      <c r="G8003" s="20" t="str">
        <f>IFERROR(__xludf.DUMMYFUNCTION("""COMPUTED_VALUE"""),"Uncle Sams Cider (11/12/2021) (Blue)")</f>
        <v>Uncle Sams Cider (11/12/2021) (Blue)</v>
      </c>
      <c r="H8003" s="19"/>
    </row>
    <row r="8004">
      <c r="A8004" s="9"/>
      <c r="B8004" s="15"/>
      <c r="C8004" s="9">
        <f>IFERROR(__xludf.DUMMYFUNCTION("""COMPUTED_VALUE"""),44521.2461044097)</f>
        <v>44521.2461</v>
      </c>
      <c r="D8004" s="15">
        <f>IFERROR(__xludf.DUMMYFUNCTION("""COMPUTED_VALUE"""),1.053)</f>
        <v>1.053</v>
      </c>
      <c r="E8004" s="16">
        <f>IFERROR(__xludf.DUMMYFUNCTION("""COMPUTED_VALUE"""),68.0)</f>
        <v>68</v>
      </c>
      <c r="F8004" s="19" t="str">
        <f>IFERROR(__xludf.DUMMYFUNCTION("""COMPUTED_VALUE"""),"BLUE")</f>
        <v>BLUE</v>
      </c>
      <c r="G8004" s="20" t="str">
        <f>IFERROR(__xludf.DUMMYFUNCTION("""COMPUTED_VALUE"""),"Uncle Sams Cider (11/12/2021) (Blue)")</f>
        <v>Uncle Sams Cider (11/12/2021) (Blue)</v>
      </c>
      <c r="H8004" s="19"/>
    </row>
    <row r="8005">
      <c r="A8005" s="9"/>
      <c r="B8005" s="15"/>
      <c r="C8005" s="9">
        <f>IFERROR(__xludf.DUMMYFUNCTION("""COMPUTED_VALUE"""),44521.2356821412)</f>
        <v>44521.23568</v>
      </c>
      <c r="D8005" s="15">
        <f>IFERROR(__xludf.DUMMYFUNCTION("""COMPUTED_VALUE"""),1.053)</f>
        <v>1.053</v>
      </c>
      <c r="E8005" s="16">
        <f>IFERROR(__xludf.DUMMYFUNCTION("""COMPUTED_VALUE"""),68.0)</f>
        <v>68</v>
      </c>
      <c r="F8005" s="19" t="str">
        <f>IFERROR(__xludf.DUMMYFUNCTION("""COMPUTED_VALUE"""),"BLUE")</f>
        <v>BLUE</v>
      </c>
      <c r="G8005" s="20" t="str">
        <f>IFERROR(__xludf.DUMMYFUNCTION("""COMPUTED_VALUE"""),"Uncle Sams Cider (11/12/2021) (Blue)")</f>
        <v>Uncle Sams Cider (11/12/2021) (Blue)</v>
      </c>
      <c r="H8005" s="19"/>
    </row>
    <row r="8006">
      <c r="A8006" s="9"/>
      <c r="B8006" s="15"/>
      <c r="C8006" s="9">
        <f>IFERROR(__xludf.DUMMYFUNCTION("""COMPUTED_VALUE"""),44521.2252598263)</f>
        <v>44521.22526</v>
      </c>
      <c r="D8006" s="15">
        <f>IFERROR(__xludf.DUMMYFUNCTION("""COMPUTED_VALUE"""),1.053)</f>
        <v>1.053</v>
      </c>
      <c r="E8006" s="16">
        <f>IFERROR(__xludf.DUMMYFUNCTION("""COMPUTED_VALUE"""),68.0)</f>
        <v>68</v>
      </c>
      <c r="F8006" s="19" t="str">
        <f>IFERROR(__xludf.DUMMYFUNCTION("""COMPUTED_VALUE"""),"BLUE")</f>
        <v>BLUE</v>
      </c>
      <c r="G8006" s="20" t="str">
        <f>IFERROR(__xludf.DUMMYFUNCTION("""COMPUTED_VALUE"""),"Uncle Sams Cider (11/12/2021) (Blue)")</f>
        <v>Uncle Sams Cider (11/12/2021) (Blue)</v>
      </c>
      <c r="H8006" s="19"/>
    </row>
    <row r="8007">
      <c r="A8007" s="9"/>
      <c r="B8007" s="15"/>
      <c r="C8007" s="9">
        <f>IFERROR(__xludf.DUMMYFUNCTION("""COMPUTED_VALUE"""),44521.2148387615)</f>
        <v>44521.21484</v>
      </c>
      <c r="D8007" s="15">
        <f>IFERROR(__xludf.DUMMYFUNCTION("""COMPUTED_VALUE"""),1.053)</f>
        <v>1.053</v>
      </c>
      <c r="E8007" s="16">
        <f>IFERROR(__xludf.DUMMYFUNCTION("""COMPUTED_VALUE"""),68.0)</f>
        <v>68</v>
      </c>
      <c r="F8007" s="19" t="str">
        <f>IFERROR(__xludf.DUMMYFUNCTION("""COMPUTED_VALUE"""),"BLUE")</f>
        <v>BLUE</v>
      </c>
      <c r="G8007" s="20" t="str">
        <f>IFERROR(__xludf.DUMMYFUNCTION("""COMPUTED_VALUE"""),"Uncle Sams Cider (11/12/2021) (Blue)")</f>
        <v>Uncle Sams Cider (11/12/2021) (Blue)</v>
      </c>
      <c r="H8007" s="19"/>
    </row>
    <row r="8008">
      <c r="A8008" s="9"/>
      <c r="B8008" s="15"/>
      <c r="C8008" s="9">
        <f>IFERROR(__xludf.DUMMYFUNCTION("""COMPUTED_VALUE"""),44521.2044163078)</f>
        <v>44521.20442</v>
      </c>
      <c r="D8008" s="15">
        <f>IFERROR(__xludf.DUMMYFUNCTION("""COMPUTED_VALUE"""),1.053)</f>
        <v>1.053</v>
      </c>
      <c r="E8008" s="16">
        <f>IFERROR(__xludf.DUMMYFUNCTION("""COMPUTED_VALUE"""),68.0)</f>
        <v>68</v>
      </c>
      <c r="F8008" s="19" t="str">
        <f>IFERROR(__xludf.DUMMYFUNCTION("""COMPUTED_VALUE"""),"BLUE")</f>
        <v>BLUE</v>
      </c>
      <c r="G8008" s="20" t="str">
        <f>IFERROR(__xludf.DUMMYFUNCTION("""COMPUTED_VALUE"""),"Uncle Sams Cider (11/12/2021) (Blue)")</f>
        <v>Uncle Sams Cider (11/12/2021) (Blue)</v>
      </c>
      <c r="H8008" s="19"/>
    </row>
    <row r="8009">
      <c r="A8009" s="9"/>
      <c r="B8009" s="15"/>
      <c r="C8009" s="9">
        <f>IFERROR(__xludf.DUMMYFUNCTION("""COMPUTED_VALUE"""),44521.1939957291)</f>
        <v>44521.194</v>
      </c>
      <c r="D8009" s="15">
        <f>IFERROR(__xludf.DUMMYFUNCTION("""COMPUTED_VALUE"""),1.053)</f>
        <v>1.053</v>
      </c>
      <c r="E8009" s="16">
        <f>IFERROR(__xludf.DUMMYFUNCTION("""COMPUTED_VALUE"""),68.0)</f>
        <v>68</v>
      </c>
      <c r="F8009" s="19" t="str">
        <f>IFERROR(__xludf.DUMMYFUNCTION("""COMPUTED_VALUE"""),"BLUE")</f>
        <v>BLUE</v>
      </c>
      <c r="G8009" s="20" t="str">
        <f>IFERROR(__xludf.DUMMYFUNCTION("""COMPUTED_VALUE"""),"Uncle Sams Cider (11/12/2021) (Blue)")</f>
        <v>Uncle Sams Cider (11/12/2021) (Blue)</v>
      </c>
      <c r="H8009" s="19"/>
    </row>
    <row r="8010">
      <c r="A8010" s="9"/>
      <c r="B8010" s="15"/>
      <c r="C8010" s="9">
        <f>IFERROR(__xludf.DUMMYFUNCTION("""COMPUTED_VALUE"""),44521.1835749884)</f>
        <v>44521.18357</v>
      </c>
      <c r="D8010" s="15">
        <f>IFERROR(__xludf.DUMMYFUNCTION("""COMPUTED_VALUE"""),1.053)</f>
        <v>1.053</v>
      </c>
      <c r="E8010" s="16">
        <f>IFERROR(__xludf.DUMMYFUNCTION("""COMPUTED_VALUE"""),68.0)</f>
        <v>68</v>
      </c>
      <c r="F8010" s="19" t="str">
        <f>IFERROR(__xludf.DUMMYFUNCTION("""COMPUTED_VALUE"""),"BLUE")</f>
        <v>BLUE</v>
      </c>
      <c r="G8010" s="20" t="str">
        <f>IFERROR(__xludf.DUMMYFUNCTION("""COMPUTED_VALUE"""),"Uncle Sams Cider (11/12/2021) (Blue)")</f>
        <v>Uncle Sams Cider (11/12/2021) (Blue)</v>
      </c>
      <c r="H8010" s="19"/>
    </row>
    <row r="8011">
      <c r="A8011" s="9"/>
      <c r="B8011" s="15"/>
      <c r="C8011" s="9">
        <f>IFERROR(__xludf.DUMMYFUNCTION("""COMPUTED_VALUE"""),44521.1731552546)</f>
        <v>44521.17316</v>
      </c>
      <c r="D8011" s="15">
        <f>IFERROR(__xludf.DUMMYFUNCTION("""COMPUTED_VALUE"""),1.053)</f>
        <v>1.053</v>
      </c>
      <c r="E8011" s="16">
        <f>IFERROR(__xludf.DUMMYFUNCTION("""COMPUTED_VALUE"""),68.0)</f>
        <v>68</v>
      </c>
      <c r="F8011" s="19" t="str">
        <f>IFERROR(__xludf.DUMMYFUNCTION("""COMPUTED_VALUE"""),"BLUE")</f>
        <v>BLUE</v>
      </c>
      <c r="G8011" s="20" t="str">
        <f>IFERROR(__xludf.DUMMYFUNCTION("""COMPUTED_VALUE"""),"Uncle Sams Cider (11/12/2021) (Blue)")</f>
        <v>Uncle Sams Cider (11/12/2021) (Blue)</v>
      </c>
      <c r="H8011" s="19"/>
    </row>
    <row r="8012">
      <c r="A8012" s="9"/>
      <c r="B8012" s="15"/>
      <c r="C8012" s="9">
        <f>IFERROR(__xludf.DUMMYFUNCTION("""COMPUTED_VALUE"""),44521.1627215393)</f>
        <v>44521.16272</v>
      </c>
      <c r="D8012" s="15">
        <f>IFERROR(__xludf.DUMMYFUNCTION("""COMPUTED_VALUE"""),1.053)</f>
        <v>1.053</v>
      </c>
      <c r="E8012" s="16">
        <f>IFERROR(__xludf.DUMMYFUNCTION("""COMPUTED_VALUE"""),68.0)</f>
        <v>68</v>
      </c>
      <c r="F8012" s="19" t="str">
        <f>IFERROR(__xludf.DUMMYFUNCTION("""COMPUTED_VALUE"""),"BLUE")</f>
        <v>BLUE</v>
      </c>
      <c r="G8012" s="20" t="str">
        <f>IFERROR(__xludf.DUMMYFUNCTION("""COMPUTED_VALUE"""),"Uncle Sams Cider (11/12/2021) (Blue)")</f>
        <v>Uncle Sams Cider (11/12/2021) (Blue)</v>
      </c>
      <c r="H8012" s="19"/>
    </row>
    <row r="8013">
      <c r="A8013" s="9"/>
      <c r="B8013" s="15"/>
      <c r="C8013" s="9">
        <f>IFERROR(__xludf.DUMMYFUNCTION("""COMPUTED_VALUE"""),44521.1522874652)</f>
        <v>44521.15229</v>
      </c>
      <c r="D8013" s="15">
        <f>IFERROR(__xludf.DUMMYFUNCTION("""COMPUTED_VALUE"""),1.053)</f>
        <v>1.053</v>
      </c>
      <c r="E8013" s="16">
        <f>IFERROR(__xludf.DUMMYFUNCTION("""COMPUTED_VALUE"""),68.0)</f>
        <v>68</v>
      </c>
      <c r="F8013" s="19" t="str">
        <f>IFERROR(__xludf.DUMMYFUNCTION("""COMPUTED_VALUE"""),"BLUE")</f>
        <v>BLUE</v>
      </c>
      <c r="G8013" s="20" t="str">
        <f>IFERROR(__xludf.DUMMYFUNCTION("""COMPUTED_VALUE"""),"Uncle Sams Cider (11/12/2021) (Blue)")</f>
        <v>Uncle Sams Cider (11/12/2021) (Blue)</v>
      </c>
      <c r="H8013" s="19"/>
    </row>
    <row r="8014">
      <c r="A8014" s="9"/>
      <c r="B8014" s="15"/>
      <c r="C8014" s="9">
        <f>IFERROR(__xludf.DUMMYFUNCTION("""COMPUTED_VALUE"""),44521.1418678472)</f>
        <v>44521.14187</v>
      </c>
      <c r="D8014" s="15">
        <f>IFERROR(__xludf.DUMMYFUNCTION("""COMPUTED_VALUE"""),1.054)</f>
        <v>1.054</v>
      </c>
      <c r="E8014" s="16">
        <f>IFERROR(__xludf.DUMMYFUNCTION("""COMPUTED_VALUE"""),68.0)</f>
        <v>68</v>
      </c>
      <c r="F8014" s="19" t="str">
        <f>IFERROR(__xludf.DUMMYFUNCTION("""COMPUTED_VALUE"""),"BLUE")</f>
        <v>BLUE</v>
      </c>
      <c r="G8014" s="20" t="str">
        <f>IFERROR(__xludf.DUMMYFUNCTION("""COMPUTED_VALUE"""),"Uncle Sams Cider (11/12/2021) (Blue)")</f>
        <v>Uncle Sams Cider (11/12/2021) (Blue)</v>
      </c>
      <c r="H8014" s="19"/>
    </row>
    <row r="8015">
      <c r="A8015" s="9"/>
      <c r="B8015" s="15"/>
      <c r="C8015" s="9">
        <f>IFERROR(__xludf.DUMMYFUNCTION("""COMPUTED_VALUE"""),44521.1314346759)</f>
        <v>44521.13143</v>
      </c>
      <c r="D8015" s="15">
        <f>IFERROR(__xludf.DUMMYFUNCTION("""COMPUTED_VALUE"""),1.054)</f>
        <v>1.054</v>
      </c>
      <c r="E8015" s="16">
        <f>IFERROR(__xludf.DUMMYFUNCTION("""COMPUTED_VALUE"""),69.0)</f>
        <v>69</v>
      </c>
      <c r="F8015" s="19" t="str">
        <f>IFERROR(__xludf.DUMMYFUNCTION("""COMPUTED_VALUE"""),"BLUE")</f>
        <v>BLUE</v>
      </c>
      <c r="G8015" s="20" t="str">
        <f>IFERROR(__xludf.DUMMYFUNCTION("""COMPUTED_VALUE"""),"Uncle Sams Cider (11/12/2021) (Blue)")</f>
        <v>Uncle Sams Cider (11/12/2021) (Blue)</v>
      </c>
      <c r="H8015" s="19"/>
    </row>
    <row r="8016">
      <c r="A8016" s="9"/>
      <c r="B8016" s="15"/>
      <c r="C8016" s="9">
        <f>IFERROR(__xludf.DUMMYFUNCTION("""COMPUTED_VALUE"""),44521.1210148148)</f>
        <v>44521.12101</v>
      </c>
      <c r="D8016" s="15">
        <f>IFERROR(__xludf.DUMMYFUNCTION("""COMPUTED_VALUE"""),1.054)</f>
        <v>1.054</v>
      </c>
      <c r="E8016" s="16">
        <f>IFERROR(__xludf.DUMMYFUNCTION("""COMPUTED_VALUE"""),69.0)</f>
        <v>69</v>
      </c>
      <c r="F8016" s="19" t="str">
        <f>IFERROR(__xludf.DUMMYFUNCTION("""COMPUTED_VALUE"""),"BLUE")</f>
        <v>BLUE</v>
      </c>
      <c r="G8016" s="20" t="str">
        <f>IFERROR(__xludf.DUMMYFUNCTION("""COMPUTED_VALUE"""),"Uncle Sams Cider (11/12/2021) (Blue)")</f>
        <v>Uncle Sams Cider (11/12/2021) (Blue)</v>
      </c>
      <c r="H8016" s="19"/>
    </row>
    <row r="8017">
      <c r="A8017" s="9"/>
      <c r="B8017" s="15"/>
      <c r="C8017" s="9">
        <f>IFERROR(__xludf.DUMMYFUNCTION("""COMPUTED_VALUE"""),44521.1105919097)</f>
        <v>44521.11059</v>
      </c>
      <c r="D8017" s="15">
        <f>IFERROR(__xludf.DUMMYFUNCTION("""COMPUTED_VALUE"""),1.054)</f>
        <v>1.054</v>
      </c>
      <c r="E8017" s="16">
        <f>IFERROR(__xludf.DUMMYFUNCTION("""COMPUTED_VALUE"""),68.0)</f>
        <v>68</v>
      </c>
      <c r="F8017" s="19" t="str">
        <f>IFERROR(__xludf.DUMMYFUNCTION("""COMPUTED_VALUE"""),"BLUE")</f>
        <v>BLUE</v>
      </c>
      <c r="G8017" s="20" t="str">
        <f>IFERROR(__xludf.DUMMYFUNCTION("""COMPUTED_VALUE"""),"Uncle Sams Cider (11/12/2021) (Blue)")</f>
        <v>Uncle Sams Cider (11/12/2021) (Blue)</v>
      </c>
      <c r="H8017" s="19"/>
    </row>
    <row r="8018">
      <c r="A8018" s="9"/>
      <c r="B8018" s="15"/>
      <c r="C8018" s="9">
        <f>IFERROR(__xludf.DUMMYFUNCTION("""COMPUTED_VALUE"""),44521.1001702777)</f>
        <v>44521.10017</v>
      </c>
      <c r="D8018" s="15">
        <f>IFERROR(__xludf.DUMMYFUNCTION("""COMPUTED_VALUE"""),1.054)</f>
        <v>1.054</v>
      </c>
      <c r="E8018" s="16">
        <f>IFERROR(__xludf.DUMMYFUNCTION("""COMPUTED_VALUE"""),68.0)</f>
        <v>68</v>
      </c>
      <c r="F8018" s="19" t="str">
        <f>IFERROR(__xludf.DUMMYFUNCTION("""COMPUTED_VALUE"""),"BLUE")</f>
        <v>BLUE</v>
      </c>
      <c r="G8018" s="20" t="str">
        <f>IFERROR(__xludf.DUMMYFUNCTION("""COMPUTED_VALUE"""),"Uncle Sams Cider (11/12/2021) (Blue)")</f>
        <v>Uncle Sams Cider (11/12/2021) (Blue)</v>
      </c>
      <c r="H8018" s="19"/>
    </row>
    <row r="8019">
      <c r="A8019" s="9"/>
      <c r="B8019" s="15"/>
      <c r="C8019" s="9">
        <f>IFERROR(__xludf.DUMMYFUNCTION("""COMPUTED_VALUE"""),44521.0897490393)</f>
        <v>44521.08975</v>
      </c>
      <c r="D8019" s="15">
        <f>IFERROR(__xludf.DUMMYFUNCTION("""COMPUTED_VALUE"""),1.054)</f>
        <v>1.054</v>
      </c>
      <c r="E8019" s="16">
        <f>IFERROR(__xludf.DUMMYFUNCTION("""COMPUTED_VALUE"""),68.0)</f>
        <v>68</v>
      </c>
      <c r="F8019" s="19" t="str">
        <f>IFERROR(__xludf.DUMMYFUNCTION("""COMPUTED_VALUE"""),"BLUE")</f>
        <v>BLUE</v>
      </c>
      <c r="G8019" s="20" t="str">
        <f>IFERROR(__xludf.DUMMYFUNCTION("""COMPUTED_VALUE"""),"Uncle Sams Cider (11/12/2021) (Blue)")</f>
        <v>Uncle Sams Cider (11/12/2021) (Blue)</v>
      </c>
      <c r="H8019" s="19"/>
    </row>
    <row r="8020">
      <c r="A8020" s="9"/>
      <c r="B8020" s="15"/>
      <c r="C8020" s="9">
        <f>IFERROR(__xludf.DUMMYFUNCTION("""COMPUTED_VALUE"""),44521.0793273726)</f>
        <v>44521.07933</v>
      </c>
      <c r="D8020" s="15">
        <f>IFERROR(__xludf.DUMMYFUNCTION("""COMPUTED_VALUE"""),1.054)</f>
        <v>1.054</v>
      </c>
      <c r="E8020" s="16">
        <f>IFERROR(__xludf.DUMMYFUNCTION("""COMPUTED_VALUE"""),68.0)</f>
        <v>68</v>
      </c>
      <c r="F8020" s="19" t="str">
        <f>IFERROR(__xludf.DUMMYFUNCTION("""COMPUTED_VALUE"""),"BLUE")</f>
        <v>BLUE</v>
      </c>
      <c r="G8020" s="20" t="str">
        <f>IFERROR(__xludf.DUMMYFUNCTION("""COMPUTED_VALUE"""),"Uncle Sams Cider (11/12/2021) (Blue)")</f>
        <v>Uncle Sams Cider (11/12/2021) (Blue)</v>
      </c>
      <c r="H8020" s="19"/>
    </row>
    <row r="8021">
      <c r="A8021" s="9"/>
      <c r="B8021" s="15"/>
      <c r="C8021" s="9">
        <f>IFERROR(__xludf.DUMMYFUNCTION("""COMPUTED_VALUE"""),44521.0689059953)</f>
        <v>44521.06891</v>
      </c>
      <c r="D8021" s="15">
        <f>IFERROR(__xludf.DUMMYFUNCTION("""COMPUTED_VALUE"""),1.054)</f>
        <v>1.054</v>
      </c>
      <c r="E8021" s="16">
        <f>IFERROR(__xludf.DUMMYFUNCTION("""COMPUTED_VALUE"""),68.0)</f>
        <v>68</v>
      </c>
      <c r="F8021" s="19" t="str">
        <f>IFERROR(__xludf.DUMMYFUNCTION("""COMPUTED_VALUE"""),"BLUE")</f>
        <v>BLUE</v>
      </c>
      <c r="G8021" s="20" t="str">
        <f>IFERROR(__xludf.DUMMYFUNCTION("""COMPUTED_VALUE"""),"Uncle Sams Cider (11/12/2021) (Blue)")</f>
        <v>Uncle Sams Cider (11/12/2021) (Blue)</v>
      </c>
      <c r="H8021" s="19"/>
    </row>
    <row r="8022">
      <c r="A8022" s="9"/>
      <c r="B8022" s="15"/>
      <c r="C8022" s="9">
        <f>IFERROR(__xludf.DUMMYFUNCTION("""COMPUTED_VALUE"""),44521.0584722106)</f>
        <v>44521.05847</v>
      </c>
      <c r="D8022" s="15">
        <f>IFERROR(__xludf.DUMMYFUNCTION("""COMPUTED_VALUE"""),1.054)</f>
        <v>1.054</v>
      </c>
      <c r="E8022" s="16">
        <f>IFERROR(__xludf.DUMMYFUNCTION("""COMPUTED_VALUE"""),68.0)</f>
        <v>68</v>
      </c>
      <c r="F8022" s="19" t="str">
        <f>IFERROR(__xludf.DUMMYFUNCTION("""COMPUTED_VALUE"""),"BLUE")</f>
        <v>BLUE</v>
      </c>
      <c r="G8022" s="20" t="str">
        <f>IFERROR(__xludf.DUMMYFUNCTION("""COMPUTED_VALUE"""),"Uncle Sams Cider (11/12/2021) (Blue)")</f>
        <v>Uncle Sams Cider (11/12/2021) (Blue)</v>
      </c>
      <c r="H8022" s="19"/>
    </row>
    <row r="8023">
      <c r="A8023" s="9"/>
      <c r="B8023" s="15"/>
      <c r="C8023" s="9">
        <f>IFERROR(__xludf.DUMMYFUNCTION("""COMPUTED_VALUE"""),44521.0480527893)</f>
        <v>44521.04805</v>
      </c>
      <c r="D8023" s="15">
        <f>IFERROR(__xludf.DUMMYFUNCTION("""COMPUTED_VALUE"""),1.054)</f>
        <v>1.054</v>
      </c>
      <c r="E8023" s="16">
        <f>IFERROR(__xludf.DUMMYFUNCTION("""COMPUTED_VALUE"""),69.0)</f>
        <v>69</v>
      </c>
      <c r="F8023" s="19" t="str">
        <f>IFERROR(__xludf.DUMMYFUNCTION("""COMPUTED_VALUE"""),"BLUE")</f>
        <v>BLUE</v>
      </c>
      <c r="G8023" s="20" t="str">
        <f>IFERROR(__xludf.DUMMYFUNCTION("""COMPUTED_VALUE"""),"Uncle Sams Cider (11/12/2021) (Blue)")</f>
        <v>Uncle Sams Cider (11/12/2021) (Blue)</v>
      </c>
      <c r="H8023" s="19"/>
    </row>
    <row r="8024">
      <c r="A8024" s="9"/>
      <c r="B8024" s="15"/>
      <c r="C8024" s="9">
        <f>IFERROR(__xludf.DUMMYFUNCTION("""COMPUTED_VALUE"""),44521.037619699)</f>
        <v>44521.03762</v>
      </c>
      <c r="D8024" s="15">
        <f>IFERROR(__xludf.DUMMYFUNCTION("""COMPUTED_VALUE"""),1.054)</f>
        <v>1.054</v>
      </c>
      <c r="E8024" s="16">
        <f>IFERROR(__xludf.DUMMYFUNCTION("""COMPUTED_VALUE"""),69.0)</f>
        <v>69</v>
      </c>
      <c r="F8024" s="19" t="str">
        <f>IFERROR(__xludf.DUMMYFUNCTION("""COMPUTED_VALUE"""),"BLUE")</f>
        <v>BLUE</v>
      </c>
      <c r="G8024" s="20" t="str">
        <f>IFERROR(__xludf.DUMMYFUNCTION("""COMPUTED_VALUE"""),"Uncle Sams Cider (11/12/2021) (Blue)")</f>
        <v>Uncle Sams Cider (11/12/2021) (Blue)</v>
      </c>
      <c r="H8024" s="19"/>
    </row>
    <row r="8025">
      <c r="A8025" s="9"/>
      <c r="B8025" s="15"/>
      <c r="C8025" s="9">
        <f>IFERROR(__xludf.DUMMYFUNCTION("""COMPUTED_VALUE"""),44521.0271984838)</f>
        <v>44521.0272</v>
      </c>
      <c r="D8025" s="15">
        <f>IFERROR(__xludf.DUMMYFUNCTION("""COMPUTED_VALUE"""),1.054)</f>
        <v>1.054</v>
      </c>
      <c r="E8025" s="16">
        <f>IFERROR(__xludf.DUMMYFUNCTION("""COMPUTED_VALUE"""),69.0)</f>
        <v>69</v>
      </c>
      <c r="F8025" s="19" t="str">
        <f>IFERROR(__xludf.DUMMYFUNCTION("""COMPUTED_VALUE"""),"BLUE")</f>
        <v>BLUE</v>
      </c>
      <c r="G8025" s="20" t="str">
        <f>IFERROR(__xludf.DUMMYFUNCTION("""COMPUTED_VALUE"""),"Uncle Sams Cider (11/12/2021) (Blue)")</f>
        <v>Uncle Sams Cider (11/12/2021) (Blue)</v>
      </c>
      <c r="H8025" s="19"/>
    </row>
    <row r="8026">
      <c r="A8026" s="9"/>
      <c r="B8026" s="15"/>
      <c r="C8026" s="9">
        <f>IFERROR(__xludf.DUMMYFUNCTION("""COMPUTED_VALUE"""),44521.016779456)</f>
        <v>44521.01678</v>
      </c>
      <c r="D8026" s="15">
        <f>IFERROR(__xludf.DUMMYFUNCTION("""COMPUTED_VALUE"""),1.054)</f>
        <v>1.054</v>
      </c>
      <c r="E8026" s="16">
        <f>IFERROR(__xludf.DUMMYFUNCTION("""COMPUTED_VALUE"""),69.0)</f>
        <v>69</v>
      </c>
      <c r="F8026" s="19" t="str">
        <f>IFERROR(__xludf.DUMMYFUNCTION("""COMPUTED_VALUE"""),"BLUE")</f>
        <v>BLUE</v>
      </c>
      <c r="G8026" s="20" t="str">
        <f>IFERROR(__xludf.DUMMYFUNCTION("""COMPUTED_VALUE"""),"Uncle Sams Cider (11/12/2021) (Blue)")</f>
        <v>Uncle Sams Cider (11/12/2021) (Blue)</v>
      </c>
      <c r="H8026" s="19"/>
    </row>
    <row r="8027">
      <c r="A8027" s="9"/>
      <c r="B8027" s="15"/>
      <c r="C8027" s="9">
        <f>IFERROR(__xludf.DUMMYFUNCTION("""COMPUTED_VALUE"""),44521.0063577546)</f>
        <v>44521.00636</v>
      </c>
      <c r="D8027" s="15">
        <f>IFERROR(__xludf.DUMMYFUNCTION("""COMPUTED_VALUE"""),1.054)</f>
        <v>1.054</v>
      </c>
      <c r="E8027" s="16">
        <f>IFERROR(__xludf.DUMMYFUNCTION("""COMPUTED_VALUE"""),69.0)</f>
        <v>69</v>
      </c>
      <c r="F8027" s="19" t="str">
        <f>IFERROR(__xludf.DUMMYFUNCTION("""COMPUTED_VALUE"""),"BLUE")</f>
        <v>BLUE</v>
      </c>
      <c r="G8027" s="20" t="str">
        <f>IFERROR(__xludf.DUMMYFUNCTION("""COMPUTED_VALUE"""),"Uncle Sams Cider (11/12/2021) (Blue)")</f>
        <v>Uncle Sams Cider (11/12/2021) (Blue)</v>
      </c>
      <c r="H8027" s="19"/>
    </row>
    <row r="8028">
      <c r="A8028" s="9"/>
      <c r="B8028" s="15"/>
      <c r="C8028" s="9">
        <f>IFERROR(__xludf.DUMMYFUNCTION("""COMPUTED_VALUE"""),44520.9959373611)</f>
        <v>44520.99594</v>
      </c>
      <c r="D8028" s="15">
        <f>IFERROR(__xludf.DUMMYFUNCTION("""COMPUTED_VALUE"""),1.054)</f>
        <v>1.054</v>
      </c>
      <c r="E8028" s="16">
        <f>IFERROR(__xludf.DUMMYFUNCTION("""COMPUTED_VALUE"""),69.0)</f>
        <v>69</v>
      </c>
      <c r="F8028" s="19" t="str">
        <f>IFERROR(__xludf.DUMMYFUNCTION("""COMPUTED_VALUE"""),"BLUE")</f>
        <v>BLUE</v>
      </c>
      <c r="G8028" s="20" t="str">
        <f>IFERROR(__xludf.DUMMYFUNCTION("""COMPUTED_VALUE"""),"Uncle Sams Cider (11/12/2021) (Blue)")</f>
        <v>Uncle Sams Cider (11/12/2021) (Blue)</v>
      </c>
      <c r="H8028" s="19"/>
    </row>
    <row r="8029">
      <c r="A8029" s="9"/>
      <c r="B8029" s="15"/>
      <c r="C8029" s="9">
        <f>IFERROR(__xludf.DUMMYFUNCTION("""COMPUTED_VALUE"""),44520.9855173842)</f>
        <v>44520.98552</v>
      </c>
      <c r="D8029" s="15">
        <f>IFERROR(__xludf.DUMMYFUNCTION("""COMPUTED_VALUE"""),1.054)</f>
        <v>1.054</v>
      </c>
      <c r="E8029" s="16">
        <f>IFERROR(__xludf.DUMMYFUNCTION("""COMPUTED_VALUE"""),69.0)</f>
        <v>69</v>
      </c>
      <c r="F8029" s="19" t="str">
        <f>IFERROR(__xludf.DUMMYFUNCTION("""COMPUTED_VALUE"""),"BLUE")</f>
        <v>BLUE</v>
      </c>
      <c r="G8029" s="20" t="str">
        <f>IFERROR(__xludf.DUMMYFUNCTION("""COMPUTED_VALUE"""),"Uncle Sams Cider (11/12/2021) (Blue)")</f>
        <v>Uncle Sams Cider (11/12/2021) (Blue)</v>
      </c>
      <c r="H8029" s="19"/>
    </row>
    <row r="8030">
      <c r="A8030" s="9"/>
      <c r="B8030" s="15"/>
      <c r="C8030" s="9">
        <f>IFERROR(__xludf.DUMMYFUNCTION("""COMPUTED_VALUE"""),44520.9750964583)</f>
        <v>44520.9751</v>
      </c>
      <c r="D8030" s="15">
        <f>IFERROR(__xludf.DUMMYFUNCTION("""COMPUTED_VALUE"""),1.055)</f>
        <v>1.055</v>
      </c>
      <c r="E8030" s="16">
        <f>IFERROR(__xludf.DUMMYFUNCTION("""COMPUTED_VALUE"""),69.0)</f>
        <v>69</v>
      </c>
      <c r="F8030" s="19" t="str">
        <f>IFERROR(__xludf.DUMMYFUNCTION("""COMPUTED_VALUE"""),"BLUE")</f>
        <v>BLUE</v>
      </c>
      <c r="G8030" s="20" t="str">
        <f>IFERROR(__xludf.DUMMYFUNCTION("""COMPUTED_VALUE"""),"Uncle Sams Cider (11/12/2021) (Blue)")</f>
        <v>Uncle Sams Cider (11/12/2021) (Blue)</v>
      </c>
      <c r="H8030" s="19"/>
    </row>
    <row r="8031">
      <c r="A8031" s="9"/>
      <c r="B8031" s="15"/>
      <c r="C8031" s="9">
        <f>IFERROR(__xludf.DUMMYFUNCTION("""COMPUTED_VALUE"""),44520.9646751273)</f>
        <v>44520.96468</v>
      </c>
      <c r="D8031" s="15">
        <f>IFERROR(__xludf.DUMMYFUNCTION("""COMPUTED_VALUE"""),1.055)</f>
        <v>1.055</v>
      </c>
      <c r="E8031" s="16">
        <f>IFERROR(__xludf.DUMMYFUNCTION("""COMPUTED_VALUE"""),69.0)</f>
        <v>69</v>
      </c>
      <c r="F8031" s="19" t="str">
        <f>IFERROR(__xludf.DUMMYFUNCTION("""COMPUTED_VALUE"""),"BLUE")</f>
        <v>BLUE</v>
      </c>
      <c r="G8031" s="20" t="str">
        <f>IFERROR(__xludf.DUMMYFUNCTION("""COMPUTED_VALUE"""),"Uncle Sams Cider (11/12/2021) (Blue)")</f>
        <v>Uncle Sams Cider (11/12/2021) (Blue)</v>
      </c>
      <c r="H8031" s="19"/>
    </row>
    <row r="8032">
      <c r="A8032" s="9"/>
      <c r="B8032" s="15"/>
      <c r="C8032" s="9">
        <f>IFERROR(__xludf.DUMMYFUNCTION("""COMPUTED_VALUE"""),44520.9542556018)</f>
        <v>44520.95426</v>
      </c>
      <c r="D8032" s="15">
        <f>IFERROR(__xludf.DUMMYFUNCTION("""COMPUTED_VALUE"""),1.055)</f>
        <v>1.055</v>
      </c>
      <c r="E8032" s="16">
        <f>IFERROR(__xludf.DUMMYFUNCTION("""COMPUTED_VALUE"""),69.0)</f>
        <v>69</v>
      </c>
      <c r="F8032" s="19" t="str">
        <f>IFERROR(__xludf.DUMMYFUNCTION("""COMPUTED_VALUE"""),"BLUE")</f>
        <v>BLUE</v>
      </c>
      <c r="G8032" s="20" t="str">
        <f>IFERROR(__xludf.DUMMYFUNCTION("""COMPUTED_VALUE"""),"Uncle Sams Cider (11/12/2021) (Blue)")</f>
        <v>Uncle Sams Cider (11/12/2021) (Blue)</v>
      </c>
      <c r="H8032" s="19"/>
    </row>
    <row r="8033">
      <c r="A8033" s="9"/>
      <c r="B8033" s="15"/>
      <c r="C8033" s="9">
        <f>IFERROR(__xludf.DUMMYFUNCTION("""COMPUTED_VALUE"""),44520.9438349421)</f>
        <v>44520.94383</v>
      </c>
      <c r="D8033" s="15">
        <f>IFERROR(__xludf.DUMMYFUNCTION("""COMPUTED_VALUE"""),1.055)</f>
        <v>1.055</v>
      </c>
      <c r="E8033" s="16">
        <f>IFERROR(__xludf.DUMMYFUNCTION("""COMPUTED_VALUE"""),69.0)</f>
        <v>69</v>
      </c>
      <c r="F8033" s="19" t="str">
        <f>IFERROR(__xludf.DUMMYFUNCTION("""COMPUTED_VALUE"""),"BLUE")</f>
        <v>BLUE</v>
      </c>
      <c r="G8033" s="20" t="str">
        <f>IFERROR(__xludf.DUMMYFUNCTION("""COMPUTED_VALUE"""),"Uncle Sams Cider (11/12/2021) (Blue)")</f>
        <v>Uncle Sams Cider (11/12/2021) (Blue)</v>
      </c>
      <c r="H8033" s="19"/>
    </row>
    <row r="8034">
      <c r="A8034" s="9"/>
      <c r="B8034" s="15"/>
      <c r="C8034" s="9">
        <f>IFERROR(__xludf.DUMMYFUNCTION("""COMPUTED_VALUE"""),44520.9334126736)</f>
        <v>44520.93341</v>
      </c>
      <c r="D8034" s="15">
        <f>IFERROR(__xludf.DUMMYFUNCTION("""COMPUTED_VALUE"""),1.055)</f>
        <v>1.055</v>
      </c>
      <c r="E8034" s="16">
        <f>IFERROR(__xludf.DUMMYFUNCTION("""COMPUTED_VALUE"""),69.0)</f>
        <v>69</v>
      </c>
      <c r="F8034" s="19" t="str">
        <f>IFERROR(__xludf.DUMMYFUNCTION("""COMPUTED_VALUE"""),"BLUE")</f>
        <v>BLUE</v>
      </c>
      <c r="G8034" s="20" t="str">
        <f>IFERROR(__xludf.DUMMYFUNCTION("""COMPUTED_VALUE"""),"Uncle Sams Cider (11/12/2021) (Blue)")</f>
        <v>Uncle Sams Cider (11/12/2021) (Blue)</v>
      </c>
      <c r="H8034" s="19"/>
    </row>
    <row r="8035">
      <c r="A8035" s="9"/>
      <c r="B8035" s="15"/>
      <c r="C8035" s="9">
        <f>IFERROR(__xludf.DUMMYFUNCTION("""COMPUTED_VALUE"""),44520.9229690856)</f>
        <v>44520.92297</v>
      </c>
      <c r="D8035" s="15">
        <f>IFERROR(__xludf.DUMMYFUNCTION("""COMPUTED_VALUE"""),1.055)</f>
        <v>1.055</v>
      </c>
      <c r="E8035" s="16">
        <f>IFERROR(__xludf.DUMMYFUNCTION("""COMPUTED_VALUE"""),69.0)</f>
        <v>69</v>
      </c>
      <c r="F8035" s="19" t="str">
        <f>IFERROR(__xludf.DUMMYFUNCTION("""COMPUTED_VALUE"""),"BLUE")</f>
        <v>BLUE</v>
      </c>
      <c r="G8035" s="20" t="str">
        <f>IFERROR(__xludf.DUMMYFUNCTION("""COMPUTED_VALUE"""),"Uncle Sams Cider (11/12/2021) (Blue)")</f>
        <v>Uncle Sams Cider (11/12/2021) (Blue)</v>
      </c>
      <c r="H8035" s="19"/>
    </row>
    <row r="8036">
      <c r="A8036" s="9"/>
      <c r="B8036" s="15"/>
      <c r="C8036" s="9">
        <f>IFERROR(__xludf.DUMMYFUNCTION("""COMPUTED_VALUE"""),44520.9125460185)</f>
        <v>44520.91255</v>
      </c>
      <c r="D8036" s="15">
        <f>IFERROR(__xludf.DUMMYFUNCTION("""COMPUTED_VALUE"""),1.055)</f>
        <v>1.055</v>
      </c>
      <c r="E8036" s="16">
        <f>IFERROR(__xludf.DUMMYFUNCTION("""COMPUTED_VALUE"""),69.0)</f>
        <v>69</v>
      </c>
      <c r="F8036" s="19" t="str">
        <f>IFERROR(__xludf.DUMMYFUNCTION("""COMPUTED_VALUE"""),"BLUE")</f>
        <v>BLUE</v>
      </c>
      <c r="G8036" s="20" t="str">
        <f>IFERROR(__xludf.DUMMYFUNCTION("""COMPUTED_VALUE"""),"Uncle Sams Cider (11/12/2021) (Blue)")</f>
        <v>Uncle Sams Cider (11/12/2021) (Blue)</v>
      </c>
      <c r="H8036" s="19"/>
    </row>
    <row r="8037">
      <c r="A8037" s="9"/>
      <c r="B8037" s="15"/>
      <c r="C8037" s="9">
        <f>IFERROR(__xludf.DUMMYFUNCTION("""COMPUTED_VALUE"""),44520.9021250925)</f>
        <v>44520.90213</v>
      </c>
      <c r="D8037" s="15">
        <f>IFERROR(__xludf.DUMMYFUNCTION("""COMPUTED_VALUE"""),1.055)</f>
        <v>1.055</v>
      </c>
      <c r="E8037" s="16">
        <f>IFERROR(__xludf.DUMMYFUNCTION("""COMPUTED_VALUE"""),69.0)</f>
        <v>69</v>
      </c>
      <c r="F8037" s="19" t="str">
        <f>IFERROR(__xludf.DUMMYFUNCTION("""COMPUTED_VALUE"""),"BLUE")</f>
        <v>BLUE</v>
      </c>
      <c r="G8037" s="20" t="str">
        <f>IFERROR(__xludf.DUMMYFUNCTION("""COMPUTED_VALUE"""),"Uncle Sams Cider (11/12/2021) (Blue)")</f>
        <v>Uncle Sams Cider (11/12/2021) (Blue)</v>
      </c>
      <c r="H8037" s="19"/>
    </row>
    <row r="8038">
      <c r="A8038" s="9"/>
      <c r="B8038" s="15"/>
      <c r="C8038" s="9">
        <f>IFERROR(__xludf.DUMMYFUNCTION("""COMPUTED_VALUE"""),44520.89170228)</f>
        <v>44520.8917</v>
      </c>
      <c r="D8038" s="15">
        <f>IFERROR(__xludf.DUMMYFUNCTION("""COMPUTED_VALUE"""),1.055)</f>
        <v>1.055</v>
      </c>
      <c r="E8038" s="16">
        <f>IFERROR(__xludf.DUMMYFUNCTION("""COMPUTED_VALUE"""),69.0)</f>
        <v>69</v>
      </c>
      <c r="F8038" s="19" t="str">
        <f>IFERROR(__xludf.DUMMYFUNCTION("""COMPUTED_VALUE"""),"BLUE")</f>
        <v>BLUE</v>
      </c>
      <c r="G8038" s="20" t="str">
        <f>IFERROR(__xludf.DUMMYFUNCTION("""COMPUTED_VALUE"""),"Uncle Sams Cider (11/12/2021) (Blue)")</f>
        <v>Uncle Sams Cider (11/12/2021) (Blue)</v>
      </c>
      <c r="H8038" s="19"/>
    </row>
    <row r="8039">
      <c r="A8039" s="9"/>
      <c r="B8039" s="15"/>
      <c r="C8039" s="9">
        <f>IFERROR(__xludf.DUMMYFUNCTION("""COMPUTED_VALUE"""),44520.8812811689)</f>
        <v>44520.88128</v>
      </c>
      <c r="D8039" s="15">
        <f>IFERROR(__xludf.DUMMYFUNCTION("""COMPUTED_VALUE"""),1.055)</f>
        <v>1.055</v>
      </c>
      <c r="E8039" s="16">
        <f>IFERROR(__xludf.DUMMYFUNCTION("""COMPUTED_VALUE"""),69.0)</f>
        <v>69</v>
      </c>
      <c r="F8039" s="19" t="str">
        <f>IFERROR(__xludf.DUMMYFUNCTION("""COMPUTED_VALUE"""),"BLUE")</f>
        <v>BLUE</v>
      </c>
      <c r="G8039" s="20" t="str">
        <f>IFERROR(__xludf.DUMMYFUNCTION("""COMPUTED_VALUE"""),"Uncle Sams Cider (11/12/2021) (Blue)")</f>
        <v>Uncle Sams Cider (11/12/2021) (Blue)</v>
      </c>
      <c r="H8039" s="19"/>
    </row>
    <row r="8040">
      <c r="A8040" s="9"/>
      <c r="B8040" s="15"/>
      <c r="C8040" s="9">
        <f>IFERROR(__xludf.DUMMYFUNCTION("""COMPUTED_VALUE"""),44520.8708606134)</f>
        <v>44520.87086</v>
      </c>
      <c r="D8040" s="15">
        <f>IFERROR(__xludf.DUMMYFUNCTION("""COMPUTED_VALUE"""),1.055)</f>
        <v>1.055</v>
      </c>
      <c r="E8040" s="16">
        <f>IFERROR(__xludf.DUMMYFUNCTION("""COMPUTED_VALUE"""),69.0)</f>
        <v>69</v>
      </c>
      <c r="F8040" s="19" t="str">
        <f>IFERROR(__xludf.DUMMYFUNCTION("""COMPUTED_VALUE"""),"BLUE")</f>
        <v>BLUE</v>
      </c>
      <c r="G8040" s="20" t="str">
        <f>IFERROR(__xludf.DUMMYFUNCTION("""COMPUTED_VALUE"""),"Uncle Sams Cider (11/12/2021) (Blue)")</f>
        <v>Uncle Sams Cider (11/12/2021) (Blue)</v>
      </c>
      <c r="H8040" s="19"/>
    </row>
    <row r="8041">
      <c r="A8041" s="9"/>
      <c r="B8041" s="15"/>
      <c r="C8041" s="9">
        <f>IFERROR(__xludf.DUMMYFUNCTION("""COMPUTED_VALUE"""),44520.8604416319)</f>
        <v>44520.86044</v>
      </c>
      <c r="D8041" s="15">
        <f>IFERROR(__xludf.DUMMYFUNCTION("""COMPUTED_VALUE"""),1.055)</f>
        <v>1.055</v>
      </c>
      <c r="E8041" s="16">
        <f>IFERROR(__xludf.DUMMYFUNCTION("""COMPUTED_VALUE"""),68.0)</f>
        <v>68</v>
      </c>
      <c r="F8041" s="19" t="str">
        <f>IFERROR(__xludf.DUMMYFUNCTION("""COMPUTED_VALUE"""),"BLUE")</f>
        <v>BLUE</v>
      </c>
      <c r="G8041" s="20" t="str">
        <f>IFERROR(__xludf.DUMMYFUNCTION("""COMPUTED_VALUE"""),"Uncle Sams Cider (11/12/2021) (Blue)")</f>
        <v>Uncle Sams Cider (11/12/2021) (Blue)</v>
      </c>
      <c r="H8041" s="19"/>
    </row>
    <row r="8042">
      <c r="A8042" s="9"/>
      <c r="B8042" s="15"/>
      <c r="C8042" s="9">
        <f>IFERROR(__xludf.DUMMYFUNCTION("""COMPUTED_VALUE"""),44520.8500216551)</f>
        <v>44520.85002</v>
      </c>
      <c r="D8042" s="15">
        <f>IFERROR(__xludf.DUMMYFUNCTION("""COMPUTED_VALUE"""),1.055)</f>
        <v>1.055</v>
      </c>
      <c r="E8042" s="16">
        <f>IFERROR(__xludf.DUMMYFUNCTION("""COMPUTED_VALUE"""),68.0)</f>
        <v>68</v>
      </c>
      <c r="F8042" s="19" t="str">
        <f>IFERROR(__xludf.DUMMYFUNCTION("""COMPUTED_VALUE"""),"BLUE")</f>
        <v>BLUE</v>
      </c>
      <c r="G8042" s="20" t="str">
        <f>IFERROR(__xludf.DUMMYFUNCTION("""COMPUTED_VALUE"""),"Uncle Sams Cider (11/12/2021) (Blue)")</f>
        <v>Uncle Sams Cider (11/12/2021) (Blue)</v>
      </c>
      <c r="H8042" s="19"/>
    </row>
    <row r="8043">
      <c r="A8043" s="9"/>
      <c r="B8043" s="15"/>
      <c r="C8043" s="9">
        <f>IFERROR(__xludf.DUMMYFUNCTION("""COMPUTED_VALUE"""),44520.8395883796)</f>
        <v>44520.83959</v>
      </c>
      <c r="D8043" s="15">
        <f>IFERROR(__xludf.DUMMYFUNCTION("""COMPUTED_VALUE"""),1.055)</f>
        <v>1.055</v>
      </c>
      <c r="E8043" s="16">
        <f>IFERROR(__xludf.DUMMYFUNCTION("""COMPUTED_VALUE"""),69.0)</f>
        <v>69</v>
      </c>
      <c r="F8043" s="19" t="str">
        <f>IFERROR(__xludf.DUMMYFUNCTION("""COMPUTED_VALUE"""),"BLUE")</f>
        <v>BLUE</v>
      </c>
      <c r="G8043" s="20" t="str">
        <f>IFERROR(__xludf.DUMMYFUNCTION("""COMPUTED_VALUE"""),"Uncle Sams Cider (11/12/2021) (Blue)")</f>
        <v>Uncle Sams Cider (11/12/2021) (Blue)</v>
      </c>
      <c r="H8043" s="19"/>
    </row>
    <row r="8044">
      <c r="A8044" s="9"/>
      <c r="B8044" s="15"/>
      <c r="C8044" s="9">
        <f>IFERROR(__xludf.DUMMYFUNCTION("""COMPUTED_VALUE"""),44520.8291683217)</f>
        <v>44520.82917</v>
      </c>
      <c r="D8044" s="15">
        <f>IFERROR(__xludf.DUMMYFUNCTION("""COMPUTED_VALUE"""),1.055)</f>
        <v>1.055</v>
      </c>
      <c r="E8044" s="16">
        <f>IFERROR(__xludf.DUMMYFUNCTION("""COMPUTED_VALUE"""),68.0)</f>
        <v>68</v>
      </c>
      <c r="F8044" s="19" t="str">
        <f>IFERROR(__xludf.DUMMYFUNCTION("""COMPUTED_VALUE"""),"BLUE")</f>
        <v>BLUE</v>
      </c>
      <c r="G8044" s="20" t="str">
        <f>IFERROR(__xludf.DUMMYFUNCTION("""COMPUTED_VALUE"""),"Uncle Sams Cider (11/12/2021) (Blue)")</f>
        <v>Uncle Sams Cider (11/12/2021) (Blue)</v>
      </c>
      <c r="H8044" s="19"/>
    </row>
    <row r="8045">
      <c r="A8045" s="9"/>
      <c r="B8045" s="15"/>
      <c r="C8045" s="9">
        <f>IFERROR(__xludf.DUMMYFUNCTION("""COMPUTED_VALUE"""),44520.8187376388)</f>
        <v>44520.81874</v>
      </c>
      <c r="D8045" s="15">
        <f>IFERROR(__xludf.DUMMYFUNCTION("""COMPUTED_VALUE"""),1.055)</f>
        <v>1.055</v>
      </c>
      <c r="E8045" s="16">
        <f>IFERROR(__xludf.DUMMYFUNCTION("""COMPUTED_VALUE"""),69.0)</f>
        <v>69</v>
      </c>
      <c r="F8045" s="19" t="str">
        <f>IFERROR(__xludf.DUMMYFUNCTION("""COMPUTED_VALUE"""),"BLUE")</f>
        <v>BLUE</v>
      </c>
      <c r="G8045" s="20" t="str">
        <f>IFERROR(__xludf.DUMMYFUNCTION("""COMPUTED_VALUE"""),"Uncle Sams Cider (11/12/2021) (Blue)")</f>
        <v>Uncle Sams Cider (11/12/2021) (Blue)</v>
      </c>
      <c r="H8045" s="19"/>
    </row>
    <row r="8046">
      <c r="A8046" s="9"/>
      <c r="B8046" s="15"/>
      <c r="C8046" s="9">
        <f>IFERROR(__xludf.DUMMYFUNCTION("""COMPUTED_VALUE"""),44520.8083166435)</f>
        <v>44520.80832</v>
      </c>
      <c r="D8046" s="15">
        <f>IFERROR(__xludf.DUMMYFUNCTION("""COMPUTED_VALUE"""),1.055)</f>
        <v>1.055</v>
      </c>
      <c r="E8046" s="16">
        <f>IFERROR(__xludf.DUMMYFUNCTION("""COMPUTED_VALUE"""),68.0)</f>
        <v>68</v>
      </c>
      <c r="F8046" s="19" t="str">
        <f>IFERROR(__xludf.DUMMYFUNCTION("""COMPUTED_VALUE"""),"BLUE")</f>
        <v>BLUE</v>
      </c>
      <c r="G8046" s="20" t="str">
        <f>IFERROR(__xludf.DUMMYFUNCTION("""COMPUTED_VALUE"""),"Uncle Sams Cider (11/12/2021) (Blue)")</f>
        <v>Uncle Sams Cider (11/12/2021) (Blue)</v>
      </c>
      <c r="H8046" s="19"/>
    </row>
    <row r="8047">
      <c r="A8047" s="9"/>
      <c r="B8047" s="15"/>
      <c r="C8047" s="9">
        <f>IFERROR(__xludf.DUMMYFUNCTION("""COMPUTED_VALUE"""),44520.7978964583)</f>
        <v>44520.7979</v>
      </c>
      <c r="D8047" s="15">
        <f>IFERROR(__xludf.DUMMYFUNCTION("""COMPUTED_VALUE"""),1.055)</f>
        <v>1.055</v>
      </c>
      <c r="E8047" s="16">
        <f>IFERROR(__xludf.DUMMYFUNCTION("""COMPUTED_VALUE"""),68.0)</f>
        <v>68</v>
      </c>
      <c r="F8047" s="19" t="str">
        <f>IFERROR(__xludf.DUMMYFUNCTION("""COMPUTED_VALUE"""),"BLUE")</f>
        <v>BLUE</v>
      </c>
      <c r="G8047" s="20" t="str">
        <f>IFERROR(__xludf.DUMMYFUNCTION("""COMPUTED_VALUE"""),"Uncle Sams Cider (11/12/2021) (Blue)")</f>
        <v>Uncle Sams Cider (11/12/2021) (Blue)</v>
      </c>
      <c r="H8047" s="19"/>
    </row>
    <row r="8048">
      <c r="A8048" s="9"/>
      <c r="B8048" s="15"/>
      <c r="C8048" s="9">
        <f>IFERROR(__xludf.DUMMYFUNCTION("""COMPUTED_VALUE"""),44520.7874760879)</f>
        <v>44520.78748</v>
      </c>
      <c r="D8048" s="15">
        <f>IFERROR(__xludf.DUMMYFUNCTION("""COMPUTED_VALUE"""),1.056)</f>
        <v>1.056</v>
      </c>
      <c r="E8048" s="16">
        <f>IFERROR(__xludf.DUMMYFUNCTION("""COMPUTED_VALUE"""),69.0)</f>
        <v>69</v>
      </c>
      <c r="F8048" s="19" t="str">
        <f>IFERROR(__xludf.DUMMYFUNCTION("""COMPUTED_VALUE"""),"BLUE")</f>
        <v>BLUE</v>
      </c>
      <c r="G8048" s="20" t="str">
        <f>IFERROR(__xludf.DUMMYFUNCTION("""COMPUTED_VALUE"""),"Uncle Sams Cider (11/12/2021) (Blue)")</f>
        <v>Uncle Sams Cider (11/12/2021) (Blue)</v>
      </c>
      <c r="H8048" s="19"/>
    </row>
    <row r="8049">
      <c r="A8049" s="9"/>
      <c r="B8049" s="15"/>
      <c r="C8049" s="9">
        <f>IFERROR(__xludf.DUMMYFUNCTION("""COMPUTED_VALUE"""),44520.777045868)</f>
        <v>44520.77705</v>
      </c>
      <c r="D8049" s="15">
        <f>IFERROR(__xludf.DUMMYFUNCTION("""COMPUTED_VALUE"""),1.056)</f>
        <v>1.056</v>
      </c>
      <c r="E8049" s="16">
        <f>IFERROR(__xludf.DUMMYFUNCTION("""COMPUTED_VALUE"""),68.0)</f>
        <v>68</v>
      </c>
      <c r="F8049" s="19" t="str">
        <f>IFERROR(__xludf.DUMMYFUNCTION("""COMPUTED_VALUE"""),"BLUE")</f>
        <v>BLUE</v>
      </c>
      <c r="G8049" s="20" t="str">
        <f>IFERROR(__xludf.DUMMYFUNCTION("""COMPUTED_VALUE"""),"Uncle Sams Cider (11/12/2021) (Blue)")</f>
        <v>Uncle Sams Cider (11/12/2021) (Blue)</v>
      </c>
      <c r="H8049" s="19"/>
    </row>
    <row r="8050">
      <c r="A8050" s="9"/>
      <c r="B8050" s="15"/>
      <c r="C8050" s="9">
        <f>IFERROR(__xludf.DUMMYFUNCTION("""COMPUTED_VALUE"""),44520.7666240625)</f>
        <v>44520.76662</v>
      </c>
      <c r="D8050" s="15">
        <f>IFERROR(__xludf.DUMMYFUNCTION("""COMPUTED_VALUE"""),1.056)</f>
        <v>1.056</v>
      </c>
      <c r="E8050" s="16">
        <f>IFERROR(__xludf.DUMMYFUNCTION("""COMPUTED_VALUE"""),68.0)</f>
        <v>68</v>
      </c>
      <c r="F8050" s="19" t="str">
        <f>IFERROR(__xludf.DUMMYFUNCTION("""COMPUTED_VALUE"""),"BLUE")</f>
        <v>BLUE</v>
      </c>
      <c r="G8050" s="20" t="str">
        <f>IFERROR(__xludf.DUMMYFUNCTION("""COMPUTED_VALUE"""),"Uncle Sams Cider (11/12/2021) (Blue)")</f>
        <v>Uncle Sams Cider (11/12/2021) (Blue)</v>
      </c>
      <c r="H8050" s="19"/>
    </row>
    <row r="8051">
      <c r="A8051" s="9"/>
      <c r="B8051" s="15"/>
      <c r="C8051" s="9">
        <f>IFERROR(__xludf.DUMMYFUNCTION("""COMPUTED_VALUE"""),44520.7562015393)</f>
        <v>44520.7562</v>
      </c>
      <c r="D8051" s="15">
        <f>IFERROR(__xludf.DUMMYFUNCTION("""COMPUTED_VALUE"""),1.056)</f>
        <v>1.056</v>
      </c>
      <c r="E8051" s="16">
        <f>IFERROR(__xludf.DUMMYFUNCTION("""COMPUTED_VALUE"""),69.0)</f>
        <v>69</v>
      </c>
      <c r="F8051" s="19" t="str">
        <f>IFERROR(__xludf.DUMMYFUNCTION("""COMPUTED_VALUE"""),"BLUE")</f>
        <v>BLUE</v>
      </c>
      <c r="G8051" s="20" t="str">
        <f>IFERROR(__xludf.DUMMYFUNCTION("""COMPUTED_VALUE"""),"Uncle Sams Cider (11/12/2021) (Blue)")</f>
        <v>Uncle Sams Cider (11/12/2021) (Blue)</v>
      </c>
      <c r="H8051" s="19"/>
    </row>
    <row r="8052">
      <c r="A8052" s="9"/>
      <c r="B8052" s="15"/>
      <c r="C8052" s="9">
        <f>IFERROR(__xludf.DUMMYFUNCTION("""COMPUTED_VALUE"""),44520.7457820949)</f>
        <v>44520.74578</v>
      </c>
      <c r="D8052" s="15">
        <f>IFERROR(__xludf.DUMMYFUNCTION("""COMPUTED_VALUE"""),1.056)</f>
        <v>1.056</v>
      </c>
      <c r="E8052" s="16">
        <f>IFERROR(__xludf.DUMMYFUNCTION("""COMPUTED_VALUE"""),68.0)</f>
        <v>68</v>
      </c>
      <c r="F8052" s="19" t="str">
        <f>IFERROR(__xludf.DUMMYFUNCTION("""COMPUTED_VALUE"""),"BLUE")</f>
        <v>BLUE</v>
      </c>
      <c r="G8052" s="20" t="str">
        <f>IFERROR(__xludf.DUMMYFUNCTION("""COMPUTED_VALUE"""),"Uncle Sams Cider (11/12/2021) (Blue)")</f>
        <v>Uncle Sams Cider (11/12/2021) (Blue)</v>
      </c>
      <c r="H8052" s="19"/>
    </row>
    <row r="8053">
      <c r="A8053" s="9"/>
      <c r="B8053" s="15"/>
      <c r="C8053" s="9">
        <f>IFERROR(__xludf.DUMMYFUNCTION("""COMPUTED_VALUE"""),44520.7353593865)</f>
        <v>44520.73536</v>
      </c>
      <c r="D8053" s="15">
        <f>IFERROR(__xludf.DUMMYFUNCTION("""COMPUTED_VALUE"""),1.056)</f>
        <v>1.056</v>
      </c>
      <c r="E8053" s="16">
        <f>IFERROR(__xludf.DUMMYFUNCTION("""COMPUTED_VALUE"""),68.0)</f>
        <v>68</v>
      </c>
      <c r="F8053" s="19" t="str">
        <f>IFERROR(__xludf.DUMMYFUNCTION("""COMPUTED_VALUE"""),"BLUE")</f>
        <v>BLUE</v>
      </c>
      <c r="G8053" s="20" t="str">
        <f>IFERROR(__xludf.DUMMYFUNCTION("""COMPUTED_VALUE"""),"Uncle Sams Cider (11/12/2021) (Blue)")</f>
        <v>Uncle Sams Cider (11/12/2021) (Blue)</v>
      </c>
      <c r="H8053" s="19"/>
    </row>
    <row r="8054">
      <c r="A8054" s="9"/>
      <c r="B8054" s="15"/>
      <c r="C8054" s="9">
        <f>IFERROR(__xludf.DUMMYFUNCTION("""COMPUTED_VALUE"""),44520.7249369907)</f>
        <v>44520.72494</v>
      </c>
      <c r="D8054" s="15">
        <f>IFERROR(__xludf.DUMMYFUNCTION("""COMPUTED_VALUE"""),1.056)</f>
        <v>1.056</v>
      </c>
      <c r="E8054" s="16">
        <f>IFERROR(__xludf.DUMMYFUNCTION("""COMPUTED_VALUE"""),68.0)</f>
        <v>68</v>
      </c>
      <c r="F8054" s="19" t="str">
        <f>IFERROR(__xludf.DUMMYFUNCTION("""COMPUTED_VALUE"""),"BLUE")</f>
        <v>BLUE</v>
      </c>
      <c r="G8054" s="20" t="str">
        <f>IFERROR(__xludf.DUMMYFUNCTION("""COMPUTED_VALUE"""),"Uncle Sams Cider (11/12/2021) (Blue)")</f>
        <v>Uncle Sams Cider (11/12/2021) (Blue)</v>
      </c>
      <c r="H8054" s="19"/>
    </row>
    <row r="8055">
      <c r="A8055" s="9"/>
      <c r="B8055" s="15"/>
      <c r="C8055" s="9">
        <f>IFERROR(__xludf.DUMMYFUNCTION("""COMPUTED_VALUE"""),44520.7145159027)</f>
        <v>44520.71452</v>
      </c>
      <c r="D8055" s="15">
        <f>IFERROR(__xludf.DUMMYFUNCTION("""COMPUTED_VALUE"""),1.056)</f>
        <v>1.056</v>
      </c>
      <c r="E8055" s="16">
        <f>IFERROR(__xludf.DUMMYFUNCTION("""COMPUTED_VALUE"""),68.0)</f>
        <v>68</v>
      </c>
      <c r="F8055" s="19" t="str">
        <f>IFERROR(__xludf.DUMMYFUNCTION("""COMPUTED_VALUE"""),"BLUE")</f>
        <v>BLUE</v>
      </c>
      <c r="G8055" s="20" t="str">
        <f>IFERROR(__xludf.DUMMYFUNCTION("""COMPUTED_VALUE"""),"Uncle Sams Cider (11/12/2021) (Blue)")</f>
        <v>Uncle Sams Cider (11/12/2021) (Blue)</v>
      </c>
      <c r="H8055" s="19"/>
    </row>
    <row r="8056">
      <c r="A8056" s="9"/>
      <c r="B8056" s="15"/>
      <c r="C8056" s="9">
        <f>IFERROR(__xludf.DUMMYFUNCTION("""COMPUTED_VALUE"""),44520.7040956597)</f>
        <v>44520.7041</v>
      </c>
      <c r="D8056" s="15">
        <f>IFERROR(__xludf.DUMMYFUNCTION("""COMPUTED_VALUE"""),1.056)</f>
        <v>1.056</v>
      </c>
      <c r="E8056" s="16">
        <f>IFERROR(__xludf.DUMMYFUNCTION("""COMPUTED_VALUE"""),68.0)</f>
        <v>68</v>
      </c>
      <c r="F8056" s="19" t="str">
        <f>IFERROR(__xludf.DUMMYFUNCTION("""COMPUTED_VALUE"""),"BLUE")</f>
        <v>BLUE</v>
      </c>
      <c r="G8056" s="20" t="str">
        <f>IFERROR(__xludf.DUMMYFUNCTION("""COMPUTED_VALUE"""),"Uncle Sams Cider (11/12/2021) (Blue)")</f>
        <v>Uncle Sams Cider (11/12/2021) (Blue)</v>
      </c>
      <c r="H8056" s="19"/>
    </row>
    <row r="8057">
      <c r="A8057" s="9"/>
      <c r="B8057" s="15"/>
      <c r="C8057" s="9">
        <f>IFERROR(__xludf.DUMMYFUNCTION("""COMPUTED_VALUE"""),44520.6936735879)</f>
        <v>44520.69367</v>
      </c>
      <c r="D8057" s="15">
        <f>IFERROR(__xludf.DUMMYFUNCTION("""COMPUTED_VALUE"""),1.056)</f>
        <v>1.056</v>
      </c>
      <c r="E8057" s="16">
        <f>IFERROR(__xludf.DUMMYFUNCTION("""COMPUTED_VALUE"""),69.0)</f>
        <v>69</v>
      </c>
      <c r="F8057" s="19" t="str">
        <f>IFERROR(__xludf.DUMMYFUNCTION("""COMPUTED_VALUE"""),"BLUE")</f>
        <v>BLUE</v>
      </c>
      <c r="G8057" s="20" t="str">
        <f>IFERROR(__xludf.DUMMYFUNCTION("""COMPUTED_VALUE"""),"Uncle Sams Cider (11/12/2021) (Blue)")</f>
        <v>Uncle Sams Cider (11/12/2021) (Blue)</v>
      </c>
      <c r="H8057" s="19"/>
    </row>
    <row r="8058">
      <c r="A8058" s="9"/>
      <c r="B8058" s="15"/>
      <c r="C8058" s="9">
        <f>IFERROR(__xludf.DUMMYFUNCTION("""COMPUTED_VALUE"""),44520.6832524189)</f>
        <v>44520.68325</v>
      </c>
      <c r="D8058" s="15">
        <f>IFERROR(__xludf.DUMMYFUNCTION("""COMPUTED_VALUE"""),1.056)</f>
        <v>1.056</v>
      </c>
      <c r="E8058" s="16">
        <f>IFERROR(__xludf.DUMMYFUNCTION("""COMPUTED_VALUE"""),68.0)</f>
        <v>68</v>
      </c>
      <c r="F8058" s="19" t="str">
        <f>IFERROR(__xludf.DUMMYFUNCTION("""COMPUTED_VALUE"""),"BLUE")</f>
        <v>BLUE</v>
      </c>
      <c r="G8058" s="20" t="str">
        <f>IFERROR(__xludf.DUMMYFUNCTION("""COMPUTED_VALUE"""),"Uncle Sams Cider (11/12/2021) (Blue)")</f>
        <v>Uncle Sams Cider (11/12/2021) (Blue)</v>
      </c>
      <c r="H8058" s="19"/>
    </row>
    <row r="8059">
      <c r="A8059" s="9"/>
      <c r="B8059" s="15"/>
      <c r="C8059" s="9">
        <f>IFERROR(__xludf.DUMMYFUNCTION("""COMPUTED_VALUE"""),44520.6728303125)</f>
        <v>44520.67283</v>
      </c>
      <c r="D8059" s="15">
        <f>IFERROR(__xludf.DUMMYFUNCTION("""COMPUTED_VALUE"""),1.056)</f>
        <v>1.056</v>
      </c>
      <c r="E8059" s="16">
        <f>IFERROR(__xludf.DUMMYFUNCTION("""COMPUTED_VALUE"""),68.0)</f>
        <v>68</v>
      </c>
      <c r="F8059" s="19" t="str">
        <f>IFERROR(__xludf.DUMMYFUNCTION("""COMPUTED_VALUE"""),"BLUE")</f>
        <v>BLUE</v>
      </c>
      <c r="G8059" s="20" t="str">
        <f>IFERROR(__xludf.DUMMYFUNCTION("""COMPUTED_VALUE"""),"Uncle Sams Cider (11/12/2021) (Blue)")</f>
        <v>Uncle Sams Cider (11/12/2021) (Blue)</v>
      </c>
      <c r="H8059" s="19"/>
    </row>
    <row r="8060">
      <c r="A8060" s="9"/>
      <c r="B8060" s="15"/>
      <c r="C8060" s="9">
        <f>IFERROR(__xludf.DUMMYFUNCTION("""COMPUTED_VALUE"""),44520.6624083333)</f>
        <v>44520.66241</v>
      </c>
      <c r="D8060" s="15">
        <f>IFERROR(__xludf.DUMMYFUNCTION("""COMPUTED_VALUE"""),1.056)</f>
        <v>1.056</v>
      </c>
      <c r="E8060" s="16">
        <f>IFERROR(__xludf.DUMMYFUNCTION("""COMPUTED_VALUE"""),68.0)</f>
        <v>68</v>
      </c>
      <c r="F8060" s="19" t="str">
        <f>IFERROR(__xludf.DUMMYFUNCTION("""COMPUTED_VALUE"""),"BLUE")</f>
        <v>BLUE</v>
      </c>
      <c r="G8060" s="20" t="str">
        <f>IFERROR(__xludf.DUMMYFUNCTION("""COMPUTED_VALUE"""),"Uncle Sams Cider (11/12/2021) (Blue)")</f>
        <v>Uncle Sams Cider (11/12/2021) (Blue)</v>
      </c>
      <c r="H8060" s="19"/>
    </row>
    <row r="8061">
      <c r="A8061" s="9"/>
      <c r="B8061" s="15"/>
      <c r="C8061" s="9">
        <f>IFERROR(__xludf.DUMMYFUNCTION("""COMPUTED_VALUE"""),44520.6519755092)</f>
        <v>44520.65198</v>
      </c>
      <c r="D8061" s="15">
        <f>IFERROR(__xludf.DUMMYFUNCTION("""COMPUTED_VALUE"""),1.056)</f>
        <v>1.056</v>
      </c>
      <c r="E8061" s="16">
        <f>IFERROR(__xludf.DUMMYFUNCTION("""COMPUTED_VALUE"""),68.0)</f>
        <v>68</v>
      </c>
      <c r="F8061" s="19" t="str">
        <f>IFERROR(__xludf.DUMMYFUNCTION("""COMPUTED_VALUE"""),"BLUE")</f>
        <v>BLUE</v>
      </c>
      <c r="G8061" s="20" t="str">
        <f>IFERROR(__xludf.DUMMYFUNCTION("""COMPUTED_VALUE"""),"Uncle Sams Cider (11/12/2021) (Blue)")</f>
        <v>Uncle Sams Cider (11/12/2021) (Blue)</v>
      </c>
      <c r="H8061" s="19"/>
    </row>
    <row r="8062">
      <c r="A8062" s="9"/>
      <c r="B8062" s="15"/>
      <c r="C8062" s="9">
        <f>IFERROR(__xludf.DUMMYFUNCTION("""COMPUTED_VALUE"""),44520.6415547916)</f>
        <v>44520.64155</v>
      </c>
      <c r="D8062" s="15">
        <f>IFERROR(__xludf.DUMMYFUNCTION("""COMPUTED_VALUE"""),1.056)</f>
        <v>1.056</v>
      </c>
      <c r="E8062" s="16">
        <f>IFERROR(__xludf.DUMMYFUNCTION("""COMPUTED_VALUE"""),68.0)</f>
        <v>68</v>
      </c>
      <c r="F8062" s="19" t="str">
        <f>IFERROR(__xludf.DUMMYFUNCTION("""COMPUTED_VALUE"""),"BLUE")</f>
        <v>BLUE</v>
      </c>
      <c r="G8062" s="20" t="str">
        <f>IFERROR(__xludf.DUMMYFUNCTION("""COMPUTED_VALUE"""),"Uncle Sams Cider (11/12/2021) (Blue)")</f>
        <v>Uncle Sams Cider (11/12/2021) (Blue)</v>
      </c>
      <c r="H8062" s="19"/>
    </row>
    <row r="8063">
      <c r="A8063" s="9"/>
      <c r="B8063" s="15"/>
      <c r="C8063" s="9">
        <f>IFERROR(__xludf.DUMMYFUNCTION("""COMPUTED_VALUE"""),44520.6311200925)</f>
        <v>44520.63112</v>
      </c>
      <c r="D8063" s="15">
        <f>IFERROR(__xludf.DUMMYFUNCTION("""COMPUTED_VALUE"""),1.056)</f>
        <v>1.056</v>
      </c>
      <c r="E8063" s="16">
        <f>IFERROR(__xludf.DUMMYFUNCTION("""COMPUTED_VALUE"""),68.0)</f>
        <v>68</v>
      </c>
      <c r="F8063" s="19" t="str">
        <f>IFERROR(__xludf.DUMMYFUNCTION("""COMPUTED_VALUE"""),"BLUE")</f>
        <v>BLUE</v>
      </c>
      <c r="G8063" s="20" t="str">
        <f>IFERROR(__xludf.DUMMYFUNCTION("""COMPUTED_VALUE"""),"Uncle Sams Cider (11/12/2021) (Blue)")</f>
        <v>Uncle Sams Cider (11/12/2021) (Blue)</v>
      </c>
      <c r="H8063" s="19"/>
    </row>
    <row r="8064">
      <c r="A8064" s="9"/>
      <c r="B8064" s="15"/>
      <c r="C8064" s="9">
        <f>IFERROR(__xludf.DUMMYFUNCTION("""COMPUTED_VALUE"""),44520.6207009953)</f>
        <v>44520.6207</v>
      </c>
      <c r="D8064" s="15">
        <f>IFERROR(__xludf.DUMMYFUNCTION("""COMPUTED_VALUE"""),1.057)</f>
        <v>1.057</v>
      </c>
      <c r="E8064" s="16">
        <f>IFERROR(__xludf.DUMMYFUNCTION("""COMPUTED_VALUE"""),68.0)</f>
        <v>68</v>
      </c>
      <c r="F8064" s="19" t="str">
        <f>IFERROR(__xludf.DUMMYFUNCTION("""COMPUTED_VALUE"""),"BLUE")</f>
        <v>BLUE</v>
      </c>
      <c r="G8064" s="20" t="str">
        <f>IFERROR(__xludf.DUMMYFUNCTION("""COMPUTED_VALUE"""),"Uncle Sams Cider (11/12/2021) (Blue)")</f>
        <v>Uncle Sams Cider (11/12/2021) (Blue)</v>
      </c>
      <c r="H8064" s="19"/>
    </row>
    <row r="8065">
      <c r="A8065" s="9"/>
      <c r="B8065" s="15"/>
      <c r="C8065" s="9">
        <f>IFERROR(__xludf.DUMMYFUNCTION("""COMPUTED_VALUE"""),44520.6102796875)</f>
        <v>44520.61028</v>
      </c>
      <c r="D8065" s="15">
        <f>IFERROR(__xludf.DUMMYFUNCTION("""COMPUTED_VALUE"""),1.056)</f>
        <v>1.056</v>
      </c>
      <c r="E8065" s="16">
        <f>IFERROR(__xludf.DUMMYFUNCTION("""COMPUTED_VALUE"""),68.0)</f>
        <v>68</v>
      </c>
      <c r="F8065" s="19" t="str">
        <f>IFERROR(__xludf.DUMMYFUNCTION("""COMPUTED_VALUE"""),"BLUE")</f>
        <v>BLUE</v>
      </c>
      <c r="G8065" s="20" t="str">
        <f>IFERROR(__xludf.DUMMYFUNCTION("""COMPUTED_VALUE"""),"Uncle Sams Cider (11/12/2021) (Blue)")</f>
        <v>Uncle Sams Cider (11/12/2021) (Blue)</v>
      </c>
      <c r="H8065" s="19"/>
    </row>
    <row r="8066">
      <c r="A8066" s="9"/>
      <c r="B8066" s="15"/>
      <c r="C8066" s="9">
        <f>IFERROR(__xludf.DUMMYFUNCTION("""COMPUTED_VALUE"""),44520.5998476967)</f>
        <v>44520.59985</v>
      </c>
      <c r="D8066" s="15">
        <f>IFERROR(__xludf.DUMMYFUNCTION("""COMPUTED_VALUE"""),1.057)</f>
        <v>1.057</v>
      </c>
      <c r="E8066" s="16">
        <f>IFERROR(__xludf.DUMMYFUNCTION("""COMPUTED_VALUE"""),68.0)</f>
        <v>68</v>
      </c>
      <c r="F8066" s="19" t="str">
        <f>IFERROR(__xludf.DUMMYFUNCTION("""COMPUTED_VALUE"""),"BLUE")</f>
        <v>BLUE</v>
      </c>
      <c r="G8066" s="20" t="str">
        <f>IFERROR(__xludf.DUMMYFUNCTION("""COMPUTED_VALUE"""),"Uncle Sams Cider (11/12/2021) (Blue)")</f>
        <v>Uncle Sams Cider (11/12/2021) (Blue)</v>
      </c>
      <c r="H8066" s="19"/>
    </row>
    <row r="8067">
      <c r="A8067" s="9"/>
      <c r="B8067" s="15"/>
      <c r="C8067" s="9">
        <f>IFERROR(__xludf.DUMMYFUNCTION("""COMPUTED_VALUE"""),44520.5894034375)</f>
        <v>44520.5894</v>
      </c>
      <c r="D8067" s="15">
        <f>IFERROR(__xludf.DUMMYFUNCTION("""COMPUTED_VALUE"""),1.057)</f>
        <v>1.057</v>
      </c>
      <c r="E8067" s="16">
        <f>IFERROR(__xludf.DUMMYFUNCTION("""COMPUTED_VALUE"""),68.0)</f>
        <v>68</v>
      </c>
      <c r="F8067" s="19" t="str">
        <f>IFERROR(__xludf.DUMMYFUNCTION("""COMPUTED_VALUE"""),"BLUE")</f>
        <v>BLUE</v>
      </c>
      <c r="G8067" s="20" t="str">
        <f>IFERROR(__xludf.DUMMYFUNCTION("""COMPUTED_VALUE"""),"Uncle Sams Cider (11/12/2021) (Blue)")</f>
        <v>Uncle Sams Cider (11/12/2021) (Blue)</v>
      </c>
      <c r="H8067" s="19"/>
    </row>
    <row r="8068">
      <c r="A8068" s="9"/>
      <c r="B8068" s="15"/>
      <c r="C8068" s="9">
        <f>IFERROR(__xludf.DUMMYFUNCTION("""COMPUTED_VALUE"""),44520.5789843402)</f>
        <v>44520.57898</v>
      </c>
      <c r="D8068" s="15">
        <f>IFERROR(__xludf.DUMMYFUNCTION("""COMPUTED_VALUE"""),1.057)</f>
        <v>1.057</v>
      </c>
      <c r="E8068" s="16">
        <f>IFERROR(__xludf.DUMMYFUNCTION("""COMPUTED_VALUE"""),68.0)</f>
        <v>68</v>
      </c>
      <c r="F8068" s="19" t="str">
        <f>IFERROR(__xludf.DUMMYFUNCTION("""COMPUTED_VALUE"""),"BLUE")</f>
        <v>BLUE</v>
      </c>
      <c r="G8068" s="20" t="str">
        <f>IFERROR(__xludf.DUMMYFUNCTION("""COMPUTED_VALUE"""),"Uncle Sams Cider (11/12/2021) (Blue)")</f>
        <v>Uncle Sams Cider (11/12/2021) (Blue)</v>
      </c>
      <c r="H8068" s="19"/>
    </row>
    <row r="8069">
      <c r="A8069" s="9"/>
      <c r="B8069" s="15"/>
      <c r="C8069" s="9">
        <f>IFERROR(__xludf.DUMMYFUNCTION("""COMPUTED_VALUE"""),44520.5685629629)</f>
        <v>44520.56856</v>
      </c>
      <c r="D8069" s="15">
        <f>IFERROR(__xludf.DUMMYFUNCTION("""COMPUTED_VALUE"""),1.057)</f>
        <v>1.057</v>
      </c>
      <c r="E8069" s="16">
        <f>IFERROR(__xludf.DUMMYFUNCTION("""COMPUTED_VALUE"""),68.0)</f>
        <v>68</v>
      </c>
      <c r="F8069" s="19" t="str">
        <f>IFERROR(__xludf.DUMMYFUNCTION("""COMPUTED_VALUE"""),"BLUE")</f>
        <v>BLUE</v>
      </c>
      <c r="G8069" s="20" t="str">
        <f>IFERROR(__xludf.DUMMYFUNCTION("""COMPUTED_VALUE"""),"Uncle Sams Cider (11/12/2021) (Blue)")</f>
        <v>Uncle Sams Cider (11/12/2021) (Blue)</v>
      </c>
      <c r="H8069" s="19"/>
    </row>
    <row r="8070">
      <c r="A8070" s="9"/>
      <c r="B8070" s="15"/>
      <c r="C8070" s="9">
        <f>IFERROR(__xludf.DUMMYFUNCTION("""COMPUTED_VALUE"""),44520.5581404398)</f>
        <v>44520.55814</v>
      </c>
      <c r="D8070" s="15">
        <f>IFERROR(__xludf.DUMMYFUNCTION("""COMPUTED_VALUE"""),1.057)</f>
        <v>1.057</v>
      </c>
      <c r="E8070" s="16">
        <f>IFERROR(__xludf.DUMMYFUNCTION("""COMPUTED_VALUE"""),68.0)</f>
        <v>68</v>
      </c>
      <c r="F8070" s="19" t="str">
        <f>IFERROR(__xludf.DUMMYFUNCTION("""COMPUTED_VALUE"""),"BLUE")</f>
        <v>BLUE</v>
      </c>
      <c r="G8070" s="20" t="str">
        <f>IFERROR(__xludf.DUMMYFUNCTION("""COMPUTED_VALUE"""),"Uncle Sams Cider (11/12/2021) (Blue)")</f>
        <v>Uncle Sams Cider (11/12/2021) (Blue)</v>
      </c>
      <c r="H8070" s="19"/>
    </row>
    <row r="8071">
      <c r="A8071" s="9"/>
      <c r="B8071" s="15"/>
      <c r="C8071" s="9">
        <f>IFERROR(__xludf.DUMMYFUNCTION("""COMPUTED_VALUE"""),44520.547707743)</f>
        <v>44520.54771</v>
      </c>
      <c r="D8071" s="15">
        <f>IFERROR(__xludf.DUMMYFUNCTION("""COMPUTED_VALUE"""),1.057)</f>
        <v>1.057</v>
      </c>
      <c r="E8071" s="16">
        <f>IFERROR(__xludf.DUMMYFUNCTION("""COMPUTED_VALUE"""),68.0)</f>
        <v>68</v>
      </c>
      <c r="F8071" s="19" t="str">
        <f>IFERROR(__xludf.DUMMYFUNCTION("""COMPUTED_VALUE"""),"BLUE")</f>
        <v>BLUE</v>
      </c>
      <c r="G8071" s="20" t="str">
        <f>IFERROR(__xludf.DUMMYFUNCTION("""COMPUTED_VALUE"""),"Uncle Sams Cider (11/12/2021) (Blue)")</f>
        <v>Uncle Sams Cider (11/12/2021) (Blue)</v>
      </c>
      <c r="H8071" s="19"/>
    </row>
    <row r="8072">
      <c r="A8072" s="9"/>
      <c r="B8072" s="15"/>
      <c r="C8072" s="9">
        <f>IFERROR(__xludf.DUMMYFUNCTION("""COMPUTED_VALUE"""),44520.537286655)</f>
        <v>44520.53729</v>
      </c>
      <c r="D8072" s="15">
        <f>IFERROR(__xludf.DUMMYFUNCTION("""COMPUTED_VALUE"""),1.057)</f>
        <v>1.057</v>
      </c>
      <c r="E8072" s="16">
        <f>IFERROR(__xludf.DUMMYFUNCTION("""COMPUTED_VALUE"""),68.0)</f>
        <v>68</v>
      </c>
      <c r="F8072" s="19" t="str">
        <f>IFERROR(__xludf.DUMMYFUNCTION("""COMPUTED_VALUE"""),"BLUE")</f>
        <v>BLUE</v>
      </c>
      <c r="G8072" s="20" t="str">
        <f>IFERROR(__xludf.DUMMYFUNCTION("""COMPUTED_VALUE"""),"Uncle Sams Cider (11/12/2021) (Blue)")</f>
        <v>Uncle Sams Cider (11/12/2021) (Blue)</v>
      </c>
      <c r="H8072" s="19"/>
    </row>
    <row r="8073">
      <c r="A8073" s="9"/>
      <c r="B8073" s="15"/>
      <c r="C8073" s="9">
        <f>IFERROR(__xludf.DUMMYFUNCTION("""COMPUTED_VALUE"""),44520.5268526736)</f>
        <v>44520.52685</v>
      </c>
      <c r="D8073" s="15">
        <f>IFERROR(__xludf.DUMMYFUNCTION("""COMPUTED_VALUE"""),1.057)</f>
        <v>1.057</v>
      </c>
      <c r="E8073" s="16">
        <f>IFERROR(__xludf.DUMMYFUNCTION("""COMPUTED_VALUE"""),68.0)</f>
        <v>68</v>
      </c>
      <c r="F8073" s="19" t="str">
        <f>IFERROR(__xludf.DUMMYFUNCTION("""COMPUTED_VALUE"""),"BLUE")</f>
        <v>BLUE</v>
      </c>
      <c r="G8073" s="20" t="str">
        <f>IFERROR(__xludf.DUMMYFUNCTION("""COMPUTED_VALUE"""),"Uncle Sams Cider (11/12/2021) (Blue)")</f>
        <v>Uncle Sams Cider (11/12/2021) (Blue)</v>
      </c>
      <c r="H8073" s="19"/>
    </row>
    <row r="8074">
      <c r="A8074" s="9"/>
      <c r="B8074" s="15"/>
      <c r="C8074" s="9">
        <f>IFERROR(__xludf.DUMMYFUNCTION("""COMPUTED_VALUE"""),44520.5164325115)</f>
        <v>44520.51643</v>
      </c>
      <c r="D8074" s="15">
        <f>IFERROR(__xludf.DUMMYFUNCTION("""COMPUTED_VALUE"""),1.057)</f>
        <v>1.057</v>
      </c>
      <c r="E8074" s="16">
        <f>IFERROR(__xludf.DUMMYFUNCTION("""COMPUTED_VALUE"""),68.0)</f>
        <v>68</v>
      </c>
      <c r="F8074" s="19" t="str">
        <f>IFERROR(__xludf.DUMMYFUNCTION("""COMPUTED_VALUE"""),"BLUE")</f>
        <v>BLUE</v>
      </c>
      <c r="G8074" s="20" t="str">
        <f>IFERROR(__xludf.DUMMYFUNCTION("""COMPUTED_VALUE"""),"Uncle Sams Cider (11/12/2021) (Blue)")</f>
        <v>Uncle Sams Cider (11/12/2021) (Blue)</v>
      </c>
      <c r="H8074" s="19"/>
    </row>
    <row r="8075">
      <c r="A8075" s="9"/>
      <c r="B8075" s="15"/>
      <c r="C8075" s="9">
        <f>IFERROR(__xludf.DUMMYFUNCTION("""COMPUTED_VALUE"""),44520.5059745833)</f>
        <v>44520.50597</v>
      </c>
      <c r="D8075" s="15">
        <f>IFERROR(__xludf.DUMMYFUNCTION("""COMPUTED_VALUE"""),1.057)</f>
        <v>1.057</v>
      </c>
      <c r="E8075" s="16">
        <f>IFERROR(__xludf.DUMMYFUNCTION("""COMPUTED_VALUE"""),68.0)</f>
        <v>68</v>
      </c>
      <c r="F8075" s="19" t="str">
        <f>IFERROR(__xludf.DUMMYFUNCTION("""COMPUTED_VALUE"""),"BLUE")</f>
        <v>BLUE</v>
      </c>
      <c r="G8075" s="20" t="str">
        <f>IFERROR(__xludf.DUMMYFUNCTION("""COMPUTED_VALUE"""),"Uncle Sams Cider (11/12/2021) (Blue)")</f>
        <v>Uncle Sams Cider (11/12/2021) (Blue)</v>
      </c>
      <c r="H8075" s="19"/>
    </row>
    <row r="8076">
      <c r="A8076" s="9"/>
      <c r="B8076" s="15"/>
      <c r="C8076" s="9">
        <f>IFERROR(__xludf.DUMMYFUNCTION("""COMPUTED_VALUE"""),44520.4955521759)</f>
        <v>44520.49555</v>
      </c>
      <c r="D8076" s="15">
        <f>IFERROR(__xludf.DUMMYFUNCTION("""COMPUTED_VALUE"""),1.057)</f>
        <v>1.057</v>
      </c>
      <c r="E8076" s="16">
        <f>IFERROR(__xludf.DUMMYFUNCTION("""COMPUTED_VALUE"""),68.0)</f>
        <v>68</v>
      </c>
      <c r="F8076" s="19" t="str">
        <f>IFERROR(__xludf.DUMMYFUNCTION("""COMPUTED_VALUE"""),"BLUE")</f>
        <v>BLUE</v>
      </c>
      <c r="G8076" s="20" t="str">
        <f>IFERROR(__xludf.DUMMYFUNCTION("""COMPUTED_VALUE"""),"Uncle Sams Cider (11/12/2021) (Blue)")</f>
        <v>Uncle Sams Cider (11/12/2021) (Blue)</v>
      </c>
      <c r="H8076" s="19"/>
    </row>
    <row r="8077">
      <c r="A8077" s="9"/>
      <c r="B8077" s="15"/>
      <c r="C8077" s="9">
        <f>IFERROR(__xludf.DUMMYFUNCTION("""COMPUTED_VALUE"""),44520.4851312037)</f>
        <v>44520.48513</v>
      </c>
      <c r="D8077" s="15">
        <f>IFERROR(__xludf.DUMMYFUNCTION("""COMPUTED_VALUE"""),1.057)</f>
        <v>1.057</v>
      </c>
      <c r="E8077" s="16">
        <f>IFERROR(__xludf.DUMMYFUNCTION("""COMPUTED_VALUE"""),68.0)</f>
        <v>68</v>
      </c>
      <c r="F8077" s="19" t="str">
        <f>IFERROR(__xludf.DUMMYFUNCTION("""COMPUTED_VALUE"""),"BLUE")</f>
        <v>BLUE</v>
      </c>
      <c r="G8077" s="20" t="str">
        <f>IFERROR(__xludf.DUMMYFUNCTION("""COMPUTED_VALUE"""),"Uncle Sams Cider (11/12/2021) (Blue)")</f>
        <v>Uncle Sams Cider (11/12/2021) (Blue)</v>
      </c>
      <c r="H8077" s="19"/>
    </row>
    <row r="8078">
      <c r="A8078" s="9"/>
      <c r="B8078" s="15"/>
      <c r="C8078" s="9">
        <f>IFERROR(__xludf.DUMMYFUNCTION("""COMPUTED_VALUE"""),44520.474710405)</f>
        <v>44520.47471</v>
      </c>
      <c r="D8078" s="15">
        <f>IFERROR(__xludf.DUMMYFUNCTION("""COMPUTED_VALUE"""),1.057)</f>
        <v>1.057</v>
      </c>
      <c r="E8078" s="16">
        <f>IFERROR(__xludf.DUMMYFUNCTION("""COMPUTED_VALUE"""),68.0)</f>
        <v>68</v>
      </c>
      <c r="F8078" s="19" t="str">
        <f>IFERROR(__xludf.DUMMYFUNCTION("""COMPUTED_VALUE"""),"BLUE")</f>
        <v>BLUE</v>
      </c>
      <c r="G8078" s="20" t="str">
        <f>IFERROR(__xludf.DUMMYFUNCTION("""COMPUTED_VALUE"""),"Uncle Sams Cider (11/12/2021) (Blue)")</f>
        <v>Uncle Sams Cider (11/12/2021) (Blue)</v>
      </c>
      <c r="H8078" s="19"/>
    </row>
    <row r="8079">
      <c r="A8079" s="9"/>
      <c r="B8079" s="15"/>
      <c r="C8079" s="9">
        <f>IFERROR(__xludf.DUMMYFUNCTION("""COMPUTED_VALUE"""),44520.4642894675)</f>
        <v>44520.46429</v>
      </c>
      <c r="D8079" s="15">
        <f>IFERROR(__xludf.DUMMYFUNCTION("""COMPUTED_VALUE"""),1.057)</f>
        <v>1.057</v>
      </c>
      <c r="E8079" s="16">
        <f>IFERROR(__xludf.DUMMYFUNCTION("""COMPUTED_VALUE"""),68.0)</f>
        <v>68</v>
      </c>
      <c r="F8079" s="19" t="str">
        <f>IFERROR(__xludf.DUMMYFUNCTION("""COMPUTED_VALUE"""),"BLUE")</f>
        <v>BLUE</v>
      </c>
      <c r="G8079" s="20" t="str">
        <f>IFERROR(__xludf.DUMMYFUNCTION("""COMPUTED_VALUE"""),"Uncle Sams Cider (11/12/2021) (Blue)")</f>
        <v>Uncle Sams Cider (11/12/2021) (Blue)</v>
      </c>
      <c r="H8079" s="19"/>
    </row>
    <row r="8080">
      <c r="A8080" s="9"/>
      <c r="B8080" s="15"/>
      <c r="C8080" s="9">
        <f>IFERROR(__xludf.DUMMYFUNCTION("""COMPUTED_VALUE"""),44520.4538693634)</f>
        <v>44520.45387</v>
      </c>
      <c r="D8080" s="15">
        <f>IFERROR(__xludf.DUMMYFUNCTION("""COMPUTED_VALUE"""),1.058)</f>
        <v>1.058</v>
      </c>
      <c r="E8080" s="16">
        <f>IFERROR(__xludf.DUMMYFUNCTION("""COMPUTED_VALUE"""),68.0)</f>
        <v>68</v>
      </c>
      <c r="F8080" s="19" t="str">
        <f>IFERROR(__xludf.DUMMYFUNCTION("""COMPUTED_VALUE"""),"BLUE")</f>
        <v>BLUE</v>
      </c>
      <c r="G8080" s="20" t="str">
        <f>IFERROR(__xludf.DUMMYFUNCTION("""COMPUTED_VALUE"""),"Uncle Sams Cider (11/12/2021) (Blue)")</f>
        <v>Uncle Sams Cider (11/12/2021) (Blue)</v>
      </c>
      <c r="H8080" s="19"/>
    </row>
    <row r="8081">
      <c r="A8081" s="9"/>
      <c r="B8081" s="15"/>
      <c r="C8081" s="9">
        <f>IFERROR(__xludf.DUMMYFUNCTION("""COMPUTED_VALUE"""),44520.4434490856)</f>
        <v>44520.44345</v>
      </c>
      <c r="D8081" s="15">
        <f>IFERROR(__xludf.DUMMYFUNCTION("""COMPUTED_VALUE"""),1.057)</f>
        <v>1.057</v>
      </c>
      <c r="E8081" s="16">
        <f>IFERROR(__xludf.DUMMYFUNCTION("""COMPUTED_VALUE"""),68.0)</f>
        <v>68</v>
      </c>
      <c r="F8081" s="19" t="str">
        <f>IFERROR(__xludf.DUMMYFUNCTION("""COMPUTED_VALUE"""),"BLUE")</f>
        <v>BLUE</v>
      </c>
      <c r="G8081" s="20" t="str">
        <f>IFERROR(__xludf.DUMMYFUNCTION("""COMPUTED_VALUE"""),"Uncle Sams Cider (11/12/2021) (Blue)")</f>
        <v>Uncle Sams Cider (11/12/2021) (Blue)</v>
      </c>
      <c r="H8081" s="19"/>
    </row>
    <row r="8082">
      <c r="A8082" s="9"/>
      <c r="B8082" s="15"/>
      <c r="C8082" s="9">
        <f>IFERROR(__xludf.DUMMYFUNCTION("""COMPUTED_VALUE"""),44520.4330292129)</f>
        <v>44520.43303</v>
      </c>
      <c r="D8082" s="15">
        <f>IFERROR(__xludf.DUMMYFUNCTION("""COMPUTED_VALUE"""),1.058)</f>
        <v>1.058</v>
      </c>
      <c r="E8082" s="16">
        <f>IFERROR(__xludf.DUMMYFUNCTION("""COMPUTED_VALUE"""),68.0)</f>
        <v>68</v>
      </c>
      <c r="F8082" s="19" t="str">
        <f>IFERROR(__xludf.DUMMYFUNCTION("""COMPUTED_VALUE"""),"BLUE")</f>
        <v>BLUE</v>
      </c>
      <c r="G8082" s="20" t="str">
        <f>IFERROR(__xludf.DUMMYFUNCTION("""COMPUTED_VALUE"""),"Uncle Sams Cider (11/12/2021) (Blue)")</f>
        <v>Uncle Sams Cider (11/12/2021) (Blue)</v>
      </c>
      <c r="H8082" s="19"/>
    </row>
    <row r="8083">
      <c r="A8083" s="9"/>
      <c r="B8083" s="15"/>
      <c r="C8083" s="9">
        <f>IFERROR(__xludf.DUMMYFUNCTION("""COMPUTED_VALUE"""),44520.4226063541)</f>
        <v>44520.42261</v>
      </c>
      <c r="D8083" s="15">
        <f>IFERROR(__xludf.DUMMYFUNCTION("""COMPUTED_VALUE"""),1.058)</f>
        <v>1.058</v>
      </c>
      <c r="E8083" s="16">
        <f>IFERROR(__xludf.DUMMYFUNCTION("""COMPUTED_VALUE"""),68.0)</f>
        <v>68</v>
      </c>
      <c r="F8083" s="19" t="str">
        <f>IFERROR(__xludf.DUMMYFUNCTION("""COMPUTED_VALUE"""),"BLUE")</f>
        <v>BLUE</v>
      </c>
      <c r="G8083" s="20" t="str">
        <f>IFERROR(__xludf.DUMMYFUNCTION("""COMPUTED_VALUE"""),"Uncle Sams Cider (11/12/2021) (Blue)")</f>
        <v>Uncle Sams Cider (11/12/2021) (Blue)</v>
      </c>
      <c r="H8083" s="19"/>
    </row>
    <row r="8084">
      <c r="A8084" s="9"/>
      <c r="B8084" s="15"/>
      <c r="C8084" s="9">
        <f>IFERROR(__xludf.DUMMYFUNCTION("""COMPUTED_VALUE"""),44520.4121851157)</f>
        <v>44520.41219</v>
      </c>
      <c r="D8084" s="15">
        <f>IFERROR(__xludf.DUMMYFUNCTION("""COMPUTED_VALUE"""),1.058)</f>
        <v>1.058</v>
      </c>
      <c r="E8084" s="16">
        <f>IFERROR(__xludf.DUMMYFUNCTION("""COMPUTED_VALUE"""),68.0)</f>
        <v>68</v>
      </c>
      <c r="F8084" s="19" t="str">
        <f>IFERROR(__xludf.DUMMYFUNCTION("""COMPUTED_VALUE"""),"BLUE")</f>
        <v>BLUE</v>
      </c>
      <c r="G8084" s="20" t="str">
        <f>IFERROR(__xludf.DUMMYFUNCTION("""COMPUTED_VALUE"""),"Uncle Sams Cider (11/12/2021) (Blue)")</f>
        <v>Uncle Sams Cider (11/12/2021) (Blue)</v>
      </c>
      <c r="H8084" s="19"/>
    </row>
    <row r="8085">
      <c r="A8085" s="9"/>
      <c r="B8085" s="15"/>
      <c r="C8085" s="9">
        <f>IFERROR(__xludf.DUMMYFUNCTION("""COMPUTED_VALUE"""),44520.4017627083)</f>
        <v>44520.40176</v>
      </c>
      <c r="D8085" s="15">
        <f>IFERROR(__xludf.DUMMYFUNCTION("""COMPUTED_VALUE"""),1.058)</f>
        <v>1.058</v>
      </c>
      <c r="E8085" s="16">
        <f>IFERROR(__xludf.DUMMYFUNCTION("""COMPUTED_VALUE"""),68.0)</f>
        <v>68</v>
      </c>
      <c r="F8085" s="19" t="str">
        <f>IFERROR(__xludf.DUMMYFUNCTION("""COMPUTED_VALUE"""),"BLUE")</f>
        <v>BLUE</v>
      </c>
      <c r="G8085" s="20" t="str">
        <f>IFERROR(__xludf.DUMMYFUNCTION("""COMPUTED_VALUE"""),"Uncle Sams Cider (11/12/2021) (Blue)")</f>
        <v>Uncle Sams Cider (11/12/2021) (Blue)</v>
      </c>
      <c r="H8085" s="19"/>
    </row>
    <row r="8086">
      <c r="A8086" s="9"/>
      <c r="B8086" s="15"/>
      <c r="C8086" s="9">
        <f>IFERROR(__xludf.DUMMYFUNCTION("""COMPUTED_VALUE"""),44520.3913421412)</f>
        <v>44520.39134</v>
      </c>
      <c r="D8086" s="15">
        <f>IFERROR(__xludf.DUMMYFUNCTION("""COMPUTED_VALUE"""),1.058)</f>
        <v>1.058</v>
      </c>
      <c r="E8086" s="16">
        <f>IFERROR(__xludf.DUMMYFUNCTION("""COMPUTED_VALUE"""),68.0)</f>
        <v>68</v>
      </c>
      <c r="F8086" s="19" t="str">
        <f>IFERROR(__xludf.DUMMYFUNCTION("""COMPUTED_VALUE"""),"BLUE")</f>
        <v>BLUE</v>
      </c>
      <c r="G8086" s="20" t="str">
        <f>IFERROR(__xludf.DUMMYFUNCTION("""COMPUTED_VALUE"""),"Uncle Sams Cider (11/12/2021) (Blue)")</f>
        <v>Uncle Sams Cider (11/12/2021) (Blue)</v>
      </c>
      <c r="H8086" s="19"/>
    </row>
    <row r="8087">
      <c r="A8087" s="9"/>
      <c r="B8087" s="15"/>
      <c r="C8087" s="9">
        <f>IFERROR(__xludf.DUMMYFUNCTION("""COMPUTED_VALUE"""),44520.3809210532)</f>
        <v>44520.38092</v>
      </c>
      <c r="D8087" s="15">
        <f>IFERROR(__xludf.DUMMYFUNCTION("""COMPUTED_VALUE"""),1.058)</f>
        <v>1.058</v>
      </c>
      <c r="E8087" s="16">
        <f>IFERROR(__xludf.DUMMYFUNCTION("""COMPUTED_VALUE"""),68.0)</f>
        <v>68</v>
      </c>
      <c r="F8087" s="19" t="str">
        <f>IFERROR(__xludf.DUMMYFUNCTION("""COMPUTED_VALUE"""),"BLUE")</f>
        <v>BLUE</v>
      </c>
      <c r="G8087" s="20" t="str">
        <f>IFERROR(__xludf.DUMMYFUNCTION("""COMPUTED_VALUE"""),"Uncle Sams Cider (11/12/2021) (Blue)")</f>
        <v>Uncle Sams Cider (11/12/2021) (Blue)</v>
      </c>
      <c r="H8087" s="19"/>
    </row>
    <row r="8088">
      <c r="A8088" s="9"/>
      <c r="B8088" s="15"/>
      <c r="C8088" s="9">
        <f>IFERROR(__xludf.DUMMYFUNCTION("""COMPUTED_VALUE"""),44520.3704985879)</f>
        <v>44520.3705</v>
      </c>
      <c r="D8088" s="15">
        <f>IFERROR(__xludf.DUMMYFUNCTION("""COMPUTED_VALUE"""),1.058)</f>
        <v>1.058</v>
      </c>
      <c r="E8088" s="16">
        <f>IFERROR(__xludf.DUMMYFUNCTION("""COMPUTED_VALUE"""),68.0)</f>
        <v>68</v>
      </c>
      <c r="F8088" s="19" t="str">
        <f>IFERROR(__xludf.DUMMYFUNCTION("""COMPUTED_VALUE"""),"BLUE")</f>
        <v>BLUE</v>
      </c>
      <c r="G8088" s="20" t="str">
        <f>IFERROR(__xludf.DUMMYFUNCTION("""COMPUTED_VALUE"""),"Uncle Sams Cider (11/12/2021) (Blue)")</f>
        <v>Uncle Sams Cider (11/12/2021) (Blue)</v>
      </c>
      <c r="H8088" s="19"/>
    </row>
    <row r="8089">
      <c r="A8089" s="9"/>
      <c r="B8089" s="15"/>
      <c r="C8089" s="9">
        <f>IFERROR(__xludf.DUMMYFUNCTION("""COMPUTED_VALUE"""),44520.3600776273)</f>
        <v>44520.36008</v>
      </c>
      <c r="D8089" s="15">
        <f>IFERROR(__xludf.DUMMYFUNCTION("""COMPUTED_VALUE"""),1.058)</f>
        <v>1.058</v>
      </c>
      <c r="E8089" s="16">
        <f>IFERROR(__xludf.DUMMYFUNCTION("""COMPUTED_VALUE"""),68.0)</f>
        <v>68</v>
      </c>
      <c r="F8089" s="19" t="str">
        <f>IFERROR(__xludf.DUMMYFUNCTION("""COMPUTED_VALUE"""),"BLUE")</f>
        <v>BLUE</v>
      </c>
      <c r="G8089" s="20" t="str">
        <f>IFERROR(__xludf.DUMMYFUNCTION("""COMPUTED_VALUE"""),"Uncle Sams Cider (11/12/2021) (Blue)")</f>
        <v>Uncle Sams Cider (11/12/2021) (Blue)</v>
      </c>
      <c r="H8089" s="19"/>
    </row>
    <row r="8090">
      <c r="A8090" s="9"/>
      <c r="B8090" s="15"/>
      <c r="C8090" s="9">
        <f>IFERROR(__xludf.DUMMYFUNCTION("""COMPUTED_VALUE"""),44520.3496561689)</f>
        <v>44520.34966</v>
      </c>
      <c r="D8090" s="15">
        <f>IFERROR(__xludf.DUMMYFUNCTION("""COMPUTED_VALUE"""),1.058)</f>
        <v>1.058</v>
      </c>
      <c r="E8090" s="16">
        <f>IFERROR(__xludf.DUMMYFUNCTION("""COMPUTED_VALUE"""),68.0)</f>
        <v>68</v>
      </c>
      <c r="F8090" s="19" t="str">
        <f>IFERROR(__xludf.DUMMYFUNCTION("""COMPUTED_VALUE"""),"BLUE")</f>
        <v>BLUE</v>
      </c>
      <c r="G8090" s="20" t="str">
        <f>IFERROR(__xludf.DUMMYFUNCTION("""COMPUTED_VALUE"""),"Uncle Sams Cider (11/12/2021) (Blue)")</f>
        <v>Uncle Sams Cider (11/12/2021) (Blue)</v>
      </c>
      <c r="H8090" s="19"/>
    </row>
    <row r="8091">
      <c r="A8091" s="9"/>
      <c r="B8091" s="15"/>
      <c r="C8091" s="9">
        <f>IFERROR(__xludf.DUMMYFUNCTION("""COMPUTED_VALUE"""),44520.3392356481)</f>
        <v>44520.33924</v>
      </c>
      <c r="D8091" s="15">
        <f>IFERROR(__xludf.DUMMYFUNCTION("""COMPUTED_VALUE"""),1.058)</f>
        <v>1.058</v>
      </c>
      <c r="E8091" s="16">
        <f>IFERROR(__xludf.DUMMYFUNCTION("""COMPUTED_VALUE"""),68.0)</f>
        <v>68</v>
      </c>
      <c r="F8091" s="19" t="str">
        <f>IFERROR(__xludf.DUMMYFUNCTION("""COMPUTED_VALUE"""),"BLUE")</f>
        <v>BLUE</v>
      </c>
      <c r="G8091" s="20" t="str">
        <f>IFERROR(__xludf.DUMMYFUNCTION("""COMPUTED_VALUE"""),"Uncle Sams Cider (11/12/2021) (Blue)")</f>
        <v>Uncle Sams Cider (11/12/2021) (Blue)</v>
      </c>
      <c r="H8091" s="19"/>
    </row>
    <row r="8092">
      <c r="A8092" s="9"/>
      <c r="B8092" s="15"/>
      <c r="C8092" s="9">
        <f>IFERROR(__xludf.DUMMYFUNCTION("""COMPUTED_VALUE"""),44520.3288162731)</f>
        <v>44520.32882</v>
      </c>
      <c r="D8092" s="15">
        <f>IFERROR(__xludf.DUMMYFUNCTION("""COMPUTED_VALUE"""),1.058)</f>
        <v>1.058</v>
      </c>
      <c r="E8092" s="16">
        <f>IFERROR(__xludf.DUMMYFUNCTION("""COMPUTED_VALUE"""),68.0)</f>
        <v>68</v>
      </c>
      <c r="F8092" s="19" t="str">
        <f>IFERROR(__xludf.DUMMYFUNCTION("""COMPUTED_VALUE"""),"BLUE")</f>
        <v>BLUE</v>
      </c>
      <c r="G8092" s="20" t="str">
        <f>IFERROR(__xludf.DUMMYFUNCTION("""COMPUTED_VALUE"""),"Uncle Sams Cider (11/12/2021) (Blue)")</f>
        <v>Uncle Sams Cider (11/12/2021) (Blue)</v>
      </c>
      <c r="H8092" s="19"/>
    </row>
    <row r="8093">
      <c r="A8093" s="9"/>
      <c r="B8093" s="15"/>
      <c r="C8093" s="9">
        <f>IFERROR(__xludf.DUMMYFUNCTION("""COMPUTED_VALUE"""),44520.3183955439)</f>
        <v>44520.3184</v>
      </c>
      <c r="D8093" s="15">
        <f>IFERROR(__xludf.DUMMYFUNCTION("""COMPUTED_VALUE"""),1.058)</f>
        <v>1.058</v>
      </c>
      <c r="E8093" s="16">
        <f>IFERROR(__xludf.DUMMYFUNCTION("""COMPUTED_VALUE"""),68.0)</f>
        <v>68</v>
      </c>
      <c r="F8093" s="19" t="str">
        <f>IFERROR(__xludf.DUMMYFUNCTION("""COMPUTED_VALUE"""),"BLUE")</f>
        <v>BLUE</v>
      </c>
      <c r="G8093" s="20" t="str">
        <f>IFERROR(__xludf.DUMMYFUNCTION("""COMPUTED_VALUE"""),"Uncle Sams Cider (11/12/2021) (Blue)")</f>
        <v>Uncle Sams Cider (11/12/2021) (Blue)</v>
      </c>
      <c r="H8093" s="19"/>
    </row>
    <row r="8094">
      <c r="A8094" s="9"/>
      <c r="B8094" s="15"/>
      <c r="C8094" s="9">
        <f>IFERROR(__xludf.DUMMYFUNCTION("""COMPUTED_VALUE"""),44520.3079749537)</f>
        <v>44520.30797</v>
      </c>
      <c r="D8094" s="15">
        <f>IFERROR(__xludf.DUMMYFUNCTION("""COMPUTED_VALUE"""),1.058)</f>
        <v>1.058</v>
      </c>
      <c r="E8094" s="16">
        <f>IFERROR(__xludf.DUMMYFUNCTION("""COMPUTED_VALUE"""),68.0)</f>
        <v>68</v>
      </c>
      <c r="F8094" s="19" t="str">
        <f>IFERROR(__xludf.DUMMYFUNCTION("""COMPUTED_VALUE"""),"BLUE")</f>
        <v>BLUE</v>
      </c>
      <c r="G8094" s="20" t="str">
        <f>IFERROR(__xludf.DUMMYFUNCTION("""COMPUTED_VALUE"""),"Uncle Sams Cider (11/12/2021) (Blue)")</f>
        <v>Uncle Sams Cider (11/12/2021) (Blue)</v>
      </c>
      <c r="H8094" s="19"/>
    </row>
    <row r="8095">
      <c r="A8095" s="9"/>
      <c r="B8095" s="15"/>
      <c r="C8095" s="9">
        <f>IFERROR(__xludf.DUMMYFUNCTION("""COMPUTED_VALUE"""),44520.2975531481)</f>
        <v>44520.29755</v>
      </c>
      <c r="D8095" s="15">
        <f>IFERROR(__xludf.DUMMYFUNCTION("""COMPUTED_VALUE"""),1.058)</f>
        <v>1.058</v>
      </c>
      <c r="E8095" s="16">
        <f>IFERROR(__xludf.DUMMYFUNCTION("""COMPUTED_VALUE"""),68.0)</f>
        <v>68</v>
      </c>
      <c r="F8095" s="19" t="str">
        <f>IFERROR(__xludf.DUMMYFUNCTION("""COMPUTED_VALUE"""),"BLUE")</f>
        <v>BLUE</v>
      </c>
      <c r="G8095" s="20" t="str">
        <f>IFERROR(__xludf.DUMMYFUNCTION("""COMPUTED_VALUE"""),"Uncle Sams Cider (11/12/2021) (Blue)")</f>
        <v>Uncle Sams Cider (11/12/2021) (Blue)</v>
      </c>
      <c r="H8095" s="19"/>
    </row>
    <row r="8096">
      <c r="A8096" s="9"/>
      <c r="B8096" s="15"/>
      <c r="C8096" s="9">
        <f>IFERROR(__xludf.DUMMYFUNCTION("""COMPUTED_VALUE"""),44520.2871318055)</f>
        <v>44520.28713</v>
      </c>
      <c r="D8096" s="15">
        <f>IFERROR(__xludf.DUMMYFUNCTION("""COMPUTED_VALUE"""),1.058)</f>
        <v>1.058</v>
      </c>
      <c r="E8096" s="16">
        <f>IFERROR(__xludf.DUMMYFUNCTION("""COMPUTED_VALUE"""),68.0)</f>
        <v>68</v>
      </c>
      <c r="F8096" s="19" t="str">
        <f>IFERROR(__xludf.DUMMYFUNCTION("""COMPUTED_VALUE"""),"BLUE")</f>
        <v>BLUE</v>
      </c>
      <c r="G8096" s="20" t="str">
        <f>IFERROR(__xludf.DUMMYFUNCTION("""COMPUTED_VALUE"""),"Uncle Sams Cider (11/12/2021) (Blue)")</f>
        <v>Uncle Sams Cider (11/12/2021) (Blue)</v>
      </c>
      <c r="H8096" s="19"/>
    </row>
    <row r="8097">
      <c r="A8097" s="9"/>
      <c r="B8097" s="15"/>
      <c r="C8097" s="9">
        <f>IFERROR(__xludf.DUMMYFUNCTION("""COMPUTED_VALUE"""),44520.2767123842)</f>
        <v>44520.27671</v>
      </c>
      <c r="D8097" s="15">
        <f>IFERROR(__xludf.DUMMYFUNCTION("""COMPUTED_VALUE"""),1.058)</f>
        <v>1.058</v>
      </c>
      <c r="E8097" s="16">
        <f>IFERROR(__xludf.DUMMYFUNCTION("""COMPUTED_VALUE"""),68.0)</f>
        <v>68</v>
      </c>
      <c r="F8097" s="19" t="str">
        <f>IFERROR(__xludf.DUMMYFUNCTION("""COMPUTED_VALUE"""),"BLUE")</f>
        <v>BLUE</v>
      </c>
      <c r="G8097" s="20" t="str">
        <f>IFERROR(__xludf.DUMMYFUNCTION("""COMPUTED_VALUE"""),"Uncle Sams Cider (11/12/2021) (Blue)")</f>
        <v>Uncle Sams Cider (11/12/2021) (Blue)</v>
      </c>
      <c r="H8097" s="19"/>
    </row>
    <row r="8098">
      <c r="A8098" s="9"/>
      <c r="B8098" s="15"/>
      <c r="C8098" s="9">
        <f>IFERROR(__xludf.DUMMYFUNCTION("""COMPUTED_VALUE"""),44520.266290949)</f>
        <v>44520.26629</v>
      </c>
      <c r="D8098" s="15">
        <f>IFERROR(__xludf.DUMMYFUNCTION("""COMPUTED_VALUE"""),1.058)</f>
        <v>1.058</v>
      </c>
      <c r="E8098" s="16">
        <f>IFERROR(__xludf.DUMMYFUNCTION("""COMPUTED_VALUE"""),68.0)</f>
        <v>68</v>
      </c>
      <c r="F8098" s="19" t="str">
        <f>IFERROR(__xludf.DUMMYFUNCTION("""COMPUTED_VALUE"""),"BLUE")</f>
        <v>BLUE</v>
      </c>
      <c r="G8098" s="20" t="str">
        <f>IFERROR(__xludf.DUMMYFUNCTION("""COMPUTED_VALUE"""),"Uncle Sams Cider (11/12/2021) (Blue)")</f>
        <v>Uncle Sams Cider (11/12/2021) (Blue)</v>
      </c>
      <c r="H8098" s="19"/>
    </row>
    <row r="8099">
      <c r="A8099" s="9"/>
      <c r="B8099" s="15"/>
      <c r="C8099" s="9">
        <f>IFERROR(__xludf.DUMMYFUNCTION("""COMPUTED_VALUE"""),44520.2558695949)</f>
        <v>44520.25587</v>
      </c>
      <c r="D8099" s="15">
        <f>IFERROR(__xludf.DUMMYFUNCTION("""COMPUTED_VALUE"""),1.058)</f>
        <v>1.058</v>
      </c>
      <c r="E8099" s="16">
        <f>IFERROR(__xludf.DUMMYFUNCTION("""COMPUTED_VALUE"""),68.0)</f>
        <v>68</v>
      </c>
      <c r="F8099" s="19" t="str">
        <f>IFERROR(__xludf.DUMMYFUNCTION("""COMPUTED_VALUE"""),"BLUE")</f>
        <v>BLUE</v>
      </c>
      <c r="G8099" s="20" t="str">
        <f>IFERROR(__xludf.DUMMYFUNCTION("""COMPUTED_VALUE"""),"Uncle Sams Cider (11/12/2021) (Blue)")</f>
        <v>Uncle Sams Cider (11/12/2021) (Blue)</v>
      </c>
      <c r="H8099" s="19"/>
    </row>
    <row r="8100">
      <c r="A8100" s="9"/>
      <c r="B8100" s="15"/>
      <c r="C8100" s="9">
        <f>IFERROR(__xludf.DUMMYFUNCTION("""COMPUTED_VALUE"""),44520.2454480902)</f>
        <v>44520.24545</v>
      </c>
      <c r="D8100" s="15">
        <f>IFERROR(__xludf.DUMMYFUNCTION("""COMPUTED_VALUE"""),1.059)</f>
        <v>1.059</v>
      </c>
      <c r="E8100" s="16">
        <f>IFERROR(__xludf.DUMMYFUNCTION("""COMPUTED_VALUE"""),68.0)</f>
        <v>68</v>
      </c>
      <c r="F8100" s="19" t="str">
        <f>IFERROR(__xludf.DUMMYFUNCTION("""COMPUTED_VALUE"""),"BLUE")</f>
        <v>BLUE</v>
      </c>
      <c r="G8100" s="20" t="str">
        <f>IFERROR(__xludf.DUMMYFUNCTION("""COMPUTED_VALUE"""),"Uncle Sams Cider (11/12/2021) (Blue)")</f>
        <v>Uncle Sams Cider (11/12/2021) (Blue)</v>
      </c>
      <c r="H8100" s="19"/>
    </row>
    <row r="8101">
      <c r="A8101" s="9"/>
      <c r="B8101" s="15"/>
      <c r="C8101" s="9">
        <f>IFERROR(__xludf.DUMMYFUNCTION("""COMPUTED_VALUE"""),44520.2350295254)</f>
        <v>44520.23503</v>
      </c>
      <c r="D8101" s="15">
        <f>IFERROR(__xludf.DUMMYFUNCTION("""COMPUTED_VALUE"""),1.059)</f>
        <v>1.059</v>
      </c>
      <c r="E8101" s="16">
        <f>IFERROR(__xludf.DUMMYFUNCTION("""COMPUTED_VALUE"""),68.0)</f>
        <v>68</v>
      </c>
      <c r="F8101" s="19" t="str">
        <f>IFERROR(__xludf.DUMMYFUNCTION("""COMPUTED_VALUE"""),"BLUE")</f>
        <v>BLUE</v>
      </c>
      <c r="G8101" s="20" t="str">
        <f>IFERROR(__xludf.DUMMYFUNCTION("""COMPUTED_VALUE"""),"Uncle Sams Cider (11/12/2021) (Blue)")</f>
        <v>Uncle Sams Cider (11/12/2021) (Blue)</v>
      </c>
      <c r="H8101" s="19"/>
    </row>
    <row r="8102">
      <c r="A8102" s="9"/>
      <c r="B8102" s="15"/>
      <c r="C8102" s="9">
        <f>IFERROR(__xludf.DUMMYFUNCTION("""COMPUTED_VALUE"""),44520.2245963194)</f>
        <v>44520.2246</v>
      </c>
      <c r="D8102" s="15">
        <f>IFERROR(__xludf.DUMMYFUNCTION("""COMPUTED_VALUE"""),1.059)</f>
        <v>1.059</v>
      </c>
      <c r="E8102" s="16">
        <f>IFERROR(__xludf.DUMMYFUNCTION("""COMPUTED_VALUE"""),68.0)</f>
        <v>68</v>
      </c>
      <c r="F8102" s="19" t="str">
        <f>IFERROR(__xludf.DUMMYFUNCTION("""COMPUTED_VALUE"""),"BLUE")</f>
        <v>BLUE</v>
      </c>
      <c r="G8102" s="20" t="str">
        <f>IFERROR(__xludf.DUMMYFUNCTION("""COMPUTED_VALUE"""),"Uncle Sams Cider (11/12/2021) (Blue)")</f>
        <v>Uncle Sams Cider (11/12/2021) (Blue)</v>
      </c>
      <c r="H8102" s="19"/>
    </row>
    <row r="8103">
      <c r="A8103" s="9"/>
      <c r="B8103" s="15"/>
      <c r="C8103" s="9">
        <f>IFERROR(__xludf.DUMMYFUNCTION("""COMPUTED_VALUE"""),44520.214175243)</f>
        <v>44520.21418</v>
      </c>
      <c r="D8103" s="15">
        <f>IFERROR(__xludf.DUMMYFUNCTION("""COMPUTED_VALUE"""),1.059)</f>
        <v>1.059</v>
      </c>
      <c r="E8103" s="16">
        <f>IFERROR(__xludf.DUMMYFUNCTION("""COMPUTED_VALUE"""),68.0)</f>
        <v>68</v>
      </c>
      <c r="F8103" s="19" t="str">
        <f>IFERROR(__xludf.DUMMYFUNCTION("""COMPUTED_VALUE"""),"BLUE")</f>
        <v>BLUE</v>
      </c>
      <c r="G8103" s="20" t="str">
        <f>IFERROR(__xludf.DUMMYFUNCTION("""COMPUTED_VALUE"""),"Uncle Sams Cider (11/12/2021) (Blue)")</f>
        <v>Uncle Sams Cider (11/12/2021) (Blue)</v>
      </c>
      <c r="H8103" s="19"/>
    </row>
    <row r="8104">
      <c r="A8104" s="9"/>
      <c r="B8104" s="15"/>
      <c r="C8104" s="9">
        <f>IFERROR(__xludf.DUMMYFUNCTION("""COMPUTED_VALUE"""),44520.2037545486)</f>
        <v>44520.20375</v>
      </c>
      <c r="D8104" s="15">
        <f>IFERROR(__xludf.DUMMYFUNCTION("""COMPUTED_VALUE"""),1.059)</f>
        <v>1.059</v>
      </c>
      <c r="E8104" s="16">
        <f>IFERROR(__xludf.DUMMYFUNCTION("""COMPUTED_VALUE"""),68.0)</f>
        <v>68</v>
      </c>
      <c r="F8104" s="19" t="str">
        <f>IFERROR(__xludf.DUMMYFUNCTION("""COMPUTED_VALUE"""),"BLUE")</f>
        <v>BLUE</v>
      </c>
      <c r="G8104" s="20" t="str">
        <f>IFERROR(__xludf.DUMMYFUNCTION("""COMPUTED_VALUE"""),"Uncle Sams Cider (11/12/2021) (Blue)")</f>
        <v>Uncle Sams Cider (11/12/2021) (Blue)</v>
      </c>
      <c r="H8104" s="19"/>
    </row>
    <row r="8105">
      <c r="A8105" s="9"/>
      <c r="B8105" s="15"/>
      <c r="C8105" s="9">
        <f>IFERROR(__xludf.DUMMYFUNCTION("""COMPUTED_VALUE"""),44520.1933235532)</f>
        <v>44520.19332</v>
      </c>
      <c r="D8105" s="15">
        <f>IFERROR(__xludf.DUMMYFUNCTION("""COMPUTED_VALUE"""),1.059)</f>
        <v>1.059</v>
      </c>
      <c r="E8105" s="16">
        <f>IFERROR(__xludf.DUMMYFUNCTION("""COMPUTED_VALUE"""),68.0)</f>
        <v>68</v>
      </c>
      <c r="F8105" s="19" t="str">
        <f>IFERROR(__xludf.DUMMYFUNCTION("""COMPUTED_VALUE"""),"BLUE")</f>
        <v>BLUE</v>
      </c>
      <c r="G8105" s="20" t="str">
        <f>IFERROR(__xludf.DUMMYFUNCTION("""COMPUTED_VALUE"""),"Uncle Sams Cider (11/12/2021) (Blue)")</f>
        <v>Uncle Sams Cider (11/12/2021) (Blue)</v>
      </c>
      <c r="H8105" s="19"/>
    </row>
    <row r="8106">
      <c r="A8106" s="9"/>
      <c r="B8106" s="15"/>
      <c r="C8106" s="9">
        <f>IFERROR(__xludf.DUMMYFUNCTION("""COMPUTED_VALUE"""),44520.1829024305)</f>
        <v>44520.1829</v>
      </c>
      <c r="D8106" s="15">
        <f>IFERROR(__xludf.DUMMYFUNCTION("""COMPUTED_VALUE"""),1.059)</f>
        <v>1.059</v>
      </c>
      <c r="E8106" s="16">
        <f>IFERROR(__xludf.DUMMYFUNCTION("""COMPUTED_VALUE"""),68.0)</f>
        <v>68</v>
      </c>
      <c r="F8106" s="19" t="str">
        <f>IFERROR(__xludf.DUMMYFUNCTION("""COMPUTED_VALUE"""),"BLUE")</f>
        <v>BLUE</v>
      </c>
      <c r="G8106" s="20" t="str">
        <f>IFERROR(__xludf.DUMMYFUNCTION("""COMPUTED_VALUE"""),"Uncle Sams Cider (11/12/2021) (Blue)")</f>
        <v>Uncle Sams Cider (11/12/2021) (Blue)</v>
      </c>
      <c r="H8106" s="19"/>
    </row>
    <row r="8107">
      <c r="A8107" s="9"/>
      <c r="B8107" s="15"/>
      <c r="C8107" s="9">
        <f>IFERROR(__xludf.DUMMYFUNCTION("""COMPUTED_VALUE"""),44520.1724812963)</f>
        <v>44520.17248</v>
      </c>
      <c r="D8107" s="15">
        <f>IFERROR(__xludf.DUMMYFUNCTION("""COMPUTED_VALUE"""),1.059)</f>
        <v>1.059</v>
      </c>
      <c r="E8107" s="16">
        <f>IFERROR(__xludf.DUMMYFUNCTION("""COMPUTED_VALUE"""),68.0)</f>
        <v>68</v>
      </c>
      <c r="F8107" s="19" t="str">
        <f>IFERROR(__xludf.DUMMYFUNCTION("""COMPUTED_VALUE"""),"BLUE")</f>
        <v>BLUE</v>
      </c>
      <c r="G8107" s="20" t="str">
        <f>IFERROR(__xludf.DUMMYFUNCTION("""COMPUTED_VALUE"""),"Uncle Sams Cider (11/12/2021) (Blue)")</f>
        <v>Uncle Sams Cider (11/12/2021) (Blue)</v>
      </c>
      <c r="H8107" s="19"/>
    </row>
    <row r="8108">
      <c r="A8108" s="9"/>
      <c r="B8108" s="15"/>
      <c r="C8108" s="9">
        <f>IFERROR(__xludf.DUMMYFUNCTION("""COMPUTED_VALUE"""),44520.1620471759)</f>
        <v>44520.16205</v>
      </c>
      <c r="D8108" s="15">
        <f>IFERROR(__xludf.DUMMYFUNCTION("""COMPUTED_VALUE"""),1.059)</f>
        <v>1.059</v>
      </c>
      <c r="E8108" s="16">
        <f>IFERROR(__xludf.DUMMYFUNCTION("""COMPUTED_VALUE"""),68.0)</f>
        <v>68</v>
      </c>
      <c r="F8108" s="19" t="str">
        <f>IFERROR(__xludf.DUMMYFUNCTION("""COMPUTED_VALUE"""),"BLUE")</f>
        <v>BLUE</v>
      </c>
      <c r="G8108" s="20" t="str">
        <f>IFERROR(__xludf.DUMMYFUNCTION("""COMPUTED_VALUE"""),"Uncle Sams Cider (11/12/2021) (Blue)")</f>
        <v>Uncle Sams Cider (11/12/2021) (Blue)</v>
      </c>
      <c r="H8108" s="19"/>
    </row>
    <row r="8109">
      <c r="A8109" s="9"/>
      <c r="B8109" s="15"/>
      <c r="C8109" s="9">
        <f>IFERROR(__xludf.DUMMYFUNCTION("""COMPUTED_VALUE"""),44520.1516273263)</f>
        <v>44520.15163</v>
      </c>
      <c r="D8109" s="15">
        <f>IFERROR(__xludf.DUMMYFUNCTION("""COMPUTED_VALUE"""),1.059)</f>
        <v>1.059</v>
      </c>
      <c r="E8109" s="16">
        <f>IFERROR(__xludf.DUMMYFUNCTION("""COMPUTED_VALUE"""),68.0)</f>
        <v>68</v>
      </c>
      <c r="F8109" s="19" t="str">
        <f>IFERROR(__xludf.DUMMYFUNCTION("""COMPUTED_VALUE"""),"BLUE")</f>
        <v>BLUE</v>
      </c>
      <c r="G8109" s="20" t="str">
        <f>IFERROR(__xludf.DUMMYFUNCTION("""COMPUTED_VALUE"""),"Uncle Sams Cider (11/12/2021) (Blue)")</f>
        <v>Uncle Sams Cider (11/12/2021) (Blue)</v>
      </c>
      <c r="H8109" s="19"/>
    </row>
    <row r="8110">
      <c r="A8110" s="9"/>
      <c r="B8110" s="15"/>
      <c r="C8110" s="9">
        <f>IFERROR(__xludf.DUMMYFUNCTION("""COMPUTED_VALUE"""),44520.1412066666)</f>
        <v>44520.14121</v>
      </c>
      <c r="D8110" s="15">
        <f>IFERROR(__xludf.DUMMYFUNCTION("""COMPUTED_VALUE"""),1.059)</f>
        <v>1.059</v>
      </c>
      <c r="E8110" s="16">
        <f>IFERROR(__xludf.DUMMYFUNCTION("""COMPUTED_VALUE"""),68.0)</f>
        <v>68</v>
      </c>
      <c r="F8110" s="19" t="str">
        <f>IFERROR(__xludf.DUMMYFUNCTION("""COMPUTED_VALUE"""),"BLUE")</f>
        <v>BLUE</v>
      </c>
      <c r="G8110" s="20" t="str">
        <f>IFERROR(__xludf.DUMMYFUNCTION("""COMPUTED_VALUE"""),"Uncle Sams Cider (11/12/2021) (Blue)")</f>
        <v>Uncle Sams Cider (11/12/2021) (Blue)</v>
      </c>
      <c r="H8110" s="19"/>
    </row>
    <row r="8111">
      <c r="A8111" s="9"/>
      <c r="B8111" s="15"/>
      <c r="C8111" s="9">
        <f>IFERROR(__xludf.DUMMYFUNCTION("""COMPUTED_VALUE"""),44520.1307855787)</f>
        <v>44520.13079</v>
      </c>
      <c r="D8111" s="15">
        <f>IFERROR(__xludf.DUMMYFUNCTION("""COMPUTED_VALUE"""),1.059)</f>
        <v>1.059</v>
      </c>
      <c r="E8111" s="16">
        <f>IFERROR(__xludf.DUMMYFUNCTION("""COMPUTED_VALUE"""),68.0)</f>
        <v>68</v>
      </c>
      <c r="F8111" s="19" t="str">
        <f>IFERROR(__xludf.DUMMYFUNCTION("""COMPUTED_VALUE"""),"BLUE")</f>
        <v>BLUE</v>
      </c>
      <c r="G8111" s="20" t="str">
        <f>IFERROR(__xludf.DUMMYFUNCTION("""COMPUTED_VALUE"""),"Uncle Sams Cider (11/12/2021) (Blue)")</f>
        <v>Uncle Sams Cider (11/12/2021) (Blue)</v>
      </c>
      <c r="H8111" s="19"/>
    </row>
    <row r="8112">
      <c r="A8112" s="9"/>
      <c r="B8112" s="15"/>
      <c r="C8112" s="9">
        <f>IFERROR(__xludf.DUMMYFUNCTION("""COMPUTED_VALUE"""),44520.1203648379)</f>
        <v>44520.12036</v>
      </c>
      <c r="D8112" s="15">
        <f>IFERROR(__xludf.DUMMYFUNCTION("""COMPUTED_VALUE"""),1.059)</f>
        <v>1.059</v>
      </c>
      <c r="E8112" s="16">
        <f>IFERROR(__xludf.DUMMYFUNCTION("""COMPUTED_VALUE"""),68.0)</f>
        <v>68</v>
      </c>
      <c r="F8112" s="19" t="str">
        <f>IFERROR(__xludf.DUMMYFUNCTION("""COMPUTED_VALUE"""),"BLUE")</f>
        <v>BLUE</v>
      </c>
      <c r="G8112" s="20" t="str">
        <f>IFERROR(__xludf.DUMMYFUNCTION("""COMPUTED_VALUE"""),"Uncle Sams Cider (11/12/2021) (Blue)")</f>
        <v>Uncle Sams Cider (11/12/2021) (Blue)</v>
      </c>
      <c r="H8112" s="19"/>
    </row>
    <row r="8113">
      <c r="A8113" s="9"/>
      <c r="B8113" s="15"/>
      <c r="C8113" s="9">
        <f>IFERROR(__xludf.DUMMYFUNCTION("""COMPUTED_VALUE"""),44520.1099440393)</f>
        <v>44520.10994</v>
      </c>
      <c r="D8113" s="15">
        <f>IFERROR(__xludf.DUMMYFUNCTION("""COMPUTED_VALUE"""),1.059)</f>
        <v>1.059</v>
      </c>
      <c r="E8113" s="16">
        <f>IFERROR(__xludf.DUMMYFUNCTION("""COMPUTED_VALUE"""),68.0)</f>
        <v>68</v>
      </c>
      <c r="F8113" s="19" t="str">
        <f>IFERROR(__xludf.DUMMYFUNCTION("""COMPUTED_VALUE"""),"BLUE")</f>
        <v>BLUE</v>
      </c>
      <c r="G8113" s="20" t="str">
        <f>IFERROR(__xludf.DUMMYFUNCTION("""COMPUTED_VALUE"""),"Uncle Sams Cider (11/12/2021) (Blue)")</f>
        <v>Uncle Sams Cider (11/12/2021) (Blue)</v>
      </c>
      <c r="H8113" s="19"/>
    </row>
    <row r="8114">
      <c r="A8114" s="9"/>
      <c r="B8114" s="15"/>
      <c r="C8114" s="9">
        <f>IFERROR(__xludf.DUMMYFUNCTION("""COMPUTED_VALUE"""),44520.0995225925)</f>
        <v>44520.09952</v>
      </c>
      <c r="D8114" s="15">
        <f>IFERROR(__xludf.DUMMYFUNCTION("""COMPUTED_VALUE"""),1.059)</f>
        <v>1.059</v>
      </c>
      <c r="E8114" s="16">
        <f>IFERROR(__xludf.DUMMYFUNCTION("""COMPUTED_VALUE"""),68.0)</f>
        <v>68</v>
      </c>
      <c r="F8114" s="19" t="str">
        <f>IFERROR(__xludf.DUMMYFUNCTION("""COMPUTED_VALUE"""),"BLUE")</f>
        <v>BLUE</v>
      </c>
      <c r="G8114" s="20" t="str">
        <f>IFERROR(__xludf.DUMMYFUNCTION("""COMPUTED_VALUE"""),"Uncle Sams Cider (11/12/2021) (Blue)")</f>
        <v>Uncle Sams Cider (11/12/2021) (Blue)</v>
      </c>
      <c r="H8114" s="19"/>
    </row>
    <row r="8115">
      <c r="A8115" s="9"/>
      <c r="B8115" s="15"/>
      <c r="C8115" s="9">
        <f>IFERROR(__xludf.DUMMYFUNCTION("""COMPUTED_VALUE"""),44520.0891031134)</f>
        <v>44520.0891</v>
      </c>
      <c r="D8115" s="15">
        <f>IFERROR(__xludf.DUMMYFUNCTION("""COMPUTED_VALUE"""),1.059)</f>
        <v>1.059</v>
      </c>
      <c r="E8115" s="16">
        <f>IFERROR(__xludf.DUMMYFUNCTION("""COMPUTED_VALUE"""),68.0)</f>
        <v>68</v>
      </c>
      <c r="F8115" s="19" t="str">
        <f>IFERROR(__xludf.DUMMYFUNCTION("""COMPUTED_VALUE"""),"BLUE")</f>
        <v>BLUE</v>
      </c>
      <c r="G8115" s="20" t="str">
        <f>IFERROR(__xludf.DUMMYFUNCTION("""COMPUTED_VALUE"""),"Uncle Sams Cider (11/12/2021) (Blue)")</f>
        <v>Uncle Sams Cider (11/12/2021) (Blue)</v>
      </c>
      <c r="H8115" s="19"/>
    </row>
    <row r="8116">
      <c r="A8116" s="9"/>
      <c r="B8116" s="15"/>
      <c r="C8116" s="9">
        <f>IFERROR(__xludf.DUMMYFUNCTION("""COMPUTED_VALUE"""),44520.0786818402)</f>
        <v>44520.07868</v>
      </c>
      <c r="D8116" s="15">
        <f>IFERROR(__xludf.DUMMYFUNCTION("""COMPUTED_VALUE"""),1.059)</f>
        <v>1.059</v>
      </c>
      <c r="E8116" s="16">
        <f>IFERROR(__xludf.DUMMYFUNCTION("""COMPUTED_VALUE"""),68.0)</f>
        <v>68</v>
      </c>
      <c r="F8116" s="19" t="str">
        <f>IFERROR(__xludf.DUMMYFUNCTION("""COMPUTED_VALUE"""),"BLUE")</f>
        <v>BLUE</v>
      </c>
      <c r="G8116" s="20" t="str">
        <f>IFERROR(__xludf.DUMMYFUNCTION("""COMPUTED_VALUE"""),"Uncle Sams Cider (11/12/2021) (Blue)")</f>
        <v>Uncle Sams Cider (11/12/2021) (Blue)</v>
      </c>
      <c r="H8116" s="19"/>
    </row>
    <row r="8117">
      <c r="A8117" s="9"/>
      <c r="B8117" s="15"/>
      <c r="C8117" s="9">
        <f>IFERROR(__xludf.DUMMYFUNCTION("""COMPUTED_VALUE"""),44520.0682591898)</f>
        <v>44520.06826</v>
      </c>
      <c r="D8117" s="15">
        <f>IFERROR(__xludf.DUMMYFUNCTION("""COMPUTED_VALUE"""),1.06)</f>
        <v>1.06</v>
      </c>
      <c r="E8117" s="16">
        <f>IFERROR(__xludf.DUMMYFUNCTION("""COMPUTED_VALUE"""),68.0)</f>
        <v>68</v>
      </c>
      <c r="F8117" s="19" t="str">
        <f>IFERROR(__xludf.DUMMYFUNCTION("""COMPUTED_VALUE"""),"BLUE")</f>
        <v>BLUE</v>
      </c>
      <c r="G8117" s="20" t="str">
        <f>IFERROR(__xludf.DUMMYFUNCTION("""COMPUTED_VALUE"""),"Uncle Sams Cider (11/12/2021) (Blue)")</f>
        <v>Uncle Sams Cider (11/12/2021) (Blue)</v>
      </c>
      <c r="H8117" s="19"/>
    </row>
    <row r="8118">
      <c r="A8118" s="9"/>
      <c r="B8118" s="15"/>
      <c r="C8118" s="9">
        <f>IFERROR(__xludf.DUMMYFUNCTION("""COMPUTED_VALUE"""),44520.0578381597)</f>
        <v>44520.05784</v>
      </c>
      <c r="D8118" s="15">
        <f>IFERROR(__xludf.DUMMYFUNCTION("""COMPUTED_VALUE"""),1.059)</f>
        <v>1.059</v>
      </c>
      <c r="E8118" s="16">
        <f>IFERROR(__xludf.DUMMYFUNCTION("""COMPUTED_VALUE"""),68.0)</f>
        <v>68</v>
      </c>
      <c r="F8118" s="19" t="str">
        <f>IFERROR(__xludf.DUMMYFUNCTION("""COMPUTED_VALUE"""),"BLUE")</f>
        <v>BLUE</v>
      </c>
      <c r="G8118" s="20" t="str">
        <f>IFERROR(__xludf.DUMMYFUNCTION("""COMPUTED_VALUE"""),"Uncle Sams Cider (11/12/2021) (Blue)")</f>
        <v>Uncle Sams Cider (11/12/2021) (Blue)</v>
      </c>
      <c r="H8118" s="19"/>
    </row>
    <row r="8119">
      <c r="A8119" s="9"/>
      <c r="B8119" s="15"/>
      <c r="C8119" s="9">
        <f>IFERROR(__xludf.DUMMYFUNCTION("""COMPUTED_VALUE"""),44520.0474169444)</f>
        <v>44520.04742</v>
      </c>
      <c r="D8119" s="15">
        <f>IFERROR(__xludf.DUMMYFUNCTION("""COMPUTED_VALUE"""),1.059)</f>
        <v>1.059</v>
      </c>
      <c r="E8119" s="16">
        <f>IFERROR(__xludf.DUMMYFUNCTION("""COMPUTED_VALUE"""),68.0)</f>
        <v>68</v>
      </c>
      <c r="F8119" s="19" t="str">
        <f>IFERROR(__xludf.DUMMYFUNCTION("""COMPUTED_VALUE"""),"BLUE")</f>
        <v>BLUE</v>
      </c>
      <c r="G8119" s="20" t="str">
        <f>IFERROR(__xludf.DUMMYFUNCTION("""COMPUTED_VALUE"""),"Uncle Sams Cider (11/12/2021) (Blue)")</f>
        <v>Uncle Sams Cider (11/12/2021) (Blue)</v>
      </c>
      <c r="H8119" s="19"/>
    </row>
    <row r="8120">
      <c r="A8120" s="9"/>
      <c r="B8120" s="15"/>
      <c r="C8120" s="9">
        <f>IFERROR(__xludf.DUMMYFUNCTION("""COMPUTED_VALUE"""),44520.0369948726)</f>
        <v>44520.03699</v>
      </c>
      <c r="D8120" s="15">
        <f>IFERROR(__xludf.DUMMYFUNCTION("""COMPUTED_VALUE"""),1.06)</f>
        <v>1.06</v>
      </c>
      <c r="E8120" s="16">
        <f>IFERROR(__xludf.DUMMYFUNCTION("""COMPUTED_VALUE"""),68.0)</f>
        <v>68</v>
      </c>
      <c r="F8120" s="19" t="str">
        <f>IFERROR(__xludf.DUMMYFUNCTION("""COMPUTED_VALUE"""),"BLUE")</f>
        <v>BLUE</v>
      </c>
      <c r="G8120" s="20" t="str">
        <f>IFERROR(__xludf.DUMMYFUNCTION("""COMPUTED_VALUE"""),"Uncle Sams Cider (11/12/2021) (Blue)")</f>
        <v>Uncle Sams Cider (11/12/2021) (Blue)</v>
      </c>
      <c r="H8120" s="19"/>
    </row>
    <row r="8121">
      <c r="A8121" s="9"/>
      <c r="B8121" s="15"/>
      <c r="C8121" s="9">
        <f>IFERROR(__xludf.DUMMYFUNCTION("""COMPUTED_VALUE"""),44520.0265745717)</f>
        <v>44520.02657</v>
      </c>
      <c r="D8121" s="15">
        <f>IFERROR(__xludf.DUMMYFUNCTION("""COMPUTED_VALUE"""),1.06)</f>
        <v>1.06</v>
      </c>
      <c r="E8121" s="16">
        <f>IFERROR(__xludf.DUMMYFUNCTION("""COMPUTED_VALUE"""),68.0)</f>
        <v>68</v>
      </c>
      <c r="F8121" s="19" t="str">
        <f>IFERROR(__xludf.DUMMYFUNCTION("""COMPUTED_VALUE"""),"BLUE")</f>
        <v>BLUE</v>
      </c>
      <c r="G8121" s="20" t="str">
        <f>IFERROR(__xludf.DUMMYFUNCTION("""COMPUTED_VALUE"""),"Uncle Sams Cider (11/12/2021) (Blue)")</f>
        <v>Uncle Sams Cider (11/12/2021) (Blue)</v>
      </c>
      <c r="H8121" s="19"/>
    </row>
    <row r="8122">
      <c r="A8122" s="9"/>
      <c r="B8122" s="15"/>
      <c r="C8122" s="9">
        <f>IFERROR(__xludf.DUMMYFUNCTION("""COMPUTED_VALUE"""),44520.0161530787)</f>
        <v>44520.01615</v>
      </c>
      <c r="D8122" s="15">
        <f>IFERROR(__xludf.DUMMYFUNCTION("""COMPUTED_VALUE"""),1.06)</f>
        <v>1.06</v>
      </c>
      <c r="E8122" s="16">
        <f>IFERROR(__xludf.DUMMYFUNCTION("""COMPUTED_VALUE"""),68.0)</f>
        <v>68</v>
      </c>
      <c r="F8122" s="19" t="str">
        <f>IFERROR(__xludf.DUMMYFUNCTION("""COMPUTED_VALUE"""),"BLUE")</f>
        <v>BLUE</v>
      </c>
      <c r="G8122" s="20" t="str">
        <f>IFERROR(__xludf.DUMMYFUNCTION("""COMPUTED_VALUE"""),"Uncle Sams Cider (11/12/2021) (Blue)")</f>
        <v>Uncle Sams Cider (11/12/2021) (Blue)</v>
      </c>
      <c r="H8122" s="19"/>
    </row>
    <row r="8123">
      <c r="A8123" s="9"/>
      <c r="B8123" s="15"/>
      <c r="C8123" s="9">
        <f>IFERROR(__xludf.DUMMYFUNCTION("""COMPUTED_VALUE"""),44520.0057313194)</f>
        <v>44520.00573</v>
      </c>
      <c r="D8123" s="15">
        <f>IFERROR(__xludf.DUMMYFUNCTION("""COMPUTED_VALUE"""),1.06)</f>
        <v>1.06</v>
      </c>
      <c r="E8123" s="16">
        <f>IFERROR(__xludf.DUMMYFUNCTION("""COMPUTED_VALUE"""),68.0)</f>
        <v>68</v>
      </c>
      <c r="F8123" s="19" t="str">
        <f>IFERROR(__xludf.DUMMYFUNCTION("""COMPUTED_VALUE"""),"BLUE")</f>
        <v>BLUE</v>
      </c>
      <c r="G8123" s="20" t="str">
        <f>IFERROR(__xludf.DUMMYFUNCTION("""COMPUTED_VALUE"""),"Uncle Sams Cider (11/12/2021) (Blue)")</f>
        <v>Uncle Sams Cider (11/12/2021) (Blue)</v>
      </c>
      <c r="H8123" s="19"/>
    </row>
    <row r="8124">
      <c r="A8124" s="9"/>
      <c r="B8124" s="15"/>
      <c r="C8124" s="9">
        <f>IFERROR(__xludf.DUMMYFUNCTION("""COMPUTED_VALUE"""),44519.9953097106)</f>
        <v>44519.99531</v>
      </c>
      <c r="D8124" s="15">
        <f>IFERROR(__xludf.DUMMYFUNCTION("""COMPUTED_VALUE"""),1.06)</f>
        <v>1.06</v>
      </c>
      <c r="E8124" s="16">
        <f>IFERROR(__xludf.DUMMYFUNCTION("""COMPUTED_VALUE"""),68.0)</f>
        <v>68</v>
      </c>
      <c r="F8124" s="19" t="str">
        <f>IFERROR(__xludf.DUMMYFUNCTION("""COMPUTED_VALUE"""),"BLUE")</f>
        <v>BLUE</v>
      </c>
      <c r="G8124" s="20" t="str">
        <f>IFERROR(__xludf.DUMMYFUNCTION("""COMPUTED_VALUE"""),"Uncle Sams Cider (11/12/2021) (Blue)")</f>
        <v>Uncle Sams Cider (11/12/2021) (Blue)</v>
      </c>
      <c r="H8124" s="19"/>
    </row>
    <row r="8125">
      <c r="A8125" s="9"/>
      <c r="B8125" s="15"/>
      <c r="C8125" s="9">
        <f>IFERROR(__xludf.DUMMYFUNCTION("""COMPUTED_VALUE"""),44519.9848656828)</f>
        <v>44519.98487</v>
      </c>
      <c r="D8125" s="15">
        <f>IFERROR(__xludf.DUMMYFUNCTION("""COMPUTED_VALUE"""),1.06)</f>
        <v>1.06</v>
      </c>
      <c r="E8125" s="16">
        <f>IFERROR(__xludf.DUMMYFUNCTION("""COMPUTED_VALUE"""),68.0)</f>
        <v>68</v>
      </c>
      <c r="F8125" s="19" t="str">
        <f>IFERROR(__xludf.DUMMYFUNCTION("""COMPUTED_VALUE"""),"BLUE")</f>
        <v>BLUE</v>
      </c>
      <c r="G8125" s="20" t="str">
        <f>IFERROR(__xludf.DUMMYFUNCTION("""COMPUTED_VALUE"""),"Uncle Sams Cider (11/12/2021) (Blue)")</f>
        <v>Uncle Sams Cider (11/12/2021) (Blue)</v>
      </c>
      <c r="H8125" s="19"/>
    </row>
    <row r="8126">
      <c r="A8126" s="9"/>
      <c r="B8126" s="15"/>
      <c r="C8126" s="9">
        <f>IFERROR(__xludf.DUMMYFUNCTION("""COMPUTED_VALUE"""),44519.9744424884)</f>
        <v>44519.97444</v>
      </c>
      <c r="D8126" s="15">
        <f>IFERROR(__xludf.DUMMYFUNCTION("""COMPUTED_VALUE"""),1.06)</f>
        <v>1.06</v>
      </c>
      <c r="E8126" s="16">
        <f>IFERROR(__xludf.DUMMYFUNCTION("""COMPUTED_VALUE"""),68.0)</f>
        <v>68</v>
      </c>
      <c r="F8126" s="19" t="str">
        <f>IFERROR(__xludf.DUMMYFUNCTION("""COMPUTED_VALUE"""),"BLUE")</f>
        <v>BLUE</v>
      </c>
      <c r="G8126" s="20" t="str">
        <f>IFERROR(__xludf.DUMMYFUNCTION("""COMPUTED_VALUE"""),"Uncle Sams Cider (11/12/2021) (Blue)")</f>
        <v>Uncle Sams Cider (11/12/2021) (Blue)</v>
      </c>
      <c r="H8126" s="19"/>
    </row>
    <row r="8127">
      <c r="A8127" s="9"/>
      <c r="B8127" s="15"/>
      <c r="C8127" s="9">
        <f>IFERROR(__xludf.DUMMYFUNCTION("""COMPUTED_VALUE"""),44519.9640220949)</f>
        <v>44519.96402</v>
      </c>
      <c r="D8127" s="15">
        <f>IFERROR(__xludf.DUMMYFUNCTION("""COMPUTED_VALUE"""),1.06)</f>
        <v>1.06</v>
      </c>
      <c r="E8127" s="16">
        <f>IFERROR(__xludf.DUMMYFUNCTION("""COMPUTED_VALUE"""),68.0)</f>
        <v>68</v>
      </c>
      <c r="F8127" s="19" t="str">
        <f>IFERROR(__xludf.DUMMYFUNCTION("""COMPUTED_VALUE"""),"BLUE")</f>
        <v>BLUE</v>
      </c>
      <c r="G8127" s="20" t="str">
        <f>IFERROR(__xludf.DUMMYFUNCTION("""COMPUTED_VALUE"""),"Uncle Sams Cider (11/12/2021) (Blue)")</f>
        <v>Uncle Sams Cider (11/12/2021) (Blue)</v>
      </c>
      <c r="H8127" s="19"/>
    </row>
    <row r="8128">
      <c r="A8128" s="9"/>
      <c r="B8128" s="15"/>
      <c r="C8128" s="9">
        <f>IFERROR(__xludf.DUMMYFUNCTION("""COMPUTED_VALUE"""),44519.9536024884)</f>
        <v>44519.9536</v>
      </c>
      <c r="D8128" s="15">
        <f>IFERROR(__xludf.DUMMYFUNCTION("""COMPUTED_VALUE"""),1.06)</f>
        <v>1.06</v>
      </c>
      <c r="E8128" s="16">
        <f>IFERROR(__xludf.DUMMYFUNCTION("""COMPUTED_VALUE"""),68.0)</f>
        <v>68</v>
      </c>
      <c r="F8128" s="19" t="str">
        <f>IFERROR(__xludf.DUMMYFUNCTION("""COMPUTED_VALUE"""),"BLUE")</f>
        <v>BLUE</v>
      </c>
      <c r="G8128" s="20" t="str">
        <f>IFERROR(__xludf.DUMMYFUNCTION("""COMPUTED_VALUE"""),"Uncle Sams Cider (11/12/2021) (Blue)")</f>
        <v>Uncle Sams Cider (11/12/2021) (Blue)</v>
      </c>
      <c r="H8128" s="19"/>
    </row>
    <row r="8129">
      <c r="A8129" s="9"/>
      <c r="B8129" s="15"/>
      <c r="C8129" s="9">
        <f>IFERROR(__xludf.DUMMYFUNCTION("""COMPUTED_VALUE"""),44519.9431822337)</f>
        <v>44519.94318</v>
      </c>
      <c r="D8129" s="15">
        <f>IFERROR(__xludf.DUMMYFUNCTION("""COMPUTED_VALUE"""),1.06)</f>
        <v>1.06</v>
      </c>
      <c r="E8129" s="16">
        <f>IFERROR(__xludf.DUMMYFUNCTION("""COMPUTED_VALUE"""),68.0)</f>
        <v>68</v>
      </c>
      <c r="F8129" s="19" t="str">
        <f>IFERROR(__xludf.DUMMYFUNCTION("""COMPUTED_VALUE"""),"BLUE")</f>
        <v>BLUE</v>
      </c>
      <c r="G8129" s="20" t="str">
        <f>IFERROR(__xludf.DUMMYFUNCTION("""COMPUTED_VALUE"""),"Uncle Sams Cider (11/12/2021) (Blue)")</f>
        <v>Uncle Sams Cider (11/12/2021) (Blue)</v>
      </c>
      <c r="H8129" s="19"/>
    </row>
    <row r="8130">
      <c r="A8130" s="9"/>
      <c r="B8130" s="15"/>
      <c r="C8130" s="9">
        <f>IFERROR(__xludf.DUMMYFUNCTION("""COMPUTED_VALUE"""),44519.932761412)</f>
        <v>44519.93276</v>
      </c>
      <c r="D8130" s="15">
        <f>IFERROR(__xludf.DUMMYFUNCTION("""COMPUTED_VALUE"""),1.06)</f>
        <v>1.06</v>
      </c>
      <c r="E8130" s="16">
        <f>IFERROR(__xludf.DUMMYFUNCTION("""COMPUTED_VALUE"""),68.0)</f>
        <v>68</v>
      </c>
      <c r="F8130" s="19" t="str">
        <f>IFERROR(__xludf.DUMMYFUNCTION("""COMPUTED_VALUE"""),"BLUE")</f>
        <v>BLUE</v>
      </c>
      <c r="G8130" s="20" t="str">
        <f>IFERROR(__xludf.DUMMYFUNCTION("""COMPUTED_VALUE"""),"Uncle Sams Cider (11/12/2021) (Blue)")</f>
        <v>Uncle Sams Cider (11/12/2021) (Blue)</v>
      </c>
      <c r="H8130" s="19"/>
    </row>
    <row r="8131">
      <c r="A8131" s="9"/>
      <c r="B8131" s="15"/>
      <c r="C8131" s="9">
        <f>IFERROR(__xludf.DUMMYFUNCTION("""COMPUTED_VALUE"""),44519.9223166319)</f>
        <v>44519.92232</v>
      </c>
      <c r="D8131" s="15">
        <f>IFERROR(__xludf.DUMMYFUNCTION("""COMPUTED_VALUE"""),1.06)</f>
        <v>1.06</v>
      </c>
      <c r="E8131" s="16">
        <f>IFERROR(__xludf.DUMMYFUNCTION("""COMPUTED_VALUE"""),68.0)</f>
        <v>68</v>
      </c>
      <c r="F8131" s="19" t="str">
        <f>IFERROR(__xludf.DUMMYFUNCTION("""COMPUTED_VALUE"""),"BLUE")</f>
        <v>BLUE</v>
      </c>
      <c r="G8131" s="20" t="str">
        <f>IFERROR(__xludf.DUMMYFUNCTION("""COMPUTED_VALUE"""),"Uncle Sams Cider (11/12/2021) (Blue)")</f>
        <v>Uncle Sams Cider (11/12/2021) (Blue)</v>
      </c>
      <c r="H8131" s="19"/>
    </row>
    <row r="8132">
      <c r="A8132" s="9"/>
      <c r="B8132" s="15"/>
      <c r="C8132" s="9">
        <f>IFERROR(__xludf.DUMMYFUNCTION("""COMPUTED_VALUE"""),44519.9118941435)</f>
        <v>44519.91189</v>
      </c>
      <c r="D8132" s="15">
        <f>IFERROR(__xludf.DUMMYFUNCTION("""COMPUTED_VALUE"""),1.06)</f>
        <v>1.06</v>
      </c>
      <c r="E8132" s="16">
        <f>IFERROR(__xludf.DUMMYFUNCTION("""COMPUTED_VALUE"""),68.0)</f>
        <v>68</v>
      </c>
      <c r="F8132" s="19" t="str">
        <f>IFERROR(__xludf.DUMMYFUNCTION("""COMPUTED_VALUE"""),"BLUE")</f>
        <v>BLUE</v>
      </c>
      <c r="G8132" s="20" t="str">
        <f>IFERROR(__xludf.DUMMYFUNCTION("""COMPUTED_VALUE"""),"Uncle Sams Cider (11/12/2021) (Blue)")</f>
        <v>Uncle Sams Cider (11/12/2021) (Blue)</v>
      </c>
      <c r="H8132" s="19"/>
    </row>
    <row r="8133">
      <c r="A8133" s="9"/>
      <c r="B8133" s="15"/>
      <c r="C8133" s="9">
        <f>IFERROR(__xludf.DUMMYFUNCTION("""COMPUTED_VALUE"""),44519.9014725694)</f>
        <v>44519.90147</v>
      </c>
      <c r="D8133" s="15">
        <f>IFERROR(__xludf.DUMMYFUNCTION("""COMPUTED_VALUE"""),1.06)</f>
        <v>1.06</v>
      </c>
      <c r="E8133" s="16">
        <f>IFERROR(__xludf.DUMMYFUNCTION("""COMPUTED_VALUE"""),68.0)</f>
        <v>68</v>
      </c>
      <c r="F8133" s="19" t="str">
        <f>IFERROR(__xludf.DUMMYFUNCTION("""COMPUTED_VALUE"""),"BLUE")</f>
        <v>BLUE</v>
      </c>
      <c r="G8133" s="20" t="str">
        <f>IFERROR(__xludf.DUMMYFUNCTION("""COMPUTED_VALUE"""),"Uncle Sams Cider (11/12/2021) (Blue)")</f>
        <v>Uncle Sams Cider (11/12/2021) (Blue)</v>
      </c>
      <c r="H8133" s="19"/>
    </row>
    <row r="8134">
      <c r="A8134" s="9"/>
      <c r="B8134" s="15"/>
      <c r="C8134" s="9">
        <f>IFERROR(__xludf.DUMMYFUNCTION("""COMPUTED_VALUE"""),44519.8910516435)</f>
        <v>44519.89105</v>
      </c>
      <c r="D8134" s="15">
        <f>IFERROR(__xludf.DUMMYFUNCTION("""COMPUTED_VALUE"""),1.06)</f>
        <v>1.06</v>
      </c>
      <c r="E8134" s="16">
        <f>IFERROR(__xludf.DUMMYFUNCTION("""COMPUTED_VALUE"""),68.0)</f>
        <v>68</v>
      </c>
      <c r="F8134" s="19" t="str">
        <f>IFERROR(__xludf.DUMMYFUNCTION("""COMPUTED_VALUE"""),"BLUE")</f>
        <v>BLUE</v>
      </c>
      <c r="G8134" s="20" t="str">
        <f>IFERROR(__xludf.DUMMYFUNCTION("""COMPUTED_VALUE"""),"Uncle Sams Cider (11/12/2021) (Blue)")</f>
        <v>Uncle Sams Cider (11/12/2021) (Blue)</v>
      </c>
      <c r="H8134" s="19"/>
    </row>
    <row r="8135">
      <c r="A8135" s="9"/>
      <c r="B8135" s="15"/>
      <c r="C8135" s="9">
        <f>IFERROR(__xludf.DUMMYFUNCTION("""COMPUTED_VALUE"""),44519.8806318402)</f>
        <v>44519.88063</v>
      </c>
      <c r="D8135" s="15">
        <f>IFERROR(__xludf.DUMMYFUNCTION("""COMPUTED_VALUE"""),1.06)</f>
        <v>1.06</v>
      </c>
      <c r="E8135" s="16">
        <f>IFERROR(__xludf.DUMMYFUNCTION("""COMPUTED_VALUE"""),68.0)</f>
        <v>68</v>
      </c>
      <c r="F8135" s="19" t="str">
        <f>IFERROR(__xludf.DUMMYFUNCTION("""COMPUTED_VALUE"""),"BLUE")</f>
        <v>BLUE</v>
      </c>
      <c r="G8135" s="20" t="str">
        <f>IFERROR(__xludf.DUMMYFUNCTION("""COMPUTED_VALUE"""),"Uncle Sams Cider (11/12/2021) (Blue)")</f>
        <v>Uncle Sams Cider (11/12/2021) (Blue)</v>
      </c>
      <c r="H8135" s="19"/>
    </row>
    <row r="8136">
      <c r="A8136" s="9"/>
      <c r="B8136" s="15"/>
      <c r="C8136" s="9">
        <f>IFERROR(__xludf.DUMMYFUNCTION("""COMPUTED_VALUE"""),44519.8702098726)</f>
        <v>44519.87021</v>
      </c>
      <c r="D8136" s="15">
        <f>IFERROR(__xludf.DUMMYFUNCTION("""COMPUTED_VALUE"""),1.061)</f>
        <v>1.061</v>
      </c>
      <c r="E8136" s="16">
        <f>IFERROR(__xludf.DUMMYFUNCTION("""COMPUTED_VALUE"""),68.0)</f>
        <v>68</v>
      </c>
      <c r="F8136" s="19" t="str">
        <f>IFERROR(__xludf.DUMMYFUNCTION("""COMPUTED_VALUE"""),"BLUE")</f>
        <v>BLUE</v>
      </c>
      <c r="G8136" s="20" t="str">
        <f>IFERROR(__xludf.DUMMYFUNCTION("""COMPUTED_VALUE"""),"Uncle Sams Cider (11/12/2021) (Blue)")</f>
        <v>Uncle Sams Cider (11/12/2021) (Blue)</v>
      </c>
      <c r="H8136" s="19"/>
    </row>
    <row r="8137">
      <c r="A8137" s="9"/>
      <c r="B8137" s="15"/>
      <c r="C8137" s="9">
        <f>IFERROR(__xludf.DUMMYFUNCTION("""COMPUTED_VALUE"""),44519.8597889236)</f>
        <v>44519.85979</v>
      </c>
      <c r="D8137" s="15">
        <f>IFERROR(__xludf.DUMMYFUNCTION("""COMPUTED_VALUE"""),1.061)</f>
        <v>1.061</v>
      </c>
      <c r="E8137" s="16">
        <f>IFERROR(__xludf.DUMMYFUNCTION("""COMPUTED_VALUE"""),68.0)</f>
        <v>68</v>
      </c>
      <c r="F8137" s="19" t="str">
        <f>IFERROR(__xludf.DUMMYFUNCTION("""COMPUTED_VALUE"""),"BLUE")</f>
        <v>BLUE</v>
      </c>
      <c r="G8137" s="20" t="str">
        <f>IFERROR(__xludf.DUMMYFUNCTION("""COMPUTED_VALUE"""),"Uncle Sams Cider (11/12/2021) (Blue)")</f>
        <v>Uncle Sams Cider (11/12/2021) (Blue)</v>
      </c>
      <c r="H8137" s="19"/>
    </row>
    <row r="8138">
      <c r="A8138" s="9"/>
      <c r="B8138" s="15"/>
      <c r="C8138" s="9">
        <f>IFERROR(__xludf.DUMMYFUNCTION("""COMPUTED_VALUE"""),44519.8493683912)</f>
        <v>44519.84937</v>
      </c>
      <c r="D8138" s="15">
        <f>IFERROR(__xludf.DUMMYFUNCTION("""COMPUTED_VALUE"""),1.061)</f>
        <v>1.061</v>
      </c>
      <c r="E8138" s="16">
        <f>IFERROR(__xludf.DUMMYFUNCTION("""COMPUTED_VALUE"""),68.0)</f>
        <v>68</v>
      </c>
      <c r="F8138" s="19" t="str">
        <f>IFERROR(__xludf.DUMMYFUNCTION("""COMPUTED_VALUE"""),"BLUE")</f>
        <v>BLUE</v>
      </c>
      <c r="G8138" s="20" t="str">
        <f>IFERROR(__xludf.DUMMYFUNCTION("""COMPUTED_VALUE"""),"Uncle Sams Cider (11/12/2021) (Blue)")</f>
        <v>Uncle Sams Cider (11/12/2021) (Blue)</v>
      </c>
      <c r="H8138" s="19"/>
    </row>
    <row r="8139">
      <c r="A8139" s="9"/>
      <c r="B8139" s="15"/>
      <c r="C8139" s="9">
        <f>IFERROR(__xludf.DUMMYFUNCTION("""COMPUTED_VALUE"""),44519.8389464814)</f>
        <v>44519.83895</v>
      </c>
      <c r="D8139" s="15">
        <f>IFERROR(__xludf.DUMMYFUNCTION("""COMPUTED_VALUE"""),1.061)</f>
        <v>1.061</v>
      </c>
      <c r="E8139" s="16">
        <f>IFERROR(__xludf.DUMMYFUNCTION("""COMPUTED_VALUE"""),68.0)</f>
        <v>68</v>
      </c>
      <c r="F8139" s="19" t="str">
        <f>IFERROR(__xludf.DUMMYFUNCTION("""COMPUTED_VALUE"""),"BLUE")</f>
        <v>BLUE</v>
      </c>
      <c r="G8139" s="20" t="str">
        <f>IFERROR(__xludf.DUMMYFUNCTION("""COMPUTED_VALUE"""),"Uncle Sams Cider (11/12/2021) (Blue)")</f>
        <v>Uncle Sams Cider (11/12/2021) (Blue)</v>
      </c>
      <c r="H8139" s="19"/>
    </row>
    <row r="8140">
      <c r="A8140" s="9"/>
      <c r="B8140" s="15"/>
      <c r="C8140" s="9">
        <f>IFERROR(__xludf.DUMMYFUNCTION("""COMPUTED_VALUE"""),44519.8285243865)</f>
        <v>44519.82852</v>
      </c>
      <c r="D8140" s="15">
        <f>IFERROR(__xludf.DUMMYFUNCTION("""COMPUTED_VALUE"""),1.061)</f>
        <v>1.061</v>
      </c>
      <c r="E8140" s="16">
        <f>IFERROR(__xludf.DUMMYFUNCTION("""COMPUTED_VALUE"""),68.0)</f>
        <v>68</v>
      </c>
      <c r="F8140" s="19" t="str">
        <f>IFERROR(__xludf.DUMMYFUNCTION("""COMPUTED_VALUE"""),"BLUE")</f>
        <v>BLUE</v>
      </c>
      <c r="G8140" s="20" t="str">
        <f>IFERROR(__xludf.DUMMYFUNCTION("""COMPUTED_VALUE"""),"Uncle Sams Cider (11/12/2021) (Blue)")</f>
        <v>Uncle Sams Cider (11/12/2021) (Blue)</v>
      </c>
      <c r="H8140" s="19"/>
    </row>
    <row r="8141">
      <c r="A8141" s="9"/>
      <c r="B8141" s="15"/>
      <c r="C8141" s="9">
        <f>IFERROR(__xludf.DUMMYFUNCTION("""COMPUTED_VALUE"""),44519.8181042245)</f>
        <v>44519.8181</v>
      </c>
      <c r="D8141" s="15">
        <f>IFERROR(__xludf.DUMMYFUNCTION("""COMPUTED_VALUE"""),1.061)</f>
        <v>1.061</v>
      </c>
      <c r="E8141" s="16">
        <f>IFERROR(__xludf.DUMMYFUNCTION("""COMPUTED_VALUE"""),68.0)</f>
        <v>68</v>
      </c>
      <c r="F8141" s="19" t="str">
        <f>IFERROR(__xludf.DUMMYFUNCTION("""COMPUTED_VALUE"""),"BLUE")</f>
        <v>BLUE</v>
      </c>
      <c r="G8141" s="20" t="str">
        <f>IFERROR(__xludf.DUMMYFUNCTION("""COMPUTED_VALUE"""),"Uncle Sams Cider (11/12/2021) (Blue)")</f>
        <v>Uncle Sams Cider (11/12/2021) (Blue)</v>
      </c>
      <c r="H8141" s="19"/>
    </row>
    <row r="8142">
      <c r="A8142" s="9"/>
      <c r="B8142" s="15"/>
      <c r="C8142" s="9">
        <f>IFERROR(__xludf.DUMMYFUNCTION("""COMPUTED_VALUE"""),44519.8076841319)</f>
        <v>44519.80768</v>
      </c>
      <c r="D8142" s="15">
        <f>IFERROR(__xludf.DUMMYFUNCTION("""COMPUTED_VALUE"""),1.061)</f>
        <v>1.061</v>
      </c>
      <c r="E8142" s="16">
        <f>IFERROR(__xludf.DUMMYFUNCTION("""COMPUTED_VALUE"""),68.0)</f>
        <v>68</v>
      </c>
      <c r="F8142" s="19" t="str">
        <f>IFERROR(__xludf.DUMMYFUNCTION("""COMPUTED_VALUE"""),"BLUE")</f>
        <v>BLUE</v>
      </c>
      <c r="G8142" s="20" t="str">
        <f>IFERROR(__xludf.DUMMYFUNCTION("""COMPUTED_VALUE"""),"Uncle Sams Cider (11/12/2021) (Blue)")</f>
        <v>Uncle Sams Cider (11/12/2021) (Blue)</v>
      </c>
      <c r="H8142" s="19"/>
    </row>
    <row r="8143">
      <c r="A8143" s="9"/>
      <c r="B8143" s="15"/>
      <c r="C8143" s="9">
        <f>IFERROR(__xludf.DUMMYFUNCTION("""COMPUTED_VALUE"""),44519.7972640393)</f>
        <v>44519.79726</v>
      </c>
      <c r="D8143" s="15">
        <f>IFERROR(__xludf.DUMMYFUNCTION("""COMPUTED_VALUE"""),1.061)</f>
        <v>1.061</v>
      </c>
      <c r="E8143" s="16">
        <f>IFERROR(__xludf.DUMMYFUNCTION("""COMPUTED_VALUE"""),68.0)</f>
        <v>68</v>
      </c>
      <c r="F8143" s="19" t="str">
        <f>IFERROR(__xludf.DUMMYFUNCTION("""COMPUTED_VALUE"""),"BLUE")</f>
        <v>BLUE</v>
      </c>
      <c r="G8143" s="20" t="str">
        <f>IFERROR(__xludf.DUMMYFUNCTION("""COMPUTED_VALUE"""),"Uncle Sams Cider (11/12/2021) (Blue)")</f>
        <v>Uncle Sams Cider (11/12/2021) (Blue)</v>
      </c>
      <c r="H8143" s="19"/>
    </row>
    <row r="8144">
      <c r="A8144" s="9"/>
      <c r="B8144" s="15"/>
      <c r="C8144" s="9">
        <f>IFERROR(__xludf.DUMMYFUNCTION("""COMPUTED_VALUE"""),44519.7868317476)</f>
        <v>44519.78683</v>
      </c>
      <c r="D8144" s="15">
        <f>IFERROR(__xludf.DUMMYFUNCTION("""COMPUTED_VALUE"""),1.061)</f>
        <v>1.061</v>
      </c>
      <c r="E8144" s="16">
        <f>IFERROR(__xludf.DUMMYFUNCTION("""COMPUTED_VALUE"""),68.0)</f>
        <v>68</v>
      </c>
      <c r="F8144" s="19" t="str">
        <f>IFERROR(__xludf.DUMMYFUNCTION("""COMPUTED_VALUE"""),"BLUE")</f>
        <v>BLUE</v>
      </c>
      <c r="G8144" s="20" t="str">
        <f>IFERROR(__xludf.DUMMYFUNCTION("""COMPUTED_VALUE"""),"Uncle Sams Cider (11/12/2021) (Blue)")</f>
        <v>Uncle Sams Cider (11/12/2021) (Blue)</v>
      </c>
      <c r="H8144" s="19"/>
    </row>
    <row r="8145">
      <c r="A8145" s="9"/>
      <c r="B8145" s="15"/>
      <c r="C8145" s="9">
        <f>IFERROR(__xludf.DUMMYFUNCTION("""COMPUTED_VALUE"""),44519.7764116088)</f>
        <v>44519.77641</v>
      </c>
      <c r="D8145" s="15">
        <f>IFERROR(__xludf.DUMMYFUNCTION("""COMPUTED_VALUE"""),1.061)</f>
        <v>1.061</v>
      </c>
      <c r="E8145" s="16">
        <f>IFERROR(__xludf.DUMMYFUNCTION("""COMPUTED_VALUE"""),68.0)</f>
        <v>68</v>
      </c>
      <c r="F8145" s="19" t="str">
        <f>IFERROR(__xludf.DUMMYFUNCTION("""COMPUTED_VALUE"""),"BLUE")</f>
        <v>BLUE</v>
      </c>
      <c r="G8145" s="20" t="str">
        <f>IFERROR(__xludf.DUMMYFUNCTION("""COMPUTED_VALUE"""),"Uncle Sams Cider (11/12/2021) (Blue)")</f>
        <v>Uncle Sams Cider (11/12/2021) (Blue)</v>
      </c>
      <c r="H8145" s="19"/>
    </row>
    <row r="8146">
      <c r="A8146" s="9"/>
      <c r="B8146" s="15"/>
      <c r="C8146" s="9">
        <f>IFERROR(__xludf.DUMMYFUNCTION("""COMPUTED_VALUE"""),44519.7659910069)</f>
        <v>44519.76599</v>
      </c>
      <c r="D8146" s="15">
        <f>IFERROR(__xludf.DUMMYFUNCTION("""COMPUTED_VALUE"""),1.061)</f>
        <v>1.061</v>
      </c>
      <c r="E8146" s="16">
        <f>IFERROR(__xludf.DUMMYFUNCTION("""COMPUTED_VALUE"""),68.0)</f>
        <v>68</v>
      </c>
      <c r="F8146" s="19" t="str">
        <f>IFERROR(__xludf.DUMMYFUNCTION("""COMPUTED_VALUE"""),"BLUE")</f>
        <v>BLUE</v>
      </c>
      <c r="G8146" s="20" t="str">
        <f>IFERROR(__xludf.DUMMYFUNCTION("""COMPUTED_VALUE"""),"Uncle Sams Cider (11/12/2021) (Blue)")</f>
        <v>Uncle Sams Cider (11/12/2021) (Blue)</v>
      </c>
      <c r="H8146" s="19"/>
    </row>
    <row r="8147">
      <c r="A8147" s="9"/>
      <c r="B8147" s="15"/>
      <c r="C8147" s="9">
        <f>IFERROR(__xludf.DUMMYFUNCTION("""COMPUTED_VALUE"""),44519.7555685763)</f>
        <v>44519.75557</v>
      </c>
      <c r="D8147" s="15">
        <f>IFERROR(__xludf.DUMMYFUNCTION("""COMPUTED_VALUE"""),1.061)</f>
        <v>1.061</v>
      </c>
      <c r="E8147" s="16">
        <f>IFERROR(__xludf.DUMMYFUNCTION("""COMPUTED_VALUE"""),68.0)</f>
        <v>68</v>
      </c>
      <c r="F8147" s="19" t="str">
        <f>IFERROR(__xludf.DUMMYFUNCTION("""COMPUTED_VALUE"""),"BLUE")</f>
        <v>BLUE</v>
      </c>
      <c r="G8147" s="20" t="str">
        <f>IFERROR(__xludf.DUMMYFUNCTION("""COMPUTED_VALUE"""),"Uncle Sams Cider (11/12/2021) (Blue)")</f>
        <v>Uncle Sams Cider (11/12/2021) (Blue)</v>
      </c>
      <c r="H8147" s="19"/>
    </row>
    <row r="8148">
      <c r="A8148" s="9"/>
      <c r="B8148" s="15"/>
      <c r="C8148" s="9">
        <f>IFERROR(__xludf.DUMMYFUNCTION("""COMPUTED_VALUE"""),44519.7451457986)</f>
        <v>44519.74515</v>
      </c>
      <c r="D8148" s="15">
        <f>IFERROR(__xludf.DUMMYFUNCTION("""COMPUTED_VALUE"""),1.061)</f>
        <v>1.061</v>
      </c>
      <c r="E8148" s="16">
        <f>IFERROR(__xludf.DUMMYFUNCTION("""COMPUTED_VALUE"""),68.0)</f>
        <v>68</v>
      </c>
      <c r="F8148" s="19" t="str">
        <f>IFERROR(__xludf.DUMMYFUNCTION("""COMPUTED_VALUE"""),"BLUE")</f>
        <v>BLUE</v>
      </c>
      <c r="G8148" s="20" t="str">
        <f>IFERROR(__xludf.DUMMYFUNCTION("""COMPUTED_VALUE"""),"Uncle Sams Cider (11/12/2021) (Blue)")</f>
        <v>Uncle Sams Cider (11/12/2021) (Blue)</v>
      </c>
      <c r="H8148" s="19"/>
    </row>
    <row r="8149">
      <c r="A8149" s="9"/>
      <c r="B8149" s="15"/>
      <c r="C8149" s="9">
        <f>IFERROR(__xludf.DUMMYFUNCTION("""COMPUTED_VALUE"""),44519.7347261111)</f>
        <v>44519.73473</v>
      </c>
      <c r="D8149" s="15">
        <f>IFERROR(__xludf.DUMMYFUNCTION("""COMPUTED_VALUE"""),1.061)</f>
        <v>1.061</v>
      </c>
      <c r="E8149" s="16">
        <f>IFERROR(__xludf.DUMMYFUNCTION("""COMPUTED_VALUE"""),68.0)</f>
        <v>68</v>
      </c>
      <c r="F8149" s="19" t="str">
        <f>IFERROR(__xludf.DUMMYFUNCTION("""COMPUTED_VALUE"""),"BLUE")</f>
        <v>BLUE</v>
      </c>
      <c r="G8149" s="20" t="str">
        <f>IFERROR(__xludf.DUMMYFUNCTION("""COMPUTED_VALUE"""),"Uncle Sams Cider (11/12/2021) (Blue)")</f>
        <v>Uncle Sams Cider (11/12/2021) (Blue)</v>
      </c>
      <c r="H8149" s="19"/>
    </row>
    <row r="8150">
      <c r="A8150" s="9"/>
      <c r="B8150" s="15"/>
      <c r="C8150" s="9">
        <f>IFERROR(__xludf.DUMMYFUNCTION("""COMPUTED_VALUE"""),44519.7243048726)</f>
        <v>44519.7243</v>
      </c>
      <c r="D8150" s="15">
        <f>IFERROR(__xludf.DUMMYFUNCTION("""COMPUTED_VALUE"""),1.061)</f>
        <v>1.061</v>
      </c>
      <c r="E8150" s="16">
        <f>IFERROR(__xludf.DUMMYFUNCTION("""COMPUTED_VALUE"""),68.0)</f>
        <v>68</v>
      </c>
      <c r="F8150" s="19" t="str">
        <f>IFERROR(__xludf.DUMMYFUNCTION("""COMPUTED_VALUE"""),"BLUE")</f>
        <v>BLUE</v>
      </c>
      <c r="G8150" s="20" t="str">
        <f>IFERROR(__xludf.DUMMYFUNCTION("""COMPUTED_VALUE"""),"Uncle Sams Cider (11/12/2021) (Blue)")</f>
        <v>Uncle Sams Cider (11/12/2021) (Blue)</v>
      </c>
      <c r="H8150" s="19"/>
    </row>
    <row r="8151">
      <c r="A8151" s="9"/>
      <c r="B8151" s="15"/>
      <c r="C8151" s="9">
        <f>IFERROR(__xludf.DUMMYFUNCTION("""COMPUTED_VALUE"""),44519.7138714351)</f>
        <v>44519.71387</v>
      </c>
      <c r="D8151" s="15">
        <f>IFERROR(__xludf.DUMMYFUNCTION("""COMPUTED_VALUE"""),1.061)</f>
        <v>1.061</v>
      </c>
      <c r="E8151" s="16">
        <f>IFERROR(__xludf.DUMMYFUNCTION("""COMPUTED_VALUE"""),68.0)</f>
        <v>68</v>
      </c>
      <c r="F8151" s="19" t="str">
        <f>IFERROR(__xludf.DUMMYFUNCTION("""COMPUTED_VALUE"""),"BLUE")</f>
        <v>BLUE</v>
      </c>
      <c r="G8151" s="20" t="str">
        <f>IFERROR(__xludf.DUMMYFUNCTION("""COMPUTED_VALUE"""),"Uncle Sams Cider (11/12/2021) (Blue)")</f>
        <v>Uncle Sams Cider (11/12/2021) (Blue)</v>
      </c>
      <c r="H8151" s="19"/>
    </row>
    <row r="8152">
      <c r="A8152" s="9"/>
      <c r="B8152" s="15"/>
      <c r="C8152" s="9">
        <f>IFERROR(__xludf.DUMMYFUNCTION("""COMPUTED_VALUE"""),44519.7034501041)</f>
        <v>44519.70345</v>
      </c>
      <c r="D8152" s="15">
        <f>IFERROR(__xludf.DUMMYFUNCTION("""COMPUTED_VALUE"""),1.061)</f>
        <v>1.061</v>
      </c>
      <c r="E8152" s="16">
        <f>IFERROR(__xludf.DUMMYFUNCTION("""COMPUTED_VALUE"""),68.0)</f>
        <v>68</v>
      </c>
      <c r="F8152" s="19" t="str">
        <f>IFERROR(__xludf.DUMMYFUNCTION("""COMPUTED_VALUE"""),"BLUE")</f>
        <v>BLUE</v>
      </c>
      <c r="G8152" s="20" t="str">
        <f>IFERROR(__xludf.DUMMYFUNCTION("""COMPUTED_VALUE"""),"Uncle Sams Cider (11/12/2021) (Blue)")</f>
        <v>Uncle Sams Cider (11/12/2021) (Blue)</v>
      </c>
      <c r="H8152" s="19"/>
    </row>
    <row r="8153">
      <c r="A8153" s="9"/>
      <c r="B8153" s="15"/>
      <c r="C8153" s="9">
        <f>IFERROR(__xludf.DUMMYFUNCTION("""COMPUTED_VALUE"""),44519.6930178587)</f>
        <v>44519.69302</v>
      </c>
      <c r="D8153" s="15">
        <f>IFERROR(__xludf.DUMMYFUNCTION("""COMPUTED_VALUE"""),1.062)</f>
        <v>1.062</v>
      </c>
      <c r="E8153" s="16">
        <f>IFERROR(__xludf.DUMMYFUNCTION("""COMPUTED_VALUE"""),68.0)</f>
        <v>68</v>
      </c>
      <c r="F8153" s="19" t="str">
        <f>IFERROR(__xludf.DUMMYFUNCTION("""COMPUTED_VALUE"""),"BLUE")</f>
        <v>BLUE</v>
      </c>
      <c r="G8153" s="20" t="str">
        <f>IFERROR(__xludf.DUMMYFUNCTION("""COMPUTED_VALUE"""),"Uncle Sams Cider (11/12/2021) (Blue)")</f>
        <v>Uncle Sams Cider (11/12/2021) (Blue)</v>
      </c>
      <c r="H8153" s="19"/>
    </row>
    <row r="8154">
      <c r="A8154" s="9"/>
      <c r="B8154" s="15"/>
      <c r="C8154" s="9">
        <f>IFERROR(__xludf.DUMMYFUNCTION("""COMPUTED_VALUE"""),44519.6825959143)</f>
        <v>44519.6826</v>
      </c>
      <c r="D8154" s="15">
        <f>IFERROR(__xludf.DUMMYFUNCTION("""COMPUTED_VALUE"""),1.062)</f>
        <v>1.062</v>
      </c>
      <c r="E8154" s="16">
        <f>IFERROR(__xludf.DUMMYFUNCTION("""COMPUTED_VALUE"""),68.0)</f>
        <v>68</v>
      </c>
      <c r="F8154" s="19" t="str">
        <f>IFERROR(__xludf.DUMMYFUNCTION("""COMPUTED_VALUE"""),"BLUE")</f>
        <v>BLUE</v>
      </c>
      <c r="G8154" s="20" t="str">
        <f>IFERROR(__xludf.DUMMYFUNCTION("""COMPUTED_VALUE"""),"Uncle Sams Cider (11/12/2021) (Blue)")</f>
        <v>Uncle Sams Cider (11/12/2021) (Blue)</v>
      </c>
      <c r="H8154" s="19"/>
    </row>
    <row r="8155">
      <c r="A8155" s="9"/>
      <c r="B8155" s="15"/>
      <c r="C8155" s="9">
        <f>IFERROR(__xludf.DUMMYFUNCTION("""COMPUTED_VALUE"""),44519.6721739467)</f>
        <v>44519.67217</v>
      </c>
      <c r="D8155" s="15">
        <f>IFERROR(__xludf.DUMMYFUNCTION("""COMPUTED_VALUE"""),1.062)</f>
        <v>1.062</v>
      </c>
      <c r="E8155" s="16">
        <f>IFERROR(__xludf.DUMMYFUNCTION("""COMPUTED_VALUE"""),68.0)</f>
        <v>68</v>
      </c>
      <c r="F8155" s="19" t="str">
        <f>IFERROR(__xludf.DUMMYFUNCTION("""COMPUTED_VALUE"""),"BLUE")</f>
        <v>BLUE</v>
      </c>
      <c r="G8155" s="20" t="str">
        <f>IFERROR(__xludf.DUMMYFUNCTION("""COMPUTED_VALUE"""),"Uncle Sams Cider (11/12/2021) (Blue)")</f>
        <v>Uncle Sams Cider (11/12/2021) (Blue)</v>
      </c>
      <c r="H8155" s="19"/>
    </row>
    <row r="8156">
      <c r="A8156" s="9"/>
      <c r="B8156" s="15"/>
      <c r="C8156" s="9">
        <f>IFERROR(__xludf.DUMMYFUNCTION("""COMPUTED_VALUE"""),44519.6617527083)</f>
        <v>44519.66175</v>
      </c>
      <c r="D8156" s="15">
        <f>IFERROR(__xludf.DUMMYFUNCTION("""COMPUTED_VALUE"""),1.062)</f>
        <v>1.062</v>
      </c>
      <c r="E8156" s="16">
        <f>IFERROR(__xludf.DUMMYFUNCTION("""COMPUTED_VALUE"""),68.0)</f>
        <v>68</v>
      </c>
      <c r="F8156" s="19" t="str">
        <f>IFERROR(__xludf.DUMMYFUNCTION("""COMPUTED_VALUE"""),"BLUE")</f>
        <v>BLUE</v>
      </c>
      <c r="G8156" s="20" t="str">
        <f>IFERROR(__xludf.DUMMYFUNCTION("""COMPUTED_VALUE"""),"Uncle Sams Cider (11/12/2021) (Blue)")</f>
        <v>Uncle Sams Cider (11/12/2021) (Blue)</v>
      </c>
      <c r="H8156" s="19"/>
    </row>
    <row r="8157">
      <c r="A8157" s="9"/>
      <c r="B8157" s="15"/>
      <c r="C8157" s="9">
        <f>IFERROR(__xludf.DUMMYFUNCTION("""COMPUTED_VALUE"""),44519.6513315509)</f>
        <v>44519.65133</v>
      </c>
      <c r="D8157" s="15">
        <f>IFERROR(__xludf.DUMMYFUNCTION("""COMPUTED_VALUE"""),1.062)</f>
        <v>1.062</v>
      </c>
      <c r="E8157" s="16">
        <f>IFERROR(__xludf.DUMMYFUNCTION("""COMPUTED_VALUE"""),68.0)</f>
        <v>68</v>
      </c>
      <c r="F8157" s="19" t="str">
        <f>IFERROR(__xludf.DUMMYFUNCTION("""COMPUTED_VALUE"""),"BLUE")</f>
        <v>BLUE</v>
      </c>
      <c r="G8157" s="20" t="str">
        <f>IFERROR(__xludf.DUMMYFUNCTION("""COMPUTED_VALUE"""),"Uncle Sams Cider (11/12/2021) (Blue)")</f>
        <v>Uncle Sams Cider (11/12/2021) (Blue)</v>
      </c>
      <c r="H8157" s="19"/>
    </row>
    <row r="8158">
      <c r="A8158" s="9"/>
      <c r="B8158" s="15"/>
      <c r="C8158" s="9">
        <f>IFERROR(__xludf.DUMMYFUNCTION("""COMPUTED_VALUE"""),44519.6409114583)</f>
        <v>44519.64091</v>
      </c>
      <c r="D8158" s="15">
        <f>IFERROR(__xludf.DUMMYFUNCTION("""COMPUTED_VALUE"""),1.062)</f>
        <v>1.062</v>
      </c>
      <c r="E8158" s="16">
        <f>IFERROR(__xludf.DUMMYFUNCTION("""COMPUTED_VALUE"""),68.0)</f>
        <v>68</v>
      </c>
      <c r="F8158" s="19" t="str">
        <f>IFERROR(__xludf.DUMMYFUNCTION("""COMPUTED_VALUE"""),"BLUE")</f>
        <v>BLUE</v>
      </c>
      <c r="G8158" s="20" t="str">
        <f>IFERROR(__xludf.DUMMYFUNCTION("""COMPUTED_VALUE"""),"Uncle Sams Cider (11/12/2021) (Blue)")</f>
        <v>Uncle Sams Cider (11/12/2021) (Blue)</v>
      </c>
      <c r="H8158" s="19"/>
    </row>
    <row r="8159">
      <c r="A8159" s="9"/>
      <c r="B8159" s="15"/>
      <c r="C8159" s="9">
        <f>IFERROR(__xludf.DUMMYFUNCTION("""COMPUTED_VALUE"""),44519.6304898726)</f>
        <v>44519.63049</v>
      </c>
      <c r="D8159" s="15">
        <f>IFERROR(__xludf.DUMMYFUNCTION("""COMPUTED_VALUE"""),1.062)</f>
        <v>1.062</v>
      </c>
      <c r="E8159" s="16">
        <f>IFERROR(__xludf.DUMMYFUNCTION("""COMPUTED_VALUE"""),68.0)</f>
        <v>68</v>
      </c>
      <c r="F8159" s="19" t="str">
        <f>IFERROR(__xludf.DUMMYFUNCTION("""COMPUTED_VALUE"""),"BLUE")</f>
        <v>BLUE</v>
      </c>
      <c r="G8159" s="20" t="str">
        <f>IFERROR(__xludf.DUMMYFUNCTION("""COMPUTED_VALUE"""),"Uncle Sams Cider (11/12/2021) (Blue)")</f>
        <v>Uncle Sams Cider (11/12/2021) (Blue)</v>
      </c>
      <c r="H8159" s="19"/>
    </row>
    <row r="8160">
      <c r="A8160" s="9"/>
      <c r="B8160" s="15"/>
      <c r="C8160" s="9">
        <f>IFERROR(__xludf.DUMMYFUNCTION("""COMPUTED_VALUE"""),44519.6200688541)</f>
        <v>44519.62007</v>
      </c>
      <c r="D8160" s="15">
        <f>IFERROR(__xludf.DUMMYFUNCTION("""COMPUTED_VALUE"""),1.062)</f>
        <v>1.062</v>
      </c>
      <c r="E8160" s="16">
        <f>IFERROR(__xludf.DUMMYFUNCTION("""COMPUTED_VALUE"""),68.0)</f>
        <v>68</v>
      </c>
      <c r="F8160" s="19" t="str">
        <f>IFERROR(__xludf.DUMMYFUNCTION("""COMPUTED_VALUE"""),"BLUE")</f>
        <v>BLUE</v>
      </c>
      <c r="G8160" s="20" t="str">
        <f>IFERROR(__xludf.DUMMYFUNCTION("""COMPUTED_VALUE"""),"Uncle Sams Cider (11/12/2021) (Blue)")</f>
        <v>Uncle Sams Cider (11/12/2021) (Blue)</v>
      </c>
      <c r="H8160" s="19"/>
    </row>
    <row r="8161">
      <c r="A8161" s="9"/>
      <c r="B8161" s="15"/>
      <c r="C8161" s="9">
        <f>IFERROR(__xludf.DUMMYFUNCTION("""COMPUTED_VALUE"""),44519.6096359606)</f>
        <v>44519.60964</v>
      </c>
      <c r="D8161" s="15">
        <f>IFERROR(__xludf.DUMMYFUNCTION("""COMPUTED_VALUE"""),1.062)</f>
        <v>1.062</v>
      </c>
      <c r="E8161" s="16">
        <f>IFERROR(__xludf.DUMMYFUNCTION("""COMPUTED_VALUE"""),68.0)</f>
        <v>68</v>
      </c>
      <c r="F8161" s="19" t="str">
        <f>IFERROR(__xludf.DUMMYFUNCTION("""COMPUTED_VALUE"""),"BLUE")</f>
        <v>BLUE</v>
      </c>
      <c r="G8161" s="20" t="str">
        <f>IFERROR(__xludf.DUMMYFUNCTION("""COMPUTED_VALUE"""),"Uncle Sams Cider (11/12/2021) (Blue)")</f>
        <v>Uncle Sams Cider (11/12/2021) (Blue)</v>
      </c>
      <c r="H8161" s="19"/>
    </row>
    <row r="8162">
      <c r="A8162" s="9"/>
      <c r="B8162" s="15"/>
      <c r="C8162" s="9">
        <f>IFERROR(__xludf.DUMMYFUNCTION("""COMPUTED_VALUE"""),44519.5992158449)</f>
        <v>44519.59922</v>
      </c>
      <c r="D8162" s="15">
        <f>IFERROR(__xludf.DUMMYFUNCTION("""COMPUTED_VALUE"""),1.062)</f>
        <v>1.062</v>
      </c>
      <c r="E8162" s="16">
        <f>IFERROR(__xludf.DUMMYFUNCTION("""COMPUTED_VALUE"""),68.0)</f>
        <v>68</v>
      </c>
      <c r="F8162" s="19" t="str">
        <f>IFERROR(__xludf.DUMMYFUNCTION("""COMPUTED_VALUE"""),"BLUE")</f>
        <v>BLUE</v>
      </c>
      <c r="G8162" s="20" t="str">
        <f>IFERROR(__xludf.DUMMYFUNCTION("""COMPUTED_VALUE"""),"Uncle Sams Cider (11/12/2021) (Blue)")</f>
        <v>Uncle Sams Cider (11/12/2021) (Blue)</v>
      </c>
      <c r="H8162" s="19"/>
    </row>
    <row r="8163">
      <c r="A8163" s="9"/>
      <c r="B8163" s="15"/>
      <c r="C8163" s="9">
        <f>IFERROR(__xludf.DUMMYFUNCTION("""COMPUTED_VALUE"""),44519.5887963657)</f>
        <v>44519.5888</v>
      </c>
      <c r="D8163" s="15">
        <f>IFERROR(__xludf.DUMMYFUNCTION("""COMPUTED_VALUE"""),1.062)</f>
        <v>1.062</v>
      </c>
      <c r="E8163" s="16">
        <f>IFERROR(__xludf.DUMMYFUNCTION("""COMPUTED_VALUE"""),68.0)</f>
        <v>68</v>
      </c>
      <c r="F8163" s="19" t="str">
        <f>IFERROR(__xludf.DUMMYFUNCTION("""COMPUTED_VALUE"""),"BLUE")</f>
        <v>BLUE</v>
      </c>
      <c r="G8163" s="20" t="str">
        <f>IFERROR(__xludf.DUMMYFUNCTION("""COMPUTED_VALUE"""),"Uncle Sams Cider (11/12/2021) (Blue)")</f>
        <v>Uncle Sams Cider (11/12/2021) (Blue)</v>
      </c>
      <c r="H8163" s="19"/>
    </row>
    <row r="8164">
      <c r="A8164" s="9"/>
      <c r="B8164" s="15"/>
      <c r="C8164" s="9">
        <f>IFERROR(__xludf.DUMMYFUNCTION("""COMPUTED_VALUE"""),44519.5783645601)</f>
        <v>44519.57836</v>
      </c>
      <c r="D8164" s="15">
        <f>IFERROR(__xludf.DUMMYFUNCTION("""COMPUTED_VALUE"""),1.062)</f>
        <v>1.062</v>
      </c>
      <c r="E8164" s="16">
        <f>IFERROR(__xludf.DUMMYFUNCTION("""COMPUTED_VALUE"""),68.0)</f>
        <v>68</v>
      </c>
      <c r="F8164" s="19" t="str">
        <f>IFERROR(__xludf.DUMMYFUNCTION("""COMPUTED_VALUE"""),"BLUE")</f>
        <v>BLUE</v>
      </c>
      <c r="G8164" s="20" t="str">
        <f>IFERROR(__xludf.DUMMYFUNCTION("""COMPUTED_VALUE"""),"Uncle Sams Cider (11/12/2021) (Blue)")</f>
        <v>Uncle Sams Cider (11/12/2021) (Blue)</v>
      </c>
      <c r="H8164" s="19"/>
    </row>
    <row r="8165">
      <c r="A8165" s="9"/>
      <c r="B8165" s="15"/>
      <c r="C8165" s="9">
        <f>IFERROR(__xludf.DUMMYFUNCTION("""COMPUTED_VALUE"""),44519.5679443171)</f>
        <v>44519.56794</v>
      </c>
      <c r="D8165" s="15">
        <f>IFERROR(__xludf.DUMMYFUNCTION("""COMPUTED_VALUE"""),1.062)</f>
        <v>1.062</v>
      </c>
      <c r="E8165" s="16">
        <f>IFERROR(__xludf.DUMMYFUNCTION("""COMPUTED_VALUE"""),68.0)</f>
        <v>68</v>
      </c>
      <c r="F8165" s="19" t="str">
        <f>IFERROR(__xludf.DUMMYFUNCTION("""COMPUTED_VALUE"""),"BLUE")</f>
        <v>BLUE</v>
      </c>
      <c r="G8165" s="20" t="str">
        <f>IFERROR(__xludf.DUMMYFUNCTION("""COMPUTED_VALUE"""),"Uncle Sams Cider (11/12/2021) (Blue)")</f>
        <v>Uncle Sams Cider (11/12/2021) (Blue)</v>
      </c>
      <c r="H8165" s="19"/>
    </row>
    <row r="8166">
      <c r="A8166" s="9"/>
      <c r="B8166" s="15"/>
      <c r="C8166" s="9">
        <f>IFERROR(__xludf.DUMMYFUNCTION("""COMPUTED_VALUE"""),44519.557521412)</f>
        <v>44519.55752</v>
      </c>
      <c r="D8166" s="15">
        <f>IFERROR(__xludf.DUMMYFUNCTION("""COMPUTED_VALUE"""),1.062)</f>
        <v>1.062</v>
      </c>
      <c r="E8166" s="16">
        <f>IFERROR(__xludf.DUMMYFUNCTION("""COMPUTED_VALUE"""),68.0)</f>
        <v>68</v>
      </c>
      <c r="F8166" s="19" t="str">
        <f>IFERROR(__xludf.DUMMYFUNCTION("""COMPUTED_VALUE"""),"BLUE")</f>
        <v>BLUE</v>
      </c>
      <c r="G8166" s="20" t="str">
        <f>IFERROR(__xludf.DUMMYFUNCTION("""COMPUTED_VALUE"""),"Uncle Sams Cider (11/12/2021) (Blue)")</f>
        <v>Uncle Sams Cider (11/12/2021) (Blue)</v>
      </c>
      <c r="H8166" s="19"/>
    </row>
    <row r="8167">
      <c r="A8167" s="9"/>
      <c r="B8167" s="15"/>
      <c r="C8167" s="9">
        <f>IFERROR(__xludf.DUMMYFUNCTION("""COMPUTED_VALUE"""),44519.5471019675)</f>
        <v>44519.5471</v>
      </c>
      <c r="D8167" s="15">
        <f>IFERROR(__xludf.DUMMYFUNCTION("""COMPUTED_VALUE"""),1.063)</f>
        <v>1.063</v>
      </c>
      <c r="E8167" s="16">
        <f>IFERROR(__xludf.DUMMYFUNCTION("""COMPUTED_VALUE"""),68.0)</f>
        <v>68</v>
      </c>
      <c r="F8167" s="19" t="str">
        <f>IFERROR(__xludf.DUMMYFUNCTION("""COMPUTED_VALUE"""),"BLUE")</f>
        <v>BLUE</v>
      </c>
      <c r="G8167" s="20" t="str">
        <f>IFERROR(__xludf.DUMMYFUNCTION("""COMPUTED_VALUE"""),"Uncle Sams Cider (11/12/2021) (Blue)")</f>
        <v>Uncle Sams Cider (11/12/2021) (Blue)</v>
      </c>
      <c r="H8167" s="19"/>
    </row>
    <row r="8168">
      <c r="A8168" s="9"/>
      <c r="B8168" s="15"/>
      <c r="C8168" s="9">
        <f>IFERROR(__xludf.DUMMYFUNCTION("""COMPUTED_VALUE"""),44519.5366812847)</f>
        <v>44519.53668</v>
      </c>
      <c r="D8168" s="15">
        <f>IFERROR(__xludf.DUMMYFUNCTION("""COMPUTED_VALUE"""),1.063)</f>
        <v>1.063</v>
      </c>
      <c r="E8168" s="16">
        <f>IFERROR(__xludf.DUMMYFUNCTION("""COMPUTED_VALUE"""),68.0)</f>
        <v>68</v>
      </c>
      <c r="F8168" s="19" t="str">
        <f>IFERROR(__xludf.DUMMYFUNCTION("""COMPUTED_VALUE"""),"BLUE")</f>
        <v>BLUE</v>
      </c>
      <c r="G8168" s="20" t="str">
        <f>IFERROR(__xludf.DUMMYFUNCTION("""COMPUTED_VALUE"""),"Uncle Sams Cider (11/12/2021) (Blue)")</f>
        <v>Uncle Sams Cider (11/12/2021) (Blue)</v>
      </c>
      <c r="H8168" s="19"/>
    </row>
    <row r="8169">
      <c r="A8169" s="9"/>
      <c r="B8169" s="15"/>
      <c r="C8169" s="9">
        <f>IFERROR(__xludf.DUMMYFUNCTION("""COMPUTED_VALUE"""),44519.5262590509)</f>
        <v>44519.52626</v>
      </c>
      <c r="D8169" s="15">
        <f>IFERROR(__xludf.DUMMYFUNCTION("""COMPUTED_VALUE"""),1.063)</f>
        <v>1.063</v>
      </c>
      <c r="E8169" s="16">
        <f>IFERROR(__xludf.DUMMYFUNCTION("""COMPUTED_VALUE"""),68.0)</f>
        <v>68</v>
      </c>
      <c r="F8169" s="19" t="str">
        <f>IFERROR(__xludf.DUMMYFUNCTION("""COMPUTED_VALUE"""),"BLUE")</f>
        <v>BLUE</v>
      </c>
      <c r="G8169" s="20" t="str">
        <f>IFERROR(__xludf.DUMMYFUNCTION("""COMPUTED_VALUE"""),"Uncle Sams Cider (11/12/2021) (Blue)")</f>
        <v>Uncle Sams Cider (11/12/2021) (Blue)</v>
      </c>
      <c r="H8169" s="19"/>
    </row>
    <row r="8170">
      <c r="A8170" s="9"/>
      <c r="B8170" s="15"/>
      <c r="C8170" s="9">
        <f>IFERROR(__xludf.DUMMYFUNCTION("""COMPUTED_VALUE"""),44519.5158373842)</f>
        <v>44519.51584</v>
      </c>
      <c r="D8170" s="15">
        <f>IFERROR(__xludf.DUMMYFUNCTION("""COMPUTED_VALUE"""),1.063)</f>
        <v>1.063</v>
      </c>
      <c r="E8170" s="16">
        <f>IFERROR(__xludf.DUMMYFUNCTION("""COMPUTED_VALUE"""),68.0)</f>
        <v>68</v>
      </c>
      <c r="F8170" s="19" t="str">
        <f>IFERROR(__xludf.DUMMYFUNCTION("""COMPUTED_VALUE"""),"BLUE")</f>
        <v>BLUE</v>
      </c>
      <c r="G8170" s="20" t="str">
        <f>IFERROR(__xludf.DUMMYFUNCTION("""COMPUTED_VALUE"""),"Uncle Sams Cider (11/12/2021) (Blue)")</f>
        <v>Uncle Sams Cider (11/12/2021) (Blue)</v>
      </c>
      <c r="H8170" s="19"/>
    </row>
    <row r="8171">
      <c r="A8171" s="9"/>
      <c r="B8171" s="15"/>
      <c r="C8171" s="9">
        <f>IFERROR(__xludf.DUMMYFUNCTION("""COMPUTED_VALUE"""),44519.5054161458)</f>
        <v>44519.50542</v>
      </c>
      <c r="D8171" s="15">
        <f>IFERROR(__xludf.DUMMYFUNCTION("""COMPUTED_VALUE"""),1.063)</f>
        <v>1.063</v>
      </c>
      <c r="E8171" s="16">
        <f>IFERROR(__xludf.DUMMYFUNCTION("""COMPUTED_VALUE"""),68.0)</f>
        <v>68</v>
      </c>
      <c r="F8171" s="19" t="str">
        <f>IFERROR(__xludf.DUMMYFUNCTION("""COMPUTED_VALUE"""),"BLUE")</f>
        <v>BLUE</v>
      </c>
      <c r="G8171" s="20" t="str">
        <f>IFERROR(__xludf.DUMMYFUNCTION("""COMPUTED_VALUE"""),"Uncle Sams Cider (11/12/2021) (Blue)")</f>
        <v>Uncle Sams Cider (11/12/2021) (Blue)</v>
      </c>
      <c r="H8171" s="19"/>
    </row>
    <row r="8172">
      <c r="A8172" s="9"/>
      <c r="B8172" s="15"/>
      <c r="C8172" s="9">
        <f>IFERROR(__xludf.DUMMYFUNCTION("""COMPUTED_VALUE"""),44519.4949962268)</f>
        <v>44519.495</v>
      </c>
      <c r="D8172" s="15">
        <f>IFERROR(__xludf.DUMMYFUNCTION("""COMPUTED_VALUE"""),1.063)</f>
        <v>1.063</v>
      </c>
      <c r="E8172" s="16">
        <f>IFERROR(__xludf.DUMMYFUNCTION("""COMPUTED_VALUE"""),68.0)</f>
        <v>68</v>
      </c>
      <c r="F8172" s="19" t="str">
        <f>IFERROR(__xludf.DUMMYFUNCTION("""COMPUTED_VALUE"""),"BLUE")</f>
        <v>BLUE</v>
      </c>
      <c r="G8172" s="20" t="str">
        <f>IFERROR(__xludf.DUMMYFUNCTION("""COMPUTED_VALUE"""),"Uncle Sams Cider (11/12/2021) (Blue)")</f>
        <v>Uncle Sams Cider (11/12/2021) (Blue)</v>
      </c>
      <c r="H8172" s="19"/>
    </row>
    <row r="8173">
      <c r="A8173" s="9"/>
      <c r="B8173" s="15"/>
      <c r="C8173" s="9">
        <f>IFERROR(__xludf.DUMMYFUNCTION("""COMPUTED_VALUE"""),44519.4845741782)</f>
        <v>44519.48457</v>
      </c>
      <c r="D8173" s="15">
        <f>IFERROR(__xludf.DUMMYFUNCTION("""COMPUTED_VALUE"""),1.063)</f>
        <v>1.063</v>
      </c>
      <c r="E8173" s="16">
        <f>IFERROR(__xludf.DUMMYFUNCTION("""COMPUTED_VALUE"""),68.0)</f>
        <v>68</v>
      </c>
      <c r="F8173" s="19" t="str">
        <f>IFERROR(__xludf.DUMMYFUNCTION("""COMPUTED_VALUE"""),"BLUE")</f>
        <v>BLUE</v>
      </c>
      <c r="G8173" s="20" t="str">
        <f>IFERROR(__xludf.DUMMYFUNCTION("""COMPUTED_VALUE"""),"Uncle Sams Cider (11/12/2021) (Blue)")</f>
        <v>Uncle Sams Cider (11/12/2021) (Blue)</v>
      </c>
      <c r="H8173" s="19"/>
    </row>
    <row r="8174">
      <c r="A8174" s="9"/>
      <c r="B8174" s="15"/>
      <c r="C8174" s="9">
        <f>IFERROR(__xludf.DUMMYFUNCTION("""COMPUTED_VALUE"""),44519.4741530324)</f>
        <v>44519.47415</v>
      </c>
      <c r="D8174" s="15">
        <f>IFERROR(__xludf.DUMMYFUNCTION("""COMPUTED_VALUE"""),1.063)</f>
        <v>1.063</v>
      </c>
      <c r="E8174" s="16">
        <f>IFERROR(__xludf.DUMMYFUNCTION("""COMPUTED_VALUE"""),68.0)</f>
        <v>68</v>
      </c>
      <c r="F8174" s="19" t="str">
        <f>IFERROR(__xludf.DUMMYFUNCTION("""COMPUTED_VALUE"""),"BLUE")</f>
        <v>BLUE</v>
      </c>
      <c r="G8174" s="20" t="str">
        <f>IFERROR(__xludf.DUMMYFUNCTION("""COMPUTED_VALUE"""),"Uncle Sams Cider (11/12/2021) (Blue)")</f>
        <v>Uncle Sams Cider (11/12/2021) (Blue)</v>
      </c>
      <c r="H8174" s="19"/>
    </row>
    <row r="8175">
      <c r="A8175" s="9"/>
      <c r="B8175" s="15"/>
      <c r="C8175" s="9">
        <f>IFERROR(__xludf.DUMMYFUNCTION("""COMPUTED_VALUE"""),44519.4637317476)</f>
        <v>44519.46373</v>
      </c>
      <c r="D8175" s="15">
        <f>IFERROR(__xludf.DUMMYFUNCTION("""COMPUTED_VALUE"""),1.063)</f>
        <v>1.063</v>
      </c>
      <c r="E8175" s="16">
        <f>IFERROR(__xludf.DUMMYFUNCTION("""COMPUTED_VALUE"""),68.0)</f>
        <v>68</v>
      </c>
      <c r="F8175" s="19" t="str">
        <f>IFERROR(__xludf.DUMMYFUNCTION("""COMPUTED_VALUE"""),"BLUE")</f>
        <v>BLUE</v>
      </c>
      <c r="G8175" s="20" t="str">
        <f>IFERROR(__xludf.DUMMYFUNCTION("""COMPUTED_VALUE"""),"Uncle Sams Cider (11/12/2021) (Blue)")</f>
        <v>Uncle Sams Cider (11/12/2021) (Blue)</v>
      </c>
      <c r="H8175" s="19"/>
    </row>
    <row r="8176">
      <c r="A8176" s="9"/>
      <c r="B8176" s="15"/>
      <c r="C8176" s="9">
        <f>IFERROR(__xludf.DUMMYFUNCTION("""COMPUTED_VALUE"""),44519.4533113657)</f>
        <v>44519.45331</v>
      </c>
      <c r="D8176" s="15">
        <f>IFERROR(__xludf.DUMMYFUNCTION("""COMPUTED_VALUE"""),1.063)</f>
        <v>1.063</v>
      </c>
      <c r="E8176" s="16">
        <f>IFERROR(__xludf.DUMMYFUNCTION("""COMPUTED_VALUE"""),68.0)</f>
        <v>68</v>
      </c>
      <c r="F8176" s="19" t="str">
        <f>IFERROR(__xludf.DUMMYFUNCTION("""COMPUTED_VALUE"""),"BLUE")</f>
        <v>BLUE</v>
      </c>
      <c r="G8176" s="20" t="str">
        <f>IFERROR(__xludf.DUMMYFUNCTION("""COMPUTED_VALUE"""),"Uncle Sams Cider (11/12/2021) (Blue)")</f>
        <v>Uncle Sams Cider (11/12/2021) (Blue)</v>
      </c>
      <c r="H8176" s="19"/>
    </row>
    <row r="8177">
      <c r="A8177" s="9"/>
      <c r="B8177" s="15"/>
      <c r="C8177" s="9">
        <f>IFERROR(__xludf.DUMMYFUNCTION("""COMPUTED_VALUE"""),44519.442892118)</f>
        <v>44519.44289</v>
      </c>
      <c r="D8177" s="15">
        <f>IFERROR(__xludf.DUMMYFUNCTION("""COMPUTED_VALUE"""),1.063)</f>
        <v>1.063</v>
      </c>
      <c r="E8177" s="16">
        <f>IFERROR(__xludf.DUMMYFUNCTION("""COMPUTED_VALUE"""),68.0)</f>
        <v>68</v>
      </c>
      <c r="F8177" s="19" t="str">
        <f>IFERROR(__xludf.DUMMYFUNCTION("""COMPUTED_VALUE"""),"BLUE")</f>
        <v>BLUE</v>
      </c>
      <c r="G8177" s="20" t="str">
        <f>IFERROR(__xludf.DUMMYFUNCTION("""COMPUTED_VALUE"""),"Uncle Sams Cider (11/12/2021) (Blue)")</f>
        <v>Uncle Sams Cider (11/12/2021) (Blue)</v>
      </c>
      <c r="H8177" s="19"/>
    </row>
    <row r="8178">
      <c r="A8178" s="9"/>
      <c r="B8178" s="15"/>
      <c r="C8178" s="9">
        <f>IFERROR(__xludf.DUMMYFUNCTION("""COMPUTED_VALUE"""),44519.4324346759)</f>
        <v>44519.43243</v>
      </c>
      <c r="D8178" s="15">
        <f>IFERROR(__xludf.DUMMYFUNCTION("""COMPUTED_VALUE"""),1.063)</f>
        <v>1.063</v>
      </c>
      <c r="E8178" s="16">
        <f>IFERROR(__xludf.DUMMYFUNCTION("""COMPUTED_VALUE"""),68.0)</f>
        <v>68</v>
      </c>
      <c r="F8178" s="19" t="str">
        <f>IFERROR(__xludf.DUMMYFUNCTION("""COMPUTED_VALUE"""),"BLUE")</f>
        <v>BLUE</v>
      </c>
      <c r="G8178" s="20" t="str">
        <f>IFERROR(__xludf.DUMMYFUNCTION("""COMPUTED_VALUE"""),"Uncle Sams Cider (11/12/2021) (Blue)")</f>
        <v>Uncle Sams Cider (11/12/2021) (Blue)</v>
      </c>
      <c r="H8178" s="19"/>
    </row>
    <row r="8179">
      <c r="A8179" s="9"/>
      <c r="B8179" s="15"/>
      <c r="C8179" s="9">
        <f>IFERROR(__xludf.DUMMYFUNCTION("""COMPUTED_VALUE"""),44519.4220131828)</f>
        <v>44519.42201</v>
      </c>
      <c r="D8179" s="15">
        <f>IFERROR(__xludf.DUMMYFUNCTION("""COMPUTED_VALUE"""),1.063)</f>
        <v>1.063</v>
      </c>
      <c r="E8179" s="16">
        <f>IFERROR(__xludf.DUMMYFUNCTION("""COMPUTED_VALUE"""),68.0)</f>
        <v>68</v>
      </c>
      <c r="F8179" s="19" t="str">
        <f>IFERROR(__xludf.DUMMYFUNCTION("""COMPUTED_VALUE"""),"BLUE")</f>
        <v>BLUE</v>
      </c>
      <c r="G8179" s="20" t="str">
        <f>IFERROR(__xludf.DUMMYFUNCTION("""COMPUTED_VALUE"""),"Uncle Sams Cider (11/12/2021) (Blue)")</f>
        <v>Uncle Sams Cider (11/12/2021) (Blue)</v>
      </c>
      <c r="H8179" s="19"/>
    </row>
    <row r="8180">
      <c r="A8180" s="9"/>
      <c r="B8180" s="15"/>
      <c r="C8180" s="9">
        <f>IFERROR(__xludf.DUMMYFUNCTION("""COMPUTED_VALUE"""),44519.4115806134)</f>
        <v>44519.41158</v>
      </c>
      <c r="D8180" s="15">
        <f>IFERROR(__xludf.DUMMYFUNCTION("""COMPUTED_VALUE"""),1.063)</f>
        <v>1.063</v>
      </c>
      <c r="E8180" s="16">
        <f>IFERROR(__xludf.DUMMYFUNCTION("""COMPUTED_VALUE"""),68.0)</f>
        <v>68</v>
      </c>
      <c r="F8180" s="19" t="str">
        <f>IFERROR(__xludf.DUMMYFUNCTION("""COMPUTED_VALUE"""),"BLUE")</f>
        <v>BLUE</v>
      </c>
      <c r="G8180" s="20" t="str">
        <f>IFERROR(__xludf.DUMMYFUNCTION("""COMPUTED_VALUE"""),"Uncle Sams Cider (11/12/2021) (Blue)")</f>
        <v>Uncle Sams Cider (11/12/2021) (Blue)</v>
      </c>
      <c r="H8180" s="19"/>
    </row>
    <row r="8181">
      <c r="A8181" s="9"/>
      <c r="B8181" s="15"/>
      <c r="C8181" s="9">
        <f>IFERROR(__xludf.DUMMYFUNCTION("""COMPUTED_VALUE"""),44519.4011590393)</f>
        <v>44519.40116</v>
      </c>
      <c r="D8181" s="15">
        <f>IFERROR(__xludf.DUMMYFUNCTION("""COMPUTED_VALUE"""),1.064)</f>
        <v>1.064</v>
      </c>
      <c r="E8181" s="16">
        <f>IFERROR(__xludf.DUMMYFUNCTION("""COMPUTED_VALUE"""),68.0)</f>
        <v>68</v>
      </c>
      <c r="F8181" s="19" t="str">
        <f>IFERROR(__xludf.DUMMYFUNCTION("""COMPUTED_VALUE"""),"BLUE")</f>
        <v>BLUE</v>
      </c>
      <c r="G8181" s="20" t="str">
        <f>IFERROR(__xludf.DUMMYFUNCTION("""COMPUTED_VALUE"""),"Uncle Sams Cider (11/12/2021) (Blue)")</f>
        <v>Uncle Sams Cider (11/12/2021) (Blue)</v>
      </c>
      <c r="H8181" s="19"/>
    </row>
    <row r="8182">
      <c r="A8182" s="9"/>
      <c r="B8182" s="15"/>
      <c r="C8182" s="9">
        <f>IFERROR(__xludf.DUMMYFUNCTION("""COMPUTED_VALUE"""),44519.3907354861)</f>
        <v>44519.39074</v>
      </c>
      <c r="D8182" s="15">
        <f>IFERROR(__xludf.DUMMYFUNCTION("""COMPUTED_VALUE"""),1.064)</f>
        <v>1.064</v>
      </c>
      <c r="E8182" s="16">
        <f>IFERROR(__xludf.DUMMYFUNCTION("""COMPUTED_VALUE"""),68.0)</f>
        <v>68</v>
      </c>
      <c r="F8182" s="19" t="str">
        <f>IFERROR(__xludf.DUMMYFUNCTION("""COMPUTED_VALUE"""),"BLUE")</f>
        <v>BLUE</v>
      </c>
      <c r="G8182" s="20" t="str">
        <f>IFERROR(__xludf.DUMMYFUNCTION("""COMPUTED_VALUE"""),"Uncle Sams Cider (11/12/2021) (Blue)")</f>
        <v>Uncle Sams Cider (11/12/2021) (Blue)</v>
      </c>
      <c r="H8182" s="19"/>
    </row>
    <row r="8183">
      <c r="A8183" s="9"/>
      <c r="B8183" s="15"/>
      <c r="C8183" s="9">
        <f>IFERROR(__xludf.DUMMYFUNCTION("""COMPUTED_VALUE"""),44519.3803134606)</f>
        <v>44519.38031</v>
      </c>
      <c r="D8183" s="15">
        <f>IFERROR(__xludf.DUMMYFUNCTION("""COMPUTED_VALUE"""),1.064)</f>
        <v>1.064</v>
      </c>
      <c r="E8183" s="16">
        <f>IFERROR(__xludf.DUMMYFUNCTION("""COMPUTED_VALUE"""),68.0)</f>
        <v>68</v>
      </c>
      <c r="F8183" s="19" t="str">
        <f>IFERROR(__xludf.DUMMYFUNCTION("""COMPUTED_VALUE"""),"BLUE")</f>
        <v>BLUE</v>
      </c>
      <c r="G8183" s="20" t="str">
        <f>IFERROR(__xludf.DUMMYFUNCTION("""COMPUTED_VALUE"""),"Uncle Sams Cider (11/12/2021) (Blue)")</f>
        <v>Uncle Sams Cider (11/12/2021) (Blue)</v>
      </c>
      <c r="H8183" s="19"/>
    </row>
    <row r="8184">
      <c r="A8184" s="9"/>
      <c r="B8184" s="15"/>
      <c r="C8184" s="9">
        <f>IFERROR(__xludf.DUMMYFUNCTION("""COMPUTED_VALUE"""),44519.3698927777)</f>
        <v>44519.36989</v>
      </c>
      <c r="D8184" s="15">
        <f>IFERROR(__xludf.DUMMYFUNCTION("""COMPUTED_VALUE"""),1.064)</f>
        <v>1.064</v>
      </c>
      <c r="E8184" s="16">
        <f>IFERROR(__xludf.DUMMYFUNCTION("""COMPUTED_VALUE"""),68.0)</f>
        <v>68</v>
      </c>
      <c r="F8184" s="19" t="str">
        <f>IFERROR(__xludf.DUMMYFUNCTION("""COMPUTED_VALUE"""),"BLUE")</f>
        <v>BLUE</v>
      </c>
      <c r="G8184" s="20" t="str">
        <f>IFERROR(__xludf.DUMMYFUNCTION("""COMPUTED_VALUE"""),"Uncle Sams Cider (11/12/2021) (Blue)")</f>
        <v>Uncle Sams Cider (11/12/2021) (Blue)</v>
      </c>
      <c r="H8184" s="19"/>
    </row>
    <row r="8185">
      <c r="A8185" s="9"/>
      <c r="B8185" s="15"/>
      <c r="C8185" s="9">
        <f>IFERROR(__xludf.DUMMYFUNCTION("""COMPUTED_VALUE"""),44519.3594716203)</f>
        <v>44519.35947</v>
      </c>
      <c r="D8185" s="15">
        <f>IFERROR(__xludf.DUMMYFUNCTION("""COMPUTED_VALUE"""),1.064)</f>
        <v>1.064</v>
      </c>
      <c r="E8185" s="16">
        <f>IFERROR(__xludf.DUMMYFUNCTION("""COMPUTED_VALUE"""),68.0)</f>
        <v>68</v>
      </c>
      <c r="F8185" s="19" t="str">
        <f>IFERROR(__xludf.DUMMYFUNCTION("""COMPUTED_VALUE"""),"BLUE")</f>
        <v>BLUE</v>
      </c>
      <c r="G8185" s="20" t="str">
        <f>IFERROR(__xludf.DUMMYFUNCTION("""COMPUTED_VALUE"""),"Uncle Sams Cider (11/12/2021) (Blue)")</f>
        <v>Uncle Sams Cider (11/12/2021) (Blue)</v>
      </c>
      <c r="H8185" s="19"/>
    </row>
    <row r="8186">
      <c r="A8186" s="9"/>
      <c r="B8186" s="15"/>
      <c r="C8186" s="9">
        <f>IFERROR(__xludf.DUMMYFUNCTION("""COMPUTED_VALUE"""),44519.349039699)</f>
        <v>44519.34904</v>
      </c>
      <c r="D8186" s="15">
        <f>IFERROR(__xludf.DUMMYFUNCTION("""COMPUTED_VALUE"""),1.064)</f>
        <v>1.064</v>
      </c>
      <c r="E8186" s="16">
        <f>IFERROR(__xludf.DUMMYFUNCTION("""COMPUTED_VALUE"""),68.0)</f>
        <v>68</v>
      </c>
      <c r="F8186" s="19" t="str">
        <f>IFERROR(__xludf.DUMMYFUNCTION("""COMPUTED_VALUE"""),"BLUE")</f>
        <v>BLUE</v>
      </c>
      <c r="G8186" s="20" t="str">
        <f>IFERROR(__xludf.DUMMYFUNCTION("""COMPUTED_VALUE"""),"Uncle Sams Cider (11/12/2021) (Blue)")</f>
        <v>Uncle Sams Cider (11/12/2021) (Blue)</v>
      </c>
      <c r="H8186" s="19"/>
    </row>
    <row r="8187">
      <c r="A8187" s="9"/>
      <c r="B8187" s="15"/>
      <c r="C8187" s="9">
        <f>IFERROR(__xludf.DUMMYFUNCTION("""COMPUTED_VALUE"""),44519.3386207754)</f>
        <v>44519.33862</v>
      </c>
      <c r="D8187" s="15">
        <f>IFERROR(__xludf.DUMMYFUNCTION("""COMPUTED_VALUE"""),1.064)</f>
        <v>1.064</v>
      </c>
      <c r="E8187" s="16">
        <f>IFERROR(__xludf.DUMMYFUNCTION("""COMPUTED_VALUE"""),68.0)</f>
        <v>68</v>
      </c>
      <c r="F8187" s="19" t="str">
        <f>IFERROR(__xludf.DUMMYFUNCTION("""COMPUTED_VALUE"""),"BLUE")</f>
        <v>BLUE</v>
      </c>
      <c r="G8187" s="20" t="str">
        <f>IFERROR(__xludf.DUMMYFUNCTION("""COMPUTED_VALUE"""),"Uncle Sams Cider (11/12/2021) (Blue)")</f>
        <v>Uncle Sams Cider (11/12/2021) (Blue)</v>
      </c>
      <c r="H8187" s="19"/>
    </row>
    <row r="8188">
      <c r="A8188" s="9"/>
      <c r="B8188" s="15"/>
      <c r="C8188" s="9">
        <f>IFERROR(__xludf.DUMMYFUNCTION("""COMPUTED_VALUE"""),44519.3281998148)</f>
        <v>44519.3282</v>
      </c>
      <c r="D8188" s="15">
        <f>IFERROR(__xludf.DUMMYFUNCTION("""COMPUTED_VALUE"""),1.064)</f>
        <v>1.064</v>
      </c>
      <c r="E8188" s="16">
        <f>IFERROR(__xludf.DUMMYFUNCTION("""COMPUTED_VALUE"""),68.0)</f>
        <v>68</v>
      </c>
      <c r="F8188" s="19" t="str">
        <f>IFERROR(__xludf.DUMMYFUNCTION("""COMPUTED_VALUE"""),"BLUE")</f>
        <v>BLUE</v>
      </c>
      <c r="G8188" s="20" t="str">
        <f>IFERROR(__xludf.DUMMYFUNCTION("""COMPUTED_VALUE"""),"Uncle Sams Cider (11/12/2021) (Blue)")</f>
        <v>Uncle Sams Cider (11/12/2021) (Blue)</v>
      </c>
      <c r="H8188" s="19"/>
    </row>
    <row r="8189">
      <c r="A8189" s="9"/>
      <c r="B8189" s="15"/>
      <c r="C8189" s="9">
        <f>IFERROR(__xludf.DUMMYFUNCTION("""COMPUTED_VALUE"""),44519.3177544097)</f>
        <v>44519.31775</v>
      </c>
      <c r="D8189" s="15">
        <f>IFERROR(__xludf.DUMMYFUNCTION("""COMPUTED_VALUE"""),1.064)</f>
        <v>1.064</v>
      </c>
      <c r="E8189" s="16">
        <f>IFERROR(__xludf.DUMMYFUNCTION("""COMPUTED_VALUE"""),68.0)</f>
        <v>68</v>
      </c>
      <c r="F8189" s="19" t="str">
        <f>IFERROR(__xludf.DUMMYFUNCTION("""COMPUTED_VALUE"""),"BLUE")</f>
        <v>BLUE</v>
      </c>
      <c r="G8189" s="20" t="str">
        <f>IFERROR(__xludf.DUMMYFUNCTION("""COMPUTED_VALUE"""),"Uncle Sams Cider (11/12/2021) (Blue)")</f>
        <v>Uncle Sams Cider (11/12/2021) (Blue)</v>
      </c>
      <c r="H8189" s="19"/>
    </row>
    <row r="8190">
      <c r="A8190" s="9"/>
      <c r="B8190" s="15"/>
      <c r="C8190" s="9">
        <f>IFERROR(__xludf.DUMMYFUNCTION("""COMPUTED_VALUE"""),44519.3073332291)</f>
        <v>44519.30733</v>
      </c>
      <c r="D8190" s="15">
        <f>IFERROR(__xludf.DUMMYFUNCTION("""COMPUTED_VALUE"""),1.064)</f>
        <v>1.064</v>
      </c>
      <c r="E8190" s="16">
        <f>IFERROR(__xludf.DUMMYFUNCTION("""COMPUTED_VALUE"""),68.0)</f>
        <v>68</v>
      </c>
      <c r="F8190" s="19" t="str">
        <f>IFERROR(__xludf.DUMMYFUNCTION("""COMPUTED_VALUE"""),"BLUE")</f>
        <v>BLUE</v>
      </c>
      <c r="G8190" s="20" t="str">
        <f>IFERROR(__xludf.DUMMYFUNCTION("""COMPUTED_VALUE"""),"Uncle Sams Cider (11/12/2021) (Blue)")</f>
        <v>Uncle Sams Cider (11/12/2021) (Blue)</v>
      </c>
      <c r="H8190" s="19"/>
    </row>
    <row r="8191">
      <c r="A8191" s="9"/>
      <c r="B8191" s="15"/>
      <c r="C8191" s="9">
        <f>IFERROR(__xludf.DUMMYFUNCTION("""COMPUTED_VALUE"""),44519.2969111574)</f>
        <v>44519.29691</v>
      </c>
      <c r="D8191" s="15">
        <f>IFERROR(__xludf.DUMMYFUNCTION("""COMPUTED_VALUE"""),1.064)</f>
        <v>1.064</v>
      </c>
      <c r="E8191" s="16">
        <f>IFERROR(__xludf.DUMMYFUNCTION("""COMPUTED_VALUE"""),68.0)</f>
        <v>68</v>
      </c>
      <c r="F8191" s="19" t="str">
        <f>IFERROR(__xludf.DUMMYFUNCTION("""COMPUTED_VALUE"""),"BLUE")</f>
        <v>BLUE</v>
      </c>
      <c r="G8191" s="20" t="str">
        <f>IFERROR(__xludf.DUMMYFUNCTION("""COMPUTED_VALUE"""),"Uncle Sams Cider (11/12/2021) (Blue)")</f>
        <v>Uncle Sams Cider (11/12/2021) (Blue)</v>
      </c>
      <c r="H8191" s="19"/>
    </row>
    <row r="8192">
      <c r="A8192" s="9"/>
      <c r="B8192" s="15"/>
      <c r="C8192" s="9">
        <f>IFERROR(__xludf.DUMMYFUNCTION("""COMPUTED_VALUE"""),44519.2864915162)</f>
        <v>44519.28649</v>
      </c>
      <c r="D8192" s="15">
        <f>IFERROR(__xludf.DUMMYFUNCTION("""COMPUTED_VALUE"""),1.064)</f>
        <v>1.064</v>
      </c>
      <c r="E8192" s="16">
        <f>IFERROR(__xludf.DUMMYFUNCTION("""COMPUTED_VALUE"""),68.0)</f>
        <v>68</v>
      </c>
      <c r="F8192" s="19" t="str">
        <f>IFERROR(__xludf.DUMMYFUNCTION("""COMPUTED_VALUE"""),"BLUE")</f>
        <v>BLUE</v>
      </c>
      <c r="G8192" s="20" t="str">
        <f>IFERROR(__xludf.DUMMYFUNCTION("""COMPUTED_VALUE"""),"Uncle Sams Cider (11/12/2021) (Blue)")</f>
        <v>Uncle Sams Cider (11/12/2021) (Blue)</v>
      </c>
      <c r="H8192" s="19"/>
    </row>
    <row r="8193">
      <c r="A8193" s="9"/>
      <c r="B8193" s="15"/>
      <c r="C8193" s="9">
        <f>IFERROR(__xludf.DUMMYFUNCTION("""COMPUTED_VALUE"""),44519.2760709606)</f>
        <v>44519.27607</v>
      </c>
      <c r="D8193" s="15">
        <f>IFERROR(__xludf.DUMMYFUNCTION("""COMPUTED_VALUE"""),1.064)</f>
        <v>1.064</v>
      </c>
      <c r="E8193" s="16">
        <f>IFERROR(__xludf.DUMMYFUNCTION("""COMPUTED_VALUE"""),68.0)</f>
        <v>68</v>
      </c>
      <c r="F8193" s="19" t="str">
        <f>IFERROR(__xludf.DUMMYFUNCTION("""COMPUTED_VALUE"""),"BLUE")</f>
        <v>BLUE</v>
      </c>
      <c r="G8193" s="20" t="str">
        <f>IFERROR(__xludf.DUMMYFUNCTION("""COMPUTED_VALUE"""),"Uncle Sams Cider (11/12/2021) (Blue)")</f>
        <v>Uncle Sams Cider (11/12/2021) (Blue)</v>
      </c>
      <c r="H8193" s="19"/>
    </row>
    <row r="8194">
      <c r="A8194" s="9"/>
      <c r="B8194" s="15"/>
      <c r="C8194" s="9">
        <f>IFERROR(__xludf.DUMMYFUNCTION("""COMPUTED_VALUE"""),44519.2656499305)</f>
        <v>44519.26565</v>
      </c>
      <c r="D8194" s="15">
        <f>IFERROR(__xludf.DUMMYFUNCTION("""COMPUTED_VALUE"""),1.064)</f>
        <v>1.064</v>
      </c>
      <c r="E8194" s="16">
        <f>IFERROR(__xludf.DUMMYFUNCTION("""COMPUTED_VALUE"""),68.0)</f>
        <v>68</v>
      </c>
      <c r="F8194" s="19" t="str">
        <f>IFERROR(__xludf.DUMMYFUNCTION("""COMPUTED_VALUE"""),"BLUE")</f>
        <v>BLUE</v>
      </c>
      <c r="G8194" s="20" t="str">
        <f>IFERROR(__xludf.DUMMYFUNCTION("""COMPUTED_VALUE"""),"Uncle Sams Cider (11/12/2021) (Blue)")</f>
        <v>Uncle Sams Cider (11/12/2021) (Blue)</v>
      </c>
      <c r="H8194" s="19"/>
    </row>
    <row r="8195">
      <c r="A8195" s="9"/>
      <c r="B8195" s="15"/>
      <c r="C8195" s="9">
        <f>IFERROR(__xludf.DUMMYFUNCTION("""COMPUTED_VALUE"""),44519.2552276157)</f>
        <v>44519.25523</v>
      </c>
      <c r="D8195" s="15">
        <f>IFERROR(__xludf.DUMMYFUNCTION("""COMPUTED_VALUE"""),1.064)</f>
        <v>1.064</v>
      </c>
      <c r="E8195" s="16">
        <f>IFERROR(__xludf.DUMMYFUNCTION("""COMPUTED_VALUE"""),68.0)</f>
        <v>68</v>
      </c>
      <c r="F8195" s="19" t="str">
        <f>IFERROR(__xludf.DUMMYFUNCTION("""COMPUTED_VALUE"""),"BLUE")</f>
        <v>BLUE</v>
      </c>
      <c r="G8195" s="20" t="str">
        <f>IFERROR(__xludf.DUMMYFUNCTION("""COMPUTED_VALUE"""),"Uncle Sams Cider (11/12/2021) (Blue)")</f>
        <v>Uncle Sams Cider (11/12/2021) (Blue)</v>
      </c>
      <c r="H8195" s="19"/>
    </row>
    <row r="8196">
      <c r="A8196" s="9"/>
      <c r="B8196" s="15"/>
      <c r="C8196" s="9">
        <f>IFERROR(__xludf.DUMMYFUNCTION("""COMPUTED_VALUE"""),44519.2448085995)</f>
        <v>44519.24481</v>
      </c>
      <c r="D8196" s="15">
        <f>IFERROR(__xludf.DUMMYFUNCTION("""COMPUTED_VALUE"""),1.064)</f>
        <v>1.064</v>
      </c>
      <c r="E8196" s="16">
        <f>IFERROR(__xludf.DUMMYFUNCTION("""COMPUTED_VALUE"""),67.0)</f>
        <v>67</v>
      </c>
      <c r="F8196" s="19" t="str">
        <f>IFERROR(__xludf.DUMMYFUNCTION("""COMPUTED_VALUE"""),"BLUE")</f>
        <v>BLUE</v>
      </c>
      <c r="G8196" s="20" t="str">
        <f>IFERROR(__xludf.DUMMYFUNCTION("""COMPUTED_VALUE"""),"Uncle Sams Cider (11/12/2021) (Blue)")</f>
        <v>Uncle Sams Cider (11/12/2021) (Blue)</v>
      </c>
      <c r="H8196" s="19"/>
    </row>
    <row r="8197">
      <c r="A8197" s="9"/>
      <c r="B8197" s="15"/>
      <c r="C8197" s="9">
        <f>IFERROR(__xludf.DUMMYFUNCTION("""COMPUTED_VALUE"""),44519.2343872222)</f>
        <v>44519.23439</v>
      </c>
      <c r="D8197" s="15">
        <f>IFERROR(__xludf.DUMMYFUNCTION("""COMPUTED_VALUE"""),1.064)</f>
        <v>1.064</v>
      </c>
      <c r="E8197" s="16">
        <f>IFERROR(__xludf.DUMMYFUNCTION("""COMPUTED_VALUE"""),68.0)</f>
        <v>68</v>
      </c>
      <c r="F8197" s="19" t="str">
        <f>IFERROR(__xludf.DUMMYFUNCTION("""COMPUTED_VALUE"""),"BLUE")</f>
        <v>BLUE</v>
      </c>
      <c r="G8197" s="20" t="str">
        <f>IFERROR(__xludf.DUMMYFUNCTION("""COMPUTED_VALUE"""),"Uncle Sams Cider (11/12/2021) (Blue)")</f>
        <v>Uncle Sams Cider (11/12/2021) (Blue)</v>
      </c>
      <c r="H8197" s="19"/>
    </row>
    <row r="8198">
      <c r="A8198" s="9"/>
      <c r="B8198" s="15"/>
      <c r="C8198" s="9">
        <f>IFERROR(__xludf.DUMMYFUNCTION("""COMPUTED_VALUE"""),44519.2239657407)</f>
        <v>44519.22397</v>
      </c>
      <c r="D8198" s="15">
        <f>IFERROR(__xludf.DUMMYFUNCTION("""COMPUTED_VALUE"""),1.065)</f>
        <v>1.065</v>
      </c>
      <c r="E8198" s="16">
        <f>IFERROR(__xludf.DUMMYFUNCTION("""COMPUTED_VALUE"""),67.0)</f>
        <v>67</v>
      </c>
      <c r="F8198" s="19" t="str">
        <f>IFERROR(__xludf.DUMMYFUNCTION("""COMPUTED_VALUE"""),"BLUE")</f>
        <v>BLUE</v>
      </c>
      <c r="G8198" s="20" t="str">
        <f>IFERROR(__xludf.DUMMYFUNCTION("""COMPUTED_VALUE"""),"Uncle Sams Cider (11/12/2021) (Blue)")</f>
        <v>Uncle Sams Cider (11/12/2021) (Blue)</v>
      </c>
      <c r="H8198" s="19"/>
    </row>
    <row r="8199">
      <c r="A8199" s="9"/>
      <c r="B8199" s="15"/>
      <c r="C8199" s="9">
        <f>IFERROR(__xludf.DUMMYFUNCTION("""COMPUTED_VALUE"""),44519.2135453009)</f>
        <v>44519.21355</v>
      </c>
      <c r="D8199" s="15">
        <f>IFERROR(__xludf.DUMMYFUNCTION("""COMPUTED_VALUE"""),1.064)</f>
        <v>1.064</v>
      </c>
      <c r="E8199" s="16">
        <f>IFERROR(__xludf.DUMMYFUNCTION("""COMPUTED_VALUE"""),67.0)</f>
        <v>67</v>
      </c>
      <c r="F8199" s="19" t="str">
        <f>IFERROR(__xludf.DUMMYFUNCTION("""COMPUTED_VALUE"""),"BLUE")</f>
        <v>BLUE</v>
      </c>
      <c r="G8199" s="20" t="str">
        <f>IFERROR(__xludf.DUMMYFUNCTION("""COMPUTED_VALUE"""),"Uncle Sams Cider (11/12/2021) (Blue)")</f>
        <v>Uncle Sams Cider (11/12/2021) (Blue)</v>
      </c>
      <c r="H8199" s="19"/>
    </row>
    <row r="8200">
      <c r="A8200" s="9"/>
      <c r="B8200" s="15"/>
      <c r="C8200" s="9">
        <f>IFERROR(__xludf.DUMMYFUNCTION("""COMPUTED_VALUE"""),44519.2031240161)</f>
        <v>44519.20312</v>
      </c>
      <c r="D8200" s="15">
        <f>IFERROR(__xludf.DUMMYFUNCTION("""COMPUTED_VALUE"""),1.065)</f>
        <v>1.065</v>
      </c>
      <c r="E8200" s="16">
        <f>IFERROR(__xludf.DUMMYFUNCTION("""COMPUTED_VALUE"""),68.0)</f>
        <v>68</v>
      </c>
      <c r="F8200" s="19" t="str">
        <f>IFERROR(__xludf.DUMMYFUNCTION("""COMPUTED_VALUE"""),"BLUE")</f>
        <v>BLUE</v>
      </c>
      <c r="G8200" s="20" t="str">
        <f>IFERROR(__xludf.DUMMYFUNCTION("""COMPUTED_VALUE"""),"Uncle Sams Cider (11/12/2021) (Blue)")</f>
        <v>Uncle Sams Cider (11/12/2021) (Blue)</v>
      </c>
      <c r="H8200" s="19"/>
    </row>
    <row r="8201">
      <c r="A8201" s="9"/>
      <c r="B8201" s="15"/>
      <c r="C8201" s="9">
        <f>IFERROR(__xludf.DUMMYFUNCTION("""COMPUTED_VALUE"""),44519.192701956)</f>
        <v>44519.1927</v>
      </c>
      <c r="D8201" s="15">
        <f>IFERROR(__xludf.DUMMYFUNCTION("""COMPUTED_VALUE"""),1.065)</f>
        <v>1.065</v>
      </c>
      <c r="E8201" s="16">
        <f>IFERROR(__xludf.DUMMYFUNCTION("""COMPUTED_VALUE"""),67.0)</f>
        <v>67</v>
      </c>
      <c r="F8201" s="19" t="str">
        <f>IFERROR(__xludf.DUMMYFUNCTION("""COMPUTED_VALUE"""),"BLUE")</f>
        <v>BLUE</v>
      </c>
      <c r="G8201" s="20" t="str">
        <f>IFERROR(__xludf.DUMMYFUNCTION("""COMPUTED_VALUE"""),"Uncle Sams Cider (11/12/2021) (Blue)")</f>
        <v>Uncle Sams Cider (11/12/2021) (Blue)</v>
      </c>
      <c r="H8201" s="19"/>
    </row>
    <row r="8202">
      <c r="A8202" s="9"/>
      <c r="B8202" s="15"/>
      <c r="C8202" s="9">
        <f>IFERROR(__xludf.DUMMYFUNCTION("""COMPUTED_VALUE"""),44519.1822811342)</f>
        <v>44519.18228</v>
      </c>
      <c r="D8202" s="15">
        <f>IFERROR(__xludf.DUMMYFUNCTION("""COMPUTED_VALUE"""),1.065)</f>
        <v>1.065</v>
      </c>
      <c r="E8202" s="16">
        <f>IFERROR(__xludf.DUMMYFUNCTION("""COMPUTED_VALUE"""),67.0)</f>
        <v>67</v>
      </c>
      <c r="F8202" s="19" t="str">
        <f>IFERROR(__xludf.DUMMYFUNCTION("""COMPUTED_VALUE"""),"BLUE")</f>
        <v>BLUE</v>
      </c>
      <c r="G8202" s="20" t="str">
        <f>IFERROR(__xludf.DUMMYFUNCTION("""COMPUTED_VALUE"""),"Uncle Sams Cider (11/12/2021) (Blue)")</f>
        <v>Uncle Sams Cider (11/12/2021) (Blue)</v>
      </c>
      <c r="H8202" s="19"/>
    </row>
    <row r="8203">
      <c r="A8203" s="9"/>
      <c r="B8203" s="15"/>
      <c r="C8203" s="9">
        <f>IFERROR(__xludf.DUMMYFUNCTION("""COMPUTED_VALUE"""),44519.1718601388)</f>
        <v>44519.17186</v>
      </c>
      <c r="D8203" s="15">
        <f>IFERROR(__xludf.DUMMYFUNCTION("""COMPUTED_VALUE"""),1.065)</f>
        <v>1.065</v>
      </c>
      <c r="E8203" s="16">
        <f>IFERROR(__xludf.DUMMYFUNCTION("""COMPUTED_VALUE"""),67.0)</f>
        <v>67</v>
      </c>
      <c r="F8203" s="19" t="str">
        <f>IFERROR(__xludf.DUMMYFUNCTION("""COMPUTED_VALUE"""),"BLUE")</f>
        <v>BLUE</v>
      </c>
      <c r="G8203" s="20" t="str">
        <f>IFERROR(__xludf.DUMMYFUNCTION("""COMPUTED_VALUE"""),"Uncle Sams Cider (11/12/2021) (Blue)")</f>
        <v>Uncle Sams Cider (11/12/2021) (Blue)</v>
      </c>
      <c r="H8203" s="19"/>
    </row>
    <row r="8204">
      <c r="A8204" s="9"/>
      <c r="B8204" s="15"/>
      <c r="C8204" s="9">
        <f>IFERROR(__xludf.DUMMYFUNCTION("""COMPUTED_VALUE"""),44519.1614386342)</f>
        <v>44519.16144</v>
      </c>
      <c r="D8204" s="15">
        <f>IFERROR(__xludf.DUMMYFUNCTION("""COMPUTED_VALUE"""),1.065)</f>
        <v>1.065</v>
      </c>
      <c r="E8204" s="16">
        <f>IFERROR(__xludf.DUMMYFUNCTION("""COMPUTED_VALUE"""),67.0)</f>
        <v>67</v>
      </c>
      <c r="F8204" s="19" t="str">
        <f>IFERROR(__xludf.DUMMYFUNCTION("""COMPUTED_VALUE"""),"BLUE")</f>
        <v>BLUE</v>
      </c>
      <c r="G8204" s="20" t="str">
        <f>IFERROR(__xludf.DUMMYFUNCTION("""COMPUTED_VALUE"""),"Uncle Sams Cider (11/12/2021) (Blue)")</f>
        <v>Uncle Sams Cider (11/12/2021) (Blue)</v>
      </c>
      <c r="H8204" s="19"/>
    </row>
    <row r="8205">
      <c r="A8205" s="9"/>
      <c r="B8205" s="15"/>
      <c r="C8205" s="9">
        <f>IFERROR(__xludf.DUMMYFUNCTION("""COMPUTED_VALUE"""),44519.1510176157)</f>
        <v>44519.15102</v>
      </c>
      <c r="D8205" s="15">
        <f>IFERROR(__xludf.DUMMYFUNCTION("""COMPUTED_VALUE"""),1.065)</f>
        <v>1.065</v>
      </c>
      <c r="E8205" s="16">
        <f>IFERROR(__xludf.DUMMYFUNCTION("""COMPUTED_VALUE"""),67.0)</f>
        <v>67</v>
      </c>
      <c r="F8205" s="19" t="str">
        <f>IFERROR(__xludf.DUMMYFUNCTION("""COMPUTED_VALUE"""),"BLUE")</f>
        <v>BLUE</v>
      </c>
      <c r="G8205" s="20" t="str">
        <f>IFERROR(__xludf.DUMMYFUNCTION("""COMPUTED_VALUE"""),"Uncle Sams Cider (11/12/2021) (Blue)")</f>
        <v>Uncle Sams Cider (11/12/2021) (Blue)</v>
      </c>
      <c r="H8205" s="19"/>
    </row>
    <row r="8206">
      <c r="A8206" s="9"/>
      <c r="B8206" s="15"/>
      <c r="C8206" s="9">
        <f>IFERROR(__xludf.DUMMYFUNCTION("""COMPUTED_VALUE"""),44519.1405959953)</f>
        <v>44519.1406</v>
      </c>
      <c r="D8206" s="15">
        <f>IFERROR(__xludf.DUMMYFUNCTION("""COMPUTED_VALUE"""),1.065)</f>
        <v>1.065</v>
      </c>
      <c r="E8206" s="16">
        <f>IFERROR(__xludf.DUMMYFUNCTION("""COMPUTED_VALUE"""),67.0)</f>
        <v>67</v>
      </c>
      <c r="F8206" s="19" t="str">
        <f>IFERROR(__xludf.DUMMYFUNCTION("""COMPUTED_VALUE"""),"BLUE")</f>
        <v>BLUE</v>
      </c>
      <c r="G8206" s="20" t="str">
        <f>IFERROR(__xludf.DUMMYFUNCTION("""COMPUTED_VALUE"""),"Uncle Sams Cider (11/12/2021) (Blue)")</f>
        <v>Uncle Sams Cider (11/12/2021) (Blue)</v>
      </c>
      <c r="H8206" s="19"/>
    </row>
    <row r="8207">
      <c r="A8207" s="9"/>
      <c r="B8207" s="15"/>
      <c r="C8207" s="9">
        <f>IFERROR(__xludf.DUMMYFUNCTION("""COMPUTED_VALUE"""),44519.1301767129)</f>
        <v>44519.13018</v>
      </c>
      <c r="D8207" s="15">
        <f>IFERROR(__xludf.DUMMYFUNCTION("""COMPUTED_VALUE"""),1.065)</f>
        <v>1.065</v>
      </c>
      <c r="E8207" s="16">
        <f>IFERROR(__xludf.DUMMYFUNCTION("""COMPUTED_VALUE"""),67.0)</f>
        <v>67</v>
      </c>
      <c r="F8207" s="19" t="str">
        <f>IFERROR(__xludf.DUMMYFUNCTION("""COMPUTED_VALUE"""),"BLUE")</f>
        <v>BLUE</v>
      </c>
      <c r="G8207" s="20" t="str">
        <f>IFERROR(__xludf.DUMMYFUNCTION("""COMPUTED_VALUE"""),"Uncle Sams Cider (11/12/2021) (Blue)")</f>
        <v>Uncle Sams Cider (11/12/2021) (Blue)</v>
      </c>
      <c r="H8207" s="19"/>
    </row>
    <row r="8208">
      <c r="A8208" s="9"/>
      <c r="B8208" s="15"/>
      <c r="C8208" s="9">
        <f>IFERROR(__xludf.DUMMYFUNCTION("""COMPUTED_VALUE"""),44519.1197559838)</f>
        <v>44519.11976</v>
      </c>
      <c r="D8208" s="15">
        <f>IFERROR(__xludf.DUMMYFUNCTION("""COMPUTED_VALUE"""),1.065)</f>
        <v>1.065</v>
      </c>
      <c r="E8208" s="16">
        <f>IFERROR(__xludf.DUMMYFUNCTION("""COMPUTED_VALUE"""),67.0)</f>
        <v>67</v>
      </c>
      <c r="F8208" s="19" t="str">
        <f>IFERROR(__xludf.DUMMYFUNCTION("""COMPUTED_VALUE"""),"BLUE")</f>
        <v>BLUE</v>
      </c>
      <c r="G8208" s="20" t="str">
        <f>IFERROR(__xludf.DUMMYFUNCTION("""COMPUTED_VALUE"""),"Uncle Sams Cider (11/12/2021) (Blue)")</f>
        <v>Uncle Sams Cider (11/12/2021) (Blue)</v>
      </c>
      <c r="H8208" s="19"/>
    </row>
    <row r="8209">
      <c r="A8209" s="9"/>
      <c r="B8209" s="15"/>
      <c r="C8209" s="9">
        <f>IFERROR(__xludf.DUMMYFUNCTION("""COMPUTED_VALUE"""),44519.1093354745)</f>
        <v>44519.10934</v>
      </c>
      <c r="D8209" s="15">
        <f>IFERROR(__xludf.DUMMYFUNCTION("""COMPUTED_VALUE"""),1.065)</f>
        <v>1.065</v>
      </c>
      <c r="E8209" s="16">
        <f>IFERROR(__xludf.DUMMYFUNCTION("""COMPUTED_VALUE"""),67.0)</f>
        <v>67</v>
      </c>
      <c r="F8209" s="19" t="str">
        <f>IFERROR(__xludf.DUMMYFUNCTION("""COMPUTED_VALUE"""),"BLUE")</f>
        <v>BLUE</v>
      </c>
      <c r="G8209" s="20" t="str">
        <f>IFERROR(__xludf.DUMMYFUNCTION("""COMPUTED_VALUE"""),"Uncle Sams Cider (11/12/2021) (Blue)")</f>
        <v>Uncle Sams Cider (11/12/2021) (Blue)</v>
      </c>
      <c r="H8209" s="19"/>
    </row>
    <row r="8210">
      <c r="A8210" s="9"/>
      <c r="B8210" s="15"/>
      <c r="C8210" s="9">
        <f>IFERROR(__xludf.DUMMYFUNCTION("""COMPUTED_VALUE"""),44519.0989146643)</f>
        <v>44519.09891</v>
      </c>
      <c r="D8210" s="15">
        <f>IFERROR(__xludf.DUMMYFUNCTION("""COMPUTED_VALUE"""),1.065)</f>
        <v>1.065</v>
      </c>
      <c r="E8210" s="16">
        <f>IFERROR(__xludf.DUMMYFUNCTION("""COMPUTED_VALUE"""),67.0)</f>
        <v>67</v>
      </c>
      <c r="F8210" s="19" t="str">
        <f>IFERROR(__xludf.DUMMYFUNCTION("""COMPUTED_VALUE"""),"BLUE")</f>
        <v>BLUE</v>
      </c>
      <c r="G8210" s="20" t="str">
        <f>IFERROR(__xludf.DUMMYFUNCTION("""COMPUTED_VALUE"""),"Uncle Sams Cider (11/12/2021) (Blue)")</f>
        <v>Uncle Sams Cider (11/12/2021) (Blue)</v>
      </c>
      <c r="H8210" s="19"/>
    </row>
    <row r="8211">
      <c r="A8211" s="9"/>
      <c r="B8211" s="15"/>
      <c r="C8211" s="9">
        <f>IFERROR(__xludf.DUMMYFUNCTION("""COMPUTED_VALUE"""),44519.0884937962)</f>
        <v>44519.08849</v>
      </c>
      <c r="D8211" s="15">
        <f>IFERROR(__xludf.DUMMYFUNCTION("""COMPUTED_VALUE"""),1.065)</f>
        <v>1.065</v>
      </c>
      <c r="E8211" s="16">
        <f>IFERROR(__xludf.DUMMYFUNCTION("""COMPUTED_VALUE"""),67.0)</f>
        <v>67</v>
      </c>
      <c r="F8211" s="19" t="str">
        <f>IFERROR(__xludf.DUMMYFUNCTION("""COMPUTED_VALUE"""),"BLUE")</f>
        <v>BLUE</v>
      </c>
      <c r="G8211" s="20" t="str">
        <f>IFERROR(__xludf.DUMMYFUNCTION("""COMPUTED_VALUE"""),"Uncle Sams Cider (11/12/2021) (Blue)")</f>
        <v>Uncle Sams Cider (11/12/2021) (Blue)</v>
      </c>
      <c r="H8211" s="19"/>
    </row>
    <row r="8212">
      <c r="A8212" s="9"/>
      <c r="B8212" s="15"/>
      <c r="C8212" s="9">
        <f>IFERROR(__xludf.DUMMYFUNCTION("""COMPUTED_VALUE"""),44519.0780736805)</f>
        <v>44519.07807</v>
      </c>
      <c r="D8212" s="15">
        <f>IFERROR(__xludf.DUMMYFUNCTION("""COMPUTED_VALUE"""),1.065)</f>
        <v>1.065</v>
      </c>
      <c r="E8212" s="16">
        <f>IFERROR(__xludf.DUMMYFUNCTION("""COMPUTED_VALUE"""),67.0)</f>
        <v>67</v>
      </c>
      <c r="F8212" s="19" t="str">
        <f>IFERROR(__xludf.DUMMYFUNCTION("""COMPUTED_VALUE"""),"BLUE")</f>
        <v>BLUE</v>
      </c>
      <c r="G8212" s="20" t="str">
        <f>IFERROR(__xludf.DUMMYFUNCTION("""COMPUTED_VALUE"""),"Uncle Sams Cider (11/12/2021) (Blue)")</f>
        <v>Uncle Sams Cider (11/12/2021) (Blue)</v>
      </c>
      <c r="H8212" s="19"/>
    </row>
    <row r="8213">
      <c r="A8213" s="9"/>
      <c r="B8213" s="15"/>
      <c r="C8213" s="9">
        <f>IFERROR(__xludf.DUMMYFUNCTION("""COMPUTED_VALUE"""),44519.067640243)</f>
        <v>44519.06764</v>
      </c>
      <c r="D8213" s="15">
        <f>IFERROR(__xludf.DUMMYFUNCTION("""COMPUTED_VALUE"""),1.065)</f>
        <v>1.065</v>
      </c>
      <c r="E8213" s="16">
        <f>IFERROR(__xludf.DUMMYFUNCTION("""COMPUTED_VALUE"""),67.0)</f>
        <v>67</v>
      </c>
      <c r="F8213" s="19" t="str">
        <f>IFERROR(__xludf.DUMMYFUNCTION("""COMPUTED_VALUE"""),"BLUE")</f>
        <v>BLUE</v>
      </c>
      <c r="G8213" s="20" t="str">
        <f>IFERROR(__xludf.DUMMYFUNCTION("""COMPUTED_VALUE"""),"Uncle Sams Cider (11/12/2021) (Blue)")</f>
        <v>Uncle Sams Cider (11/12/2021) (Blue)</v>
      </c>
      <c r="H8213" s="19"/>
    </row>
    <row r="8214">
      <c r="A8214" s="9"/>
      <c r="B8214" s="15"/>
      <c r="C8214" s="9">
        <f>IFERROR(__xludf.DUMMYFUNCTION("""COMPUTED_VALUE"""),44519.0572178819)</f>
        <v>44519.05722</v>
      </c>
      <c r="D8214" s="15">
        <f>IFERROR(__xludf.DUMMYFUNCTION("""COMPUTED_VALUE"""),1.065)</f>
        <v>1.065</v>
      </c>
      <c r="E8214" s="16">
        <f>IFERROR(__xludf.DUMMYFUNCTION("""COMPUTED_VALUE"""),67.0)</f>
        <v>67</v>
      </c>
      <c r="F8214" s="19" t="str">
        <f>IFERROR(__xludf.DUMMYFUNCTION("""COMPUTED_VALUE"""),"BLUE")</f>
        <v>BLUE</v>
      </c>
      <c r="G8214" s="20" t="str">
        <f>IFERROR(__xludf.DUMMYFUNCTION("""COMPUTED_VALUE"""),"Uncle Sams Cider (11/12/2021) (Blue)")</f>
        <v>Uncle Sams Cider (11/12/2021) (Blue)</v>
      </c>
      <c r="H8214" s="19"/>
    </row>
    <row r="8215">
      <c r="A8215" s="9"/>
      <c r="B8215" s="15"/>
      <c r="C8215" s="9">
        <f>IFERROR(__xludf.DUMMYFUNCTION("""COMPUTED_VALUE"""),44519.0467965624)</f>
        <v>44519.0468</v>
      </c>
      <c r="D8215" s="15">
        <f>IFERROR(__xludf.DUMMYFUNCTION("""COMPUTED_VALUE"""),1.065)</f>
        <v>1.065</v>
      </c>
      <c r="E8215" s="16">
        <f>IFERROR(__xludf.DUMMYFUNCTION("""COMPUTED_VALUE"""),67.0)</f>
        <v>67</v>
      </c>
      <c r="F8215" s="19" t="str">
        <f>IFERROR(__xludf.DUMMYFUNCTION("""COMPUTED_VALUE"""),"BLUE")</f>
        <v>BLUE</v>
      </c>
      <c r="G8215" s="20" t="str">
        <f>IFERROR(__xludf.DUMMYFUNCTION("""COMPUTED_VALUE"""),"Uncle Sams Cider (11/12/2021) (Blue)")</f>
        <v>Uncle Sams Cider (11/12/2021) (Blue)</v>
      </c>
      <c r="H8215" s="19"/>
    </row>
    <row r="8216">
      <c r="A8216" s="9"/>
      <c r="B8216" s="15"/>
      <c r="C8216" s="9">
        <f>IFERROR(__xludf.DUMMYFUNCTION("""COMPUTED_VALUE"""),44519.0363749074)</f>
        <v>44519.03637</v>
      </c>
      <c r="D8216" s="15">
        <f>IFERROR(__xludf.DUMMYFUNCTION("""COMPUTED_VALUE"""),1.066)</f>
        <v>1.066</v>
      </c>
      <c r="E8216" s="16">
        <f>IFERROR(__xludf.DUMMYFUNCTION("""COMPUTED_VALUE"""),67.0)</f>
        <v>67</v>
      </c>
      <c r="F8216" s="19" t="str">
        <f>IFERROR(__xludf.DUMMYFUNCTION("""COMPUTED_VALUE"""),"BLUE")</f>
        <v>BLUE</v>
      </c>
      <c r="G8216" s="20" t="str">
        <f>IFERROR(__xludf.DUMMYFUNCTION("""COMPUTED_VALUE"""),"Uncle Sams Cider (11/12/2021) (Blue)")</f>
        <v>Uncle Sams Cider (11/12/2021) (Blue)</v>
      </c>
      <c r="H8216" s="19"/>
    </row>
    <row r="8217">
      <c r="A8217" s="9"/>
      <c r="B8217" s="15"/>
      <c r="C8217" s="9">
        <f>IFERROR(__xludf.DUMMYFUNCTION("""COMPUTED_VALUE"""),44519.0259560416)</f>
        <v>44519.02596</v>
      </c>
      <c r="D8217" s="15">
        <f>IFERROR(__xludf.DUMMYFUNCTION("""COMPUTED_VALUE"""),1.066)</f>
        <v>1.066</v>
      </c>
      <c r="E8217" s="16">
        <f>IFERROR(__xludf.DUMMYFUNCTION("""COMPUTED_VALUE"""),67.0)</f>
        <v>67</v>
      </c>
      <c r="F8217" s="19" t="str">
        <f>IFERROR(__xludf.DUMMYFUNCTION("""COMPUTED_VALUE"""),"BLUE")</f>
        <v>BLUE</v>
      </c>
      <c r="G8217" s="20" t="str">
        <f>IFERROR(__xludf.DUMMYFUNCTION("""COMPUTED_VALUE"""),"Uncle Sams Cider (11/12/2021) (Blue)")</f>
        <v>Uncle Sams Cider (11/12/2021) (Blue)</v>
      </c>
      <c r="H8217" s="19"/>
    </row>
    <row r="8218">
      <c r="A8218" s="9"/>
      <c r="B8218" s="15"/>
      <c r="C8218" s="9">
        <f>IFERROR(__xludf.DUMMYFUNCTION("""COMPUTED_VALUE"""),44519.015535243)</f>
        <v>44519.01554</v>
      </c>
      <c r="D8218" s="15">
        <f>IFERROR(__xludf.DUMMYFUNCTION("""COMPUTED_VALUE"""),1.066)</f>
        <v>1.066</v>
      </c>
      <c r="E8218" s="16">
        <f>IFERROR(__xludf.DUMMYFUNCTION("""COMPUTED_VALUE"""),67.0)</f>
        <v>67</v>
      </c>
      <c r="F8218" s="19" t="str">
        <f>IFERROR(__xludf.DUMMYFUNCTION("""COMPUTED_VALUE"""),"BLUE")</f>
        <v>BLUE</v>
      </c>
      <c r="G8218" s="20" t="str">
        <f>IFERROR(__xludf.DUMMYFUNCTION("""COMPUTED_VALUE"""),"Uncle Sams Cider (11/12/2021) (Blue)")</f>
        <v>Uncle Sams Cider (11/12/2021) (Blue)</v>
      </c>
      <c r="H8218" s="19"/>
    </row>
    <row r="8219">
      <c r="A8219" s="9"/>
      <c r="B8219" s="15"/>
      <c r="C8219" s="9">
        <f>IFERROR(__xludf.DUMMYFUNCTION("""COMPUTED_VALUE"""),44519.0051128819)</f>
        <v>44519.00511</v>
      </c>
      <c r="D8219" s="15">
        <f>IFERROR(__xludf.DUMMYFUNCTION("""COMPUTED_VALUE"""),1.066)</f>
        <v>1.066</v>
      </c>
      <c r="E8219" s="16">
        <f>IFERROR(__xludf.DUMMYFUNCTION("""COMPUTED_VALUE"""),67.0)</f>
        <v>67</v>
      </c>
      <c r="F8219" s="19" t="str">
        <f>IFERROR(__xludf.DUMMYFUNCTION("""COMPUTED_VALUE"""),"BLUE")</f>
        <v>BLUE</v>
      </c>
      <c r="G8219" s="20" t="str">
        <f>IFERROR(__xludf.DUMMYFUNCTION("""COMPUTED_VALUE"""),"Uncle Sams Cider (11/12/2021) (Blue)")</f>
        <v>Uncle Sams Cider (11/12/2021) (Blue)</v>
      </c>
      <c r="H8219" s="19"/>
    </row>
    <row r="8220">
      <c r="A8220" s="9"/>
      <c r="B8220" s="15"/>
      <c r="C8220" s="9">
        <f>IFERROR(__xludf.DUMMYFUNCTION("""COMPUTED_VALUE"""),44518.9946925347)</f>
        <v>44518.99469</v>
      </c>
      <c r="D8220" s="15">
        <f>IFERROR(__xludf.DUMMYFUNCTION("""COMPUTED_VALUE"""),1.066)</f>
        <v>1.066</v>
      </c>
      <c r="E8220" s="16">
        <f>IFERROR(__xludf.DUMMYFUNCTION("""COMPUTED_VALUE"""),67.0)</f>
        <v>67</v>
      </c>
      <c r="F8220" s="19" t="str">
        <f>IFERROR(__xludf.DUMMYFUNCTION("""COMPUTED_VALUE"""),"BLUE")</f>
        <v>BLUE</v>
      </c>
      <c r="G8220" s="20" t="str">
        <f>IFERROR(__xludf.DUMMYFUNCTION("""COMPUTED_VALUE"""),"Uncle Sams Cider (11/12/2021) (Blue)")</f>
        <v>Uncle Sams Cider (11/12/2021) (Blue)</v>
      </c>
      <c r="H8220" s="19"/>
    </row>
    <row r="8221">
      <c r="A8221" s="9"/>
      <c r="B8221" s="15"/>
      <c r="C8221" s="9">
        <f>IFERROR(__xludf.DUMMYFUNCTION("""COMPUTED_VALUE"""),44518.984270868)</f>
        <v>44518.98427</v>
      </c>
      <c r="D8221" s="15">
        <f>IFERROR(__xludf.DUMMYFUNCTION("""COMPUTED_VALUE"""),1.066)</f>
        <v>1.066</v>
      </c>
      <c r="E8221" s="16">
        <f>IFERROR(__xludf.DUMMYFUNCTION("""COMPUTED_VALUE"""),67.0)</f>
        <v>67</v>
      </c>
      <c r="F8221" s="19" t="str">
        <f>IFERROR(__xludf.DUMMYFUNCTION("""COMPUTED_VALUE"""),"BLUE")</f>
        <v>BLUE</v>
      </c>
      <c r="G8221" s="20" t="str">
        <f>IFERROR(__xludf.DUMMYFUNCTION("""COMPUTED_VALUE"""),"Uncle Sams Cider (11/12/2021) (Blue)")</f>
        <v>Uncle Sams Cider (11/12/2021) (Blue)</v>
      </c>
      <c r="H8221" s="19"/>
    </row>
    <row r="8222">
      <c r="A8222" s="9"/>
      <c r="B8222" s="15"/>
      <c r="C8222" s="9">
        <f>IFERROR(__xludf.DUMMYFUNCTION("""COMPUTED_VALUE"""),44518.9738495833)</f>
        <v>44518.97385</v>
      </c>
      <c r="D8222" s="15">
        <f>IFERROR(__xludf.DUMMYFUNCTION("""COMPUTED_VALUE"""),1.066)</f>
        <v>1.066</v>
      </c>
      <c r="E8222" s="16">
        <f>IFERROR(__xludf.DUMMYFUNCTION("""COMPUTED_VALUE"""),67.0)</f>
        <v>67</v>
      </c>
      <c r="F8222" s="19" t="str">
        <f>IFERROR(__xludf.DUMMYFUNCTION("""COMPUTED_VALUE"""),"BLUE")</f>
        <v>BLUE</v>
      </c>
      <c r="G8222" s="20" t="str">
        <f>IFERROR(__xludf.DUMMYFUNCTION("""COMPUTED_VALUE"""),"Uncle Sams Cider (11/12/2021) (Blue)")</f>
        <v>Uncle Sams Cider (11/12/2021) (Blue)</v>
      </c>
      <c r="H8222" s="19"/>
    </row>
    <row r="8223">
      <c r="A8223" s="9"/>
      <c r="B8223" s="15"/>
      <c r="C8223" s="9">
        <f>IFERROR(__xludf.DUMMYFUNCTION("""COMPUTED_VALUE"""),44518.9634272916)</f>
        <v>44518.96343</v>
      </c>
      <c r="D8223" s="15">
        <f>IFERROR(__xludf.DUMMYFUNCTION("""COMPUTED_VALUE"""),1.066)</f>
        <v>1.066</v>
      </c>
      <c r="E8223" s="16">
        <f>IFERROR(__xludf.DUMMYFUNCTION("""COMPUTED_VALUE"""),67.0)</f>
        <v>67</v>
      </c>
      <c r="F8223" s="19" t="str">
        <f>IFERROR(__xludf.DUMMYFUNCTION("""COMPUTED_VALUE"""),"BLUE")</f>
        <v>BLUE</v>
      </c>
      <c r="G8223" s="20" t="str">
        <f>IFERROR(__xludf.DUMMYFUNCTION("""COMPUTED_VALUE"""),"Uncle Sams Cider (11/12/2021) (Blue)")</f>
        <v>Uncle Sams Cider (11/12/2021) (Blue)</v>
      </c>
      <c r="H8223" s="19"/>
    </row>
    <row r="8224">
      <c r="A8224" s="9"/>
      <c r="B8224" s="15"/>
      <c r="C8224" s="9">
        <f>IFERROR(__xludf.DUMMYFUNCTION("""COMPUTED_VALUE"""),44518.9529821759)</f>
        <v>44518.95298</v>
      </c>
      <c r="D8224" s="15">
        <f>IFERROR(__xludf.DUMMYFUNCTION("""COMPUTED_VALUE"""),1.066)</f>
        <v>1.066</v>
      </c>
      <c r="E8224" s="16">
        <f>IFERROR(__xludf.DUMMYFUNCTION("""COMPUTED_VALUE"""),67.0)</f>
        <v>67</v>
      </c>
      <c r="F8224" s="19" t="str">
        <f>IFERROR(__xludf.DUMMYFUNCTION("""COMPUTED_VALUE"""),"BLUE")</f>
        <v>BLUE</v>
      </c>
      <c r="G8224" s="20" t="str">
        <f>IFERROR(__xludf.DUMMYFUNCTION("""COMPUTED_VALUE"""),"Uncle Sams Cider (11/12/2021) (Blue)")</f>
        <v>Uncle Sams Cider (11/12/2021) (Blue)</v>
      </c>
      <c r="H8224" s="19"/>
    </row>
    <row r="8225">
      <c r="A8225" s="9"/>
      <c r="B8225" s="15"/>
      <c r="C8225" s="9">
        <f>IFERROR(__xludf.DUMMYFUNCTION("""COMPUTED_VALUE"""),44518.9425610532)</f>
        <v>44518.94256</v>
      </c>
      <c r="D8225" s="15">
        <f>IFERROR(__xludf.DUMMYFUNCTION("""COMPUTED_VALUE"""),1.066)</f>
        <v>1.066</v>
      </c>
      <c r="E8225" s="16">
        <f>IFERROR(__xludf.DUMMYFUNCTION("""COMPUTED_VALUE"""),67.0)</f>
        <v>67</v>
      </c>
      <c r="F8225" s="19" t="str">
        <f>IFERROR(__xludf.DUMMYFUNCTION("""COMPUTED_VALUE"""),"BLUE")</f>
        <v>BLUE</v>
      </c>
      <c r="G8225" s="20" t="str">
        <f>IFERROR(__xludf.DUMMYFUNCTION("""COMPUTED_VALUE"""),"Uncle Sams Cider (11/12/2021) (Blue)")</f>
        <v>Uncle Sams Cider (11/12/2021) (Blue)</v>
      </c>
      <c r="H8225" s="19"/>
    </row>
    <row r="8226">
      <c r="A8226" s="9"/>
      <c r="B8226" s="15"/>
      <c r="C8226" s="9">
        <f>IFERROR(__xludf.DUMMYFUNCTION("""COMPUTED_VALUE"""),44518.9321389699)</f>
        <v>44518.93214</v>
      </c>
      <c r="D8226" s="15">
        <f>IFERROR(__xludf.DUMMYFUNCTION("""COMPUTED_VALUE"""),1.066)</f>
        <v>1.066</v>
      </c>
      <c r="E8226" s="16">
        <f>IFERROR(__xludf.DUMMYFUNCTION("""COMPUTED_VALUE"""),67.0)</f>
        <v>67</v>
      </c>
      <c r="F8226" s="19" t="str">
        <f>IFERROR(__xludf.DUMMYFUNCTION("""COMPUTED_VALUE"""),"BLUE")</f>
        <v>BLUE</v>
      </c>
      <c r="G8226" s="20" t="str">
        <f>IFERROR(__xludf.DUMMYFUNCTION("""COMPUTED_VALUE"""),"Uncle Sams Cider (11/12/2021) (Blue)")</f>
        <v>Uncle Sams Cider (11/12/2021) (Blue)</v>
      </c>
      <c r="H8226" s="19"/>
    </row>
    <row r="8227">
      <c r="A8227" s="9"/>
      <c r="B8227" s="15"/>
      <c r="C8227" s="9">
        <f>IFERROR(__xludf.DUMMYFUNCTION("""COMPUTED_VALUE"""),44518.9217180555)</f>
        <v>44518.92172</v>
      </c>
      <c r="D8227" s="15">
        <f>IFERROR(__xludf.DUMMYFUNCTION("""COMPUTED_VALUE"""),1.066)</f>
        <v>1.066</v>
      </c>
      <c r="E8227" s="16">
        <f>IFERROR(__xludf.DUMMYFUNCTION("""COMPUTED_VALUE"""),67.0)</f>
        <v>67</v>
      </c>
      <c r="F8227" s="19" t="str">
        <f>IFERROR(__xludf.DUMMYFUNCTION("""COMPUTED_VALUE"""),"BLUE")</f>
        <v>BLUE</v>
      </c>
      <c r="G8227" s="20" t="str">
        <f>IFERROR(__xludf.DUMMYFUNCTION("""COMPUTED_VALUE"""),"Uncle Sams Cider (11/12/2021) (Blue)")</f>
        <v>Uncle Sams Cider (11/12/2021) (Blue)</v>
      </c>
      <c r="H8227" s="19"/>
    </row>
    <row r="8228">
      <c r="A8228" s="9"/>
      <c r="B8228" s="15"/>
      <c r="C8228" s="9">
        <f>IFERROR(__xludf.DUMMYFUNCTION("""COMPUTED_VALUE"""),44518.9112965046)</f>
        <v>44518.9113</v>
      </c>
      <c r="D8228" s="15">
        <f>IFERROR(__xludf.DUMMYFUNCTION("""COMPUTED_VALUE"""),1.066)</f>
        <v>1.066</v>
      </c>
      <c r="E8228" s="16">
        <f>IFERROR(__xludf.DUMMYFUNCTION("""COMPUTED_VALUE"""),67.0)</f>
        <v>67</v>
      </c>
      <c r="F8228" s="19" t="str">
        <f>IFERROR(__xludf.DUMMYFUNCTION("""COMPUTED_VALUE"""),"BLUE")</f>
        <v>BLUE</v>
      </c>
      <c r="G8228" s="20" t="str">
        <f>IFERROR(__xludf.DUMMYFUNCTION("""COMPUTED_VALUE"""),"Uncle Sams Cider (11/12/2021) (Blue)")</f>
        <v>Uncle Sams Cider (11/12/2021) (Blue)</v>
      </c>
      <c r="H8228" s="19"/>
    </row>
    <row r="8229">
      <c r="A8229" s="9"/>
      <c r="B8229" s="15"/>
      <c r="C8229" s="9">
        <f>IFERROR(__xludf.DUMMYFUNCTION("""COMPUTED_VALUE"""),44518.9008751504)</f>
        <v>44518.90088</v>
      </c>
      <c r="D8229" s="15">
        <f>IFERROR(__xludf.DUMMYFUNCTION("""COMPUTED_VALUE"""),1.067)</f>
        <v>1.067</v>
      </c>
      <c r="E8229" s="16">
        <f>IFERROR(__xludf.DUMMYFUNCTION("""COMPUTED_VALUE"""),67.0)</f>
        <v>67</v>
      </c>
      <c r="F8229" s="19" t="str">
        <f>IFERROR(__xludf.DUMMYFUNCTION("""COMPUTED_VALUE"""),"BLUE")</f>
        <v>BLUE</v>
      </c>
      <c r="G8229" s="20" t="str">
        <f>IFERROR(__xludf.DUMMYFUNCTION("""COMPUTED_VALUE"""),"Uncle Sams Cider (11/12/2021) (Blue)")</f>
        <v>Uncle Sams Cider (11/12/2021) (Blue)</v>
      </c>
      <c r="H8229" s="19"/>
    </row>
    <row r="8230">
      <c r="A8230" s="9"/>
      <c r="B8230" s="15"/>
      <c r="C8230" s="9">
        <f>IFERROR(__xludf.DUMMYFUNCTION("""COMPUTED_VALUE"""),44518.8904539583)</f>
        <v>44518.89045</v>
      </c>
      <c r="D8230" s="15">
        <f>IFERROR(__xludf.DUMMYFUNCTION("""COMPUTED_VALUE"""),1.066)</f>
        <v>1.066</v>
      </c>
      <c r="E8230" s="16">
        <f>IFERROR(__xludf.DUMMYFUNCTION("""COMPUTED_VALUE"""),67.0)</f>
        <v>67</v>
      </c>
      <c r="F8230" s="19" t="str">
        <f>IFERROR(__xludf.DUMMYFUNCTION("""COMPUTED_VALUE"""),"BLUE")</f>
        <v>BLUE</v>
      </c>
      <c r="G8230" s="20" t="str">
        <f>IFERROR(__xludf.DUMMYFUNCTION("""COMPUTED_VALUE"""),"Uncle Sams Cider (11/12/2021) (Blue)")</f>
        <v>Uncle Sams Cider (11/12/2021) (Blue)</v>
      </c>
      <c r="H8230" s="19"/>
    </row>
    <row r="8231">
      <c r="A8231" s="9"/>
      <c r="B8231" s="15"/>
      <c r="C8231" s="9">
        <f>IFERROR(__xludf.DUMMYFUNCTION("""COMPUTED_VALUE"""),44518.8800342824)</f>
        <v>44518.88003</v>
      </c>
      <c r="D8231" s="15">
        <f>IFERROR(__xludf.DUMMYFUNCTION("""COMPUTED_VALUE"""),1.067)</f>
        <v>1.067</v>
      </c>
      <c r="E8231" s="16">
        <f>IFERROR(__xludf.DUMMYFUNCTION("""COMPUTED_VALUE"""),67.0)</f>
        <v>67</v>
      </c>
      <c r="F8231" s="19" t="str">
        <f>IFERROR(__xludf.DUMMYFUNCTION("""COMPUTED_VALUE"""),"BLUE")</f>
        <v>BLUE</v>
      </c>
      <c r="G8231" s="20" t="str">
        <f>IFERROR(__xludf.DUMMYFUNCTION("""COMPUTED_VALUE"""),"Uncle Sams Cider (11/12/2021) (Blue)")</f>
        <v>Uncle Sams Cider (11/12/2021) (Blue)</v>
      </c>
      <c r="H8231" s="19"/>
    </row>
    <row r="8232">
      <c r="A8232" s="9"/>
      <c r="B8232" s="15"/>
      <c r="C8232" s="9">
        <f>IFERROR(__xludf.DUMMYFUNCTION("""COMPUTED_VALUE"""),44518.8696141666)</f>
        <v>44518.86961</v>
      </c>
      <c r="D8232" s="15">
        <f>IFERROR(__xludf.DUMMYFUNCTION("""COMPUTED_VALUE"""),1.067)</f>
        <v>1.067</v>
      </c>
      <c r="E8232" s="16">
        <f>IFERROR(__xludf.DUMMYFUNCTION("""COMPUTED_VALUE"""),67.0)</f>
        <v>67</v>
      </c>
      <c r="F8232" s="19" t="str">
        <f>IFERROR(__xludf.DUMMYFUNCTION("""COMPUTED_VALUE"""),"BLUE")</f>
        <v>BLUE</v>
      </c>
      <c r="G8232" s="20" t="str">
        <f>IFERROR(__xludf.DUMMYFUNCTION("""COMPUTED_VALUE"""),"Uncle Sams Cider (11/12/2021) (Blue)")</f>
        <v>Uncle Sams Cider (11/12/2021) (Blue)</v>
      </c>
      <c r="H8232" s="19"/>
    </row>
    <row r="8233">
      <c r="A8233" s="9"/>
      <c r="B8233" s="15"/>
      <c r="C8233" s="9">
        <f>IFERROR(__xludf.DUMMYFUNCTION("""COMPUTED_VALUE"""),44518.8591919328)</f>
        <v>44518.85919</v>
      </c>
      <c r="D8233" s="15">
        <f>IFERROR(__xludf.DUMMYFUNCTION("""COMPUTED_VALUE"""),1.067)</f>
        <v>1.067</v>
      </c>
      <c r="E8233" s="16">
        <f>IFERROR(__xludf.DUMMYFUNCTION("""COMPUTED_VALUE"""),67.0)</f>
        <v>67</v>
      </c>
      <c r="F8233" s="19" t="str">
        <f>IFERROR(__xludf.DUMMYFUNCTION("""COMPUTED_VALUE"""),"BLUE")</f>
        <v>BLUE</v>
      </c>
      <c r="G8233" s="20" t="str">
        <f>IFERROR(__xludf.DUMMYFUNCTION("""COMPUTED_VALUE"""),"Uncle Sams Cider (11/12/2021) (Blue)")</f>
        <v>Uncle Sams Cider (11/12/2021) (Blue)</v>
      </c>
      <c r="H8233" s="19"/>
    </row>
    <row r="8234">
      <c r="A8234" s="9"/>
      <c r="B8234" s="15"/>
      <c r="C8234" s="9">
        <f>IFERROR(__xludf.DUMMYFUNCTION("""COMPUTED_VALUE"""),44518.8487712847)</f>
        <v>44518.84877</v>
      </c>
      <c r="D8234" s="15">
        <f>IFERROR(__xludf.DUMMYFUNCTION("""COMPUTED_VALUE"""),1.067)</f>
        <v>1.067</v>
      </c>
      <c r="E8234" s="16">
        <f>IFERROR(__xludf.DUMMYFUNCTION("""COMPUTED_VALUE"""),67.0)</f>
        <v>67</v>
      </c>
      <c r="F8234" s="19" t="str">
        <f>IFERROR(__xludf.DUMMYFUNCTION("""COMPUTED_VALUE"""),"BLUE")</f>
        <v>BLUE</v>
      </c>
      <c r="G8234" s="20" t="str">
        <f>IFERROR(__xludf.DUMMYFUNCTION("""COMPUTED_VALUE"""),"Uncle Sams Cider (11/12/2021) (Blue)")</f>
        <v>Uncle Sams Cider (11/12/2021) (Blue)</v>
      </c>
      <c r="H8234" s="19"/>
    </row>
    <row r="8235">
      <c r="A8235" s="9"/>
      <c r="B8235" s="15"/>
      <c r="C8235" s="9">
        <f>IFERROR(__xludf.DUMMYFUNCTION("""COMPUTED_VALUE"""),44518.8383500694)</f>
        <v>44518.83835</v>
      </c>
      <c r="D8235" s="15">
        <f>IFERROR(__xludf.DUMMYFUNCTION("""COMPUTED_VALUE"""),1.067)</f>
        <v>1.067</v>
      </c>
      <c r="E8235" s="16">
        <f>IFERROR(__xludf.DUMMYFUNCTION("""COMPUTED_VALUE"""),67.0)</f>
        <v>67</v>
      </c>
      <c r="F8235" s="19" t="str">
        <f>IFERROR(__xludf.DUMMYFUNCTION("""COMPUTED_VALUE"""),"BLUE")</f>
        <v>BLUE</v>
      </c>
      <c r="G8235" s="20" t="str">
        <f>IFERROR(__xludf.DUMMYFUNCTION("""COMPUTED_VALUE"""),"Uncle Sams Cider (11/12/2021) (Blue)")</f>
        <v>Uncle Sams Cider (11/12/2021) (Blue)</v>
      </c>
      <c r="H8235" s="19"/>
    </row>
    <row r="8236">
      <c r="A8236" s="9"/>
      <c r="B8236" s="15"/>
      <c r="C8236" s="9">
        <f>IFERROR(__xludf.DUMMYFUNCTION("""COMPUTED_VALUE"""),44518.8279280092)</f>
        <v>44518.82793</v>
      </c>
      <c r="D8236" s="15">
        <f>IFERROR(__xludf.DUMMYFUNCTION("""COMPUTED_VALUE"""),1.067)</f>
        <v>1.067</v>
      </c>
      <c r="E8236" s="16">
        <f>IFERROR(__xludf.DUMMYFUNCTION("""COMPUTED_VALUE"""),67.0)</f>
        <v>67</v>
      </c>
      <c r="F8236" s="19" t="str">
        <f>IFERROR(__xludf.DUMMYFUNCTION("""COMPUTED_VALUE"""),"BLUE")</f>
        <v>BLUE</v>
      </c>
      <c r="G8236" s="20" t="str">
        <f>IFERROR(__xludf.DUMMYFUNCTION("""COMPUTED_VALUE"""),"Uncle Sams Cider (11/12/2021) (Blue)")</f>
        <v>Uncle Sams Cider (11/12/2021) (Blue)</v>
      </c>
      <c r="H8236" s="19"/>
    </row>
    <row r="8237">
      <c r="A8237" s="9"/>
      <c r="B8237" s="15"/>
      <c r="C8237" s="9">
        <f>IFERROR(__xludf.DUMMYFUNCTION("""COMPUTED_VALUE"""),44518.8175046643)</f>
        <v>44518.8175</v>
      </c>
      <c r="D8237" s="15">
        <f>IFERROR(__xludf.DUMMYFUNCTION("""COMPUTED_VALUE"""),1.067)</f>
        <v>1.067</v>
      </c>
      <c r="E8237" s="16">
        <f>IFERROR(__xludf.DUMMYFUNCTION("""COMPUTED_VALUE"""),67.0)</f>
        <v>67</v>
      </c>
      <c r="F8237" s="19" t="str">
        <f>IFERROR(__xludf.DUMMYFUNCTION("""COMPUTED_VALUE"""),"BLUE")</f>
        <v>BLUE</v>
      </c>
      <c r="G8237" s="20" t="str">
        <f>IFERROR(__xludf.DUMMYFUNCTION("""COMPUTED_VALUE"""),"Uncle Sams Cider (11/12/2021) (Blue)")</f>
        <v>Uncle Sams Cider (11/12/2021) (Blue)</v>
      </c>
      <c r="H8237" s="19"/>
    </row>
    <row r="8238">
      <c r="A8238" s="9"/>
      <c r="B8238" s="15"/>
      <c r="C8238" s="9">
        <f>IFERROR(__xludf.DUMMYFUNCTION("""COMPUTED_VALUE"""),44518.8070843055)</f>
        <v>44518.80708</v>
      </c>
      <c r="D8238" s="15">
        <f>IFERROR(__xludf.DUMMYFUNCTION("""COMPUTED_VALUE"""),1.067)</f>
        <v>1.067</v>
      </c>
      <c r="E8238" s="16">
        <f>IFERROR(__xludf.DUMMYFUNCTION("""COMPUTED_VALUE"""),67.0)</f>
        <v>67</v>
      </c>
      <c r="F8238" s="19" t="str">
        <f>IFERROR(__xludf.DUMMYFUNCTION("""COMPUTED_VALUE"""),"BLUE")</f>
        <v>BLUE</v>
      </c>
      <c r="G8238" s="20" t="str">
        <f>IFERROR(__xludf.DUMMYFUNCTION("""COMPUTED_VALUE"""),"Uncle Sams Cider (11/12/2021) (Blue)")</f>
        <v>Uncle Sams Cider (11/12/2021) (Blue)</v>
      </c>
      <c r="H8238" s="19"/>
    </row>
    <row r="8239">
      <c r="A8239" s="9"/>
      <c r="B8239" s="15"/>
      <c r="C8239" s="9">
        <f>IFERROR(__xludf.DUMMYFUNCTION("""COMPUTED_VALUE"""),44518.7966634143)</f>
        <v>44518.79666</v>
      </c>
      <c r="D8239" s="15">
        <f>IFERROR(__xludf.DUMMYFUNCTION("""COMPUTED_VALUE"""),1.067)</f>
        <v>1.067</v>
      </c>
      <c r="E8239" s="16">
        <f>IFERROR(__xludf.DUMMYFUNCTION("""COMPUTED_VALUE"""),67.0)</f>
        <v>67</v>
      </c>
      <c r="F8239" s="19" t="str">
        <f>IFERROR(__xludf.DUMMYFUNCTION("""COMPUTED_VALUE"""),"BLUE")</f>
        <v>BLUE</v>
      </c>
      <c r="G8239" s="20" t="str">
        <f>IFERROR(__xludf.DUMMYFUNCTION("""COMPUTED_VALUE"""),"Uncle Sams Cider (11/12/2021) (Blue)")</f>
        <v>Uncle Sams Cider (11/12/2021) (Blue)</v>
      </c>
      <c r="H8239" s="19"/>
    </row>
    <row r="8240">
      <c r="A8240" s="9"/>
      <c r="B8240" s="15"/>
      <c r="C8240" s="9">
        <f>IFERROR(__xludf.DUMMYFUNCTION("""COMPUTED_VALUE"""),44518.7862424884)</f>
        <v>44518.78624</v>
      </c>
      <c r="D8240" s="15">
        <f>IFERROR(__xludf.DUMMYFUNCTION("""COMPUTED_VALUE"""),1.067)</f>
        <v>1.067</v>
      </c>
      <c r="E8240" s="16">
        <f>IFERROR(__xludf.DUMMYFUNCTION("""COMPUTED_VALUE"""),67.0)</f>
        <v>67</v>
      </c>
      <c r="F8240" s="19" t="str">
        <f>IFERROR(__xludf.DUMMYFUNCTION("""COMPUTED_VALUE"""),"BLUE")</f>
        <v>BLUE</v>
      </c>
      <c r="G8240" s="20" t="str">
        <f>IFERROR(__xludf.DUMMYFUNCTION("""COMPUTED_VALUE"""),"Uncle Sams Cider (11/12/2021) (Blue)")</f>
        <v>Uncle Sams Cider (11/12/2021) (Blue)</v>
      </c>
      <c r="H8240" s="19"/>
    </row>
    <row r="8241">
      <c r="A8241" s="9"/>
      <c r="B8241" s="15"/>
      <c r="C8241" s="9">
        <f>IFERROR(__xludf.DUMMYFUNCTION("""COMPUTED_VALUE"""),44518.7758216203)</f>
        <v>44518.77582</v>
      </c>
      <c r="D8241" s="15">
        <f>IFERROR(__xludf.DUMMYFUNCTION("""COMPUTED_VALUE"""),1.067)</f>
        <v>1.067</v>
      </c>
      <c r="E8241" s="16">
        <f>IFERROR(__xludf.DUMMYFUNCTION("""COMPUTED_VALUE"""),67.0)</f>
        <v>67</v>
      </c>
      <c r="F8241" s="19" t="str">
        <f>IFERROR(__xludf.DUMMYFUNCTION("""COMPUTED_VALUE"""),"BLUE")</f>
        <v>BLUE</v>
      </c>
      <c r="G8241" s="20" t="str">
        <f>IFERROR(__xludf.DUMMYFUNCTION("""COMPUTED_VALUE"""),"Uncle Sams Cider (11/12/2021) (Blue)")</f>
        <v>Uncle Sams Cider (11/12/2021) (Blue)</v>
      </c>
      <c r="H8241" s="19"/>
    </row>
    <row r="8242">
      <c r="A8242" s="9"/>
      <c r="B8242" s="15"/>
      <c r="C8242" s="9">
        <f>IFERROR(__xludf.DUMMYFUNCTION("""COMPUTED_VALUE"""),44518.7653883101)</f>
        <v>44518.76539</v>
      </c>
      <c r="D8242" s="15">
        <f>IFERROR(__xludf.DUMMYFUNCTION("""COMPUTED_VALUE"""),1.067)</f>
        <v>1.067</v>
      </c>
      <c r="E8242" s="16">
        <f>IFERROR(__xludf.DUMMYFUNCTION("""COMPUTED_VALUE"""),67.0)</f>
        <v>67</v>
      </c>
      <c r="F8242" s="19" t="str">
        <f>IFERROR(__xludf.DUMMYFUNCTION("""COMPUTED_VALUE"""),"BLUE")</f>
        <v>BLUE</v>
      </c>
      <c r="G8242" s="20" t="str">
        <f>IFERROR(__xludf.DUMMYFUNCTION("""COMPUTED_VALUE"""),"Uncle Sams Cider (11/12/2021) (Blue)")</f>
        <v>Uncle Sams Cider (11/12/2021) (Blue)</v>
      </c>
      <c r="H8242" s="19"/>
    </row>
    <row r="8243">
      <c r="A8243" s="9"/>
      <c r="B8243" s="15"/>
      <c r="C8243" s="9">
        <f>IFERROR(__xludf.DUMMYFUNCTION("""COMPUTED_VALUE"""),44518.7549547685)</f>
        <v>44518.75495</v>
      </c>
      <c r="D8243" s="15">
        <f>IFERROR(__xludf.DUMMYFUNCTION("""COMPUTED_VALUE"""),1.067)</f>
        <v>1.067</v>
      </c>
      <c r="E8243" s="16">
        <f>IFERROR(__xludf.DUMMYFUNCTION("""COMPUTED_VALUE"""),67.0)</f>
        <v>67</v>
      </c>
      <c r="F8243" s="19" t="str">
        <f>IFERROR(__xludf.DUMMYFUNCTION("""COMPUTED_VALUE"""),"BLUE")</f>
        <v>BLUE</v>
      </c>
      <c r="G8243" s="20" t="str">
        <f>IFERROR(__xludf.DUMMYFUNCTION("""COMPUTED_VALUE"""),"Uncle Sams Cider (11/12/2021) (Blue)")</f>
        <v>Uncle Sams Cider (11/12/2021) (Blue)</v>
      </c>
      <c r="H8243" s="19"/>
    </row>
    <row r="8244">
      <c r="A8244" s="9"/>
      <c r="B8244" s="15"/>
      <c r="C8244" s="9">
        <f>IFERROR(__xludf.DUMMYFUNCTION("""COMPUTED_VALUE"""),44518.7445335532)</f>
        <v>44518.74453</v>
      </c>
      <c r="D8244" s="15">
        <f>IFERROR(__xludf.DUMMYFUNCTION("""COMPUTED_VALUE"""),1.067)</f>
        <v>1.067</v>
      </c>
      <c r="E8244" s="16">
        <f>IFERROR(__xludf.DUMMYFUNCTION("""COMPUTED_VALUE"""),67.0)</f>
        <v>67</v>
      </c>
      <c r="F8244" s="19" t="str">
        <f>IFERROR(__xludf.DUMMYFUNCTION("""COMPUTED_VALUE"""),"BLUE")</f>
        <v>BLUE</v>
      </c>
      <c r="G8244" s="20" t="str">
        <f>IFERROR(__xludf.DUMMYFUNCTION("""COMPUTED_VALUE"""),"Uncle Sams Cider (11/12/2021) (Blue)")</f>
        <v>Uncle Sams Cider (11/12/2021) (Blue)</v>
      </c>
      <c r="H8244" s="19"/>
    </row>
    <row r="8245">
      <c r="A8245" s="9"/>
      <c r="B8245" s="15"/>
      <c r="C8245" s="9">
        <f>IFERROR(__xludf.DUMMYFUNCTION("""COMPUTED_VALUE"""),44518.7341003703)</f>
        <v>44518.7341</v>
      </c>
      <c r="D8245" s="15">
        <f>IFERROR(__xludf.DUMMYFUNCTION("""COMPUTED_VALUE"""),1.067)</f>
        <v>1.067</v>
      </c>
      <c r="E8245" s="16">
        <f>IFERROR(__xludf.DUMMYFUNCTION("""COMPUTED_VALUE"""),67.0)</f>
        <v>67</v>
      </c>
      <c r="F8245" s="19" t="str">
        <f>IFERROR(__xludf.DUMMYFUNCTION("""COMPUTED_VALUE"""),"BLUE")</f>
        <v>BLUE</v>
      </c>
      <c r="G8245" s="20" t="str">
        <f>IFERROR(__xludf.DUMMYFUNCTION("""COMPUTED_VALUE"""),"Uncle Sams Cider (11/12/2021) (Blue)")</f>
        <v>Uncle Sams Cider (11/12/2021) (Blue)</v>
      </c>
      <c r="H8245" s="19"/>
    </row>
    <row r="8246">
      <c r="A8246" s="9"/>
      <c r="B8246" s="15"/>
      <c r="C8246" s="9">
        <f>IFERROR(__xludf.DUMMYFUNCTION("""COMPUTED_VALUE"""),44518.7236771527)</f>
        <v>44518.72368</v>
      </c>
      <c r="D8246" s="15">
        <f>IFERROR(__xludf.DUMMYFUNCTION("""COMPUTED_VALUE"""),1.067)</f>
        <v>1.067</v>
      </c>
      <c r="E8246" s="16">
        <f>IFERROR(__xludf.DUMMYFUNCTION("""COMPUTED_VALUE"""),67.0)</f>
        <v>67</v>
      </c>
      <c r="F8246" s="19" t="str">
        <f>IFERROR(__xludf.DUMMYFUNCTION("""COMPUTED_VALUE"""),"BLUE")</f>
        <v>BLUE</v>
      </c>
      <c r="G8246" s="20" t="str">
        <f>IFERROR(__xludf.DUMMYFUNCTION("""COMPUTED_VALUE"""),"Uncle Sams Cider (11/12/2021) (Blue)")</f>
        <v>Uncle Sams Cider (11/12/2021) (Blue)</v>
      </c>
      <c r="H8246" s="19"/>
    </row>
    <row r="8247">
      <c r="A8247" s="9"/>
      <c r="B8247" s="15"/>
      <c r="C8247" s="9">
        <f>IFERROR(__xludf.DUMMYFUNCTION("""COMPUTED_VALUE"""),44518.713255787)</f>
        <v>44518.71326</v>
      </c>
      <c r="D8247" s="15">
        <f>IFERROR(__xludf.DUMMYFUNCTION("""COMPUTED_VALUE"""),1.068)</f>
        <v>1.068</v>
      </c>
      <c r="E8247" s="16">
        <f>IFERROR(__xludf.DUMMYFUNCTION("""COMPUTED_VALUE"""),67.0)</f>
        <v>67</v>
      </c>
      <c r="F8247" s="19" t="str">
        <f>IFERROR(__xludf.DUMMYFUNCTION("""COMPUTED_VALUE"""),"BLUE")</f>
        <v>BLUE</v>
      </c>
      <c r="G8247" s="20" t="str">
        <f>IFERROR(__xludf.DUMMYFUNCTION("""COMPUTED_VALUE"""),"Uncle Sams Cider (11/12/2021) (Blue)")</f>
        <v>Uncle Sams Cider (11/12/2021) (Blue)</v>
      </c>
      <c r="H8247" s="19"/>
    </row>
    <row r="8248">
      <c r="A8248" s="9"/>
      <c r="B8248" s="15"/>
      <c r="C8248" s="9">
        <f>IFERROR(__xludf.DUMMYFUNCTION("""COMPUTED_VALUE"""),44518.7028357523)</f>
        <v>44518.70284</v>
      </c>
      <c r="D8248" s="15">
        <f>IFERROR(__xludf.DUMMYFUNCTION("""COMPUTED_VALUE"""),1.067)</f>
        <v>1.067</v>
      </c>
      <c r="E8248" s="16">
        <f>IFERROR(__xludf.DUMMYFUNCTION("""COMPUTED_VALUE"""),67.0)</f>
        <v>67</v>
      </c>
      <c r="F8248" s="19" t="str">
        <f>IFERROR(__xludf.DUMMYFUNCTION("""COMPUTED_VALUE"""),"BLUE")</f>
        <v>BLUE</v>
      </c>
      <c r="G8248" s="20" t="str">
        <f>IFERROR(__xludf.DUMMYFUNCTION("""COMPUTED_VALUE"""),"Uncle Sams Cider (11/12/2021) (Blue)")</f>
        <v>Uncle Sams Cider (11/12/2021) (Blue)</v>
      </c>
      <c r="H8248" s="19"/>
    </row>
    <row r="8249">
      <c r="A8249" s="9"/>
      <c r="B8249" s="15"/>
      <c r="C8249" s="9">
        <f>IFERROR(__xludf.DUMMYFUNCTION("""COMPUTED_VALUE"""),44518.6924139699)</f>
        <v>44518.69241</v>
      </c>
      <c r="D8249" s="15">
        <f>IFERROR(__xludf.DUMMYFUNCTION("""COMPUTED_VALUE"""),1.068)</f>
        <v>1.068</v>
      </c>
      <c r="E8249" s="16">
        <f>IFERROR(__xludf.DUMMYFUNCTION("""COMPUTED_VALUE"""),67.0)</f>
        <v>67</v>
      </c>
      <c r="F8249" s="19" t="str">
        <f>IFERROR(__xludf.DUMMYFUNCTION("""COMPUTED_VALUE"""),"BLUE")</f>
        <v>BLUE</v>
      </c>
      <c r="G8249" s="20" t="str">
        <f>IFERROR(__xludf.DUMMYFUNCTION("""COMPUTED_VALUE"""),"Uncle Sams Cider (11/12/2021) (Blue)")</f>
        <v>Uncle Sams Cider (11/12/2021) (Blue)</v>
      </c>
      <c r="H8249" s="19"/>
    </row>
    <row r="8250">
      <c r="A8250" s="9"/>
      <c r="B8250" s="15"/>
      <c r="C8250" s="9">
        <f>IFERROR(__xludf.DUMMYFUNCTION("""COMPUTED_VALUE"""),44518.6819933449)</f>
        <v>44518.68199</v>
      </c>
      <c r="D8250" s="15">
        <f>IFERROR(__xludf.DUMMYFUNCTION("""COMPUTED_VALUE"""),1.068)</f>
        <v>1.068</v>
      </c>
      <c r="E8250" s="16">
        <f>IFERROR(__xludf.DUMMYFUNCTION("""COMPUTED_VALUE"""),67.0)</f>
        <v>67</v>
      </c>
      <c r="F8250" s="19" t="str">
        <f>IFERROR(__xludf.DUMMYFUNCTION("""COMPUTED_VALUE"""),"BLUE")</f>
        <v>BLUE</v>
      </c>
      <c r="G8250" s="20" t="str">
        <f>IFERROR(__xludf.DUMMYFUNCTION("""COMPUTED_VALUE"""),"Uncle Sams Cider (11/12/2021) (Blue)")</f>
        <v>Uncle Sams Cider (11/12/2021) (Blue)</v>
      </c>
      <c r="H8250" s="19"/>
    </row>
    <row r="8251">
      <c r="A8251" s="9"/>
      <c r="B8251" s="15"/>
      <c r="C8251" s="9">
        <f>IFERROR(__xludf.DUMMYFUNCTION("""COMPUTED_VALUE"""),44518.6715729976)</f>
        <v>44518.67157</v>
      </c>
      <c r="D8251" s="15">
        <f>IFERROR(__xludf.DUMMYFUNCTION("""COMPUTED_VALUE"""),1.068)</f>
        <v>1.068</v>
      </c>
      <c r="E8251" s="16">
        <f>IFERROR(__xludf.DUMMYFUNCTION("""COMPUTED_VALUE"""),67.0)</f>
        <v>67</v>
      </c>
      <c r="F8251" s="19" t="str">
        <f>IFERROR(__xludf.DUMMYFUNCTION("""COMPUTED_VALUE"""),"BLUE")</f>
        <v>BLUE</v>
      </c>
      <c r="G8251" s="20" t="str">
        <f>IFERROR(__xludf.DUMMYFUNCTION("""COMPUTED_VALUE"""),"Uncle Sams Cider (11/12/2021) (Blue)")</f>
        <v>Uncle Sams Cider (11/12/2021) (Blue)</v>
      </c>
      <c r="H8251" s="19"/>
    </row>
    <row r="8252">
      <c r="A8252" s="9"/>
      <c r="B8252" s="15"/>
      <c r="C8252" s="9">
        <f>IFERROR(__xludf.DUMMYFUNCTION("""COMPUTED_VALUE"""),44518.6611540856)</f>
        <v>44518.66115</v>
      </c>
      <c r="D8252" s="15">
        <f>IFERROR(__xludf.DUMMYFUNCTION("""COMPUTED_VALUE"""),1.068)</f>
        <v>1.068</v>
      </c>
      <c r="E8252" s="16">
        <f>IFERROR(__xludf.DUMMYFUNCTION("""COMPUTED_VALUE"""),67.0)</f>
        <v>67</v>
      </c>
      <c r="F8252" s="19" t="str">
        <f>IFERROR(__xludf.DUMMYFUNCTION("""COMPUTED_VALUE"""),"BLUE")</f>
        <v>BLUE</v>
      </c>
      <c r="G8252" s="20" t="str">
        <f>IFERROR(__xludf.DUMMYFUNCTION("""COMPUTED_VALUE"""),"Uncle Sams Cider (11/12/2021) (Blue)")</f>
        <v>Uncle Sams Cider (11/12/2021) (Blue)</v>
      </c>
      <c r="H8252" s="19"/>
    </row>
    <row r="8253">
      <c r="A8253" s="9"/>
      <c r="B8253" s="15"/>
      <c r="C8253" s="9">
        <f>IFERROR(__xludf.DUMMYFUNCTION("""COMPUTED_VALUE"""),44518.6507316087)</f>
        <v>44518.65073</v>
      </c>
      <c r="D8253" s="15">
        <f>IFERROR(__xludf.DUMMYFUNCTION("""COMPUTED_VALUE"""),1.068)</f>
        <v>1.068</v>
      </c>
      <c r="E8253" s="16">
        <f>IFERROR(__xludf.DUMMYFUNCTION("""COMPUTED_VALUE"""),67.0)</f>
        <v>67</v>
      </c>
      <c r="F8253" s="19" t="str">
        <f>IFERROR(__xludf.DUMMYFUNCTION("""COMPUTED_VALUE"""),"BLUE")</f>
        <v>BLUE</v>
      </c>
      <c r="G8253" s="20" t="str">
        <f>IFERROR(__xludf.DUMMYFUNCTION("""COMPUTED_VALUE"""),"Uncle Sams Cider (11/12/2021) (Blue)")</f>
        <v>Uncle Sams Cider (11/12/2021) (Blue)</v>
      </c>
      <c r="H8253" s="19"/>
    </row>
    <row r="8254">
      <c r="A8254" s="9"/>
      <c r="B8254" s="15"/>
      <c r="C8254" s="9">
        <f>IFERROR(__xludf.DUMMYFUNCTION("""COMPUTED_VALUE"""),44518.6403103356)</f>
        <v>44518.64031</v>
      </c>
      <c r="D8254" s="15">
        <f>IFERROR(__xludf.DUMMYFUNCTION("""COMPUTED_VALUE"""),1.068)</f>
        <v>1.068</v>
      </c>
      <c r="E8254" s="16">
        <f>IFERROR(__xludf.DUMMYFUNCTION("""COMPUTED_VALUE"""),67.0)</f>
        <v>67</v>
      </c>
      <c r="F8254" s="19" t="str">
        <f>IFERROR(__xludf.DUMMYFUNCTION("""COMPUTED_VALUE"""),"BLUE")</f>
        <v>BLUE</v>
      </c>
      <c r="G8254" s="20" t="str">
        <f>IFERROR(__xludf.DUMMYFUNCTION("""COMPUTED_VALUE"""),"Uncle Sams Cider (11/12/2021) (Blue)")</f>
        <v>Uncle Sams Cider (11/12/2021) (Blue)</v>
      </c>
      <c r="H8254" s="19"/>
    </row>
    <row r="8255">
      <c r="A8255" s="9"/>
      <c r="B8255" s="15"/>
      <c r="C8255" s="9">
        <f>IFERROR(__xludf.DUMMYFUNCTION("""COMPUTED_VALUE"""),44518.6298901504)</f>
        <v>44518.62989</v>
      </c>
      <c r="D8255" s="15">
        <f>IFERROR(__xludf.DUMMYFUNCTION("""COMPUTED_VALUE"""),1.068)</f>
        <v>1.068</v>
      </c>
      <c r="E8255" s="16">
        <f>IFERROR(__xludf.DUMMYFUNCTION("""COMPUTED_VALUE"""),67.0)</f>
        <v>67</v>
      </c>
      <c r="F8255" s="19" t="str">
        <f>IFERROR(__xludf.DUMMYFUNCTION("""COMPUTED_VALUE"""),"BLUE")</f>
        <v>BLUE</v>
      </c>
      <c r="G8255" s="20" t="str">
        <f>IFERROR(__xludf.DUMMYFUNCTION("""COMPUTED_VALUE"""),"Uncle Sams Cider (11/12/2021) (Blue)")</f>
        <v>Uncle Sams Cider (11/12/2021) (Blue)</v>
      </c>
      <c r="H8255" s="19"/>
    </row>
    <row r="8256">
      <c r="A8256" s="9"/>
      <c r="B8256" s="15"/>
      <c r="C8256" s="9">
        <f>IFERROR(__xludf.DUMMYFUNCTION("""COMPUTED_VALUE"""),44518.6194692476)</f>
        <v>44518.61947</v>
      </c>
      <c r="D8256" s="15">
        <f>IFERROR(__xludf.DUMMYFUNCTION("""COMPUTED_VALUE"""),1.068)</f>
        <v>1.068</v>
      </c>
      <c r="E8256" s="16">
        <f>IFERROR(__xludf.DUMMYFUNCTION("""COMPUTED_VALUE"""),67.0)</f>
        <v>67</v>
      </c>
      <c r="F8256" s="19" t="str">
        <f>IFERROR(__xludf.DUMMYFUNCTION("""COMPUTED_VALUE"""),"BLUE")</f>
        <v>BLUE</v>
      </c>
      <c r="G8256" s="20" t="str">
        <f>IFERROR(__xludf.DUMMYFUNCTION("""COMPUTED_VALUE"""),"Uncle Sams Cider (11/12/2021) (Blue)")</f>
        <v>Uncle Sams Cider (11/12/2021) (Blue)</v>
      </c>
      <c r="H8256" s="19"/>
    </row>
    <row r="8257">
      <c r="A8257" s="9"/>
      <c r="B8257" s="15"/>
      <c r="C8257" s="9">
        <f>IFERROR(__xludf.DUMMYFUNCTION("""COMPUTED_VALUE"""),44518.6090467824)</f>
        <v>44518.60905</v>
      </c>
      <c r="D8257" s="15">
        <f>IFERROR(__xludf.DUMMYFUNCTION("""COMPUTED_VALUE"""),1.068)</f>
        <v>1.068</v>
      </c>
      <c r="E8257" s="16">
        <f>IFERROR(__xludf.DUMMYFUNCTION("""COMPUTED_VALUE"""),67.0)</f>
        <v>67</v>
      </c>
      <c r="F8257" s="19" t="str">
        <f>IFERROR(__xludf.DUMMYFUNCTION("""COMPUTED_VALUE"""),"BLUE")</f>
        <v>BLUE</v>
      </c>
      <c r="G8257" s="20" t="str">
        <f>IFERROR(__xludf.DUMMYFUNCTION("""COMPUTED_VALUE"""),"Uncle Sams Cider (11/12/2021) (Blue)")</f>
        <v>Uncle Sams Cider (11/12/2021) (Blue)</v>
      </c>
      <c r="H8257" s="19"/>
    </row>
    <row r="8258">
      <c r="A8258" s="9"/>
      <c r="B8258" s="15"/>
      <c r="C8258" s="9">
        <f>IFERROR(__xludf.DUMMYFUNCTION("""COMPUTED_VALUE"""),44518.5986268402)</f>
        <v>44518.59863</v>
      </c>
      <c r="D8258" s="15">
        <f>IFERROR(__xludf.DUMMYFUNCTION("""COMPUTED_VALUE"""),1.068)</f>
        <v>1.068</v>
      </c>
      <c r="E8258" s="16">
        <f>IFERROR(__xludf.DUMMYFUNCTION("""COMPUTED_VALUE"""),67.0)</f>
        <v>67</v>
      </c>
      <c r="F8258" s="19" t="str">
        <f>IFERROR(__xludf.DUMMYFUNCTION("""COMPUTED_VALUE"""),"BLUE")</f>
        <v>BLUE</v>
      </c>
      <c r="G8258" s="20" t="str">
        <f>IFERROR(__xludf.DUMMYFUNCTION("""COMPUTED_VALUE"""),"Uncle Sams Cider (11/12/2021) (Blue)")</f>
        <v>Uncle Sams Cider (11/12/2021) (Blue)</v>
      </c>
      <c r="H8258" s="19"/>
    </row>
    <row r="8259">
      <c r="A8259" s="9"/>
      <c r="B8259" s="15"/>
      <c r="C8259" s="9">
        <f>IFERROR(__xludf.DUMMYFUNCTION("""COMPUTED_VALUE"""),44518.5882064467)</f>
        <v>44518.58821</v>
      </c>
      <c r="D8259" s="15">
        <f>IFERROR(__xludf.DUMMYFUNCTION("""COMPUTED_VALUE"""),1.069)</f>
        <v>1.069</v>
      </c>
      <c r="E8259" s="16">
        <f>IFERROR(__xludf.DUMMYFUNCTION("""COMPUTED_VALUE"""),67.0)</f>
        <v>67</v>
      </c>
      <c r="F8259" s="19" t="str">
        <f>IFERROR(__xludf.DUMMYFUNCTION("""COMPUTED_VALUE"""),"BLUE")</f>
        <v>BLUE</v>
      </c>
      <c r="G8259" s="20" t="str">
        <f>IFERROR(__xludf.DUMMYFUNCTION("""COMPUTED_VALUE"""),"Uncle Sams Cider (11/12/2021) (Blue)")</f>
        <v>Uncle Sams Cider (11/12/2021) (Blue)</v>
      </c>
      <c r="H8259" s="19"/>
    </row>
    <row r="8260">
      <c r="A8260" s="9"/>
      <c r="B8260" s="15"/>
      <c r="C8260" s="9">
        <f>IFERROR(__xludf.DUMMYFUNCTION("""COMPUTED_VALUE"""),44518.5777848611)</f>
        <v>44518.57778</v>
      </c>
      <c r="D8260" s="15">
        <f>IFERROR(__xludf.DUMMYFUNCTION("""COMPUTED_VALUE"""),1.068)</f>
        <v>1.068</v>
      </c>
      <c r="E8260" s="16">
        <f>IFERROR(__xludf.DUMMYFUNCTION("""COMPUTED_VALUE"""),67.0)</f>
        <v>67</v>
      </c>
      <c r="F8260" s="19" t="str">
        <f>IFERROR(__xludf.DUMMYFUNCTION("""COMPUTED_VALUE"""),"BLUE")</f>
        <v>BLUE</v>
      </c>
      <c r="G8260" s="20" t="str">
        <f>IFERROR(__xludf.DUMMYFUNCTION("""COMPUTED_VALUE"""),"Uncle Sams Cider (11/12/2021) (Blue)")</f>
        <v>Uncle Sams Cider (11/12/2021) (Blue)</v>
      </c>
      <c r="H8260" s="19"/>
    </row>
    <row r="8261">
      <c r="A8261" s="9"/>
      <c r="B8261" s="15"/>
      <c r="C8261" s="9">
        <f>IFERROR(__xludf.DUMMYFUNCTION("""COMPUTED_VALUE"""),44518.5673642939)</f>
        <v>44518.56736</v>
      </c>
      <c r="D8261" s="15">
        <f>IFERROR(__xludf.DUMMYFUNCTION("""COMPUTED_VALUE"""),1.069)</f>
        <v>1.069</v>
      </c>
      <c r="E8261" s="16">
        <f>IFERROR(__xludf.DUMMYFUNCTION("""COMPUTED_VALUE"""),67.0)</f>
        <v>67</v>
      </c>
      <c r="F8261" s="19" t="str">
        <f>IFERROR(__xludf.DUMMYFUNCTION("""COMPUTED_VALUE"""),"BLUE")</f>
        <v>BLUE</v>
      </c>
      <c r="G8261" s="20" t="str">
        <f>IFERROR(__xludf.DUMMYFUNCTION("""COMPUTED_VALUE"""),"Uncle Sams Cider (11/12/2021) (Blue)")</f>
        <v>Uncle Sams Cider (11/12/2021) (Blue)</v>
      </c>
      <c r="H8261" s="19"/>
    </row>
    <row r="8262">
      <c r="A8262" s="9"/>
      <c r="B8262" s="15"/>
      <c r="C8262" s="9">
        <f>IFERROR(__xludf.DUMMYFUNCTION("""COMPUTED_VALUE"""),44518.5569428819)</f>
        <v>44518.55694</v>
      </c>
      <c r="D8262" s="15">
        <f>IFERROR(__xludf.DUMMYFUNCTION("""COMPUTED_VALUE"""),1.069)</f>
        <v>1.069</v>
      </c>
      <c r="E8262" s="16">
        <f>IFERROR(__xludf.DUMMYFUNCTION("""COMPUTED_VALUE"""),67.0)</f>
        <v>67</v>
      </c>
      <c r="F8262" s="19" t="str">
        <f>IFERROR(__xludf.DUMMYFUNCTION("""COMPUTED_VALUE"""),"BLUE")</f>
        <v>BLUE</v>
      </c>
      <c r="G8262" s="20" t="str">
        <f>IFERROR(__xludf.DUMMYFUNCTION("""COMPUTED_VALUE"""),"Uncle Sams Cider (11/12/2021) (Blue)")</f>
        <v>Uncle Sams Cider (11/12/2021) (Blue)</v>
      </c>
      <c r="H8262" s="19"/>
    </row>
    <row r="8263">
      <c r="A8263" s="9"/>
      <c r="B8263" s="15"/>
      <c r="C8263" s="9">
        <f>IFERROR(__xludf.DUMMYFUNCTION("""COMPUTED_VALUE"""),44518.5465203472)</f>
        <v>44518.54652</v>
      </c>
      <c r="D8263" s="15">
        <f>IFERROR(__xludf.DUMMYFUNCTION("""COMPUTED_VALUE"""),1.069)</f>
        <v>1.069</v>
      </c>
      <c r="E8263" s="16">
        <f>IFERROR(__xludf.DUMMYFUNCTION("""COMPUTED_VALUE"""),66.0)</f>
        <v>66</v>
      </c>
      <c r="F8263" s="19" t="str">
        <f>IFERROR(__xludf.DUMMYFUNCTION("""COMPUTED_VALUE"""),"BLUE")</f>
        <v>BLUE</v>
      </c>
      <c r="G8263" s="20" t="str">
        <f>IFERROR(__xludf.DUMMYFUNCTION("""COMPUTED_VALUE"""),"Uncle Sams Cider (11/12/2021) (Blue)")</f>
        <v>Uncle Sams Cider (11/12/2021) (Blue)</v>
      </c>
      <c r="H8263" s="19"/>
    </row>
    <row r="8264">
      <c r="A8264" s="9"/>
      <c r="B8264" s="15"/>
      <c r="C8264" s="9">
        <f>IFERROR(__xludf.DUMMYFUNCTION("""COMPUTED_VALUE"""),44518.5360887384)</f>
        <v>44518.53609</v>
      </c>
      <c r="D8264" s="15">
        <f>IFERROR(__xludf.DUMMYFUNCTION("""COMPUTED_VALUE"""),1.069)</f>
        <v>1.069</v>
      </c>
      <c r="E8264" s="16">
        <f>IFERROR(__xludf.DUMMYFUNCTION("""COMPUTED_VALUE"""),67.0)</f>
        <v>67</v>
      </c>
      <c r="F8264" s="19" t="str">
        <f>IFERROR(__xludf.DUMMYFUNCTION("""COMPUTED_VALUE"""),"BLUE")</f>
        <v>BLUE</v>
      </c>
      <c r="G8264" s="20" t="str">
        <f>IFERROR(__xludf.DUMMYFUNCTION("""COMPUTED_VALUE"""),"Uncle Sams Cider (11/12/2021) (Blue)")</f>
        <v>Uncle Sams Cider (11/12/2021) (Blue)</v>
      </c>
      <c r="H8264" s="19"/>
    </row>
    <row r="8265">
      <c r="A8265" s="9"/>
      <c r="B8265" s="15"/>
      <c r="C8265" s="9">
        <f>IFERROR(__xludf.DUMMYFUNCTION("""COMPUTED_VALUE"""),44518.5256679976)</f>
        <v>44518.52567</v>
      </c>
      <c r="D8265" s="15">
        <f>IFERROR(__xludf.DUMMYFUNCTION("""COMPUTED_VALUE"""),1.069)</f>
        <v>1.069</v>
      </c>
      <c r="E8265" s="16">
        <f>IFERROR(__xludf.DUMMYFUNCTION("""COMPUTED_VALUE"""),66.0)</f>
        <v>66</v>
      </c>
      <c r="F8265" s="19" t="str">
        <f>IFERROR(__xludf.DUMMYFUNCTION("""COMPUTED_VALUE"""),"BLUE")</f>
        <v>BLUE</v>
      </c>
      <c r="G8265" s="20" t="str">
        <f>IFERROR(__xludf.DUMMYFUNCTION("""COMPUTED_VALUE"""),"Uncle Sams Cider (11/12/2021) (Blue)")</f>
        <v>Uncle Sams Cider (11/12/2021) (Blue)</v>
      </c>
      <c r="H8265" s="19"/>
    </row>
    <row r="8266">
      <c r="A8266" s="9"/>
      <c r="B8266" s="15"/>
      <c r="C8266" s="9">
        <f>IFERROR(__xludf.DUMMYFUNCTION("""COMPUTED_VALUE"""),44518.5152475)</f>
        <v>44518.51525</v>
      </c>
      <c r="D8266" s="15">
        <f>IFERROR(__xludf.DUMMYFUNCTION("""COMPUTED_VALUE"""),1.069)</f>
        <v>1.069</v>
      </c>
      <c r="E8266" s="16">
        <f>IFERROR(__xludf.DUMMYFUNCTION("""COMPUTED_VALUE"""),66.0)</f>
        <v>66</v>
      </c>
      <c r="F8266" s="19" t="str">
        <f>IFERROR(__xludf.DUMMYFUNCTION("""COMPUTED_VALUE"""),"BLUE")</f>
        <v>BLUE</v>
      </c>
      <c r="G8266" s="20" t="str">
        <f>IFERROR(__xludf.DUMMYFUNCTION("""COMPUTED_VALUE"""),"Uncle Sams Cider (11/12/2021) (Blue)")</f>
        <v>Uncle Sams Cider (11/12/2021) (Blue)</v>
      </c>
      <c r="H8266" s="19"/>
    </row>
    <row r="8267">
      <c r="A8267" s="9"/>
      <c r="B8267" s="15"/>
      <c r="C8267" s="9">
        <f>IFERROR(__xludf.DUMMYFUNCTION("""COMPUTED_VALUE"""),44518.5048266782)</f>
        <v>44518.50483</v>
      </c>
      <c r="D8267" s="15">
        <f>IFERROR(__xludf.DUMMYFUNCTION("""COMPUTED_VALUE"""),1.069)</f>
        <v>1.069</v>
      </c>
      <c r="E8267" s="16">
        <f>IFERROR(__xludf.DUMMYFUNCTION("""COMPUTED_VALUE"""),66.0)</f>
        <v>66</v>
      </c>
      <c r="F8267" s="19" t="str">
        <f>IFERROR(__xludf.DUMMYFUNCTION("""COMPUTED_VALUE"""),"BLUE")</f>
        <v>BLUE</v>
      </c>
      <c r="G8267" s="20" t="str">
        <f>IFERROR(__xludf.DUMMYFUNCTION("""COMPUTED_VALUE"""),"Uncle Sams Cider (11/12/2021) (Blue)")</f>
        <v>Uncle Sams Cider (11/12/2021) (Blue)</v>
      </c>
      <c r="H8267" s="19"/>
    </row>
    <row r="8268">
      <c r="A8268" s="9"/>
      <c r="B8268" s="15"/>
      <c r="C8268" s="9">
        <f>IFERROR(__xludf.DUMMYFUNCTION("""COMPUTED_VALUE"""),44518.4944059722)</f>
        <v>44518.49441</v>
      </c>
      <c r="D8268" s="15">
        <f>IFERROR(__xludf.DUMMYFUNCTION("""COMPUTED_VALUE"""),1.069)</f>
        <v>1.069</v>
      </c>
      <c r="E8268" s="16">
        <f>IFERROR(__xludf.DUMMYFUNCTION("""COMPUTED_VALUE"""),66.0)</f>
        <v>66</v>
      </c>
      <c r="F8268" s="19" t="str">
        <f>IFERROR(__xludf.DUMMYFUNCTION("""COMPUTED_VALUE"""),"BLUE")</f>
        <v>BLUE</v>
      </c>
      <c r="G8268" s="20" t="str">
        <f>IFERROR(__xludf.DUMMYFUNCTION("""COMPUTED_VALUE"""),"Uncle Sams Cider (11/12/2021) (Blue)")</f>
        <v>Uncle Sams Cider (11/12/2021) (Blue)</v>
      </c>
      <c r="H8268" s="19"/>
    </row>
    <row r="8269">
      <c r="A8269" s="9"/>
      <c r="B8269" s="15"/>
      <c r="C8269" s="9">
        <f>IFERROR(__xludf.DUMMYFUNCTION("""COMPUTED_VALUE"""),44518.4839841898)</f>
        <v>44518.48398</v>
      </c>
      <c r="D8269" s="15">
        <f>IFERROR(__xludf.DUMMYFUNCTION("""COMPUTED_VALUE"""),1.069)</f>
        <v>1.069</v>
      </c>
      <c r="E8269" s="16">
        <f>IFERROR(__xludf.DUMMYFUNCTION("""COMPUTED_VALUE"""),66.0)</f>
        <v>66</v>
      </c>
      <c r="F8269" s="19" t="str">
        <f>IFERROR(__xludf.DUMMYFUNCTION("""COMPUTED_VALUE"""),"BLUE")</f>
        <v>BLUE</v>
      </c>
      <c r="G8269" s="20" t="str">
        <f>IFERROR(__xludf.DUMMYFUNCTION("""COMPUTED_VALUE"""),"Uncle Sams Cider (11/12/2021) (Blue)")</f>
        <v>Uncle Sams Cider (11/12/2021) (Blue)</v>
      </c>
      <c r="H8269" s="19"/>
    </row>
    <row r="8270">
      <c r="A8270" s="9"/>
      <c r="B8270" s="15"/>
      <c r="C8270" s="9">
        <f>IFERROR(__xludf.DUMMYFUNCTION("""COMPUTED_VALUE"""),44518.4735630786)</f>
        <v>44518.47356</v>
      </c>
      <c r="D8270" s="15">
        <f>IFERROR(__xludf.DUMMYFUNCTION("""COMPUTED_VALUE"""),1.069)</f>
        <v>1.069</v>
      </c>
      <c r="E8270" s="16">
        <f>IFERROR(__xludf.DUMMYFUNCTION("""COMPUTED_VALUE"""),66.0)</f>
        <v>66</v>
      </c>
      <c r="F8270" s="19" t="str">
        <f>IFERROR(__xludf.DUMMYFUNCTION("""COMPUTED_VALUE"""),"BLUE")</f>
        <v>BLUE</v>
      </c>
      <c r="G8270" s="20" t="str">
        <f>IFERROR(__xludf.DUMMYFUNCTION("""COMPUTED_VALUE"""),"Uncle Sams Cider (11/12/2021) (Blue)")</f>
        <v>Uncle Sams Cider (11/12/2021) (Blue)</v>
      </c>
      <c r="H8270" s="19"/>
    </row>
    <row r="8271">
      <c r="A8271" s="9"/>
      <c r="B8271" s="15"/>
      <c r="C8271" s="9">
        <f>IFERROR(__xludf.DUMMYFUNCTION("""COMPUTED_VALUE"""),44518.4631311226)</f>
        <v>44518.46313</v>
      </c>
      <c r="D8271" s="15">
        <f>IFERROR(__xludf.DUMMYFUNCTION("""COMPUTED_VALUE"""),1.069)</f>
        <v>1.069</v>
      </c>
      <c r="E8271" s="16">
        <f>IFERROR(__xludf.DUMMYFUNCTION("""COMPUTED_VALUE"""),66.0)</f>
        <v>66</v>
      </c>
      <c r="F8271" s="19" t="str">
        <f>IFERROR(__xludf.DUMMYFUNCTION("""COMPUTED_VALUE"""),"BLUE")</f>
        <v>BLUE</v>
      </c>
      <c r="G8271" s="20" t="str">
        <f>IFERROR(__xludf.DUMMYFUNCTION("""COMPUTED_VALUE"""),"Uncle Sams Cider (11/12/2021) (Blue)")</f>
        <v>Uncle Sams Cider (11/12/2021) (Blue)</v>
      </c>
      <c r="H8271" s="19"/>
    </row>
    <row r="8272">
      <c r="A8272" s="9"/>
      <c r="B8272" s="15"/>
      <c r="C8272" s="9">
        <f>IFERROR(__xludf.DUMMYFUNCTION("""COMPUTED_VALUE"""),44518.452709456)</f>
        <v>44518.45271</v>
      </c>
      <c r="D8272" s="15">
        <f>IFERROR(__xludf.DUMMYFUNCTION("""COMPUTED_VALUE"""),1.07)</f>
        <v>1.07</v>
      </c>
      <c r="E8272" s="16">
        <f>IFERROR(__xludf.DUMMYFUNCTION("""COMPUTED_VALUE"""),66.0)</f>
        <v>66</v>
      </c>
      <c r="F8272" s="19" t="str">
        <f>IFERROR(__xludf.DUMMYFUNCTION("""COMPUTED_VALUE"""),"BLUE")</f>
        <v>BLUE</v>
      </c>
      <c r="G8272" s="20" t="str">
        <f>IFERROR(__xludf.DUMMYFUNCTION("""COMPUTED_VALUE"""),"Uncle Sams Cider (11/12/2021) (Blue)")</f>
        <v>Uncle Sams Cider (11/12/2021) (Blue)</v>
      </c>
      <c r="H8272" s="19"/>
    </row>
    <row r="8273">
      <c r="A8273" s="9"/>
      <c r="B8273" s="15"/>
      <c r="C8273" s="9">
        <f>IFERROR(__xludf.DUMMYFUNCTION("""COMPUTED_VALUE"""),44518.4422880671)</f>
        <v>44518.44229</v>
      </c>
      <c r="D8273" s="15">
        <f>IFERROR(__xludf.DUMMYFUNCTION("""COMPUTED_VALUE"""),1.069)</f>
        <v>1.069</v>
      </c>
      <c r="E8273" s="16">
        <f>IFERROR(__xludf.DUMMYFUNCTION("""COMPUTED_VALUE"""),66.0)</f>
        <v>66</v>
      </c>
      <c r="F8273" s="19" t="str">
        <f>IFERROR(__xludf.DUMMYFUNCTION("""COMPUTED_VALUE"""),"BLUE")</f>
        <v>BLUE</v>
      </c>
      <c r="G8273" s="20" t="str">
        <f>IFERROR(__xludf.DUMMYFUNCTION("""COMPUTED_VALUE"""),"Uncle Sams Cider (11/12/2021) (Blue)")</f>
        <v>Uncle Sams Cider (11/12/2021) (Blue)</v>
      </c>
      <c r="H8273" s="19"/>
    </row>
    <row r="8274">
      <c r="A8274" s="9"/>
      <c r="B8274" s="15"/>
      <c r="C8274" s="9">
        <f>IFERROR(__xludf.DUMMYFUNCTION("""COMPUTED_VALUE"""),44518.4318674074)</f>
        <v>44518.43187</v>
      </c>
      <c r="D8274" s="15">
        <f>IFERROR(__xludf.DUMMYFUNCTION("""COMPUTED_VALUE"""),1.07)</f>
        <v>1.07</v>
      </c>
      <c r="E8274" s="16">
        <f>IFERROR(__xludf.DUMMYFUNCTION("""COMPUTED_VALUE"""),66.0)</f>
        <v>66</v>
      </c>
      <c r="F8274" s="19" t="str">
        <f>IFERROR(__xludf.DUMMYFUNCTION("""COMPUTED_VALUE"""),"BLUE")</f>
        <v>BLUE</v>
      </c>
      <c r="G8274" s="20" t="str">
        <f>IFERROR(__xludf.DUMMYFUNCTION("""COMPUTED_VALUE"""),"Uncle Sams Cider (11/12/2021) (Blue)")</f>
        <v>Uncle Sams Cider (11/12/2021) (Blue)</v>
      </c>
      <c r="H8274" s="19"/>
    </row>
    <row r="8275">
      <c r="A8275" s="9"/>
      <c r="B8275" s="15"/>
      <c r="C8275" s="9">
        <f>IFERROR(__xludf.DUMMYFUNCTION("""COMPUTED_VALUE"""),44518.421445162)</f>
        <v>44518.42145</v>
      </c>
      <c r="D8275" s="15">
        <f>IFERROR(__xludf.DUMMYFUNCTION("""COMPUTED_VALUE"""),1.07)</f>
        <v>1.07</v>
      </c>
      <c r="E8275" s="16">
        <f>IFERROR(__xludf.DUMMYFUNCTION("""COMPUTED_VALUE"""),66.0)</f>
        <v>66</v>
      </c>
      <c r="F8275" s="19" t="str">
        <f>IFERROR(__xludf.DUMMYFUNCTION("""COMPUTED_VALUE"""),"BLUE")</f>
        <v>BLUE</v>
      </c>
      <c r="G8275" s="20" t="str">
        <f>IFERROR(__xludf.DUMMYFUNCTION("""COMPUTED_VALUE"""),"Uncle Sams Cider (11/12/2021) (Blue)")</f>
        <v>Uncle Sams Cider (11/12/2021) (Blue)</v>
      </c>
      <c r="H8275" s="19"/>
    </row>
    <row r="8276">
      <c r="A8276" s="9"/>
      <c r="B8276" s="15"/>
      <c r="C8276" s="9">
        <f>IFERROR(__xludf.DUMMYFUNCTION("""COMPUTED_VALUE"""),44518.411024375)</f>
        <v>44518.41102</v>
      </c>
      <c r="D8276" s="15">
        <f>IFERROR(__xludf.DUMMYFUNCTION("""COMPUTED_VALUE"""),1.069)</f>
        <v>1.069</v>
      </c>
      <c r="E8276" s="16">
        <f>IFERROR(__xludf.DUMMYFUNCTION("""COMPUTED_VALUE"""),66.0)</f>
        <v>66</v>
      </c>
      <c r="F8276" s="19" t="str">
        <f>IFERROR(__xludf.DUMMYFUNCTION("""COMPUTED_VALUE"""),"BLUE")</f>
        <v>BLUE</v>
      </c>
      <c r="G8276" s="20" t="str">
        <f>IFERROR(__xludf.DUMMYFUNCTION("""COMPUTED_VALUE"""),"Uncle Sams Cider (11/12/2021) (Blue)")</f>
        <v>Uncle Sams Cider (11/12/2021) (Blue)</v>
      </c>
      <c r="H8276" s="19"/>
    </row>
    <row r="8277">
      <c r="A8277" s="9"/>
      <c r="B8277" s="15"/>
      <c r="C8277" s="9">
        <f>IFERROR(__xludf.DUMMYFUNCTION("""COMPUTED_VALUE"""),44518.4006040972)</f>
        <v>44518.4006</v>
      </c>
      <c r="D8277" s="15">
        <f>IFERROR(__xludf.DUMMYFUNCTION("""COMPUTED_VALUE"""),1.07)</f>
        <v>1.07</v>
      </c>
      <c r="E8277" s="16">
        <f>IFERROR(__xludf.DUMMYFUNCTION("""COMPUTED_VALUE"""),66.0)</f>
        <v>66</v>
      </c>
      <c r="F8277" s="19" t="str">
        <f>IFERROR(__xludf.DUMMYFUNCTION("""COMPUTED_VALUE"""),"BLUE")</f>
        <v>BLUE</v>
      </c>
      <c r="G8277" s="20" t="str">
        <f>IFERROR(__xludf.DUMMYFUNCTION("""COMPUTED_VALUE"""),"Uncle Sams Cider (11/12/2021) (Blue)")</f>
        <v>Uncle Sams Cider (11/12/2021) (Blue)</v>
      </c>
      <c r="H8277" s="19"/>
    </row>
    <row r="8278">
      <c r="A8278" s="9"/>
      <c r="B8278" s="15"/>
      <c r="C8278" s="9">
        <f>IFERROR(__xludf.DUMMYFUNCTION("""COMPUTED_VALUE"""),44518.3901713773)</f>
        <v>44518.39017</v>
      </c>
      <c r="D8278" s="15">
        <f>IFERROR(__xludf.DUMMYFUNCTION("""COMPUTED_VALUE"""),1.07)</f>
        <v>1.07</v>
      </c>
      <c r="E8278" s="16">
        <f>IFERROR(__xludf.DUMMYFUNCTION("""COMPUTED_VALUE"""),66.0)</f>
        <v>66</v>
      </c>
      <c r="F8278" s="19" t="str">
        <f>IFERROR(__xludf.DUMMYFUNCTION("""COMPUTED_VALUE"""),"BLUE")</f>
        <v>BLUE</v>
      </c>
      <c r="G8278" s="20" t="str">
        <f>IFERROR(__xludf.DUMMYFUNCTION("""COMPUTED_VALUE"""),"Uncle Sams Cider (11/12/2021) (Blue)")</f>
        <v>Uncle Sams Cider (11/12/2021) (Blue)</v>
      </c>
      <c r="H8278" s="19"/>
    </row>
    <row r="8279">
      <c r="A8279" s="9"/>
      <c r="B8279" s="15"/>
      <c r="C8279" s="9">
        <f>IFERROR(__xludf.DUMMYFUNCTION("""COMPUTED_VALUE"""),44518.3797509953)</f>
        <v>44518.37975</v>
      </c>
      <c r="D8279" s="15">
        <f>IFERROR(__xludf.DUMMYFUNCTION("""COMPUTED_VALUE"""),1.07)</f>
        <v>1.07</v>
      </c>
      <c r="E8279" s="16">
        <f>IFERROR(__xludf.DUMMYFUNCTION("""COMPUTED_VALUE"""),66.0)</f>
        <v>66</v>
      </c>
      <c r="F8279" s="19" t="str">
        <f>IFERROR(__xludf.DUMMYFUNCTION("""COMPUTED_VALUE"""),"BLUE")</f>
        <v>BLUE</v>
      </c>
      <c r="G8279" s="20" t="str">
        <f>IFERROR(__xludf.DUMMYFUNCTION("""COMPUTED_VALUE"""),"Uncle Sams Cider (11/12/2021) (Blue)")</f>
        <v>Uncle Sams Cider (11/12/2021) (Blue)</v>
      </c>
      <c r="H8279" s="19"/>
    </row>
    <row r="8280">
      <c r="A8280" s="9"/>
      <c r="B8280" s="15"/>
      <c r="C8280" s="9">
        <f>IFERROR(__xludf.DUMMYFUNCTION("""COMPUTED_VALUE"""),44518.3693315046)</f>
        <v>44518.36933</v>
      </c>
      <c r="D8280" s="15">
        <f>IFERROR(__xludf.DUMMYFUNCTION("""COMPUTED_VALUE"""),1.07)</f>
        <v>1.07</v>
      </c>
      <c r="E8280" s="16">
        <f>IFERROR(__xludf.DUMMYFUNCTION("""COMPUTED_VALUE"""),66.0)</f>
        <v>66</v>
      </c>
      <c r="F8280" s="19" t="str">
        <f>IFERROR(__xludf.DUMMYFUNCTION("""COMPUTED_VALUE"""),"BLUE")</f>
        <v>BLUE</v>
      </c>
      <c r="G8280" s="20" t="str">
        <f>IFERROR(__xludf.DUMMYFUNCTION("""COMPUTED_VALUE"""),"Uncle Sams Cider (11/12/2021) (Blue)")</f>
        <v>Uncle Sams Cider (11/12/2021) (Blue)</v>
      </c>
      <c r="H8280" s="19"/>
    </row>
    <row r="8281">
      <c r="A8281" s="9"/>
      <c r="B8281" s="15"/>
      <c r="C8281" s="9">
        <f>IFERROR(__xludf.DUMMYFUNCTION("""COMPUTED_VALUE"""),44518.3588986458)</f>
        <v>44518.3589</v>
      </c>
      <c r="D8281" s="15">
        <f>IFERROR(__xludf.DUMMYFUNCTION("""COMPUTED_VALUE"""),1.07)</f>
        <v>1.07</v>
      </c>
      <c r="E8281" s="16">
        <f>IFERROR(__xludf.DUMMYFUNCTION("""COMPUTED_VALUE"""),66.0)</f>
        <v>66</v>
      </c>
      <c r="F8281" s="19" t="str">
        <f>IFERROR(__xludf.DUMMYFUNCTION("""COMPUTED_VALUE"""),"BLUE")</f>
        <v>BLUE</v>
      </c>
      <c r="G8281" s="20" t="str">
        <f>IFERROR(__xludf.DUMMYFUNCTION("""COMPUTED_VALUE"""),"Uncle Sams Cider (11/12/2021) (Blue)")</f>
        <v>Uncle Sams Cider (11/12/2021) (Blue)</v>
      </c>
      <c r="H8281" s="19"/>
    </row>
    <row r="8282">
      <c r="A8282" s="9"/>
      <c r="B8282" s="15"/>
      <c r="C8282" s="9">
        <f>IFERROR(__xludf.DUMMYFUNCTION("""COMPUTED_VALUE"""),44518.3484784722)</f>
        <v>44518.34848</v>
      </c>
      <c r="D8282" s="15">
        <f>IFERROR(__xludf.DUMMYFUNCTION("""COMPUTED_VALUE"""),1.07)</f>
        <v>1.07</v>
      </c>
      <c r="E8282" s="16">
        <f>IFERROR(__xludf.DUMMYFUNCTION("""COMPUTED_VALUE"""),66.0)</f>
        <v>66</v>
      </c>
      <c r="F8282" s="19" t="str">
        <f>IFERROR(__xludf.DUMMYFUNCTION("""COMPUTED_VALUE"""),"BLUE")</f>
        <v>BLUE</v>
      </c>
      <c r="G8282" s="20" t="str">
        <f>IFERROR(__xludf.DUMMYFUNCTION("""COMPUTED_VALUE"""),"Uncle Sams Cider (11/12/2021) (Blue)")</f>
        <v>Uncle Sams Cider (11/12/2021) (Blue)</v>
      </c>
      <c r="H8282" s="19"/>
    </row>
    <row r="8283">
      <c r="A8283" s="9"/>
      <c r="B8283" s="15"/>
      <c r="C8283" s="9">
        <f>IFERROR(__xludf.DUMMYFUNCTION("""COMPUTED_VALUE"""),44518.3380572685)</f>
        <v>44518.33806</v>
      </c>
      <c r="D8283" s="15">
        <f>IFERROR(__xludf.DUMMYFUNCTION("""COMPUTED_VALUE"""),1.07)</f>
        <v>1.07</v>
      </c>
      <c r="E8283" s="16">
        <f>IFERROR(__xludf.DUMMYFUNCTION("""COMPUTED_VALUE"""),66.0)</f>
        <v>66</v>
      </c>
      <c r="F8283" s="19" t="str">
        <f>IFERROR(__xludf.DUMMYFUNCTION("""COMPUTED_VALUE"""),"BLUE")</f>
        <v>BLUE</v>
      </c>
      <c r="G8283" s="20" t="str">
        <f>IFERROR(__xludf.DUMMYFUNCTION("""COMPUTED_VALUE"""),"Uncle Sams Cider (11/12/2021) (Blue)")</f>
        <v>Uncle Sams Cider (11/12/2021) (Blue)</v>
      </c>
      <c r="H8283" s="19"/>
    </row>
    <row r="8284">
      <c r="A8284" s="9"/>
      <c r="B8284" s="15"/>
      <c r="C8284" s="9">
        <f>IFERROR(__xludf.DUMMYFUNCTION("""COMPUTED_VALUE"""),44518.3276134953)</f>
        <v>44518.32761</v>
      </c>
      <c r="D8284" s="15">
        <f>IFERROR(__xludf.DUMMYFUNCTION("""COMPUTED_VALUE"""),1.07)</f>
        <v>1.07</v>
      </c>
      <c r="E8284" s="16">
        <f>IFERROR(__xludf.DUMMYFUNCTION("""COMPUTED_VALUE"""),66.0)</f>
        <v>66</v>
      </c>
      <c r="F8284" s="19" t="str">
        <f>IFERROR(__xludf.DUMMYFUNCTION("""COMPUTED_VALUE"""),"BLUE")</f>
        <v>BLUE</v>
      </c>
      <c r="G8284" s="20" t="str">
        <f>IFERROR(__xludf.DUMMYFUNCTION("""COMPUTED_VALUE"""),"Uncle Sams Cider (11/12/2021) (Blue)")</f>
        <v>Uncle Sams Cider (11/12/2021) (Blue)</v>
      </c>
      <c r="H8284" s="19"/>
    </row>
    <row r="8285">
      <c r="A8285" s="9"/>
      <c r="B8285" s="15"/>
      <c r="C8285" s="9">
        <f>IFERROR(__xludf.DUMMYFUNCTION("""COMPUTED_VALUE"""),44518.3171920254)</f>
        <v>44518.31719</v>
      </c>
      <c r="D8285" s="15">
        <f>IFERROR(__xludf.DUMMYFUNCTION("""COMPUTED_VALUE"""),1.07)</f>
        <v>1.07</v>
      </c>
      <c r="E8285" s="16">
        <f>IFERROR(__xludf.DUMMYFUNCTION("""COMPUTED_VALUE"""),66.0)</f>
        <v>66</v>
      </c>
      <c r="F8285" s="19" t="str">
        <f>IFERROR(__xludf.DUMMYFUNCTION("""COMPUTED_VALUE"""),"BLUE")</f>
        <v>BLUE</v>
      </c>
      <c r="G8285" s="20" t="str">
        <f>IFERROR(__xludf.DUMMYFUNCTION("""COMPUTED_VALUE"""),"Uncle Sams Cider (11/12/2021) (Blue)")</f>
        <v>Uncle Sams Cider (11/12/2021) (Blue)</v>
      </c>
      <c r="H8285" s="19"/>
    </row>
    <row r="8286">
      <c r="A8286" s="9"/>
      <c r="B8286" s="15"/>
      <c r="C8286" s="9">
        <f>IFERROR(__xludf.DUMMYFUNCTION("""COMPUTED_VALUE"""),44518.3067711111)</f>
        <v>44518.30677</v>
      </c>
      <c r="D8286" s="15">
        <f>IFERROR(__xludf.DUMMYFUNCTION("""COMPUTED_VALUE"""),1.07)</f>
        <v>1.07</v>
      </c>
      <c r="E8286" s="16">
        <f>IFERROR(__xludf.DUMMYFUNCTION("""COMPUTED_VALUE"""),66.0)</f>
        <v>66</v>
      </c>
      <c r="F8286" s="19" t="str">
        <f>IFERROR(__xludf.DUMMYFUNCTION("""COMPUTED_VALUE"""),"BLUE")</f>
        <v>BLUE</v>
      </c>
      <c r="G8286" s="20" t="str">
        <f>IFERROR(__xludf.DUMMYFUNCTION("""COMPUTED_VALUE"""),"Uncle Sams Cider (11/12/2021) (Blue)")</f>
        <v>Uncle Sams Cider (11/12/2021) (Blue)</v>
      </c>
      <c r="H8286" s="19"/>
    </row>
    <row r="8287">
      <c r="A8287" s="9"/>
      <c r="B8287" s="15"/>
      <c r="C8287" s="9">
        <f>IFERROR(__xludf.DUMMYFUNCTION("""COMPUTED_VALUE"""),44518.2963491435)</f>
        <v>44518.29635</v>
      </c>
      <c r="D8287" s="15">
        <f>IFERROR(__xludf.DUMMYFUNCTION("""COMPUTED_VALUE"""),1.071)</f>
        <v>1.071</v>
      </c>
      <c r="E8287" s="16">
        <f>IFERROR(__xludf.DUMMYFUNCTION("""COMPUTED_VALUE"""),66.0)</f>
        <v>66</v>
      </c>
      <c r="F8287" s="19" t="str">
        <f>IFERROR(__xludf.DUMMYFUNCTION("""COMPUTED_VALUE"""),"BLUE")</f>
        <v>BLUE</v>
      </c>
      <c r="G8287" s="20" t="str">
        <f>IFERROR(__xludf.DUMMYFUNCTION("""COMPUTED_VALUE"""),"Uncle Sams Cider (11/12/2021) (Blue)")</f>
        <v>Uncle Sams Cider (11/12/2021) (Blue)</v>
      </c>
      <c r="H8287" s="19"/>
    </row>
    <row r="8288">
      <c r="A8288" s="9"/>
      <c r="B8288" s="15"/>
      <c r="C8288" s="9">
        <f>IFERROR(__xludf.DUMMYFUNCTION("""COMPUTED_VALUE"""),44518.2859268981)</f>
        <v>44518.28593</v>
      </c>
      <c r="D8288" s="15">
        <f>IFERROR(__xludf.DUMMYFUNCTION("""COMPUTED_VALUE"""),1.071)</f>
        <v>1.071</v>
      </c>
      <c r="E8288" s="16">
        <f>IFERROR(__xludf.DUMMYFUNCTION("""COMPUTED_VALUE"""),66.0)</f>
        <v>66</v>
      </c>
      <c r="F8288" s="19" t="str">
        <f>IFERROR(__xludf.DUMMYFUNCTION("""COMPUTED_VALUE"""),"BLUE")</f>
        <v>BLUE</v>
      </c>
      <c r="G8288" s="20" t="str">
        <f>IFERROR(__xludf.DUMMYFUNCTION("""COMPUTED_VALUE"""),"Uncle Sams Cider (11/12/2021) (Blue)")</f>
        <v>Uncle Sams Cider (11/12/2021) (Blue)</v>
      </c>
      <c r="H8288" s="19"/>
    </row>
    <row r="8289">
      <c r="A8289" s="9"/>
      <c r="B8289" s="15"/>
      <c r="C8289" s="9">
        <f>IFERROR(__xludf.DUMMYFUNCTION("""COMPUTED_VALUE"""),44518.2755059722)</f>
        <v>44518.27551</v>
      </c>
      <c r="D8289" s="15">
        <f>IFERROR(__xludf.DUMMYFUNCTION("""COMPUTED_VALUE"""),1.071)</f>
        <v>1.071</v>
      </c>
      <c r="E8289" s="16">
        <f>IFERROR(__xludf.DUMMYFUNCTION("""COMPUTED_VALUE"""),66.0)</f>
        <v>66</v>
      </c>
      <c r="F8289" s="19" t="str">
        <f>IFERROR(__xludf.DUMMYFUNCTION("""COMPUTED_VALUE"""),"BLUE")</f>
        <v>BLUE</v>
      </c>
      <c r="G8289" s="20" t="str">
        <f>IFERROR(__xludf.DUMMYFUNCTION("""COMPUTED_VALUE"""),"Uncle Sams Cider (11/12/2021) (Blue)")</f>
        <v>Uncle Sams Cider (11/12/2021) (Blue)</v>
      </c>
      <c r="H8289" s="19"/>
    </row>
    <row r="8290">
      <c r="A8290" s="9"/>
      <c r="B8290" s="15"/>
      <c r="C8290" s="9">
        <f>IFERROR(__xludf.DUMMYFUNCTION("""COMPUTED_VALUE"""),44518.265084537)</f>
        <v>44518.26508</v>
      </c>
      <c r="D8290" s="15">
        <f>IFERROR(__xludf.DUMMYFUNCTION("""COMPUTED_VALUE"""),1.071)</f>
        <v>1.071</v>
      </c>
      <c r="E8290" s="16">
        <f>IFERROR(__xludf.DUMMYFUNCTION("""COMPUTED_VALUE"""),66.0)</f>
        <v>66</v>
      </c>
      <c r="F8290" s="19" t="str">
        <f>IFERROR(__xludf.DUMMYFUNCTION("""COMPUTED_VALUE"""),"BLUE")</f>
        <v>BLUE</v>
      </c>
      <c r="G8290" s="20" t="str">
        <f>IFERROR(__xludf.DUMMYFUNCTION("""COMPUTED_VALUE"""),"Uncle Sams Cider (11/12/2021) (Blue)")</f>
        <v>Uncle Sams Cider (11/12/2021) (Blue)</v>
      </c>
      <c r="H8290" s="19"/>
    </row>
    <row r="8291">
      <c r="A8291" s="9"/>
      <c r="B8291" s="15"/>
      <c r="C8291" s="9">
        <f>IFERROR(__xludf.DUMMYFUNCTION("""COMPUTED_VALUE"""),44518.2546640625)</f>
        <v>44518.25466</v>
      </c>
      <c r="D8291" s="15">
        <f>IFERROR(__xludf.DUMMYFUNCTION("""COMPUTED_VALUE"""),1.071)</f>
        <v>1.071</v>
      </c>
      <c r="E8291" s="16">
        <f>IFERROR(__xludf.DUMMYFUNCTION("""COMPUTED_VALUE"""),66.0)</f>
        <v>66</v>
      </c>
      <c r="F8291" s="19" t="str">
        <f>IFERROR(__xludf.DUMMYFUNCTION("""COMPUTED_VALUE"""),"BLUE")</f>
        <v>BLUE</v>
      </c>
      <c r="G8291" s="20" t="str">
        <f>IFERROR(__xludf.DUMMYFUNCTION("""COMPUTED_VALUE"""),"Uncle Sams Cider (11/12/2021) (Blue)")</f>
        <v>Uncle Sams Cider (11/12/2021) (Blue)</v>
      </c>
      <c r="H8291" s="19"/>
    </row>
    <row r="8292">
      <c r="A8292" s="9"/>
      <c r="B8292" s="15"/>
      <c r="C8292" s="9">
        <f>IFERROR(__xludf.DUMMYFUNCTION("""COMPUTED_VALUE"""),44518.2442442939)</f>
        <v>44518.24424</v>
      </c>
      <c r="D8292" s="15">
        <f>IFERROR(__xludf.DUMMYFUNCTION("""COMPUTED_VALUE"""),1.071)</f>
        <v>1.071</v>
      </c>
      <c r="E8292" s="16">
        <f>IFERROR(__xludf.DUMMYFUNCTION("""COMPUTED_VALUE"""),66.0)</f>
        <v>66</v>
      </c>
      <c r="F8292" s="19" t="str">
        <f>IFERROR(__xludf.DUMMYFUNCTION("""COMPUTED_VALUE"""),"BLUE")</f>
        <v>BLUE</v>
      </c>
      <c r="G8292" s="20" t="str">
        <f>IFERROR(__xludf.DUMMYFUNCTION("""COMPUTED_VALUE"""),"Uncle Sams Cider (11/12/2021) (Blue)")</f>
        <v>Uncle Sams Cider (11/12/2021) (Blue)</v>
      </c>
      <c r="H8292" s="19"/>
    </row>
    <row r="8293">
      <c r="A8293" s="9"/>
      <c r="B8293" s="15"/>
      <c r="C8293" s="9">
        <f>IFERROR(__xludf.DUMMYFUNCTION("""COMPUTED_VALUE"""),44518.2338223148)</f>
        <v>44518.23382</v>
      </c>
      <c r="D8293" s="15">
        <f>IFERROR(__xludf.DUMMYFUNCTION("""COMPUTED_VALUE"""),1.071)</f>
        <v>1.071</v>
      </c>
      <c r="E8293" s="16">
        <f>IFERROR(__xludf.DUMMYFUNCTION("""COMPUTED_VALUE"""),66.0)</f>
        <v>66</v>
      </c>
      <c r="F8293" s="19" t="str">
        <f>IFERROR(__xludf.DUMMYFUNCTION("""COMPUTED_VALUE"""),"BLUE")</f>
        <v>BLUE</v>
      </c>
      <c r="G8293" s="20" t="str">
        <f>IFERROR(__xludf.DUMMYFUNCTION("""COMPUTED_VALUE"""),"Uncle Sams Cider (11/12/2021) (Blue)")</f>
        <v>Uncle Sams Cider (11/12/2021) (Blue)</v>
      </c>
      <c r="H8293" s="19"/>
    </row>
    <row r="8294">
      <c r="A8294" s="9"/>
      <c r="B8294" s="15"/>
      <c r="C8294" s="9">
        <f>IFERROR(__xludf.DUMMYFUNCTION("""COMPUTED_VALUE"""),44518.2233884953)</f>
        <v>44518.22339</v>
      </c>
      <c r="D8294" s="15">
        <f>IFERROR(__xludf.DUMMYFUNCTION("""COMPUTED_VALUE"""),1.071)</f>
        <v>1.071</v>
      </c>
      <c r="E8294" s="16">
        <f>IFERROR(__xludf.DUMMYFUNCTION("""COMPUTED_VALUE"""),66.0)</f>
        <v>66</v>
      </c>
      <c r="F8294" s="19" t="str">
        <f>IFERROR(__xludf.DUMMYFUNCTION("""COMPUTED_VALUE"""),"BLUE")</f>
        <v>BLUE</v>
      </c>
      <c r="G8294" s="20" t="str">
        <f>IFERROR(__xludf.DUMMYFUNCTION("""COMPUTED_VALUE"""),"Uncle Sams Cider (11/12/2021) (Blue)")</f>
        <v>Uncle Sams Cider (11/12/2021) (Blue)</v>
      </c>
      <c r="H8294" s="19"/>
    </row>
    <row r="8295">
      <c r="A8295" s="9"/>
      <c r="B8295" s="15"/>
      <c r="C8295" s="9">
        <f>IFERROR(__xludf.DUMMYFUNCTION("""COMPUTED_VALUE"""),44518.2129666551)</f>
        <v>44518.21297</v>
      </c>
      <c r="D8295" s="15">
        <f>IFERROR(__xludf.DUMMYFUNCTION("""COMPUTED_VALUE"""),1.071)</f>
        <v>1.071</v>
      </c>
      <c r="E8295" s="16">
        <f>IFERROR(__xludf.DUMMYFUNCTION("""COMPUTED_VALUE"""),66.0)</f>
        <v>66</v>
      </c>
      <c r="F8295" s="19" t="str">
        <f>IFERROR(__xludf.DUMMYFUNCTION("""COMPUTED_VALUE"""),"BLUE")</f>
        <v>BLUE</v>
      </c>
      <c r="G8295" s="20" t="str">
        <f>IFERROR(__xludf.DUMMYFUNCTION("""COMPUTED_VALUE"""),"Uncle Sams Cider (11/12/2021) (Blue)")</f>
        <v>Uncle Sams Cider (11/12/2021) (Blue)</v>
      </c>
      <c r="H8295" s="19"/>
    </row>
    <row r="8296">
      <c r="A8296" s="9"/>
      <c r="B8296" s="15"/>
      <c r="C8296" s="9">
        <f>IFERROR(__xludf.DUMMYFUNCTION("""COMPUTED_VALUE"""),44518.2025449421)</f>
        <v>44518.20254</v>
      </c>
      <c r="D8296" s="15">
        <f>IFERROR(__xludf.DUMMYFUNCTION("""COMPUTED_VALUE"""),1.071)</f>
        <v>1.071</v>
      </c>
      <c r="E8296" s="16">
        <f>IFERROR(__xludf.DUMMYFUNCTION("""COMPUTED_VALUE"""),66.0)</f>
        <v>66</v>
      </c>
      <c r="F8296" s="19" t="str">
        <f>IFERROR(__xludf.DUMMYFUNCTION("""COMPUTED_VALUE"""),"BLUE")</f>
        <v>BLUE</v>
      </c>
      <c r="G8296" s="20" t="str">
        <f>IFERROR(__xludf.DUMMYFUNCTION("""COMPUTED_VALUE"""),"Uncle Sams Cider (11/12/2021) (Blue)")</f>
        <v>Uncle Sams Cider (11/12/2021) (Blue)</v>
      </c>
      <c r="H8296" s="19"/>
    </row>
    <row r="8297">
      <c r="A8297" s="9"/>
      <c r="B8297" s="15"/>
      <c r="C8297" s="9">
        <f>IFERROR(__xludf.DUMMYFUNCTION("""COMPUTED_VALUE"""),44518.1921226041)</f>
        <v>44518.19212</v>
      </c>
      <c r="D8297" s="15">
        <f>IFERROR(__xludf.DUMMYFUNCTION("""COMPUTED_VALUE"""),1.071)</f>
        <v>1.071</v>
      </c>
      <c r="E8297" s="16">
        <f>IFERROR(__xludf.DUMMYFUNCTION("""COMPUTED_VALUE"""),66.0)</f>
        <v>66</v>
      </c>
      <c r="F8297" s="19" t="str">
        <f>IFERROR(__xludf.DUMMYFUNCTION("""COMPUTED_VALUE"""),"BLUE")</f>
        <v>BLUE</v>
      </c>
      <c r="G8297" s="20" t="str">
        <f>IFERROR(__xludf.DUMMYFUNCTION("""COMPUTED_VALUE"""),"Uncle Sams Cider (11/12/2021) (Blue)")</f>
        <v>Uncle Sams Cider (11/12/2021) (Blue)</v>
      </c>
      <c r="H8297" s="19"/>
    </row>
    <row r="8298">
      <c r="A8298" s="9"/>
      <c r="B8298" s="15"/>
      <c r="C8298" s="9">
        <f>IFERROR(__xludf.DUMMYFUNCTION("""COMPUTED_VALUE"""),44518.1816896296)</f>
        <v>44518.18169</v>
      </c>
      <c r="D8298" s="15">
        <f>IFERROR(__xludf.DUMMYFUNCTION("""COMPUTED_VALUE"""),1.071)</f>
        <v>1.071</v>
      </c>
      <c r="E8298" s="16">
        <f>IFERROR(__xludf.DUMMYFUNCTION("""COMPUTED_VALUE"""),66.0)</f>
        <v>66</v>
      </c>
      <c r="F8298" s="19" t="str">
        <f>IFERROR(__xludf.DUMMYFUNCTION("""COMPUTED_VALUE"""),"BLUE")</f>
        <v>BLUE</v>
      </c>
      <c r="G8298" s="20" t="str">
        <f>IFERROR(__xludf.DUMMYFUNCTION("""COMPUTED_VALUE"""),"Uncle Sams Cider (11/12/2021) (Blue)")</f>
        <v>Uncle Sams Cider (11/12/2021) (Blue)</v>
      </c>
      <c r="H8298" s="19"/>
    </row>
    <row r="8299">
      <c r="A8299" s="9"/>
      <c r="B8299" s="15"/>
      <c r="C8299" s="9">
        <f>IFERROR(__xludf.DUMMYFUNCTION("""COMPUTED_VALUE"""),44518.1712673842)</f>
        <v>44518.17127</v>
      </c>
      <c r="D8299" s="15">
        <f>IFERROR(__xludf.DUMMYFUNCTION("""COMPUTED_VALUE"""),1.071)</f>
        <v>1.071</v>
      </c>
      <c r="E8299" s="16">
        <f>IFERROR(__xludf.DUMMYFUNCTION("""COMPUTED_VALUE"""),66.0)</f>
        <v>66</v>
      </c>
      <c r="F8299" s="19" t="str">
        <f>IFERROR(__xludf.DUMMYFUNCTION("""COMPUTED_VALUE"""),"BLUE")</f>
        <v>BLUE</v>
      </c>
      <c r="G8299" s="20" t="str">
        <f>IFERROR(__xludf.DUMMYFUNCTION("""COMPUTED_VALUE"""),"Uncle Sams Cider (11/12/2021) (Blue)")</f>
        <v>Uncle Sams Cider (11/12/2021) (Blue)</v>
      </c>
      <c r="H8299" s="19"/>
    </row>
    <row r="8300">
      <c r="A8300" s="9"/>
      <c r="B8300" s="15"/>
      <c r="C8300" s="9">
        <f>IFERROR(__xludf.DUMMYFUNCTION("""COMPUTED_VALUE"""),44518.160823287)</f>
        <v>44518.16082</v>
      </c>
      <c r="D8300" s="15">
        <f>IFERROR(__xludf.DUMMYFUNCTION("""COMPUTED_VALUE"""),1.071)</f>
        <v>1.071</v>
      </c>
      <c r="E8300" s="16">
        <f>IFERROR(__xludf.DUMMYFUNCTION("""COMPUTED_VALUE"""),66.0)</f>
        <v>66</v>
      </c>
      <c r="F8300" s="19" t="str">
        <f>IFERROR(__xludf.DUMMYFUNCTION("""COMPUTED_VALUE"""),"BLUE")</f>
        <v>BLUE</v>
      </c>
      <c r="G8300" s="20" t="str">
        <f>IFERROR(__xludf.DUMMYFUNCTION("""COMPUTED_VALUE"""),"Uncle Sams Cider (11/12/2021) (Blue)")</f>
        <v>Uncle Sams Cider (11/12/2021) (Blue)</v>
      </c>
      <c r="H8300" s="19"/>
    </row>
    <row r="8301">
      <c r="A8301" s="9"/>
      <c r="B8301" s="15"/>
      <c r="C8301" s="9">
        <f>IFERROR(__xludf.DUMMYFUNCTION("""COMPUTED_VALUE"""),44518.1504031712)</f>
        <v>44518.1504</v>
      </c>
      <c r="D8301" s="15">
        <f>IFERROR(__xludf.DUMMYFUNCTION("""COMPUTED_VALUE"""),1.071)</f>
        <v>1.071</v>
      </c>
      <c r="E8301" s="16">
        <f>IFERROR(__xludf.DUMMYFUNCTION("""COMPUTED_VALUE"""),66.0)</f>
        <v>66</v>
      </c>
      <c r="F8301" s="19" t="str">
        <f>IFERROR(__xludf.DUMMYFUNCTION("""COMPUTED_VALUE"""),"BLUE")</f>
        <v>BLUE</v>
      </c>
      <c r="G8301" s="20" t="str">
        <f>IFERROR(__xludf.DUMMYFUNCTION("""COMPUTED_VALUE"""),"Uncle Sams Cider (11/12/2021) (Blue)")</f>
        <v>Uncle Sams Cider (11/12/2021) (Blue)</v>
      </c>
      <c r="H8301" s="19"/>
    </row>
    <row r="8302">
      <c r="A8302" s="9"/>
      <c r="B8302" s="15"/>
      <c r="C8302" s="9">
        <f>IFERROR(__xludf.DUMMYFUNCTION("""COMPUTED_VALUE"""),44518.1399815162)</f>
        <v>44518.13998</v>
      </c>
      <c r="D8302" s="15">
        <f>IFERROR(__xludf.DUMMYFUNCTION("""COMPUTED_VALUE"""),1.071)</f>
        <v>1.071</v>
      </c>
      <c r="E8302" s="16">
        <f>IFERROR(__xludf.DUMMYFUNCTION("""COMPUTED_VALUE"""),66.0)</f>
        <v>66</v>
      </c>
      <c r="F8302" s="19" t="str">
        <f>IFERROR(__xludf.DUMMYFUNCTION("""COMPUTED_VALUE"""),"BLUE")</f>
        <v>BLUE</v>
      </c>
      <c r="G8302" s="20" t="str">
        <f>IFERROR(__xludf.DUMMYFUNCTION("""COMPUTED_VALUE"""),"Uncle Sams Cider (11/12/2021) (Blue)")</f>
        <v>Uncle Sams Cider (11/12/2021) (Blue)</v>
      </c>
      <c r="H8302" s="19"/>
    </row>
    <row r="8303">
      <c r="A8303" s="9"/>
      <c r="B8303" s="15"/>
      <c r="C8303" s="9">
        <f>IFERROR(__xludf.DUMMYFUNCTION("""COMPUTED_VALUE"""),44518.1295615046)</f>
        <v>44518.12956</v>
      </c>
      <c r="D8303" s="15">
        <f>IFERROR(__xludf.DUMMYFUNCTION("""COMPUTED_VALUE"""),1.071)</f>
        <v>1.071</v>
      </c>
      <c r="E8303" s="16">
        <f>IFERROR(__xludf.DUMMYFUNCTION("""COMPUTED_VALUE"""),66.0)</f>
        <v>66</v>
      </c>
      <c r="F8303" s="19" t="str">
        <f>IFERROR(__xludf.DUMMYFUNCTION("""COMPUTED_VALUE"""),"BLUE")</f>
        <v>BLUE</v>
      </c>
      <c r="G8303" s="20" t="str">
        <f>IFERROR(__xludf.DUMMYFUNCTION("""COMPUTED_VALUE"""),"Uncle Sams Cider (11/12/2021) (Blue)")</f>
        <v>Uncle Sams Cider (11/12/2021) (Blue)</v>
      </c>
      <c r="H8303" s="19"/>
    </row>
    <row r="8304">
      <c r="A8304" s="9"/>
      <c r="B8304" s="15"/>
      <c r="C8304" s="9">
        <f>IFERROR(__xludf.DUMMYFUNCTION("""COMPUTED_VALUE"""),44518.1191393865)</f>
        <v>44518.11914</v>
      </c>
      <c r="D8304" s="15">
        <f>IFERROR(__xludf.DUMMYFUNCTION("""COMPUTED_VALUE"""),1.071)</f>
        <v>1.071</v>
      </c>
      <c r="E8304" s="16">
        <f>IFERROR(__xludf.DUMMYFUNCTION("""COMPUTED_VALUE"""),66.0)</f>
        <v>66</v>
      </c>
      <c r="F8304" s="19" t="str">
        <f>IFERROR(__xludf.DUMMYFUNCTION("""COMPUTED_VALUE"""),"BLUE")</f>
        <v>BLUE</v>
      </c>
      <c r="G8304" s="20" t="str">
        <f>IFERROR(__xludf.DUMMYFUNCTION("""COMPUTED_VALUE"""),"Uncle Sams Cider (11/12/2021) (Blue)")</f>
        <v>Uncle Sams Cider (11/12/2021) (Blue)</v>
      </c>
      <c r="H8304" s="19"/>
    </row>
    <row r="8305">
      <c r="A8305" s="9"/>
      <c r="B8305" s="15"/>
      <c r="C8305" s="9">
        <f>IFERROR(__xludf.DUMMYFUNCTION("""COMPUTED_VALUE"""),44518.1087060648)</f>
        <v>44518.10871</v>
      </c>
      <c r="D8305" s="15">
        <f>IFERROR(__xludf.DUMMYFUNCTION("""COMPUTED_VALUE"""),1.072)</f>
        <v>1.072</v>
      </c>
      <c r="E8305" s="16">
        <f>IFERROR(__xludf.DUMMYFUNCTION("""COMPUTED_VALUE"""),66.0)</f>
        <v>66</v>
      </c>
      <c r="F8305" s="19" t="str">
        <f>IFERROR(__xludf.DUMMYFUNCTION("""COMPUTED_VALUE"""),"BLUE")</f>
        <v>BLUE</v>
      </c>
      <c r="G8305" s="20" t="str">
        <f>IFERROR(__xludf.DUMMYFUNCTION("""COMPUTED_VALUE"""),"Uncle Sams Cider (11/12/2021) (Blue)")</f>
        <v>Uncle Sams Cider (11/12/2021) (Blue)</v>
      </c>
      <c r="H8305" s="19"/>
    </row>
    <row r="8306">
      <c r="A8306" s="9"/>
      <c r="B8306" s="15"/>
      <c r="C8306" s="9">
        <f>IFERROR(__xludf.DUMMYFUNCTION("""COMPUTED_VALUE"""),44518.0982851388)</f>
        <v>44518.09829</v>
      </c>
      <c r="D8306" s="15">
        <f>IFERROR(__xludf.DUMMYFUNCTION("""COMPUTED_VALUE"""),1.071)</f>
        <v>1.071</v>
      </c>
      <c r="E8306" s="16">
        <f>IFERROR(__xludf.DUMMYFUNCTION("""COMPUTED_VALUE"""),66.0)</f>
        <v>66</v>
      </c>
      <c r="F8306" s="19" t="str">
        <f>IFERROR(__xludf.DUMMYFUNCTION("""COMPUTED_VALUE"""),"BLUE")</f>
        <v>BLUE</v>
      </c>
      <c r="G8306" s="20" t="str">
        <f>IFERROR(__xludf.DUMMYFUNCTION("""COMPUTED_VALUE"""),"Uncle Sams Cider (11/12/2021) (Blue)")</f>
        <v>Uncle Sams Cider (11/12/2021) (Blue)</v>
      </c>
      <c r="H8306" s="19"/>
    </row>
    <row r="8307">
      <c r="A8307" s="9"/>
      <c r="B8307" s="15"/>
      <c r="C8307" s="9">
        <f>IFERROR(__xludf.DUMMYFUNCTION("""COMPUTED_VALUE"""),44518.0878647337)</f>
        <v>44518.08786</v>
      </c>
      <c r="D8307" s="15">
        <f>IFERROR(__xludf.DUMMYFUNCTION("""COMPUTED_VALUE"""),1.072)</f>
        <v>1.072</v>
      </c>
      <c r="E8307" s="16">
        <f>IFERROR(__xludf.DUMMYFUNCTION("""COMPUTED_VALUE"""),66.0)</f>
        <v>66</v>
      </c>
      <c r="F8307" s="19" t="str">
        <f>IFERROR(__xludf.DUMMYFUNCTION("""COMPUTED_VALUE"""),"BLUE")</f>
        <v>BLUE</v>
      </c>
      <c r="G8307" s="20" t="str">
        <f>IFERROR(__xludf.DUMMYFUNCTION("""COMPUTED_VALUE"""),"Uncle Sams Cider (11/12/2021) (Blue)")</f>
        <v>Uncle Sams Cider (11/12/2021) (Blue)</v>
      </c>
      <c r="H8307" s="19"/>
    </row>
    <row r="8308">
      <c r="A8308" s="9"/>
      <c r="B8308" s="15"/>
      <c r="C8308" s="9">
        <f>IFERROR(__xludf.DUMMYFUNCTION("""COMPUTED_VALUE"""),44518.0774423148)</f>
        <v>44518.07744</v>
      </c>
      <c r="D8308" s="15">
        <f>IFERROR(__xludf.DUMMYFUNCTION("""COMPUTED_VALUE"""),1.072)</f>
        <v>1.072</v>
      </c>
      <c r="E8308" s="16">
        <f>IFERROR(__xludf.DUMMYFUNCTION("""COMPUTED_VALUE"""),66.0)</f>
        <v>66</v>
      </c>
      <c r="F8308" s="19" t="str">
        <f>IFERROR(__xludf.DUMMYFUNCTION("""COMPUTED_VALUE"""),"BLUE")</f>
        <v>BLUE</v>
      </c>
      <c r="G8308" s="20" t="str">
        <f>IFERROR(__xludf.DUMMYFUNCTION("""COMPUTED_VALUE"""),"Uncle Sams Cider (11/12/2021) (Blue)")</f>
        <v>Uncle Sams Cider (11/12/2021) (Blue)</v>
      </c>
      <c r="H8308" s="19"/>
    </row>
    <row r="8309">
      <c r="A8309" s="9"/>
      <c r="B8309" s="15"/>
      <c r="C8309" s="9">
        <f>IFERROR(__xludf.DUMMYFUNCTION("""COMPUTED_VALUE"""),44518.0670216088)</f>
        <v>44518.06702</v>
      </c>
      <c r="D8309" s="15">
        <f>IFERROR(__xludf.DUMMYFUNCTION("""COMPUTED_VALUE"""),1.072)</f>
        <v>1.072</v>
      </c>
      <c r="E8309" s="16">
        <f>IFERROR(__xludf.DUMMYFUNCTION("""COMPUTED_VALUE"""),66.0)</f>
        <v>66</v>
      </c>
      <c r="F8309" s="19" t="str">
        <f>IFERROR(__xludf.DUMMYFUNCTION("""COMPUTED_VALUE"""),"BLUE")</f>
        <v>BLUE</v>
      </c>
      <c r="G8309" s="20" t="str">
        <f>IFERROR(__xludf.DUMMYFUNCTION("""COMPUTED_VALUE"""),"Uncle Sams Cider (11/12/2021) (Blue)")</f>
        <v>Uncle Sams Cider (11/12/2021) (Blue)</v>
      </c>
      <c r="H8309" s="19"/>
    </row>
    <row r="8310">
      <c r="A8310" s="9"/>
      <c r="B8310" s="15"/>
      <c r="C8310" s="9">
        <f>IFERROR(__xludf.DUMMYFUNCTION("""COMPUTED_VALUE"""),44518.0565760532)</f>
        <v>44518.05658</v>
      </c>
      <c r="D8310" s="15">
        <f>IFERROR(__xludf.DUMMYFUNCTION("""COMPUTED_VALUE"""),1.072)</f>
        <v>1.072</v>
      </c>
      <c r="E8310" s="16">
        <f>IFERROR(__xludf.DUMMYFUNCTION("""COMPUTED_VALUE"""),66.0)</f>
        <v>66</v>
      </c>
      <c r="F8310" s="19" t="str">
        <f>IFERROR(__xludf.DUMMYFUNCTION("""COMPUTED_VALUE"""),"BLUE")</f>
        <v>BLUE</v>
      </c>
      <c r="G8310" s="20" t="str">
        <f>IFERROR(__xludf.DUMMYFUNCTION("""COMPUTED_VALUE"""),"Uncle Sams Cider (11/12/2021) (Blue)")</f>
        <v>Uncle Sams Cider (11/12/2021) (Blue)</v>
      </c>
      <c r="H8310" s="19"/>
    </row>
    <row r="8311">
      <c r="A8311" s="9"/>
      <c r="B8311" s="15"/>
      <c r="C8311" s="9">
        <f>IFERROR(__xludf.DUMMYFUNCTION("""COMPUTED_VALUE"""),44518.046155162)</f>
        <v>44518.04616</v>
      </c>
      <c r="D8311" s="15">
        <f>IFERROR(__xludf.DUMMYFUNCTION("""COMPUTED_VALUE"""),1.072)</f>
        <v>1.072</v>
      </c>
      <c r="E8311" s="16">
        <f>IFERROR(__xludf.DUMMYFUNCTION("""COMPUTED_VALUE"""),66.0)</f>
        <v>66</v>
      </c>
      <c r="F8311" s="19" t="str">
        <f>IFERROR(__xludf.DUMMYFUNCTION("""COMPUTED_VALUE"""),"BLUE")</f>
        <v>BLUE</v>
      </c>
      <c r="G8311" s="20" t="str">
        <f>IFERROR(__xludf.DUMMYFUNCTION("""COMPUTED_VALUE"""),"Uncle Sams Cider (11/12/2021) (Blue)")</f>
        <v>Uncle Sams Cider (11/12/2021) (Blue)</v>
      </c>
      <c r="H8311" s="19"/>
    </row>
    <row r="8312">
      <c r="A8312" s="9"/>
      <c r="B8312" s="15"/>
      <c r="C8312" s="9">
        <f>IFERROR(__xludf.DUMMYFUNCTION("""COMPUTED_VALUE"""),44518.0357345949)</f>
        <v>44518.03573</v>
      </c>
      <c r="D8312" s="15">
        <f>IFERROR(__xludf.DUMMYFUNCTION("""COMPUTED_VALUE"""),1.072)</f>
        <v>1.072</v>
      </c>
      <c r="E8312" s="16">
        <f>IFERROR(__xludf.DUMMYFUNCTION("""COMPUTED_VALUE"""),66.0)</f>
        <v>66</v>
      </c>
      <c r="F8312" s="19" t="str">
        <f>IFERROR(__xludf.DUMMYFUNCTION("""COMPUTED_VALUE"""),"BLUE")</f>
        <v>BLUE</v>
      </c>
      <c r="G8312" s="20" t="str">
        <f>IFERROR(__xludf.DUMMYFUNCTION("""COMPUTED_VALUE"""),"Uncle Sams Cider (11/12/2021) (Blue)")</f>
        <v>Uncle Sams Cider (11/12/2021) (Blue)</v>
      </c>
      <c r="H8312" s="19"/>
    </row>
    <row r="8313">
      <c r="A8313" s="9"/>
      <c r="B8313" s="15"/>
      <c r="C8313" s="9">
        <f>IFERROR(__xludf.DUMMYFUNCTION("""COMPUTED_VALUE"""),44518.0253140972)</f>
        <v>44518.02531</v>
      </c>
      <c r="D8313" s="15">
        <f>IFERROR(__xludf.DUMMYFUNCTION("""COMPUTED_VALUE"""),1.072)</f>
        <v>1.072</v>
      </c>
      <c r="E8313" s="16">
        <f>IFERROR(__xludf.DUMMYFUNCTION("""COMPUTED_VALUE"""),66.0)</f>
        <v>66</v>
      </c>
      <c r="F8313" s="19" t="str">
        <f>IFERROR(__xludf.DUMMYFUNCTION("""COMPUTED_VALUE"""),"BLUE")</f>
        <v>BLUE</v>
      </c>
      <c r="G8313" s="20" t="str">
        <f>IFERROR(__xludf.DUMMYFUNCTION("""COMPUTED_VALUE"""),"Uncle Sams Cider (11/12/2021) (Blue)")</f>
        <v>Uncle Sams Cider (11/12/2021) (Blue)</v>
      </c>
      <c r="H8313" s="19"/>
    </row>
    <row r="8314">
      <c r="A8314" s="9"/>
      <c r="B8314" s="15"/>
      <c r="C8314" s="9">
        <f>IFERROR(__xludf.DUMMYFUNCTION("""COMPUTED_VALUE"""),44518.0148943287)</f>
        <v>44518.01489</v>
      </c>
      <c r="D8314" s="15">
        <f>IFERROR(__xludf.DUMMYFUNCTION("""COMPUTED_VALUE"""),1.072)</f>
        <v>1.072</v>
      </c>
      <c r="E8314" s="16">
        <f>IFERROR(__xludf.DUMMYFUNCTION("""COMPUTED_VALUE"""),66.0)</f>
        <v>66</v>
      </c>
      <c r="F8314" s="19" t="str">
        <f>IFERROR(__xludf.DUMMYFUNCTION("""COMPUTED_VALUE"""),"BLUE")</f>
        <v>BLUE</v>
      </c>
      <c r="G8314" s="20" t="str">
        <f>IFERROR(__xludf.DUMMYFUNCTION("""COMPUTED_VALUE"""),"Uncle Sams Cider (11/12/2021) (Blue)")</f>
        <v>Uncle Sams Cider (11/12/2021) (Blue)</v>
      </c>
      <c r="H8314" s="19"/>
    </row>
    <row r="8315">
      <c r="A8315" s="9"/>
      <c r="B8315" s="15"/>
      <c r="C8315" s="9">
        <f>IFERROR(__xludf.DUMMYFUNCTION("""COMPUTED_VALUE"""),44518.0044724768)</f>
        <v>44518.00447</v>
      </c>
      <c r="D8315" s="15">
        <f>IFERROR(__xludf.DUMMYFUNCTION("""COMPUTED_VALUE"""),1.072)</f>
        <v>1.072</v>
      </c>
      <c r="E8315" s="16">
        <f>IFERROR(__xludf.DUMMYFUNCTION("""COMPUTED_VALUE"""),66.0)</f>
        <v>66</v>
      </c>
      <c r="F8315" s="19" t="str">
        <f>IFERROR(__xludf.DUMMYFUNCTION("""COMPUTED_VALUE"""),"BLUE")</f>
        <v>BLUE</v>
      </c>
      <c r="G8315" s="20" t="str">
        <f>IFERROR(__xludf.DUMMYFUNCTION("""COMPUTED_VALUE"""),"Uncle Sams Cider (11/12/2021) (Blue)")</f>
        <v>Uncle Sams Cider (11/12/2021) (Blue)</v>
      </c>
      <c r="H8315" s="19"/>
    </row>
    <row r="8316">
      <c r="A8316" s="9"/>
      <c r="B8316" s="15"/>
      <c r="C8316" s="9">
        <f>IFERROR(__xludf.DUMMYFUNCTION("""COMPUTED_VALUE"""),44517.9940508217)</f>
        <v>44517.99405</v>
      </c>
      <c r="D8316" s="15">
        <f>IFERROR(__xludf.DUMMYFUNCTION("""COMPUTED_VALUE"""),1.072)</f>
        <v>1.072</v>
      </c>
      <c r="E8316" s="16">
        <f>IFERROR(__xludf.DUMMYFUNCTION("""COMPUTED_VALUE"""),65.0)</f>
        <v>65</v>
      </c>
      <c r="F8316" s="19" t="str">
        <f>IFERROR(__xludf.DUMMYFUNCTION("""COMPUTED_VALUE"""),"BLUE")</f>
        <v>BLUE</v>
      </c>
      <c r="G8316" s="20" t="str">
        <f>IFERROR(__xludf.DUMMYFUNCTION("""COMPUTED_VALUE"""),"Uncle Sams Cider (11/12/2021) (Blue)")</f>
        <v>Uncle Sams Cider (11/12/2021) (Blue)</v>
      </c>
      <c r="H8316" s="19"/>
    </row>
    <row r="8317">
      <c r="A8317" s="9"/>
      <c r="B8317" s="15"/>
      <c r="C8317" s="9">
        <f>IFERROR(__xludf.DUMMYFUNCTION("""COMPUTED_VALUE"""),44517.9836185069)</f>
        <v>44517.98362</v>
      </c>
      <c r="D8317" s="15">
        <f>IFERROR(__xludf.DUMMYFUNCTION("""COMPUTED_VALUE"""),1.072)</f>
        <v>1.072</v>
      </c>
      <c r="E8317" s="16">
        <f>IFERROR(__xludf.DUMMYFUNCTION("""COMPUTED_VALUE"""),65.0)</f>
        <v>65</v>
      </c>
      <c r="F8317" s="19" t="str">
        <f>IFERROR(__xludf.DUMMYFUNCTION("""COMPUTED_VALUE"""),"BLUE")</f>
        <v>BLUE</v>
      </c>
      <c r="G8317" s="20" t="str">
        <f>IFERROR(__xludf.DUMMYFUNCTION("""COMPUTED_VALUE"""),"Uncle Sams Cider (11/12/2021) (Blue)")</f>
        <v>Uncle Sams Cider (11/12/2021) (Blue)</v>
      </c>
      <c r="H8317" s="19"/>
    </row>
    <row r="8318">
      <c r="A8318" s="9"/>
      <c r="B8318" s="15"/>
      <c r="C8318" s="9">
        <f>IFERROR(__xludf.DUMMYFUNCTION("""COMPUTED_VALUE"""),44517.9731976157)</f>
        <v>44517.9732</v>
      </c>
      <c r="D8318" s="15">
        <f>IFERROR(__xludf.DUMMYFUNCTION("""COMPUTED_VALUE"""),1.072)</f>
        <v>1.072</v>
      </c>
      <c r="E8318" s="16">
        <f>IFERROR(__xludf.DUMMYFUNCTION("""COMPUTED_VALUE"""),65.0)</f>
        <v>65</v>
      </c>
      <c r="F8318" s="19" t="str">
        <f>IFERROR(__xludf.DUMMYFUNCTION("""COMPUTED_VALUE"""),"BLUE")</f>
        <v>BLUE</v>
      </c>
      <c r="G8318" s="20" t="str">
        <f>IFERROR(__xludf.DUMMYFUNCTION("""COMPUTED_VALUE"""),"Uncle Sams Cider (11/12/2021) (Blue)")</f>
        <v>Uncle Sams Cider (11/12/2021) (Blue)</v>
      </c>
      <c r="H8318" s="19"/>
    </row>
    <row r="8319">
      <c r="A8319" s="9"/>
      <c r="B8319" s="15"/>
      <c r="C8319" s="9">
        <f>IFERROR(__xludf.DUMMYFUNCTION("""COMPUTED_VALUE"""),44517.9627759027)</f>
        <v>44517.96278</v>
      </c>
      <c r="D8319" s="15">
        <f>IFERROR(__xludf.DUMMYFUNCTION("""COMPUTED_VALUE"""),1.072)</f>
        <v>1.072</v>
      </c>
      <c r="E8319" s="16">
        <f>IFERROR(__xludf.DUMMYFUNCTION("""COMPUTED_VALUE"""),65.0)</f>
        <v>65</v>
      </c>
      <c r="F8319" s="19" t="str">
        <f>IFERROR(__xludf.DUMMYFUNCTION("""COMPUTED_VALUE"""),"BLUE")</f>
        <v>BLUE</v>
      </c>
      <c r="G8319" s="20" t="str">
        <f>IFERROR(__xludf.DUMMYFUNCTION("""COMPUTED_VALUE"""),"Uncle Sams Cider (11/12/2021) (Blue)")</f>
        <v>Uncle Sams Cider (11/12/2021) (Blue)</v>
      </c>
      <c r="H8319" s="19"/>
    </row>
    <row r="8320">
      <c r="A8320" s="9"/>
      <c r="B8320" s="15"/>
      <c r="C8320" s="9">
        <f>IFERROR(__xludf.DUMMYFUNCTION("""COMPUTED_VALUE"""),44517.9523528587)</f>
        <v>44517.95235</v>
      </c>
      <c r="D8320" s="15">
        <f>IFERROR(__xludf.DUMMYFUNCTION("""COMPUTED_VALUE"""),1.072)</f>
        <v>1.072</v>
      </c>
      <c r="E8320" s="16">
        <f>IFERROR(__xludf.DUMMYFUNCTION("""COMPUTED_VALUE"""),65.0)</f>
        <v>65</v>
      </c>
      <c r="F8320" s="19" t="str">
        <f>IFERROR(__xludf.DUMMYFUNCTION("""COMPUTED_VALUE"""),"BLUE")</f>
        <v>BLUE</v>
      </c>
      <c r="G8320" s="20" t="str">
        <f>IFERROR(__xludf.DUMMYFUNCTION("""COMPUTED_VALUE"""),"Uncle Sams Cider (11/12/2021) (Blue)")</f>
        <v>Uncle Sams Cider (11/12/2021) (Blue)</v>
      </c>
      <c r="H8320" s="19"/>
    </row>
    <row r="8321">
      <c r="A8321" s="9"/>
      <c r="B8321" s="15"/>
      <c r="C8321" s="9">
        <f>IFERROR(__xludf.DUMMYFUNCTION("""COMPUTED_VALUE"""),44517.9419336805)</f>
        <v>44517.94193</v>
      </c>
      <c r="D8321" s="15">
        <f>IFERROR(__xludf.DUMMYFUNCTION("""COMPUTED_VALUE"""),1.073)</f>
        <v>1.073</v>
      </c>
      <c r="E8321" s="16">
        <f>IFERROR(__xludf.DUMMYFUNCTION("""COMPUTED_VALUE"""),65.0)</f>
        <v>65</v>
      </c>
      <c r="F8321" s="19" t="str">
        <f>IFERROR(__xludf.DUMMYFUNCTION("""COMPUTED_VALUE"""),"BLUE")</f>
        <v>BLUE</v>
      </c>
      <c r="G8321" s="20" t="str">
        <f>IFERROR(__xludf.DUMMYFUNCTION("""COMPUTED_VALUE"""),"Uncle Sams Cider (11/12/2021) (Blue)")</f>
        <v>Uncle Sams Cider (11/12/2021) (Blue)</v>
      </c>
      <c r="H8321" s="19"/>
    </row>
    <row r="8322">
      <c r="A8322" s="9"/>
      <c r="B8322" s="15"/>
      <c r="C8322" s="9">
        <f>IFERROR(__xludf.DUMMYFUNCTION("""COMPUTED_VALUE"""),44517.9315128472)</f>
        <v>44517.93151</v>
      </c>
      <c r="D8322" s="15">
        <f>IFERROR(__xludf.DUMMYFUNCTION("""COMPUTED_VALUE"""),1.073)</f>
        <v>1.073</v>
      </c>
      <c r="E8322" s="16">
        <f>IFERROR(__xludf.DUMMYFUNCTION("""COMPUTED_VALUE"""),65.0)</f>
        <v>65</v>
      </c>
      <c r="F8322" s="19" t="str">
        <f>IFERROR(__xludf.DUMMYFUNCTION("""COMPUTED_VALUE"""),"BLUE")</f>
        <v>BLUE</v>
      </c>
      <c r="G8322" s="20" t="str">
        <f>IFERROR(__xludf.DUMMYFUNCTION("""COMPUTED_VALUE"""),"Uncle Sams Cider (11/12/2021) (Blue)")</f>
        <v>Uncle Sams Cider (11/12/2021) (Blue)</v>
      </c>
      <c r="H8322" s="19"/>
    </row>
    <row r="8323">
      <c r="A8323" s="9"/>
      <c r="B8323" s="15"/>
      <c r="C8323" s="9">
        <f>IFERROR(__xludf.DUMMYFUNCTION("""COMPUTED_VALUE"""),44517.9210918055)</f>
        <v>44517.92109</v>
      </c>
      <c r="D8323" s="15">
        <f>IFERROR(__xludf.DUMMYFUNCTION("""COMPUTED_VALUE"""),1.073)</f>
        <v>1.073</v>
      </c>
      <c r="E8323" s="16">
        <f>IFERROR(__xludf.DUMMYFUNCTION("""COMPUTED_VALUE"""),65.0)</f>
        <v>65</v>
      </c>
      <c r="F8323" s="19" t="str">
        <f>IFERROR(__xludf.DUMMYFUNCTION("""COMPUTED_VALUE"""),"BLUE")</f>
        <v>BLUE</v>
      </c>
      <c r="G8323" s="20" t="str">
        <f>IFERROR(__xludf.DUMMYFUNCTION("""COMPUTED_VALUE"""),"Uncle Sams Cider (11/12/2021) (Blue)")</f>
        <v>Uncle Sams Cider (11/12/2021) (Blue)</v>
      </c>
      <c r="H8323" s="19"/>
    </row>
    <row r="8324">
      <c r="A8324" s="9"/>
      <c r="B8324" s="15"/>
      <c r="C8324" s="9">
        <f>IFERROR(__xludf.DUMMYFUNCTION("""COMPUTED_VALUE"""),44517.9106593402)</f>
        <v>44517.91066</v>
      </c>
      <c r="D8324" s="15">
        <f>IFERROR(__xludf.DUMMYFUNCTION("""COMPUTED_VALUE"""),1.073)</f>
        <v>1.073</v>
      </c>
      <c r="E8324" s="16">
        <f>IFERROR(__xludf.DUMMYFUNCTION("""COMPUTED_VALUE"""),65.0)</f>
        <v>65</v>
      </c>
      <c r="F8324" s="19" t="str">
        <f>IFERROR(__xludf.DUMMYFUNCTION("""COMPUTED_VALUE"""),"BLUE")</f>
        <v>BLUE</v>
      </c>
      <c r="G8324" s="20" t="str">
        <f>IFERROR(__xludf.DUMMYFUNCTION("""COMPUTED_VALUE"""),"Uncle Sams Cider (11/12/2021) (Blue)")</f>
        <v>Uncle Sams Cider (11/12/2021) (Blue)</v>
      </c>
      <c r="H8324" s="19"/>
    </row>
    <row r="8325">
      <c r="A8325" s="9"/>
      <c r="B8325" s="15"/>
      <c r="C8325" s="9">
        <f>IFERROR(__xludf.DUMMYFUNCTION("""COMPUTED_VALUE"""),44517.9002257986)</f>
        <v>44517.90023</v>
      </c>
      <c r="D8325" s="15">
        <f>IFERROR(__xludf.DUMMYFUNCTION("""COMPUTED_VALUE"""),1.073)</f>
        <v>1.073</v>
      </c>
      <c r="E8325" s="16">
        <f>IFERROR(__xludf.DUMMYFUNCTION("""COMPUTED_VALUE"""),65.0)</f>
        <v>65</v>
      </c>
      <c r="F8325" s="19" t="str">
        <f>IFERROR(__xludf.DUMMYFUNCTION("""COMPUTED_VALUE"""),"BLUE")</f>
        <v>BLUE</v>
      </c>
      <c r="G8325" s="20" t="str">
        <f>IFERROR(__xludf.DUMMYFUNCTION("""COMPUTED_VALUE"""),"Uncle Sams Cider (11/12/2021) (Blue)")</f>
        <v>Uncle Sams Cider (11/12/2021) (Blue)</v>
      </c>
      <c r="H8325" s="19"/>
    </row>
    <row r="8326">
      <c r="A8326" s="9"/>
      <c r="B8326" s="15"/>
      <c r="C8326" s="9">
        <f>IFERROR(__xludf.DUMMYFUNCTION("""COMPUTED_VALUE"""),44517.8897924074)</f>
        <v>44517.88979</v>
      </c>
      <c r="D8326" s="15">
        <f>IFERROR(__xludf.DUMMYFUNCTION("""COMPUTED_VALUE"""),1.073)</f>
        <v>1.073</v>
      </c>
      <c r="E8326" s="16">
        <f>IFERROR(__xludf.DUMMYFUNCTION("""COMPUTED_VALUE"""),65.0)</f>
        <v>65</v>
      </c>
      <c r="F8326" s="19" t="str">
        <f>IFERROR(__xludf.DUMMYFUNCTION("""COMPUTED_VALUE"""),"BLUE")</f>
        <v>BLUE</v>
      </c>
      <c r="G8326" s="20" t="str">
        <f>IFERROR(__xludf.DUMMYFUNCTION("""COMPUTED_VALUE"""),"Uncle Sams Cider (11/12/2021) (Blue)")</f>
        <v>Uncle Sams Cider (11/12/2021) (Blue)</v>
      </c>
      <c r="H8326" s="19"/>
    </row>
    <row r="8327">
      <c r="A8327" s="9"/>
      <c r="B8327" s="15"/>
      <c r="C8327" s="9">
        <f>IFERROR(__xludf.DUMMYFUNCTION("""COMPUTED_VALUE"""),44517.8793714004)</f>
        <v>44517.87937</v>
      </c>
      <c r="D8327" s="15">
        <f>IFERROR(__xludf.DUMMYFUNCTION("""COMPUTED_VALUE"""),1.073)</f>
        <v>1.073</v>
      </c>
      <c r="E8327" s="16">
        <f>IFERROR(__xludf.DUMMYFUNCTION("""COMPUTED_VALUE"""),65.0)</f>
        <v>65</v>
      </c>
      <c r="F8327" s="19" t="str">
        <f>IFERROR(__xludf.DUMMYFUNCTION("""COMPUTED_VALUE"""),"BLUE")</f>
        <v>BLUE</v>
      </c>
      <c r="G8327" s="20" t="str">
        <f>IFERROR(__xludf.DUMMYFUNCTION("""COMPUTED_VALUE"""),"Uncle Sams Cider (11/12/2021) (Blue)")</f>
        <v>Uncle Sams Cider (11/12/2021) (Blue)</v>
      </c>
      <c r="H8327" s="19"/>
    </row>
    <row r="8328">
      <c r="A8328" s="9"/>
      <c r="B8328" s="15"/>
      <c r="C8328" s="9">
        <f>IFERROR(__xludf.DUMMYFUNCTION("""COMPUTED_VALUE"""),44517.8689497338)</f>
        <v>44517.86895</v>
      </c>
      <c r="D8328" s="15">
        <f>IFERROR(__xludf.DUMMYFUNCTION("""COMPUTED_VALUE"""),1.073)</f>
        <v>1.073</v>
      </c>
      <c r="E8328" s="16">
        <f>IFERROR(__xludf.DUMMYFUNCTION("""COMPUTED_VALUE"""),65.0)</f>
        <v>65</v>
      </c>
      <c r="F8328" s="19" t="str">
        <f>IFERROR(__xludf.DUMMYFUNCTION("""COMPUTED_VALUE"""),"BLUE")</f>
        <v>BLUE</v>
      </c>
      <c r="G8328" s="20" t="str">
        <f>IFERROR(__xludf.DUMMYFUNCTION("""COMPUTED_VALUE"""),"Uncle Sams Cider (11/12/2021) (Blue)")</f>
        <v>Uncle Sams Cider (11/12/2021) (Blue)</v>
      </c>
      <c r="H8328" s="19"/>
    </row>
    <row r="8329">
      <c r="A8329" s="9"/>
      <c r="B8329" s="15"/>
      <c r="C8329" s="9">
        <f>IFERROR(__xludf.DUMMYFUNCTION("""COMPUTED_VALUE"""),44517.8585265046)</f>
        <v>44517.85853</v>
      </c>
      <c r="D8329" s="15">
        <f>IFERROR(__xludf.DUMMYFUNCTION("""COMPUTED_VALUE"""),1.073)</f>
        <v>1.073</v>
      </c>
      <c r="E8329" s="16">
        <f>IFERROR(__xludf.DUMMYFUNCTION("""COMPUTED_VALUE"""),65.0)</f>
        <v>65</v>
      </c>
      <c r="F8329" s="19" t="str">
        <f>IFERROR(__xludf.DUMMYFUNCTION("""COMPUTED_VALUE"""),"BLUE")</f>
        <v>BLUE</v>
      </c>
      <c r="G8329" s="20" t="str">
        <f>IFERROR(__xludf.DUMMYFUNCTION("""COMPUTED_VALUE"""),"Uncle Sams Cider (11/12/2021) (Blue)")</f>
        <v>Uncle Sams Cider (11/12/2021) (Blue)</v>
      </c>
      <c r="H8329" s="19"/>
    </row>
    <row r="8330">
      <c r="A8330" s="9"/>
      <c r="B8330" s="15"/>
      <c r="C8330" s="9">
        <f>IFERROR(__xludf.DUMMYFUNCTION("""COMPUTED_VALUE"""),44517.8481052199)</f>
        <v>44517.84811</v>
      </c>
      <c r="D8330" s="15">
        <f>IFERROR(__xludf.DUMMYFUNCTION("""COMPUTED_VALUE"""),1.073)</f>
        <v>1.073</v>
      </c>
      <c r="E8330" s="16">
        <f>IFERROR(__xludf.DUMMYFUNCTION("""COMPUTED_VALUE"""),65.0)</f>
        <v>65</v>
      </c>
      <c r="F8330" s="19" t="str">
        <f>IFERROR(__xludf.DUMMYFUNCTION("""COMPUTED_VALUE"""),"BLUE")</f>
        <v>BLUE</v>
      </c>
      <c r="G8330" s="20" t="str">
        <f>IFERROR(__xludf.DUMMYFUNCTION("""COMPUTED_VALUE"""),"Uncle Sams Cider (11/12/2021) (Blue)")</f>
        <v>Uncle Sams Cider (11/12/2021) (Blue)</v>
      </c>
      <c r="H8330" s="19"/>
    </row>
    <row r="8331">
      <c r="A8331" s="9"/>
      <c r="B8331" s="15"/>
      <c r="C8331" s="9">
        <f>IFERROR(__xludf.DUMMYFUNCTION("""COMPUTED_VALUE"""),44517.8376830324)</f>
        <v>44517.83768</v>
      </c>
      <c r="D8331" s="15">
        <f>IFERROR(__xludf.DUMMYFUNCTION("""COMPUTED_VALUE"""),1.073)</f>
        <v>1.073</v>
      </c>
      <c r="E8331" s="16">
        <f>IFERROR(__xludf.DUMMYFUNCTION("""COMPUTED_VALUE"""),65.0)</f>
        <v>65</v>
      </c>
      <c r="F8331" s="19" t="str">
        <f>IFERROR(__xludf.DUMMYFUNCTION("""COMPUTED_VALUE"""),"BLUE")</f>
        <v>BLUE</v>
      </c>
      <c r="G8331" s="20" t="str">
        <f>IFERROR(__xludf.DUMMYFUNCTION("""COMPUTED_VALUE"""),"Uncle Sams Cider (11/12/2021) (Blue)")</f>
        <v>Uncle Sams Cider (11/12/2021) (Blue)</v>
      </c>
      <c r="H8331" s="19"/>
    </row>
    <row r="8332">
      <c r="A8332" s="9"/>
      <c r="B8332" s="15"/>
      <c r="C8332" s="9">
        <f>IFERROR(__xludf.DUMMYFUNCTION("""COMPUTED_VALUE"""),44517.8272603356)</f>
        <v>44517.82726</v>
      </c>
      <c r="D8332" s="15">
        <f>IFERROR(__xludf.DUMMYFUNCTION("""COMPUTED_VALUE"""),1.073)</f>
        <v>1.073</v>
      </c>
      <c r="E8332" s="16">
        <f>IFERROR(__xludf.DUMMYFUNCTION("""COMPUTED_VALUE"""),65.0)</f>
        <v>65</v>
      </c>
      <c r="F8332" s="19" t="str">
        <f>IFERROR(__xludf.DUMMYFUNCTION("""COMPUTED_VALUE"""),"BLUE")</f>
        <v>BLUE</v>
      </c>
      <c r="G8332" s="20" t="str">
        <f>IFERROR(__xludf.DUMMYFUNCTION("""COMPUTED_VALUE"""),"Uncle Sams Cider (11/12/2021) (Blue)")</f>
        <v>Uncle Sams Cider (11/12/2021) (Blue)</v>
      </c>
      <c r="H8332" s="19"/>
    </row>
    <row r="8333">
      <c r="A8333" s="9"/>
      <c r="B8333" s="15"/>
      <c r="C8333" s="9">
        <f>IFERROR(__xludf.DUMMYFUNCTION("""COMPUTED_VALUE"""),44517.8168387037)</f>
        <v>44517.81684</v>
      </c>
      <c r="D8333" s="15">
        <f>IFERROR(__xludf.DUMMYFUNCTION("""COMPUTED_VALUE"""),1.073)</f>
        <v>1.073</v>
      </c>
      <c r="E8333" s="16">
        <f>IFERROR(__xludf.DUMMYFUNCTION("""COMPUTED_VALUE"""),65.0)</f>
        <v>65</v>
      </c>
      <c r="F8333" s="19" t="str">
        <f>IFERROR(__xludf.DUMMYFUNCTION("""COMPUTED_VALUE"""),"BLUE")</f>
        <v>BLUE</v>
      </c>
      <c r="G8333" s="20" t="str">
        <f>IFERROR(__xludf.DUMMYFUNCTION("""COMPUTED_VALUE"""),"Uncle Sams Cider (11/12/2021) (Blue)")</f>
        <v>Uncle Sams Cider (11/12/2021) (Blue)</v>
      </c>
      <c r="H8333" s="19"/>
    </row>
    <row r="8334">
      <c r="A8334" s="9"/>
      <c r="B8334" s="15"/>
      <c r="C8334" s="9">
        <f>IFERROR(__xludf.DUMMYFUNCTION("""COMPUTED_VALUE"""),44517.80640625)</f>
        <v>44517.80641</v>
      </c>
      <c r="D8334" s="15">
        <f>IFERROR(__xludf.DUMMYFUNCTION("""COMPUTED_VALUE"""),1.074)</f>
        <v>1.074</v>
      </c>
      <c r="E8334" s="16">
        <f>IFERROR(__xludf.DUMMYFUNCTION("""COMPUTED_VALUE"""),65.0)</f>
        <v>65</v>
      </c>
      <c r="F8334" s="19" t="str">
        <f>IFERROR(__xludf.DUMMYFUNCTION("""COMPUTED_VALUE"""),"BLUE")</f>
        <v>BLUE</v>
      </c>
      <c r="G8334" s="20" t="str">
        <f>IFERROR(__xludf.DUMMYFUNCTION("""COMPUTED_VALUE"""),"Uncle Sams Cider (11/12/2021) (Blue)")</f>
        <v>Uncle Sams Cider (11/12/2021) (Blue)</v>
      </c>
      <c r="H8334" s="19"/>
    </row>
    <row r="8335">
      <c r="A8335" s="9"/>
      <c r="B8335" s="15"/>
      <c r="C8335" s="9">
        <f>IFERROR(__xludf.DUMMYFUNCTION("""COMPUTED_VALUE"""),44517.7959831828)</f>
        <v>44517.79598</v>
      </c>
      <c r="D8335" s="15">
        <f>IFERROR(__xludf.DUMMYFUNCTION("""COMPUTED_VALUE"""),1.074)</f>
        <v>1.074</v>
      </c>
      <c r="E8335" s="16">
        <f>IFERROR(__xludf.DUMMYFUNCTION("""COMPUTED_VALUE"""),65.0)</f>
        <v>65</v>
      </c>
      <c r="F8335" s="19" t="str">
        <f>IFERROR(__xludf.DUMMYFUNCTION("""COMPUTED_VALUE"""),"BLUE")</f>
        <v>BLUE</v>
      </c>
      <c r="G8335" s="20" t="str">
        <f>IFERROR(__xludf.DUMMYFUNCTION("""COMPUTED_VALUE"""),"Uncle Sams Cider (11/12/2021) (Blue)")</f>
        <v>Uncle Sams Cider (11/12/2021) (Blue)</v>
      </c>
      <c r="H8335" s="19"/>
    </row>
    <row r="8336">
      <c r="A8336" s="9"/>
      <c r="B8336" s="15"/>
      <c r="C8336" s="9">
        <f>IFERROR(__xludf.DUMMYFUNCTION("""COMPUTED_VALUE"""),44517.7855615624)</f>
        <v>44517.78556</v>
      </c>
      <c r="D8336" s="15">
        <f>IFERROR(__xludf.DUMMYFUNCTION("""COMPUTED_VALUE"""),1.074)</f>
        <v>1.074</v>
      </c>
      <c r="E8336" s="16">
        <f>IFERROR(__xludf.DUMMYFUNCTION("""COMPUTED_VALUE"""),65.0)</f>
        <v>65</v>
      </c>
      <c r="F8336" s="19" t="str">
        <f>IFERROR(__xludf.DUMMYFUNCTION("""COMPUTED_VALUE"""),"BLUE")</f>
        <v>BLUE</v>
      </c>
      <c r="G8336" s="20" t="str">
        <f>IFERROR(__xludf.DUMMYFUNCTION("""COMPUTED_VALUE"""),"Uncle Sams Cider (11/12/2021) (Blue)")</f>
        <v>Uncle Sams Cider (11/12/2021) (Blue)</v>
      </c>
      <c r="H8336" s="19"/>
    </row>
    <row r="8337">
      <c r="A8337" s="9"/>
      <c r="B8337" s="15"/>
      <c r="C8337" s="9">
        <f>IFERROR(__xludf.DUMMYFUNCTION("""COMPUTED_VALUE"""),44517.7751415277)</f>
        <v>44517.77514</v>
      </c>
      <c r="D8337" s="15">
        <f>IFERROR(__xludf.DUMMYFUNCTION("""COMPUTED_VALUE"""),1.074)</f>
        <v>1.074</v>
      </c>
      <c r="E8337" s="16">
        <f>IFERROR(__xludf.DUMMYFUNCTION("""COMPUTED_VALUE"""),65.0)</f>
        <v>65</v>
      </c>
      <c r="F8337" s="19" t="str">
        <f>IFERROR(__xludf.DUMMYFUNCTION("""COMPUTED_VALUE"""),"BLUE")</f>
        <v>BLUE</v>
      </c>
      <c r="G8337" s="20" t="str">
        <f>IFERROR(__xludf.DUMMYFUNCTION("""COMPUTED_VALUE"""),"Uncle Sams Cider (11/12/2021) (Blue)")</f>
        <v>Uncle Sams Cider (11/12/2021) (Blue)</v>
      </c>
      <c r="H8337" s="19"/>
    </row>
    <row r="8338">
      <c r="A8338" s="9"/>
      <c r="B8338" s="15"/>
      <c r="C8338" s="9">
        <f>IFERROR(__xludf.DUMMYFUNCTION("""COMPUTED_VALUE"""),44517.7647212615)</f>
        <v>44517.76472</v>
      </c>
      <c r="D8338" s="15">
        <f>IFERROR(__xludf.DUMMYFUNCTION("""COMPUTED_VALUE"""),1.074)</f>
        <v>1.074</v>
      </c>
      <c r="E8338" s="16">
        <f>IFERROR(__xludf.DUMMYFUNCTION("""COMPUTED_VALUE"""),65.0)</f>
        <v>65</v>
      </c>
      <c r="F8338" s="19" t="str">
        <f>IFERROR(__xludf.DUMMYFUNCTION("""COMPUTED_VALUE"""),"BLUE")</f>
        <v>BLUE</v>
      </c>
      <c r="G8338" s="20" t="str">
        <f>IFERROR(__xludf.DUMMYFUNCTION("""COMPUTED_VALUE"""),"Uncle Sams Cider (11/12/2021) (Blue)")</f>
        <v>Uncle Sams Cider (11/12/2021) (Blue)</v>
      </c>
      <c r="H8338" s="19"/>
    </row>
    <row r="8339">
      <c r="A8339" s="9"/>
      <c r="B8339" s="15"/>
      <c r="C8339" s="9">
        <f>IFERROR(__xludf.DUMMYFUNCTION("""COMPUTED_VALUE"""),44517.754287662)</f>
        <v>44517.75429</v>
      </c>
      <c r="D8339" s="15">
        <f>IFERROR(__xludf.DUMMYFUNCTION("""COMPUTED_VALUE"""),1.074)</f>
        <v>1.074</v>
      </c>
      <c r="E8339" s="16">
        <f>IFERROR(__xludf.DUMMYFUNCTION("""COMPUTED_VALUE"""),65.0)</f>
        <v>65</v>
      </c>
      <c r="F8339" s="19" t="str">
        <f>IFERROR(__xludf.DUMMYFUNCTION("""COMPUTED_VALUE"""),"BLUE")</f>
        <v>BLUE</v>
      </c>
      <c r="G8339" s="20" t="str">
        <f>IFERROR(__xludf.DUMMYFUNCTION("""COMPUTED_VALUE"""),"Uncle Sams Cider (11/12/2021) (Blue)")</f>
        <v>Uncle Sams Cider (11/12/2021) (Blue)</v>
      </c>
      <c r="H8339" s="19"/>
    </row>
    <row r="8340">
      <c r="A8340" s="9"/>
      <c r="B8340" s="15"/>
      <c r="C8340" s="9">
        <f>IFERROR(__xludf.DUMMYFUNCTION("""COMPUTED_VALUE"""),44517.7438667013)</f>
        <v>44517.74387</v>
      </c>
      <c r="D8340" s="15">
        <f>IFERROR(__xludf.DUMMYFUNCTION("""COMPUTED_VALUE"""),1.074)</f>
        <v>1.074</v>
      </c>
      <c r="E8340" s="16">
        <f>IFERROR(__xludf.DUMMYFUNCTION("""COMPUTED_VALUE"""),65.0)</f>
        <v>65</v>
      </c>
      <c r="F8340" s="19" t="str">
        <f>IFERROR(__xludf.DUMMYFUNCTION("""COMPUTED_VALUE"""),"BLUE")</f>
        <v>BLUE</v>
      </c>
      <c r="G8340" s="20" t="str">
        <f>IFERROR(__xludf.DUMMYFUNCTION("""COMPUTED_VALUE"""),"Uncle Sams Cider (11/12/2021) (Blue)")</f>
        <v>Uncle Sams Cider (11/12/2021) (Blue)</v>
      </c>
      <c r="H8340" s="19"/>
    </row>
    <row r="8341">
      <c r="A8341" s="9"/>
      <c r="B8341" s="15"/>
      <c r="C8341" s="9">
        <f>IFERROR(__xludf.DUMMYFUNCTION("""COMPUTED_VALUE"""),44517.7334437499)</f>
        <v>44517.73344</v>
      </c>
      <c r="D8341" s="15">
        <f>IFERROR(__xludf.DUMMYFUNCTION("""COMPUTED_VALUE"""),1.074)</f>
        <v>1.074</v>
      </c>
      <c r="E8341" s="16">
        <f>IFERROR(__xludf.DUMMYFUNCTION("""COMPUTED_VALUE"""),65.0)</f>
        <v>65</v>
      </c>
      <c r="F8341" s="19" t="str">
        <f>IFERROR(__xludf.DUMMYFUNCTION("""COMPUTED_VALUE"""),"BLUE")</f>
        <v>BLUE</v>
      </c>
      <c r="G8341" s="20" t="str">
        <f>IFERROR(__xludf.DUMMYFUNCTION("""COMPUTED_VALUE"""),"Uncle Sams Cider (11/12/2021) (Blue)")</f>
        <v>Uncle Sams Cider (11/12/2021) (Blue)</v>
      </c>
      <c r="H8341" s="19"/>
    </row>
    <row r="8342">
      <c r="A8342" s="9"/>
      <c r="B8342" s="15"/>
      <c r="C8342" s="9">
        <f>IFERROR(__xludf.DUMMYFUNCTION("""COMPUTED_VALUE"""),44517.7230230555)</f>
        <v>44517.72302</v>
      </c>
      <c r="D8342" s="15">
        <f>IFERROR(__xludf.DUMMYFUNCTION("""COMPUTED_VALUE"""),1.074)</f>
        <v>1.074</v>
      </c>
      <c r="E8342" s="16">
        <f>IFERROR(__xludf.DUMMYFUNCTION("""COMPUTED_VALUE"""),65.0)</f>
        <v>65</v>
      </c>
      <c r="F8342" s="19" t="str">
        <f>IFERROR(__xludf.DUMMYFUNCTION("""COMPUTED_VALUE"""),"BLUE")</f>
        <v>BLUE</v>
      </c>
      <c r="G8342" s="20" t="str">
        <f>IFERROR(__xludf.DUMMYFUNCTION("""COMPUTED_VALUE"""),"Uncle Sams Cider (11/12/2021) (Blue)")</f>
        <v>Uncle Sams Cider (11/12/2021) (Blue)</v>
      </c>
      <c r="H8342" s="19"/>
    </row>
    <row r="8343">
      <c r="A8343" s="9"/>
      <c r="B8343" s="15"/>
      <c r="C8343" s="9">
        <f>IFERROR(__xludf.DUMMYFUNCTION("""COMPUTED_VALUE"""),44517.7126022106)</f>
        <v>44517.7126</v>
      </c>
      <c r="D8343" s="15">
        <f>IFERROR(__xludf.DUMMYFUNCTION("""COMPUTED_VALUE"""),1.074)</f>
        <v>1.074</v>
      </c>
      <c r="E8343" s="16">
        <f>IFERROR(__xludf.DUMMYFUNCTION("""COMPUTED_VALUE"""),65.0)</f>
        <v>65</v>
      </c>
      <c r="F8343" s="19" t="str">
        <f>IFERROR(__xludf.DUMMYFUNCTION("""COMPUTED_VALUE"""),"BLUE")</f>
        <v>BLUE</v>
      </c>
      <c r="G8343" s="20" t="str">
        <f>IFERROR(__xludf.DUMMYFUNCTION("""COMPUTED_VALUE"""),"Uncle Sams Cider (11/12/2021) (Blue)")</f>
        <v>Uncle Sams Cider (11/12/2021) (Blue)</v>
      </c>
      <c r="H8343" s="19"/>
    </row>
    <row r="8344">
      <c r="A8344" s="9"/>
      <c r="B8344" s="15"/>
      <c r="C8344" s="9">
        <f>IFERROR(__xludf.DUMMYFUNCTION("""COMPUTED_VALUE"""),44517.7021815625)</f>
        <v>44517.70218</v>
      </c>
      <c r="D8344" s="15">
        <f>IFERROR(__xludf.DUMMYFUNCTION("""COMPUTED_VALUE"""),1.074)</f>
        <v>1.074</v>
      </c>
      <c r="E8344" s="16">
        <f>IFERROR(__xludf.DUMMYFUNCTION("""COMPUTED_VALUE"""),65.0)</f>
        <v>65</v>
      </c>
      <c r="F8344" s="19" t="str">
        <f>IFERROR(__xludf.DUMMYFUNCTION("""COMPUTED_VALUE"""),"BLUE")</f>
        <v>BLUE</v>
      </c>
      <c r="G8344" s="20" t="str">
        <f>IFERROR(__xludf.DUMMYFUNCTION("""COMPUTED_VALUE"""),"Uncle Sams Cider (11/12/2021) (Blue)")</f>
        <v>Uncle Sams Cider (11/12/2021) (Blue)</v>
      </c>
      <c r="H8344" s="19"/>
    </row>
    <row r="8345">
      <c r="A8345" s="9"/>
      <c r="B8345" s="15"/>
      <c r="C8345" s="9">
        <f>IFERROR(__xludf.DUMMYFUNCTION("""COMPUTED_VALUE"""),44517.6917616319)</f>
        <v>44517.69176</v>
      </c>
      <c r="D8345" s="15">
        <f>IFERROR(__xludf.DUMMYFUNCTION("""COMPUTED_VALUE"""),1.074)</f>
        <v>1.074</v>
      </c>
      <c r="E8345" s="16">
        <f>IFERROR(__xludf.DUMMYFUNCTION("""COMPUTED_VALUE"""),65.0)</f>
        <v>65</v>
      </c>
      <c r="F8345" s="19" t="str">
        <f>IFERROR(__xludf.DUMMYFUNCTION("""COMPUTED_VALUE"""),"BLUE")</f>
        <v>BLUE</v>
      </c>
      <c r="G8345" s="20" t="str">
        <f>IFERROR(__xludf.DUMMYFUNCTION("""COMPUTED_VALUE"""),"Uncle Sams Cider (11/12/2021) (Blue)")</f>
        <v>Uncle Sams Cider (11/12/2021) (Blue)</v>
      </c>
      <c r="H8345" s="19"/>
    </row>
    <row r="8346">
      <c r="A8346" s="9"/>
      <c r="B8346" s="15"/>
      <c r="C8346" s="9">
        <f>IFERROR(__xludf.DUMMYFUNCTION("""COMPUTED_VALUE"""),44517.6813409838)</f>
        <v>44517.68134</v>
      </c>
      <c r="D8346" s="15">
        <f>IFERROR(__xludf.DUMMYFUNCTION("""COMPUTED_VALUE"""),1.074)</f>
        <v>1.074</v>
      </c>
      <c r="E8346" s="16">
        <f>IFERROR(__xludf.DUMMYFUNCTION("""COMPUTED_VALUE"""),65.0)</f>
        <v>65</v>
      </c>
      <c r="F8346" s="19" t="str">
        <f>IFERROR(__xludf.DUMMYFUNCTION("""COMPUTED_VALUE"""),"BLUE")</f>
        <v>BLUE</v>
      </c>
      <c r="G8346" s="20" t="str">
        <f>IFERROR(__xludf.DUMMYFUNCTION("""COMPUTED_VALUE"""),"Uncle Sams Cider (11/12/2021) (Blue)")</f>
        <v>Uncle Sams Cider (11/12/2021) (Blue)</v>
      </c>
      <c r="H8346" s="19"/>
    </row>
    <row r="8347">
      <c r="A8347" s="9"/>
      <c r="B8347" s="15"/>
      <c r="C8347" s="9">
        <f>IFERROR(__xludf.DUMMYFUNCTION("""COMPUTED_VALUE"""),44517.670905949)</f>
        <v>44517.67091</v>
      </c>
      <c r="D8347" s="15">
        <f>IFERROR(__xludf.DUMMYFUNCTION("""COMPUTED_VALUE"""),1.075)</f>
        <v>1.075</v>
      </c>
      <c r="E8347" s="16">
        <f>IFERROR(__xludf.DUMMYFUNCTION("""COMPUTED_VALUE"""),65.0)</f>
        <v>65</v>
      </c>
      <c r="F8347" s="19" t="str">
        <f>IFERROR(__xludf.DUMMYFUNCTION("""COMPUTED_VALUE"""),"BLUE")</f>
        <v>BLUE</v>
      </c>
      <c r="G8347" s="20" t="str">
        <f>IFERROR(__xludf.DUMMYFUNCTION("""COMPUTED_VALUE"""),"Uncle Sams Cider (11/12/2021) (Blue)")</f>
        <v>Uncle Sams Cider (11/12/2021) (Blue)</v>
      </c>
      <c r="H8347" s="19"/>
    </row>
    <row r="8348">
      <c r="A8348" s="9"/>
      <c r="B8348" s="15"/>
      <c r="C8348" s="9">
        <f>IFERROR(__xludf.DUMMYFUNCTION("""COMPUTED_VALUE"""),44517.6604730439)</f>
        <v>44517.66047</v>
      </c>
      <c r="D8348" s="15">
        <f>IFERROR(__xludf.DUMMYFUNCTION("""COMPUTED_VALUE"""),1.074)</f>
        <v>1.074</v>
      </c>
      <c r="E8348" s="16">
        <f>IFERROR(__xludf.DUMMYFUNCTION("""COMPUTED_VALUE"""),65.0)</f>
        <v>65</v>
      </c>
      <c r="F8348" s="19" t="str">
        <f>IFERROR(__xludf.DUMMYFUNCTION("""COMPUTED_VALUE"""),"BLUE")</f>
        <v>BLUE</v>
      </c>
      <c r="G8348" s="20" t="str">
        <f>IFERROR(__xludf.DUMMYFUNCTION("""COMPUTED_VALUE"""),"Uncle Sams Cider (11/12/2021) (Blue)")</f>
        <v>Uncle Sams Cider (11/12/2021) (Blue)</v>
      </c>
      <c r="H8348" s="19"/>
    </row>
    <row r="8349">
      <c r="A8349" s="9"/>
      <c r="B8349" s="15"/>
      <c r="C8349" s="9">
        <f>IFERROR(__xludf.DUMMYFUNCTION("""COMPUTED_VALUE"""),44517.6500504976)</f>
        <v>44517.65005</v>
      </c>
      <c r="D8349" s="15">
        <f>IFERROR(__xludf.DUMMYFUNCTION("""COMPUTED_VALUE"""),1.074)</f>
        <v>1.074</v>
      </c>
      <c r="E8349" s="16">
        <f>IFERROR(__xludf.DUMMYFUNCTION("""COMPUTED_VALUE"""),65.0)</f>
        <v>65</v>
      </c>
      <c r="F8349" s="19" t="str">
        <f>IFERROR(__xludf.DUMMYFUNCTION("""COMPUTED_VALUE"""),"BLUE")</f>
        <v>BLUE</v>
      </c>
      <c r="G8349" s="20" t="str">
        <f>IFERROR(__xludf.DUMMYFUNCTION("""COMPUTED_VALUE"""),"Uncle Sams Cider (11/12/2021) (Blue)")</f>
        <v>Uncle Sams Cider (11/12/2021) (Blue)</v>
      </c>
      <c r="H8349" s="19"/>
    </row>
    <row r="8350">
      <c r="A8350" s="9"/>
      <c r="B8350" s="15"/>
      <c r="C8350" s="9">
        <f>IFERROR(__xludf.DUMMYFUNCTION("""COMPUTED_VALUE"""),44517.6396302893)</f>
        <v>44517.63963</v>
      </c>
      <c r="D8350" s="15">
        <f>IFERROR(__xludf.DUMMYFUNCTION("""COMPUTED_VALUE"""),1.074)</f>
        <v>1.074</v>
      </c>
      <c r="E8350" s="16">
        <f>IFERROR(__xludf.DUMMYFUNCTION("""COMPUTED_VALUE"""),65.0)</f>
        <v>65</v>
      </c>
      <c r="F8350" s="19" t="str">
        <f>IFERROR(__xludf.DUMMYFUNCTION("""COMPUTED_VALUE"""),"BLUE")</f>
        <v>BLUE</v>
      </c>
      <c r="G8350" s="20" t="str">
        <f>IFERROR(__xludf.DUMMYFUNCTION("""COMPUTED_VALUE"""),"Uncle Sams Cider (11/12/2021) (Blue)")</f>
        <v>Uncle Sams Cider (11/12/2021) (Blue)</v>
      </c>
      <c r="H8350" s="19"/>
    </row>
    <row r="8351">
      <c r="A8351" s="9"/>
      <c r="B8351" s="15"/>
      <c r="C8351" s="9">
        <f>IFERROR(__xludf.DUMMYFUNCTION("""COMPUTED_VALUE"""),44517.6292102777)</f>
        <v>44517.62921</v>
      </c>
      <c r="D8351" s="15">
        <f>IFERROR(__xludf.DUMMYFUNCTION("""COMPUTED_VALUE"""),1.074)</f>
        <v>1.074</v>
      </c>
      <c r="E8351" s="16">
        <f>IFERROR(__xludf.DUMMYFUNCTION("""COMPUTED_VALUE"""),65.0)</f>
        <v>65</v>
      </c>
      <c r="F8351" s="19" t="str">
        <f>IFERROR(__xludf.DUMMYFUNCTION("""COMPUTED_VALUE"""),"BLUE")</f>
        <v>BLUE</v>
      </c>
      <c r="G8351" s="20" t="str">
        <f>IFERROR(__xludf.DUMMYFUNCTION("""COMPUTED_VALUE"""),"Uncle Sams Cider (11/12/2021) (Blue)")</f>
        <v>Uncle Sams Cider (11/12/2021) (Blue)</v>
      </c>
      <c r="H8351" s="19"/>
    </row>
    <row r="8352">
      <c r="A8352" s="9"/>
      <c r="B8352" s="15"/>
      <c r="C8352" s="9">
        <f>IFERROR(__xludf.DUMMYFUNCTION("""COMPUTED_VALUE"""),44517.6187902546)</f>
        <v>44517.61879</v>
      </c>
      <c r="D8352" s="15">
        <f>IFERROR(__xludf.DUMMYFUNCTION("""COMPUTED_VALUE"""),1.075)</f>
        <v>1.075</v>
      </c>
      <c r="E8352" s="16">
        <f>IFERROR(__xludf.DUMMYFUNCTION("""COMPUTED_VALUE"""),65.0)</f>
        <v>65</v>
      </c>
      <c r="F8352" s="19" t="str">
        <f>IFERROR(__xludf.DUMMYFUNCTION("""COMPUTED_VALUE"""),"BLUE")</f>
        <v>BLUE</v>
      </c>
      <c r="G8352" s="20" t="str">
        <f>IFERROR(__xludf.DUMMYFUNCTION("""COMPUTED_VALUE"""),"Uncle Sams Cider (11/12/2021) (Blue)")</f>
        <v>Uncle Sams Cider (11/12/2021) (Blue)</v>
      </c>
      <c r="H8352" s="19"/>
    </row>
    <row r="8353">
      <c r="A8353" s="9"/>
      <c r="B8353" s="15"/>
      <c r="C8353" s="9">
        <f>IFERROR(__xludf.DUMMYFUNCTION("""COMPUTED_VALUE"""),44517.6083681944)</f>
        <v>44517.60837</v>
      </c>
      <c r="D8353" s="15">
        <f>IFERROR(__xludf.DUMMYFUNCTION("""COMPUTED_VALUE"""),1.074)</f>
        <v>1.074</v>
      </c>
      <c r="E8353" s="16">
        <f>IFERROR(__xludf.DUMMYFUNCTION("""COMPUTED_VALUE"""),65.0)</f>
        <v>65</v>
      </c>
      <c r="F8353" s="19" t="str">
        <f>IFERROR(__xludf.DUMMYFUNCTION("""COMPUTED_VALUE"""),"BLUE")</f>
        <v>BLUE</v>
      </c>
      <c r="G8353" s="20" t="str">
        <f>IFERROR(__xludf.DUMMYFUNCTION("""COMPUTED_VALUE"""),"Uncle Sams Cider (11/12/2021) (Blue)")</f>
        <v>Uncle Sams Cider (11/12/2021) (Blue)</v>
      </c>
      <c r="H8353" s="19"/>
    </row>
    <row r="8354">
      <c r="A8354" s="9"/>
      <c r="B8354" s="15"/>
      <c r="C8354" s="9">
        <f>IFERROR(__xludf.DUMMYFUNCTION("""COMPUTED_VALUE"""),44517.5979480555)</f>
        <v>44517.59795</v>
      </c>
      <c r="D8354" s="15">
        <f>IFERROR(__xludf.DUMMYFUNCTION("""COMPUTED_VALUE"""),1.075)</f>
        <v>1.075</v>
      </c>
      <c r="E8354" s="16">
        <f>IFERROR(__xludf.DUMMYFUNCTION("""COMPUTED_VALUE"""),65.0)</f>
        <v>65</v>
      </c>
      <c r="F8354" s="19" t="str">
        <f>IFERROR(__xludf.DUMMYFUNCTION("""COMPUTED_VALUE"""),"BLUE")</f>
        <v>BLUE</v>
      </c>
      <c r="G8354" s="20" t="str">
        <f>IFERROR(__xludf.DUMMYFUNCTION("""COMPUTED_VALUE"""),"Uncle Sams Cider (11/12/2021) (Blue)")</f>
        <v>Uncle Sams Cider (11/12/2021) (Blue)</v>
      </c>
      <c r="H8354" s="19"/>
    </row>
    <row r="8355">
      <c r="A8355" s="9"/>
      <c r="B8355" s="15"/>
      <c r="C8355" s="9">
        <f>IFERROR(__xludf.DUMMYFUNCTION("""COMPUTED_VALUE"""),44517.5875275231)</f>
        <v>44517.58753</v>
      </c>
      <c r="D8355" s="15">
        <f>IFERROR(__xludf.DUMMYFUNCTION("""COMPUTED_VALUE"""),1.075)</f>
        <v>1.075</v>
      </c>
      <c r="E8355" s="16">
        <f>IFERROR(__xludf.DUMMYFUNCTION("""COMPUTED_VALUE"""),65.0)</f>
        <v>65</v>
      </c>
      <c r="F8355" s="19" t="str">
        <f>IFERROR(__xludf.DUMMYFUNCTION("""COMPUTED_VALUE"""),"BLUE")</f>
        <v>BLUE</v>
      </c>
      <c r="G8355" s="20" t="str">
        <f>IFERROR(__xludf.DUMMYFUNCTION("""COMPUTED_VALUE"""),"Uncle Sams Cider (11/12/2021) (Blue)")</f>
        <v>Uncle Sams Cider (11/12/2021) (Blue)</v>
      </c>
      <c r="H8355" s="19"/>
    </row>
    <row r="8356">
      <c r="A8356" s="9"/>
      <c r="B8356" s="15"/>
      <c r="C8356" s="9">
        <f>IFERROR(__xludf.DUMMYFUNCTION("""COMPUTED_VALUE"""),44517.5771086574)</f>
        <v>44517.57711</v>
      </c>
      <c r="D8356" s="15">
        <f>IFERROR(__xludf.DUMMYFUNCTION("""COMPUTED_VALUE"""),1.075)</f>
        <v>1.075</v>
      </c>
      <c r="E8356" s="16">
        <f>IFERROR(__xludf.DUMMYFUNCTION("""COMPUTED_VALUE"""),65.0)</f>
        <v>65</v>
      </c>
      <c r="F8356" s="19" t="str">
        <f>IFERROR(__xludf.DUMMYFUNCTION("""COMPUTED_VALUE"""),"BLUE")</f>
        <v>BLUE</v>
      </c>
      <c r="G8356" s="20" t="str">
        <f>IFERROR(__xludf.DUMMYFUNCTION("""COMPUTED_VALUE"""),"Uncle Sams Cider (11/12/2021) (Blue)")</f>
        <v>Uncle Sams Cider (11/12/2021) (Blue)</v>
      </c>
      <c r="H8356" s="19"/>
    </row>
    <row r="8357">
      <c r="A8357" s="9"/>
      <c r="B8357" s="15"/>
      <c r="C8357" s="9">
        <f>IFERROR(__xludf.DUMMYFUNCTION("""COMPUTED_VALUE"""),44517.5666871064)</f>
        <v>44517.56669</v>
      </c>
      <c r="D8357" s="15">
        <f>IFERROR(__xludf.DUMMYFUNCTION("""COMPUTED_VALUE"""),1.075)</f>
        <v>1.075</v>
      </c>
      <c r="E8357" s="16">
        <f>IFERROR(__xludf.DUMMYFUNCTION("""COMPUTED_VALUE"""),65.0)</f>
        <v>65</v>
      </c>
      <c r="F8357" s="19" t="str">
        <f>IFERROR(__xludf.DUMMYFUNCTION("""COMPUTED_VALUE"""),"BLUE")</f>
        <v>BLUE</v>
      </c>
      <c r="G8357" s="20" t="str">
        <f>IFERROR(__xludf.DUMMYFUNCTION("""COMPUTED_VALUE"""),"Uncle Sams Cider (11/12/2021) (Blue)")</f>
        <v>Uncle Sams Cider (11/12/2021) (Blue)</v>
      </c>
      <c r="H8357" s="19"/>
    </row>
    <row r="8358">
      <c r="A8358" s="9"/>
      <c r="B8358" s="15"/>
      <c r="C8358" s="9">
        <f>IFERROR(__xludf.DUMMYFUNCTION("""COMPUTED_VALUE"""),44517.5562671527)</f>
        <v>44517.55627</v>
      </c>
      <c r="D8358" s="15">
        <f>IFERROR(__xludf.DUMMYFUNCTION("""COMPUTED_VALUE"""),1.075)</f>
        <v>1.075</v>
      </c>
      <c r="E8358" s="16">
        <f>IFERROR(__xludf.DUMMYFUNCTION("""COMPUTED_VALUE"""),65.0)</f>
        <v>65</v>
      </c>
      <c r="F8358" s="19" t="str">
        <f>IFERROR(__xludf.DUMMYFUNCTION("""COMPUTED_VALUE"""),"BLUE")</f>
        <v>BLUE</v>
      </c>
      <c r="G8358" s="20" t="str">
        <f>IFERROR(__xludf.DUMMYFUNCTION("""COMPUTED_VALUE"""),"Uncle Sams Cider (11/12/2021) (Blue)")</f>
        <v>Uncle Sams Cider (11/12/2021) (Blue)</v>
      </c>
      <c r="H8358" s="19"/>
    </row>
    <row r="8359">
      <c r="A8359" s="9"/>
      <c r="B8359" s="15"/>
      <c r="C8359" s="9">
        <f>IFERROR(__xludf.DUMMYFUNCTION("""COMPUTED_VALUE"""),44517.5458445833)</f>
        <v>44517.54584</v>
      </c>
      <c r="D8359" s="15">
        <f>IFERROR(__xludf.DUMMYFUNCTION("""COMPUTED_VALUE"""),1.075)</f>
        <v>1.075</v>
      </c>
      <c r="E8359" s="16">
        <f>IFERROR(__xludf.DUMMYFUNCTION("""COMPUTED_VALUE"""),64.0)</f>
        <v>64</v>
      </c>
      <c r="F8359" s="19" t="str">
        <f>IFERROR(__xludf.DUMMYFUNCTION("""COMPUTED_VALUE"""),"BLUE")</f>
        <v>BLUE</v>
      </c>
      <c r="G8359" s="20" t="str">
        <f>IFERROR(__xludf.DUMMYFUNCTION("""COMPUTED_VALUE"""),"Uncle Sams Cider (11/12/2021) (Blue)")</f>
        <v>Uncle Sams Cider (11/12/2021) (Blue)</v>
      </c>
      <c r="H8359" s="19"/>
    </row>
    <row r="8360">
      <c r="A8360" s="9"/>
      <c r="B8360" s="15"/>
      <c r="C8360" s="9">
        <f>IFERROR(__xludf.DUMMYFUNCTION("""COMPUTED_VALUE"""),44517.535423368)</f>
        <v>44517.53542</v>
      </c>
      <c r="D8360" s="15">
        <f>IFERROR(__xludf.DUMMYFUNCTION("""COMPUTED_VALUE"""),1.075)</f>
        <v>1.075</v>
      </c>
      <c r="E8360" s="16">
        <f>IFERROR(__xludf.DUMMYFUNCTION("""COMPUTED_VALUE"""),65.0)</f>
        <v>65</v>
      </c>
      <c r="F8360" s="19" t="str">
        <f>IFERROR(__xludf.DUMMYFUNCTION("""COMPUTED_VALUE"""),"BLUE")</f>
        <v>BLUE</v>
      </c>
      <c r="G8360" s="20" t="str">
        <f>IFERROR(__xludf.DUMMYFUNCTION("""COMPUTED_VALUE"""),"Uncle Sams Cider (11/12/2021) (Blue)")</f>
        <v>Uncle Sams Cider (11/12/2021) (Blue)</v>
      </c>
      <c r="H8360" s="19"/>
    </row>
    <row r="8361">
      <c r="A8361" s="9"/>
      <c r="B8361" s="15"/>
      <c r="C8361" s="9">
        <f>IFERROR(__xludf.DUMMYFUNCTION("""COMPUTED_VALUE"""),44517.5250035416)</f>
        <v>44517.525</v>
      </c>
      <c r="D8361" s="15">
        <f>IFERROR(__xludf.DUMMYFUNCTION("""COMPUTED_VALUE"""),1.075)</f>
        <v>1.075</v>
      </c>
      <c r="E8361" s="16">
        <f>IFERROR(__xludf.DUMMYFUNCTION("""COMPUTED_VALUE"""),64.0)</f>
        <v>64</v>
      </c>
      <c r="F8361" s="19" t="str">
        <f>IFERROR(__xludf.DUMMYFUNCTION("""COMPUTED_VALUE"""),"BLUE")</f>
        <v>BLUE</v>
      </c>
      <c r="G8361" s="20" t="str">
        <f>IFERROR(__xludf.DUMMYFUNCTION("""COMPUTED_VALUE"""),"Uncle Sams Cider (11/12/2021) (Blue)")</f>
        <v>Uncle Sams Cider (11/12/2021) (Blue)</v>
      </c>
      <c r="H8361" s="19"/>
    </row>
    <row r="8362">
      <c r="A8362" s="9"/>
      <c r="B8362" s="15"/>
      <c r="C8362" s="9">
        <f>IFERROR(__xludf.DUMMYFUNCTION("""COMPUTED_VALUE"""),44517.5145819097)</f>
        <v>44517.51458</v>
      </c>
      <c r="D8362" s="15">
        <f>IFERROR(__xludf.DUMMYFUNCTION("""COMPUTED_VALUE"""),1.075)</f>
        <v>1.075</v>
      </c>
      <c r="E8362" s="16">
        <f>IFERROR(__xludf.DUMMYFUNCTION("""COMPUTED_VALUE"""),64.0)</f>
        <v>64</v>
      </c>
      <c r="F8362" s="19" t="str">
        <f>IFERROR(__xludf.DUMMYFUNCTION("""COMPUTED_VALUE"""),"BLUE")</f>
        <v>BLUE</v>
      </c>
      <c r="G8362" s="20" t="str">
        <f>IFERROR(__xludf.DUMMYFUNCTION("""COMPUTED_VALUE"""),"Uncle Sams Cider (11/12/2021) (Blue)")</f>
        <v>Uncle Sams Cider (11/12/2021) (Blue)</v>
      </c>
      <c r="H8362" s="19"/>
    </row>
    <row r="8363">
      <c r="A8363" s="9"/>
      <c r="B8363" s="15"/>
      <c r="C8363" s="9">
        <f>IFERROR(__xludf.DUMMYFUNCTION("""COMPUTED_VALUE"""),44517.5041603703)</f>
        <v>44517.50416</v>
      </c>
      <c r="D8363" s="15">
        <f>IFERROR(__xludf.DUMMYFUNCTION("""COMPUTED_VALUE"""),1.075)</f>
        <v>1.075</v>
      </c>
      <c r="E8363" s="16">
        <f>IFERROR(__xludf.DUMMYFUNCTION("""COMPUTED_VALUE"""),64.0)</f>
        <v>64</v>
      </c>
      <c r="F8363" s="19" t="str">
        <f>IFERROR(__xludf.DUMMYFUNCTION("""COMPUTED_VALUE"""),"BLUE")</f>
        <v>BLUE</v>
      </c>
      <c r="G8363" s="20" t="str">
        <f>IFERROR(__xludf.DUMMYFUNCTION("""COMPUTED_VALUE"""),"Uncle Sams Cider (11/12/2021) (Blue)")</f>
        <v>Uncle Sams Cider (11/12/2021) (Blue)</v>
      </c>
      <c r="H8363" s="19"/>
    </row>
    <row r="8364">
      <c r="A8364" s="9"/>
      <c r="B8364" s="15"/>
      <c r="C8364" s="9">
        <f>IFERROR(__xludf.DUMMYFUNCTION("""COMPUTED_VALUE"""),44517.4937399652)</f>
        <v>44517.49374</v>
      </c>
      <c r="D8364" s="15">
        <f>IFERROR(__xludf.DUMMYFUNCTION("""COMPUTED_VALUE"""),1.075)</f>
        <v>1.075</v>
      </c>
      <c r="E8364" s="16">
        <f>IFERROR(__xludf.DUMMYFUNCTION("""COMPUTED_VALUE"""),64.0)</f>
        <v>64</v>
      </c>
      <c r="F8364" s="19" t="str">
        <f>IFERROR(__xludf.DUMMYFUNCTION("""COMPUTED_VALUE"""),"BLUE")</f>
        <v>BLUE</v>
      </c>
      <c r="G8364" s="20" t="str">
        <f>IFERROR(__xludf.DUMMYFUNCTION("""COMPUTED_VALUE"""),"Uncle Sams Cider (11/12/2021) (Blue)")</f>
        <v>Uncle Sams Cider (11/12/2021) (Blue)</v>
      </c>
      <c r="H8364" s="19"/>
    </row>
    <row r="8365">
      <c r="A8365" s="9"/>
      <c r="B8365" s="15"/>
      <c r="C8365" s="9">
        <f>IFERROR(__xludf.DUMMYFUNCTION("""COMPUTED_VALUE"""),44517.4833183217)</f>
        <v>44517.48332</v>
      </c>
      <c r="D8365" s="15">
        <f>IFERROR(__xludf.DUMMYFUNCTION("""COMPUTED_VALUE"""),1.075)</f>
        <v>1.075</v>
      </c>
      <c r="E8365" s="16">
        <f>IFERROR(__xludf.DUMMYFUNCTION("""COMPUTED_VALUE"""),64.0)</f>
        <v>64</v>
      </c>
      <c r="F8365" s="19" t="str">
        <f>IFERROR(__xludf.DUMMYFUNCTION("""COMPUTED_VALUE"""),"BLUE")</f>
        <v>BLUE</v>
      </c>
      <c r="G8365" s="20" t="str">
        <f>IFERROR(__xludf.DUMMYFUNCTION("""COMPUTED_VALUE"""),"Uncle Sams Cider (11/12/2021) (Blue)")</f>
        <v>Uncle Sams Cider (11/12/2021) (Blue)</v>
      </c>
      <c r="H8365" s="19"/>
    </row>
    <row r="8366">
      <c r="A8366" s="9"/>
      <c r="B8366" s="15"/>
      <c r="C8366" s="9">
        <f>IFERROR(__xludf.DUMMYFUNCTION("""COMPUTED_VALUE"""),44517.4728978587)</f>
        <v>44517.4729</v>
      </c>
      <c r="D8366" s="15">
        <f>IFERROR(__xludf.DUMMYFUNCTION("""COMPUTED_VALUE"""),1.075)</f>
        <v>1.075</v>
      </c>
      <c r="E8366" s="16">
        <f>IFERROR(__xludf.DUMMYFUNCTION("""COMPUTED_VALUE"""),63.0)</f>
        <v>63</v>
      </c>
      <c r="F8366" s="19" t="str">
        <f>IFERROR(__xludf.DUMMYFUNCTION("""COMPUTED_VALUE"""),"BLUE")</f>
        <v>BLUE</v>
      </c>
      <c r="G8366" s="20" t="str">
        <f>IFERROR(__xludf.DUMMYFUNCTION("""COMPUTED_VALUE"""),"Uncle Sams Cider (11/12/2021) (Blue)")</f>
        <v>Uncle Sams Cider (11/12/2021) (Blue)</v>
      </c>
      <c r="H8366" s="19"/>
    </row>
    <row r="8367">
      <c r="A8367" s="9"/>
      <c r="B8367" s="15"/>
      <c r="C8367" s="9">
        <f>IFERROR(__xludf.DUMMYFUNCTION("""COMPUTED_VALUE"""),44517.4624653009)</f>
        <v>44517.46247</v>
      </c>
      <c r="D8367" s="15">
        <f>IFERROR(__xludf.DUMMYFUNCTION("""COMPUTED_VALUE"""),1.075)</f>
        <v>1.075</v>
      </c>
      <c r="E8367" s="16">
        <f>IFERROR(__xludf.DUMMYFUNCTION("""COMPUTED_VALUE"""),64.0)</f>
        <v>64</v>
      </c>
      <c r="F8367" s="19" t="str">
        <f>IFERROR(__xludf.DUMMYFUNCTION("""COMPUTED_VALUE"""),"BLUE")</f>
        <v>BLUE</v>
      </c>
      <c r="G8367" s="20" t="str">
        <f>IFERROR(__xludf.DUMMYFUNCTION("""COMPUTED_VALUE"""),"Uncle Sams Cider (11/12/2021) (Blue)")</f>
        <v>Uncle Sams Cider (11/12/2021) (Blue)</v>
      </c>
      <c r="H8367" s="19"/>
    </row>
    <row r="8368">
      <c r="A8368" s="9"/>
      <c r="B8368" s="15"/>
      <c r="C8368" s="9">
        <f>IFERROR(__xludf.DUMMYFUNCTION("""COMPUTED_VALUE"""),44517.4520436111)</f>
        <v>44517.45204</v>
      </c>
      <c r="D8368" s="15">
        <f>IFERROR(__xludf.DUMMYFUNCTION("""COMPUTED_VALUE"""),1.075)</f>
        <v>1.075</v>
      </c>
      <c r="E8368" s="16">
        <f>IFERROR(__xludf.DUMMYFUNCTION("""COMPUTED_VALUE"""),66.0)</f>
        <v>66</v>
      </c>
      <c r="F8368" s="19" t="str">
        <f>IFERROR(__xludf.DUMMYFUNCTION("""COMPUTED_VALUE"""),"BLUE")</f>
        <v>BLUE</v>
      </c>
      <c r="G8368" s="20" t="str">
        <f>IFERROR(__xludf.DUMMYFUNCTION("""COMPUTED_VALUE"""),"Uncle Sams Cider (11/12/2021) (Blue)")</f>
        <v>Uncle Sams Cider (11/12/2021) (Blue)</v>
      </c>
      <c r="H8368" s="19"/>
    </row>
    <row r="8369">
      <c r="A8369" s="9"/>
      <c r="B8369" s="15"/>
      <c r="C8369" s="9">
        <f>IFERROR(__xludf.DUMMYFUNCTION("""COMPUTED_VALUE"""),44517.4416217129)</f>
        <v>44517.44162</v>
      </c>
      <c r="D8369" s="15">
        <f>IFERROR(__xludf.DUMMYFUNCTION("""COMPUTED_VALUE"""),1.075)</f>
        <v>1.075</v>
      </c>
      <c r="E8369" s="16">
        <f>IFERROR(__xludf.DUMMYFUNCTION("""COMPUTED_VALUE"""),68.0)</f>
        <v>68</v>
      </c>
      <c r="F8369" s="19" t="str">
        <f>IFERROR(__xludf.DUMMYFUNCTION("""COMPUTED_VALUE"""),"BLUE")</f>
        <v>BLUE</v>
      </c>
      <c r="G8369" s="20" t="str">
        <f>IFERROR(__xludf.DUMMYFUNCTION("""COMPUTED_VALUE"""),"Uncle Sams Cider (11/12/2021) (Blue)")</f>
        <v>Uncle Sams Cider (11/12/2021) (Blue)</v>
      </c>
      <c r="H8369" s="19"/>
    </row>
    <row r="8370">
      <c r="A8370" s="9"/>
      <c r="B8370" s="15"/>
      <c r="C8370" s="9">
        <f>IFERROR(__xludf.DUMMYFUNCTION("""COMPUTED_VALUE"""),44517.4311987152)</f>
        <v>44517.4312</v>
      </c>
      <c r="D8370" s="15">
        <f>IFERROR(__xludf.DUMMYFUNCTION("""COMPUTED_VALUE"""),1.075)</f>
        <v>1.075</v>
      </c>
      <c r="E8370" s="16">
        <f>IFERROR(__xludf.DUMMYFUNCTION("""COMPUTED_VALUE"""),69.0)</f>
        <v>69</v>
      </c>
      <c r="F8370" s="19" t="str">
        <f>IFERROR(__xludf.DUMMYFUNCTION("""COMPUTED_VALUE"""),"BLUE")</f>
        <v>BLUE</v>
      </c>
      <c r="G8370" s="20" t="str">
        <f>IFERROR(__xludf.DUMMYFUNCTION("""COMPUTED_VALUE"""),"Uncle Sams Cider (11/12/2021) (Blue)")</f>
        <v>Uncle Sams Cider (11/12/2021) (Blue)</v>
      </c>
      <c r="H8370" s="19"/>
    </row>
    <row r="8371">
      <c r="A8371" s="9"/>
      <c r="B8371" s="15"/>
      <c r="C8371" s="9">
        <f>IFERROR(__xludf.DUMMYFUNCTION("""COMPUTED_VALUE"""),44517.4207782638)</f>
        <v>44517.42078</v>
      </c>
      <c r="D8371" s="15">
        <f>IFERROR(__xludf.DUMMYFUNCTION("""COMPUTED_VALUE"""),1.076)</f>
        <v>1.076</v>
      </c>
      <c r="E8371" s="16">
        <f>IFERROR(__xludf.DUMMYFUNCTION("""COMPUTED_VALUE"""),69.0)</f>
        <v>69</v>
      </c>
      <c r="F8371" s="19" t="str">
        <f>IFERROR(__xludf.DUMMYFUNCTION("""COMPUTED_VALUE"""),"BLUE")</f>
        <v>BLUE</v>
      </c>
      <c r="G8371" s="20" t="str">
        <f>IFERROR(__xludf.DUMMYFUNCTION("""COMPUTED_VALUE"""),"Uncle Sams Cider (11/12/2021) (Blue)")</f>
        <v>Uncle Sams Cider (11/12/2021) (Blue)</v>
      </c>
      <c r="H8371" s="19"/>
    </row>
    <row r="8372">
      <c r="A8372" s="9"/>
      <c r="B8372" s="15"/>
      <c r="C8372" s="9">
        <f>IFERROR(__xludf.DUMMYFUNCTION("""COMPUTED_VALUE"""),44517.4103569907)</f>
        <v>44517.41036</v>
      </c>
      <c r="D8372" s="15">
        <f>IFERROR(__xludf.DUMMYFUNCTION("""COMPUTED_VALUE"""),1.076)</f>
        <v>1.076</v>
      </c>
      <c r="E8372" s="16">
        <f>IFERROR(__xludf.DUMMYFUNCTION("""COMPUTED_VALUE"""),69.0)</f>
        <v>69</v>
      </c>
      <c r="F8372" s="19" t="str">
        <f>IFERROR(__xludf.DUMMYFUNCTION("""COMPUTED_VALUE"""),"BLUE")</f>
        <v>BLUE</v>
      </c>
      <c r="G8372" s="20" t="str">
        <f>IFERROR(__xludf.DUMMYFUNCTION("""COMPUTED_VALUE"""),"Uncle Sams Cider (11/12/2021) (Blue)")</f>
        <v>Uncle Sams Cider (11/12/2021) (Blue)</v>
      </c>
      <c r="H8372" s="19"/>
    </row>
    <row r="8373">
      <c r="A8373" s="9"/>
      <c r="B8373" s="15"/>
      <c r="C8373" s="9">
        <f>IFERROR(__xludf.DUMMYFUNCTION("""COMPUTED_VALUE"""),44517.3999345833)</f>
        <v>44517.39993</v>
      </c>
      <c r="D8373" s="15">
        <f>IFERROR(__xludf.DUMMYFUNCTION("""COMPUTED_VALUE"""),1.076)</f>
        <v>1.076</v>
      </c>
      <c r="E8373" s="16">
        <f>IFERROR(__xludf.DUMMYFUNCTION("""COMPUTED_VALUE"""),69.0)</f>
        <v>69</v>
      </c>
      <c r="F8373" s="19" t="str">
        <f>IFERROR(__xludf.DUMMYFUNCTION("""COMPUTED_VALUE"""),"BLUE")</f>
        <v>BLUE</v>
      </c>
      <c r="G8373" s="20" t="str">
        <f>IFERROR(__xludf.DUMMYFUNCTION("""COMPUTED_VALUE"""),"Uncle Sams Cider (11/12/2021) (Blue)")</f>
        <v>Uncle Sams Cider (11/12/2021) (Blue)</v>
      </c>
      <c r="H8373" s="19"/>
    </row>
    <row r="8374">
      <c r="A8374" s="9"/>
      <c r="B8374" s="15"/>
      <c r="C8374" s="9">
        <f>IFERROR(__xludf.DUMMYFUNCTION("""COMPUTED_VALUE"""),44517.3895118981)</f>
        <v>44517.38951</v>
      </c>
      <c r="D8374" s="15">
        <f>IFERROR(__xludf.DUMMYFUNCTION("""COMPUTED_VALUE"""),1.076)</f>
        <v>1.076</v>
      </c>
      <c r="E8374" s="16">
        <f>IFERROR(__xludf.DUMMYFUNCTION("""COMPUTED_VALUE"""),69.0)</f>
        <v>69</v>
      </c>
      <c r="F8374" s="19" t="str">
        <f>IFERROR(__xludf.DUMMYFUNCTION("""COMPUTED_VALUE"""),"BLUE")</f>
        <v>BLUE</v>
      </c>
      <c r="G8374" s="20" t="str">
        <f>IFERROR(__xludf.DUMMYFUNCTION("""COMPUTED_VALUE"""),"Uncle Sams Cider (11/12/2021) (Blue)")</f>
        <v>Uncle Sams Cider (11/12/2021) (Blue)</v>
      </c>
      <c r="H8374" s="19"/>
    </row>
    <row r="8375">
      <c r="A8375" s="9"/>
      <c r="B8375" s="15"/>
      <c r="C8375" s="9">
        <f>IFERROR(__xludf.DUMMYFUNCTION("""COMPUTED_VALUE"""),44517.3790915046)</f>
        <v>44517.37909</v>
      </c>
      <c r="D8375" s="15">
        <f>IFERROR(__xludf.DUMMYFUNCTION("""COMPUTED_VALUE"""),1.076)</f>
        <v>1.076</v>
      </c>
      <c r="E8375" s="16">
        <f>IFERROR(__xludf.DUMMYFUNCTION("""COMPUTED_VALUE"""),69.0)</f>
        <v>69</v>
      </c>
      <c r="F8375" s="19" t="str">
        <f>IFERROR(__xludf.DUMMYFUNCTION("""COMPUTED_VALUE"""),"BLUE")</f>
        <v>BLUE</v>
      </c>
      <c r="G8375" s="20" t="str">
        <f>IFERROR(__xludf.DUMMYFUNCTION("""COMPUTED_VALUE"""),"Uncle Sams Cider (11/12/2021) (Blue)")</f>
        <v>Uncle Sams Cider (11/12/2021) (Blue)</v>
      </c>
      <c r="H8375" s="19"/>
    </row>
    <row r="8376">
      <c r="A8376" s="9"/>
      <c r="B8376" s="15"/>
      <c r="C8376" s="9">
        <f>IFERROR(__xludf.DUMMYFUNCTION("""COMPUTED_VALUE"""),44517.3686690509)</f>
        <v>44517.36867</v>
      </c>
      <c r="D8376" s="15">
        <f>IFERROR(__xludf.DUMMYFUNCTION("""COMPUTED_VALUE"""),1.076)</f>
        <v>1.076</v>
      </c>
      <c r="E8376" s="16">
        <f>IFERROR(__xludf.DUMMYFUNCTION("""COMPUTED_VALUE"""),69.0)</f>
        <v>69</v>
      </c>
      <c r="F8376" s="19" t="str">
        <f>IFERROR(__xludf.DUMMYFUNCTION("""COMPUTED_VALUE"""),"BLUE")</f>
        <v>BLUE</v>
      </c>
      <c r="G8376" s="20" t="str">
        <f>IFERROR(__xludf.DUMMYFUNCTION("""COMPUTED_VALUE"""),"Uncle Sams Cider (11/12/2021) (Blue)")</f>
        <v>Uncle Sams Cider (11/12/2021) (Blue)</v>
      </c>
      <c r="H8376" s="19"/>
    </row>
    <row r="8377">
      <c r="A8377" s="9"/>
      <c r="B8377" s="15"/>
      <c r="C8377" s="9">
        <f>IFERROR(__xludf.DUMMYFUNCTION("""COMPUTED_VALUE"""),44517.3582472453)</f>
        <v>44517.35825</v>
      </c>
      <c r="D8377" s="15">
        <f>IFERROR(__xludf.DUMMYFUNCTION("""COMPUTED_VALUE"""),1.076)</f>
        <v>1.076</v>
      </c>
      <c r="E8377" s="16">
        <f>IFERROR(__xludf.DUMMYFUNCTION("""COMPUTED_VALUE"""),69.0)</f>
        <v>69</v>
      </c>
      <c r="F8377" s="19" t="str">
        <f>IFERROR(__xludf.DUMMYFUNCTION("""COMPUTED_VALUE"""),"BLUE")</f>
        <v>BLUE</v>
      </c>
      <c r="G8377" s="20" t="str">
        <f>IFERROR(__xludf.DUMMYFUNCTION("""COMPUTED_VALUE"""),"Uncle Sams Cider (11/12/2021) (Blue)")</f>
        <v>Uncle Sams Cider (11/12/2021) (Blue)</v>
      </c>
      <c r="H8377" s="19"/>
    </row>
    <row r="8378">
      <c r="A8378" s="9"/>
      <c r="B8378" s="15"/>
      <c r="C8378" s="9">
        <f>IFERROR(__xludf.DUMMYFUNCTION("""COMPUTED_VALUE"""),44517.3478250694)</f>
        <v>44517.34783</v>
      </c>
      <c r="D8378" s="15">
        <f>IFERROR(__xludf.DUMMYFUNCTION("""COMPUTED_VALUE"""),1.076)</f>
        <v>1.076</v>
      </c>
      <c r="E8378" s="16">
        <f>IFERROR(__xludf.DUMMYFUNCTION("""COMPUTED_VALUE"""),69.0)</f>
        <v>69</v>
      </c>
      <c r="F8378" s="19" t="str">
        <f>IFERROR(__xludf.DUMMYFUNCTION("""COMPUTED_VALUE"""),"BLUE")</f>
        <v>BLUE</v>
      </c>
      <c r="G8378" s="20" t="str">
        <f>IFERROR(__xludf.DUMMYFUNCTION("""COMPUTED_VALUE"""),"Uncle Sams Cider (11/12/2021) (Blue)")</f>
        <v>Uncle Sams Cider (11/12/2021) (Blue)</v>
      </c>
      <c r="H8378" s="19"/>
    </row>
    <row r="8379">
      <c r="A8379" s="9"/>
      <c r="B8379" s="15"/>
      <c r="C8379" s="9">
        <f>IFERROR(__xludf.DUMMYFUNCTION("""COMPUTED_VALUE"""),44517.3374038194)</f>
        <v>44517.3374</v>
      </c>
      <c r="D8379" s="15">
        <f>IFERROR(__xludf.DUMMYFUNCTION("""COMPUTED_VALUE"""),1.076)</f>
        <v>1.076</v>
      </c>
      <c r="E8379" s="16">
        <f>IFERROR(__xludf.DUMMYFUNCTION("""COMPUTED_VALUE"""),69.0)</f>
        <v>69</v>
      </c>
      <c r="F8379" s="19" t="str">
        <f>IFERROR(__xludf.DUMMYFUNCTION("""COMPUTED_VALUE"""),"BLUE")</f>
        <v>BLUE</v>
      </c>
      <c r="G8379" s="20" t="str">
        <f>IFERROR(__xludf.DUMMYFUNCTION("""COMPUTED_VALUE"""),"Uncle Sams Cider (11/12/2021) (Blue)")</f>
        <v>Uncle Sams Cider (11/12/2021) (Blue)</v>
      </c>
      <c r="H8379" s="19"/>
    </row>
    <row r="8380">
      <c r="A8380" s="9"/>
      <c r="B8380" s="15"/>
      <c r="C8380" s="9">
        <f>IFERROR(__xludf.DUMMYFUNCTION("""COMPUTED_VALUE"""),44517.326982743)</f>
        <v>44517.32698</v>
      </c>
      <c r="D8380" s="15">
        <f>IFERROR(__xludf.DUMMYFUNCTION("""COMPUTED_VALUE"""),1.076)</f>
        <v>1.076</v>
      </c>
      <c r="E8380" s="16">
        <f>IFERROR(__xludf.DUMMYFUNCTION("""COMPUTED_VALUE"""),69.0)</f>
        <v>69</v>
      </c>
      <c r="F8380" s="19" t="str">
        <f>IFERROR(__xludf.DUMMYFUNCTION("""COMPUTED_VALUE"""),"BLUE")</f>
        <v>BLUE</v>
      </c>
      <c r="G8380" s="20" t="str">
        <f>IFERROR(__xludf.DUMMYFUNCTION("""COMPUTED_VALUE"""),"Uncle Sams Cider (11/12/2021) (Blue)")</f>
        <v>Uncle Sams Cider (11/12/2021) (Blue)</v>
      </c>
      <c r="H8380" s="19"/>
    </row>
    <row r="8381">
      <c r="A8381" s="9"/>
      <c r="B8381" s="15"/>
      <c r="C8381" s="9">
        <f>IFERROR(__xludf.DUMMYFUNCTION("""COMPUTED_VALUE"""),44517.316560949)</f>
        <v>44517.31656</v>
      </c>
      <c r="D8381" s="15">
        <f>IFERROR(__xludf.DUMMYFUNCTION("""COMPUTED_VALUE"""),1.076)</f>
        <v>1.076</v>
      </c>
      <c r="E8381" s="16">
        <f>IFERROR(__xludf.DUMMYFUNCTION("""COMPUTED_VALUE"""),69.0)</f>
        <v>69</v>
      </c>
      <c r="F8381" s="19" t="str">
        <f>IFERROR(__xludf.DUMMYFUNCTION("""COMPUTED_VALUE"""),"BLUE")</f>
        <v>BLUE</v>
      </c>
      <c r="G8381" s="20" t="str">
        <f>IFERROR(__xludf.DUMMYFUNCTION("""COMPUTED_VALUE"""),"Uncle Sams Cider (11/12/2021) (Blue)")</f>
        <v>Uncle Sams Cider (11/12/2021) (Blue)</v>
      </c>
      <c r="H8381" s="19"/>
    </row>
    <row r="8382">
      <c r="A8382" s="9"/>
      <c r="B8382" s="15"/>
      <c r="C8382" s="9">
        <f>IFERROR(__xludf.DUMMYFUNCTION("""COMPUTED_VALUE"""),44517.3061403356)</f>
        <v>44517.30614</v>
      </c>
      <c r="D8382" s="15">
        <f>IFERROR(__xludf.DUMMYFUNCTION("""COMPUTED_VALUE"""),1.076)</f>
        <v>1.076</v>
      </c>
      <c r="E8382" s="16">
        <f>IFERROR(__xludf.DUMMYFUNCTION("""COMPUTED_VALUE"""),69.0)</f>
        <v>69</v>
      </c>
      <c r="F8382" s="19" t="str">
        <f>IFERROR(__xludf.DUMMYFUNCTION("""COMPUTED_VALUE"""),"BLUE")</f>
        <v>BLUE</v>
      </c>
      <c r="G8382" s="20" t="str">
        <f>IFERROR(__xludf.DUMMYFUNCTION("""COMPUTED_VALUE"""),"Uncle Sams Cider (11/12/2021) (Blue)")</f>
        <v>Uncle Sams Cider (11/12/2021) (Blue)</v>
      </c>
      <c r="H8382" s="19"/>
    </row>
    <row r="8383">
      <c r="A8383" s="9"/>
      <c r="B8383" s="15"/>
      <c r="C8383" s="9">
        <f>IFERROR(__xludf.DUMMYFUNCTION("""COMPUTED_VALUE"""),44517.2957197453)</f>
        <v>44517.29572</v>
      </c>
      <c r="D8383" s="15">
        <f>IFERROR(__xludf.DUMMYFUNCTION("""COMPUTED_VALUE"""),1.076)</f>
        <v>1.076</v>
      </c>
      <c r="E8383" s="16">
        <f>IFERROR(__xludf.DUMMYFUNCTION("""COMPUTED_VALUE"""),69.0)</f>
        <v>69</v>
      </c>
      <c r="F8383" s="19" t="str">
        <f>IFERROR(__xludf.DUMMYFUNCTION("""COMPUTED_VALUE"""),"BLUE")</f>
        <v>BLUE</v>
      </c>
      <c r="G8383" s="20" t="str">
        <f>IFERROR(__xludf.DUMMYFUNCTION("""COMPUTED_VALUE"""),"Uncle Sams Cider (11/12/2021) (Blue)")</f>
        <v>Uncle Sams Cider (11/12/2021) (Blue)</v>
      </c>
      <c r="H8383" s="19"/>
    </row>
    <row r="8384">
      <c r="A8384" s="9"/>
      <c r="B8384" s="15"/>
      <c r="C8384" s="9">
        <f>IFERROR(__xludf.DUMMYFUNCTION("""COMPUTED_VALUE"""),44517.2852999421)</f>
        <v>44517.2853</v>
      </c>
      <c r="D8384" s="15">
        <f>IFERROR(__xludf.DUMMYFUNCTION("""COMPUTED_VALUE"""),1.077)</f>
        <v>1.077</v>
      </c>
      <c r="E8384" s="16">
        <f>IFERROR(__xludf.DUMMYFUNCTION("""COMPUTED_VALUE"""),69.0)</f>
        <v>69</v>
      </c>
      <c r="F8384" s="19" t="str">
        <f>IFERROR(__xludf.DUMMYFUNCTION("""COMPUTED_VALUE"""),"BLUE")</f>
        <v>BLUE</v>
      </c>
      <c r="G8384" s="20" t="str">
        <f>IFERROR(__xludf.DUMMYFUNCTION("""COMPUTED_VALUE"""),"Uncle Sams Cider (11/12/2021) (Blue)")</f>
        <v>Uncle Sams Cider (11/12/2021) (Blue)</v>
      </c>
      <c r="H8384" s="19"/>
    </row>
    <row r="8385">
      <c r="A8385" s="9"/>
      <c r="B8385" s="15"/>
      <c r="C8385" s="9">
        <f>IFERROR(__xludf.DUMMYFUNCTION("""COMPUTED_VALUE"""),44517.2748689699)</f>
        <v>44517.27487</v>
      </c>
      <c r="D8385" s="15">
        <f>IFERROR(__xludf.DUMMYFUNCTION("""COMPUTED_VALUE"""),1.076)</f>
        <v>1.076</v>
      </c>
      <c r="E8385" s="16">
        <f>IFERROR(__xludf.DUMMYFUNCTION("""COMPUTED_VALUE"""),69.0)</f>
        <v>69</v>
      </c>
      <c r="F8385" s="19" t="str">
        <f>IFERROR(__xludf.DUMMYFUNCTION("""COMPUTED_VALUE"""),"BLUE")</f>
        <v>BLUE</v>
      </c>
      <c r="G8385" s="20" t="str">
        <f>IFERROR(__xludf.DUMMYFUNCTION("""COMPUTED_VALUE"""),"Uncle Sams Cider (11/12/2021) (Blue)")</f>
        <v>Uncle Sams Cider (11/12/2021) (Blue)</v>
      </c>
      <c r="H8385" s="19"/>
    </row>
    <row r="8386">
      <c r="A8386" s="9"/>
      <c r="B8386" s="15"/>
      <c r="C8386" s="9">
        <f>IFERROR(__xludf.DUMMYFUNCTION("""COMPUTED_VALUE"""),44517.2644468518)</f>
        <v>44517.26445</v>
      </c>
      <c r="D8386" s="15">
        <f>IFERROR(__xludf.DUMMYFUNCTION("""COMPUTED_VALUE"""),1.076)</f>
        <v>1.076</v>
      </c>
      <c r="E8386" s="16">
        <f>IFERROR(__xludf.DUMMYFUNCTION("""COMPUTED_VALUE"""),69.0)</f>
        <v>69</v>
      </c>
      <c r="F8386" s="19" t="str">
        <f>IFERROR(__xludf.DUMMYFUNCTION("""COMPUTED_VALUE"""),"BLUE")</f>
        <v>BLUE</v>
      </c>
      <c r="G8386" s="20" t="str">
        <f>IFERROR(__xludf.DUMMYFUNCTION("""COMPUTED_VALUE"""),"Uncle Sams Cider (11/12/2021) (Blue)")</f>
        <v>Uncle Sams Cider (11/12/2021) (Blue)</v>
      </c>
      <c r="H8386" s="19"/>
    </row>
    <row r="8387">
      <c r="A8387" s="9"/>
      <c r="B8387" s="15"/>
      <c r="C8387" s="9">
        <f>IFERROR(__xludf.DUMMYFUNCTION("""COMPUTED_VALUE"""),44517.2540264351)</f>
        <v>44517.25403</v>
      </c>
      <c r="D8387" s="15">
        <f>IFERROR(__xludf.DUMMYFUNCTION("""COMPUTED_VALUE"""),1.076)</f>
        <v>1.076</v>
      </c>
      <c r="E8387" s="16">
        <f>IFERROR(__xludf.DUMMYFUNCTION("""COMPUTED_VALUE"""),69.0)</f>
        <v>69</v>
      </c>
      <c r="F8387" s="19" t="str">
        <f>IFERROR(__xludf.DUMMYFUNCTION("""COMPUTED_VALUE"""),"BLUE")</f>
        <v>BLUE</v>
      </c>
      <c r="G8387" s="20" t="str">
        <f>IFERROR(__xludf.DUMMYFUNCTION("""COMPUTED_VALUE"""),"Uncle Sams Cider (11/12/2021) (Blue)")</f>
        <v>Uncle Sams Cider (11/12/2021) (Blue)</v>
      </c>
      <c r="H8387" s="19"/>
    </row>
    <row r="8388">
      <c r="A8388" s="9"/>
      <c r="B8388" s="15"/>
      <c r="C8388" s="9">
        <f>IFERROR(__xludf.DUMMYFUNCTION("""COMPUTED_VALUE"""),44517.2436059143)</f>
        <v>44517.24361</v>
      </c>
      <c r="D8388" s="15">
        <f>IFERROR(__xludf.DUMMYFUNCTION("""COMPUTED_VALUE"""),1.077)</f>
        <v>1.077</v>
      </c>
      <c r="E8388" s="16">
        <f>IFERROR(__xludf.DUMMYFUNCTION("""COMPUTED_VALUE"""),69.0)</f>
        <v>69</v>
      </c>
      <c r="F8388" s="19" t="str">
        <f>IFERROR(__xludf.DUMMYFUNCTION("""COMPUTED_VALUE"""),"BLUE")</f>
        <v>BLUE</v>
      </c>
      <c r="G8388" s="20" t="str">
        <f>IFERROR(__xludf.DUMMYFUNCTION("""COMPUTED_VALUE"""),"Uncle Sams Cider (11/12/2021) (Blue)")</f>
        <v>Uncle Sams Cider (11/12/2021) (Blue)</v>
      </c>
      <c r="H8388" s="19"/>
    </row>
    <row r="8389">
      <c r="A8389" s="9"/>
      <c r="B8389" s="15"/>
      <c r="C8389" s="9">
        <f>IFERROR(__xludf.DUMMYFUNCTION("""COMPUTED_VALUE"""),44517.2331836921)</f>
        <v>44517.23318</v>
      </c>
      <c r="D8389" s="15">
        <f>IFERROR(__xludf.DUMMYFUNCTION("""COMPUTED_VALUE"""),1.077)</f>
        <v>1.077</v>
      </c>
      <c r="E8389" s="16">
        <f>IFERROR(__xludf.DUMMYFUNCTION("""COMPUTED_VALUE"""),69.0)</f>
        <v>69</v>
      </c>
      <c r="F8389" s="19" t="str">
        <f>IFERROR(__xludf.DUMMYFUNCTION("""COMPUTED_VALUE"""),"BLUE")</f>
        <v>BLUE</v>
      </c>
      <c r="G8389" s="20" t="str">
        <f>IFERROR(__xludf.DUMMYFUNCTION("""COMPUTED_VALUE"""),"Uncle Sams Cider (11/12/2021) (Blue)")</f>
        <v>Uncle Sams Cider (11/12/2021) (Blue)</v>
      </c>
      <c r="H8389" s="19"/>
    </row>
    <row r="8390">
      <c r="A8390" s="9"/>
      <c r="B8390" s="15"/>
      <c r="C8390" s="9">
        <f>IFERROR(__xludf.DUMMYFUNCTION("""COMPUTED_VALUE"""),44517.222748449)</f>
        <v>44517.22275</v>
      </c>
      <c r="D8390" s="15">
        <f>IFERROR(__xludf.DUMMYFUNCTION("""COMPUTED_VALUE"""),1.077)</f>
        <v>1.077</v>
      </c>
      <c r="E8390" s="16">
        <f>IFERROR(__xludf.DUMMYFUNCTION("""COMPUTED_VALUE"""),69.0)</f>
        <v>69</v>
      </c>
      <c r="F8390" s="19" t="str">
        <f>IFERROR(__xludf.DUMMYFUNCTION("""COMPUTED_VALUE"""),"BLUE")</f>
        <v>BLUE</v>
      </c>
      <c r="G8390" s="20" t="str">
        <f>IFERROR(__xludf.DUMMYFUNCTION("""COMPUTED_VALUE"""),"Uncle Sams Cider (11/12/2021) (Blue)")</f>
        <v>Uncle Sams Cider (11/12/2021) (Blue)</v>
      </c>
      <c r="H8390" s="19"/>
    </row>
    <row r="8391">
      <c r="A8391" s="9"/>
      <c r="B8391" s="15"/>
      <c r="C8391" s="9">
        <f>IFERROR(__xludf.DUMMYFUNCTION("""COMPUTED_VALUE"""),44517.2123265509)</f>
        <v>44517.21233</v>
      </c>
      <c r="D8391" s="15">
        <f>IFERROR(__xludf.DUMMYFUNCTION("""COMPUTED_VALUE"""),1.077)</f>
        <v>1.077</v>
      </c>
      <c r="E8391" s="16">
        <f>IFERROR(__xludf.DUMMYFUNCTION("""COMPUTED_VALUE"""),69.0)</f>
        <v>69</v>
      </c>
      <c r="F8391" s="19" t="str">
        <f>IFERROR(__xludf.DUMMYFUNCTION("""COMPUTED_VALUE"""),"BLUE")</f>
        <v>BLUE</v>
      </c>
      <c r="G8391" s="20" t="str">
        <f>IFERROR(__xludf.DUMMYFUNCTION("""COMPUTED_VALUE"""),"Uncle Sams Cider (11/12/2021) (Blue)")</f>
        <v>Uncle Sams Cider (11/12/2021) (Blue)</v>
      </c>
      <c r="H8391" s="19"/>
    </row>
    <row r="8392">
      <c r="A8392" s="9"/>
      <c r="B8392" s="15"/>
      <c r="C8392" s="9">
        <f>IFERROR(__xludf.DUMMYFUNCTION("""COMPUTED_VALUE"""),44517.2019066319)</f>
        <v>44517.20191</v>
      </c>
      <c r="D8392" s="15">
        <f>IFERROR(__xludf.DUMMYFUNCTION("""COMPUTED_VALUE"""),1.077)</f>
        <v>1.077</v>
      </c>
      <c r="E8392" s="16">
        <f>IFERROR(__xludf.DUMMYFUNCTION("""COMPUTED_VALUE"""),69.0)</f>
        <v>69</v>
      </c>
      <c r="F8392" s="19" t="str">
        <f>IFERROR(__xludf.DUMMYFUNCTION("""COMPUTED_VALUE"""),"BLUE")</f>
        <v>BLUE</v>
      </c>
      <c r="G8392" s="20" t="str">
        <f>IFERROR(__xludf.DUMMYFUNCTION("""COMPUTED_VALUE"""),"Uncle Sams Cider (11/12/2021) (Blue)")</f>
        <v>Uncle Sams Cider (11/12/2021) (Blue)</v>
      </c>
      <c r="H8392" s="19"/>
    </row>
    <row r="8393">
      <c r="A8393" s="9"/>
      <c r="B8393" s="15"/>
      <c r="C8393" s="9">
        <f>IFERROR(__xludf.DUMMYFUNCTION("""COMPUTED_VALUE"""),44517.1914858333)</f>
        <v>44517.19149</v>
      </c>
      <c r="D8393" s="15">
        <f>IFERROR(__xludf.DUMMYFUNCTION("""COMPUTED_VALUE"""),1.077)</f>
        <v>1.077</v>
      </c>
      <c r="E8393" s="16">
        <f>IFERROR(__xludf.DUMMYFUNCTION("""COMPUTED_VALUE"""),69.0)</f>
        <v>69</v>
      </c>
      <c r="F8393" s="19" t="str">
        <f>IFERROR(__xludf.DUMMYFUNCTION("""COMPUTED_VALUE"""),"BLUE")</f>
        <v>BLUE</v>
      </c>
      <c r="G8393" s="20" t="str">
        <f>IFERROR(__xludf.DUMMYFUNCTION("""COMPUTED_VALUE"""),"Uncle Sams Cider (11/12/2021) (Blue)")</f>
        <v>Uncle Sams Cider (11/12/2021) (Blue)</v>
      </c>
      <c r="H8393" s="19"/>
    </row>
    <row r="8394">
      <c r="A8394" s="9"/>
      <c r="B8394" s="15"/>
      <c r="C8394" s="9">
        <f>IFERROR(__xludf.DUMMYFUNCTION("""COMPUTED_VALUE"""),44517.1810656249)</f>
        <v>44517.18107</v>
      </c>
      <c r="D8394" s="15">
        <f>IFERROR(__xludf.DUMMYFUNCTION("""COMPUTED_VALUE"""),1.077)</f>
        <v>1.077</v>
      </c>
      <c r="E8394" s="16">
        <f>IFERROR(__xludf.DUMMYFUNCTION("""COMPUTED_VALUE"""),69.0)</f>
        <v>69</v>
      </c>
      <c r="F8394" s="19" t="str">
        <f>IFERROR(__xludf.DUMMYFUNCTION("""COMPUTED_VALUE"""),"BLUE")</f>
        <v>BLUE</v>
      </c>
      <c r="G8394" s="20" t="str">
        <f>IFERROR(__xludf.DUMMYFUNCTION("""COMPUTED_VALUE"""),"Uncle Sams Cider (11/12/2021) (Blue)")</f>
        <v>Uncle Sams Cider (11/12/2021) (Blue)</v>
      </c>
      <c r="H8394" s="19"/>
    </row>
    <row r="8395">
      <c r="A8395" s="9"/>
      <c r="B8395" s="15"/>
      <c r="C8395" s="9">
        <f>IFERROR(__xludf.DUMMYFUNCTION("""COMPUTED_VALUE"""),44517.1706337384)</f>
        <v>44517.17063</v>
      </c>
      <c r="D8395" s="15">
        <f>IFERROR(__xludf.DUMMYFUNCTION("""COMPUTED_VALUE"""),1.077)</f>
        <v>1.077</v>
      </c>
      <c r="E8395" s="16">
        <f>IFERROR(__xludf.DUMMYFUNCTION("""COMPUTED_VALUE"""),69.0)</f>
        <v>69</v>
      </c>
      <c r="F8395" s="19" t="str">
        <f>IFERROR(__xludf.DUMMYFUNCTION("""COMPUTED_VALUE"""),"BLUE")</f>
        <v>BLUE</v>
      </c>
      <c r="G8395" s="20" t="str">
        <f>IFERROR(__xludf.DUMMYFUNCTION("""COMPUTED_VALUE"""),"Uncle Sams Cider (11/12/2021) (Blue)")</f>
        <v>Uncle Sams Cider (11/12/2021) (Blue)</v>
      </c>
      <c r="H8395" s="19"/>
    </row>
    <row r="8396">
      <c r="A8396" s="9"/>
      <c r="B8396" s="15"/>
      <c r="C8396" s="9">
        <f>IFERROR(__xludf.DUMMYFUNCTION("""COMPUTED_VALUE"""),44517.16021103)</f>
        <v>44517.16021</v>
      </c>
      <c r="D8396" s="15">
        <f>IFERROR(__xludf.DUMMYFUNCTION("""COMPUTED_VALUE"""),1.077)</f>
        <v>1.077</v>
      </c>
      <c r="E8396" s="16">
        <f>IFERROR(__xludf.DUMMYFUNCTION("""COMPUTED_VALUE"""),69.0)</f>
        <v>69</v>
      </c>
      <c r="F8396" s="19" t="str">
        <f>IFERROR(__xludf.DUMMYFUNCTION("""COMPUTED_VALUE"""),"BLUE")</f>
        <v>BLUE</v>
      </c>
      <c r="G8396" s="20" t="str">
        <f>IFERROR(__xludf.DUMMYFUNCTION("""COMPUTED_VALUE"""),"Uncle Sams Cider (11/12/2021) (Blue)")</f>
        <v>Uncle Sams Cider (11/12/2021) (Blue)</v>
      </c>
      <c r="H8396" s="19"/>
    </row>
    <row r="8397">
      <c r="A8397" s="9"/>
      <c r="B8397" s="15"/>
      <c r="C8397" s="9">
        <f>IFERROR(__xludf.DUMMYFUNCTION("""COMPUTED_VALUE"""),44517.149789155)</f>
        <v>44517.14979</v>
      </c>
      <c r="D8397" s="15">
        <f>IFERROR(__xludf.DUMMYFUNCTION("""COMPUTED_VALUE"""),1.077)</f>
        <v>1.077</v>
      </c>
      <c r="E8397" s="16">
        <f>IFERROR(__xludf.DUMMYFUNCTION("""COMPUTED_VALUE"""),69.0)</f>
        <v>69</v>
      </c>
      <c r="F8397" s="19" t="str">
        <f>IFERROR(__xludf.DUMMYFUNCTION("""COMPUTED_VALUE"""),"BLUE")</f>
        <v>BLUE</v>
      </c>
      <c r="G8397" s="20" t="str">
        <f>IFERROR(__xludf.DUMMYFUNCTION("""COMPUTED_VALUE"""),"Uncle Sams Cider (11/12/2021) (Blue)")</f>
        <v>Uncle Sams Cider (11/12/2021) (Blue)</v>
      </c>
      <c r="H8397" s="19"/>
    </row>
    <row r="8398">
      <c r="A8398" s="9"/>
      <c r="B8398" s="15"/>
      <c r="C8398" s="9">
        <f>IFERROR(__xludf.DUMMYFUNCTION("""COMPUTED_VALUE"""),44517.1393666666)</f>
        <v>44517.13937</v>
      </c>
      <c r="D8398" s="15">
        <f>IFERROR(__xludf.DUMMYFUNCTION("""COMPUTED_VALUE"""),1.077)</f>
        <v>1.077</v>
      </c>
      <c r="E8398" s="16">
        <f>IFERROR(__xludf.DUMMYFUNCTION("""COMPUTED_VALUE"""),69.0)</f>
        <v>69</v>
      </c>
      <c r="F8398" s="19" t="str">
        <f>IFERROR(__xludf.DUMMYFUNCTION("""COMPUTED_VALUE"""),"BLUE")</f>
        <v>BLUE</v>
      </c>
      <c r="G8398" s="20" t="str">
        <f>IFERROR(__xludf.DUMMYFUNCTION("""COMPUTED_VALUE"""),"Uncle Sams Cider (11/12/2021) (Blue)")</f>
        <v>Uncle Sams Cider (11/12/2021) (Blue)</v>
      </c>
      <c r="H8398" s="19"/>
    </row>
    <row r="8399">
      <c r="A8399" s="9"/>
      <c r="B8399" s="15"/>
      <c r="C8399" s="9">
        <f>IFERROR(__xludf.DUMMYFUNCTION("""COMPUTED_VALUE"""),44517.1289458101)</f>
        <v>44517.12895</v>
      </c>
      <c r="D8399" s="15">
        <f>IFERROR(__xludf.DUMMYFUNCTION("""COMPUTED_VALUE"""),1.078)</f>
        <v>1.078</v>
      </c>
      <c r="E8399" s="16">
        <f>IFERROR(__xludf.DUMMYFUNCTION("""COMPUTED_VALUE"""),69.0)</f>
        <v>69</v>
      </c>
      <c r="F8399" s="19" t="str">
        <f>IFERROR(__xludf.DUMMYFUNCTION("""COMPUTED_VALUE"""),"BLUE")</f>
        <v>BLUE</v>
      </c>
      <c r="G8399" s="20" t="str">
        <f>IFERROR(__xludf.DUMMYFUNCTION("""COMPUTED_VALUE"""),"Uncle Sams Cider (11/12/2021) (Blue)")</f>
        <v>Uncle Sams Cider (11/12/2021) (Blue)</v>
      </c>
      <c r="H8399" s="19"/>
    </row>
    <row r="8400">
      <c r="A8400" s="9"/>
      <c r="B8400" s="15"/>
      <c r="C8400" s="9">
        <f>IFERROR(__xludf.DUMMYFUNCTION("""COMPUTED_VALUE"""),44517.11852625)</f>
        <v>44517.11853</v>
      </c>
      <c r="D8400" s="15">
        <f>IFERROR(__xludf.DUMMYFUNCTION("""COMPUTED_VALUE"""),1.078)</f>
        <v>1.078</v>
      </c>
      <c r="E8400" s="16">
        <f>IFERROR(__xludf.DUMMYFUNCTION("""COMPUTED_VALUE"""),69.0)</f>
        <v>69</v>
      </c>
      <c r="F8400" s="19" t="str">
        <f>IFERROR(__xludf.DUMMYFUNCTION("""COMPUTED_VALUE"""),"BLUE")</f>
        <v>BLUE</v>
      </c>
      <c r="G8400" s="20" t="str">
        <f>IFERROR(__xludf.DUMMYFUNCTION("""COMPUTED_VALUE"""),"Uncle Sams Cider (11/12/2021) (Blue)")</f>
        <v>Uncle Sams Cider (11/12/2021) (Blue)</v>
      </c>
      <c r="H8400" s="19"/>
    </row>
    <row r="8401">
      <c r="A8401" s="9"/>
      <c r="B8401" s="15"/>
      <c r="C8401" s="9">
        <f>IFERROR(__xludf.DUMMYFUNCTION("""COMPUTED_VALUE"""),44517.1081054513)</f>
        <v>44517.10811</v>
      </c>
      <c r="D8401" s="15">
        <f>IFERROR(__xludf.DUMMYFUNCTION("""COMPUTED_VALUE"""),1.078)</f>
        <v>1.078</v>
      </c>
      <c r="E8401" s="16">
        <f>IFERROR(__xludf.DUMMYFUNCTION("""COMPUTED_VALUE"""),69.0)</f>
        <v>69</v>
      </c>
      <c r="F8401" s="19" t="str">
        <f>IFERROR(__xludf.DUMMYFUNCTION("""COMPUTED_VALUE"""),"BLUE")</f>
        <v>BLUE</v>
      </c>
      <c r="G8401" s="20" t="str">
        <f>IFERROR(__xludf.DUMMYFUNCTION("""COMPUTED_VALUE"""),"Uncle Sams Cider (11/12/2021) (Blue)")</f>
        <v>Uncle Sams Cider (11/12/2021) (Blue)</v>
      </c>
      <c r="H8401" s="19"/>
    </row>
    <row r="8402">
      <c r="A8402" s="9"/>
      <c r="B8402" s="15"/>
      <c r="C8402" s="9">
        <f>IFERROR(__xludf.DUMMYFUNCTION("""COMPUTED_VALUE"""),44517.0976742129)</f>
        <v>44517.09767</v>
      </c>
      <c r="D8402" s="15">
        <f>IFERROR(__xludf.DUMMYFUNCTION("""COMPUTED_VALUE"""),1.078)</f>
        <v>1.078</v>
      </c>
      <c r="E8402" s="16">
        <f>IFERROR(__xludf.DUMMYFUNCTION("""COMPUTED_VALUE"""),69.0)</f>
        <v>69</v>
      </c>
      <c r="F8402" s="19" t="str">
        <f>IFERROR(__xludf.DUMMYFUNCTION("""COMPUTED_VALUE"""),"BLUE")</f>
        <v>BLUE</v>
      </c>
      <c r="G8402" s="20" t="str">
        <f>IFERROR(__xludf.DUMMYFUNCTION("""COMPUTED_VALUE"""),"Uncle Sams Cider (11/12/2021) (Blue)")</f>
        <v>Uncle Sams Cider (11/12/2021) (Blue)</v>
      </c>
      <c r="H8402" s="19"/>
    </row>
    <row r="8403">
      <c r="A8403" s="9"/>
      <c r="B8403" s="15"/>
      <c r="C8403" s="9">
        <f>IFERROR(__xludf.DUMMYFUNCTION("""COMPUTED_VALUE"""),44517.0872537847)</f>
        <v>44517.08725</v>
      </c>
      <c r="D8403" s="15">
        <f>IFERROR(__xludf.DUMMYFUNCTION("""COMPUTED_VALUE"""),1.078)</f>
        <v>1.078</v>
      </c>
      <c r="E8403" s="16">
        <f>IFERROR(__xludf.DUMMYFUNCTION("""COMPUTED_VALUE"""),69.0)</f>
        <v>69</v>
      </c>
      <c r="F8403" s="19" t="str">
        <f>IFERROR(__xludf.DUMMYFUNCTION("""COMPUTED_VALUE"""),"BLUE")</f>
        <v>BLUE</v>
      </c>
      <c r="G8403" s="20" t="str">
        <f>IFERROR(__xludf.DUMMYFUNCTION("""COMPUTED_VALUE"""),"Uncle Sams Cider (11/12/2021) (Blue)")</f>
        <v>Uncle Sams Cider (11/12/2021) (Blue)</v>
      </c>
      <c r="H8403" s="19"/>
    </row>
    <row r="8404">
      <c r="A8404" s="9"/>
      <c r="B8404" s="15"/>
      <c r="C8404" s="9">
        <f>IFERROR(__xludf.DUMMYFUNCTION("""COMPUTED_VALUE"""),44517.0768321643)</f>
        <v>44517.07683</v>
      </c>
      <c r="D8404" s="15">
        <f>IFERROR(__xludf.DUMMYFUNCTION("""COMPUTED_VALUE"""),1.078)</f>
        <v>1.078</v>
      </c>
      <c r="E8404" s="16">
        <f>IFERROR(__xludf.DUMMYFUNCTION("""COMPUTED_VALUE"""),69.0)</f>
        <v>69</v>
      </c>
      <c r="F8404" s="19" t="str">
        <f>IFERROR(__xludf.DUMMYFUNCTION("""COMPUTED_VALUE"""),"BLUE")</f>
        <v>BLUE</v>
      </c>
      <c r="G8404" s="20" t="str">
        <f>IFERROR(__xludf.DUMMYFUNCTION("""COMPUTED_VALUE"""),"Uncle Sams Cider (11/12/2021) (Blue)")</f>
        <v>Uncle Sams Cider (11/12/2021) (Blue)</v>
      </c>
      <c r="H8404" s="19"/>
    </row>
    <row r="8405">
      <c r="A8405" s="9"/>
      <c r="B8405" s="15"/>
      <c r="C8405" s="9">
        <f>IFERROR(__xludf.DUMMYFUNCTION("""COMPUTED_VALUE"""),44517.066411574)</f>
        <v>44517.06641</v>
      </c>
      <c r="D8405" s="15">
        <f>IFERROR(__xludf.DUMMYFUNCTION("""COMPUTED_VALUE"""),1.078)</f>
        <v>1.078</v>
      </c>
      <c r="E8405" s="16">
        <f>IFERROR(__xludf.DUMMYFUNCTION("""COMPUTED_VALUE"""),69.0)</f>
        <v>69</v>
      </c>
      <c r="F8405" s="19" t="str">
        <f>IFERROR(__xludf.DUMMYFUNCTION("""COMPUTED_VALUE"""),"BLUE")</f>
        <v>BLUE</v>
      </c>
      <c r="G8405" s="20" t="str">
        <f>IFERROR(__xludf.DUMMYFUNCTION("""COMPUTED_VALUE"""),"Uncle Sams Cider (11/12/2021) (Blue)")</f>
        <v>Uncle Sams Cider (11/12/2021) (Blue)</v>
      </c>
      <c r="H8405" s="19"/>
    </row>
    <row r="8406">
      <c r="A8406" s="9"/>
      <c r="B8406" s="15"/>
      <c r="C8406" s="9">
        <f>IFERROR(__xludf.DUMMYFUNCTION("""COMPUTED_VALUE"""),44517.0559899537)</f>
        <v>44517.05599</v>
      </c>
      <c r="D8406" s="15">
        <f>IFERROR(__xludf.DUMMYFUNCTION("""COMPUTED_VALUE"""),1.078)</f>
        <v>1.078</v>
      </c>
      <c r="E8406" s="16">
        <f>IFERROR(__xludf.DUMMYFUNCTION("""COMPUTED_VALUE"""),69.0)</f>
        <v>69</v>
      </c>
      <c r="F8406" s="19" t="str">
        <f>IFERROR(__xludf.DUMMYFUNCTION("""COMPUTED_VALUE"""),"BLUE")</f>
        <v>BLUE</v>
      </c>
      <c r="G8406" s="20" t="str">
        <f>IFERROR(__xludf.DUMMYFUNCTION("""COMPUTED_VALUE"""),"Uncle Sams Cider (11/12/2021) (Blue)")</f>
        <v>Uncle Sams Cider (11/12/2021) (Blue)</v>
      </c>
      <c r="H8406" s="19"/>
    </row>
    <row r="8407">
      <c r="A8407" s="9"/>
      <c r="B8407" s="15"/>
      <c r="C8407" s="9">
        <f>IFERROR(__xludf.DUMMYFUNCTION("""COMPUTED_VALUE"""),44517.0455680902)</f>
        <v>44517.04557</v>
      </c>
      <c r="D8407" s="15">
        <f>IFERROR(__xludf.DUMMYFUNCTION("""COMPUTED_VALUE"""),1.078)</f>
        <v>1.078</v>
      </c>
      <c r="E8407" s="16">
        <f>IFERROR(__xludf.DUMMYFUNCTION("""COMPUTED_VALUE"""),69.0)</f>
        <v>69</v>
      </c>
      <c r="F8407" s="19" t="str">
        <f>IFERROR(__xludf.DUMMYFUNCTION("""COMPUTED_VALUE"""),"BLUE")</f>
        <v>BLUE</v>
      </c>
      <c r="G8407" s="20" t="str">
        <f>IFERROR(__xludf.DUMMYFUNCTION("""COMPUTED_VALUE"""),"Uncle Sams Cider (11/12/2021) (Blue)")</f>
        <v>Uncle Sams Cider (11/12/2021) (Blue)</v>
      </c>
      <c r="H8407" s="19"/>
    </row>
    <row r="8408">
      <c r="A8408" s="9"/>
      <c r="B8408" s="15"/>
      <c r="C8408" s="9">
        <f>IFERROR(__xludf.DUMMYFUNCTION("""COMPUTED_VALUE"""),44517.0351461458)</f>
        <v>44517.03515</v>
      </c>
      <c r="D8408" s="15">
        <f>IFERROR(__xludf.DUMMYFUNCTION("""COMPUTED_VALUE"""),1.078)</f>
        <v>1.078</v>
      </c>
      <c r="E8408" s="16">
        <f>IFERROR(__xludf.DUMMYFUNCTION("""COMPUTED_VALUE"""),69.0)</f>
        <v>69</v>
      </c>
      <c r="F8408" s="19" t="str">
        <f>IFERROR(__xludf.DUMMYFUNCTION("""COMPUTED_VALUE"""),"BLUE")</f>
        <v>BLUE</v>
      </c>
      <c r="G8408" s="20" t="str">
        <f>IFERROR(__xludf.DUMMYFUNCTION("""COMPUTED_VALUE"""),"Uncle Sams Cider (11/12/2021) (Blue)")</f>
        <v>Uncle Sams Cider (11/12/2021) (Blue)</v>
      </c>
      <c r="H8408" s="19"/>
    </row>
    <row r="8409">
      <c r="A8409" s="9"/>
      <c r="B8409" s="15"/>
      <c r="C8409" s="9">
        <f>IFERROR(__xludf.DUMMYFUNCTION("""COMPUTED_VALUE"""),44517.0247250578)</f>
        <v>44517.02473</v>
      </c>
      <c r="D8409" s="15">
        <f>IFERROR(__xludf.DUMMYFUNCTION("""COMPUTED_VALUE"""),1.078)</f>
        <v>1.078</v>
      </c>
      <c r="E8409" s="16">
        <f>IFERROR(__xludf.DUMMYFUNCTION("""COMPUTED_VALUE"""),69.0)</f>
        <v>69</v>
      </c>
      <c r="F8409" s="19" t="str">
        <f>IFERROR(__xludf.DUMMYFUNCTION("""COMPUTED_VALUE"""),"BLUE")</f>
        <v>BLUE</v>
      </c>
      <c r="G8409" s="20" t="str">
        <f>IFERROR(__xludf.DUMMYFUNCTION("""COMPUTED_VALUE"""),"Uncle Sams Cider (11/12/2021) (Blue)")</f>
        <v>Uncle Sams Cider (11/12/2021) (Blue)</v>
      </c>
      <c r="H8409" s="19"/>
    </row>
    <row r="8410">
      <c r="A8410" s="9"/>
      <c r="B8410" s="15"/>
      <c r="C8410" s="9">
        <f>IFERROR(__xludf.DUMMYFUNCTION("""COMPUTED_VALUE"""),44517.0143051736)</f>
        <v>44517.01431</v>
      </c>
      <c r="D8410" s="15">
        <f>IFERROR(__xludf.DUMMYFUNCTION("""COMPUTED_VALUE"""),1.078)</f>
        <v>1.078</v>
      </c>
      <c r="E8410" s="16">
        <f>IFERROR(__xludf.DUMMYFUNCTION("""COMPUTED_VALUE"""),69.0)</f>
        <v>69</v>
      </c>
      <c r="F8410" s="19" t="str">
        <f>IFERROR(__xludf.DUMMYFUNCTION("""COMPUTED_VALUE"""),"BLUE")</f>
        <v>BLUE</v>
      </c>
      <c r="G8410" s="20" t="str">
        <f>IFERROR(__xludf.DUMMYFUNCTION("""COMPUTED_VALUE"""),"Uncle Sams Cider (11/12/2021) (Blue)")</f>
        <v>Uncle Sams Cider (11/12/2021) (Blue)</v>
      </c>
      <c r="H8410" s="19"/>
    </row>
    <row r="8411">
      <c r="A8411" s="9"/>
      <c r="B8411" s="15"/>
      <c r="C8411" s="9">
        <f>IFERROR(__xludf.DUMMYFUNCTION("""COMPUTED_VALUE"""),44517.0038826967)</f>
        <v>44517.00388</v>
      </c>
      <c r="D8411" s="15">
        <f>IFERROR(__xludf.DUMMYFUNCTION("""COMPUTED_VALUE"""),1.079)</f>
        <v>1.079</v>
      </c>
      <c r="E8411" s="16">
        <f>IFERROR(__xludf.DUMMYFUNCTION("""COMPUTED_VALUE"""),69.0)</f>
        <v>69</v>
      </c>
      <c r="F8411" s="19" t="str">
        <f>IFERROR(__xludf.DUMMYFUNCTION("""COMPUTED_VALUE"""),"BLUE")</f>
        <v>BLUE</v>
      </c>
      <c r="G8411" s="20" t="str">
        <f>IFERROR(__xludf.DUMMYFUNCTION("""COMPUTED_VALUE"""),"Uncle Sams Cider (11/12/2021) (Blue)")</f>
        <v>Uncle Sams Cider (11/12/2021) (Blue)</v>
      </c>
      <c r="H8411" s="19"/>
    </row>
    <row r="8412">
      <c r="A8412" s="9"/>
      <c r="B8412" s="15"/>
      <c r="C8412" s="9">
        <f>IFERROR(__xludf.DUMMYFUNCTION("""COMPUTED_VALUE"""),44516.9934626157)</f>
        <v>44516.99346</v>
      </c>
      <c r="D8412" s="15">
        <f>IFERROR(__xludf.DUMMYFUNCTION("""COMPUTED_VALUE"""),1.079)</f>
        <v>1.079</v>
      </c>
      <c r="E8412" s="16">
        <f>IFERROR(__xludf.DUMMYFUNCTION("""COMPUTED_VALUE"""),69.0)</f>
        <v>69</v>
      </c>
      <c r="F8412" s="19" t="str">
        <f>IFERROR(__xludf.DUMMYFUNCTION("""COMPUTED_VALUE"""),"BLUE")</f>
        <v>BLUE</v>
      </c>
      <c r="G8412" s="20" t="str">
        <f>IFERROR(__xludf.DUMMYFUNCTION("""COMPUTED_VALUE"""),"Uncle Sams Cider (11/12/2021) (Blue)")</f>
        <v>Uncle Sams Cider (11/12/2021) (Blue)</v>
      </c>
      <c r="H8412" s="19"/>
    </row>
    <row r="8413">
      <c r="A8413" s="9"/>
      <c r="B8413" s="15"/>
      <c r="C8413" s="9">
        <f>IFERROR(__xludf.DUMMYFUNCTION("""COMPUTED_VALUE"""),44516.983028831)</f>
        <v>44516.98303</v>
      </c>
      <c r="D8413" s="15">
        <f>IFERROR(__xludf.DUMMYFUNCTION("""COMPUTED_VALUE"""),1.079)</f>
        <v>1.079</v>
      </c>
      <c r="E8413" s="16">
        <f>IFERROR(__xludf.DUMMYFUNCTION("""COMPUTED_VALUE"""),69.0)</f>
        <v>69</v>
      </c>
      <c r="F8413" s="19" t="str">
        <f>IFERROR(__xludf.DUMMYFUNCTION("""COMPUTED_VALUE"""),"BLUE")</f>
        <v>BLUE</v>
      </c>
      <c r="G8413" s="20" t="str">
        <f>IFERROR(__xludf.DUMMYFUNCTION("""COMPUTED_VALUE"""),"Uncle Sams Cider (11/12/2021) (Blue)")</f>
        <v>Uncle Sams Cider (11/12/2021) (Blue)</v>
      </c>
      <c r="H8413" s="19"/>
    </row>
    <row r="8414">
      <c r="A8414" s="9"/>
      <c r="B8414" s="15"/>
      <c r="C8414" s="9">
        <f>IFERROR(__xludf.DUMMYFUNCTION("""COMPUTED_VALUE"""),44516.9726092939)</f>
        <v>44516.97261</v>
      </c>
      <c r="D8414" s="15">
        <f>IFERROR(__xludf.DUMMYFUNCTION("""COMPUTED_VALUE"""),1.079)</f>
        <v>1.079</v>
      </c>
      <c r="E8414" s="16">
        <f>IFERROR(__xludf.DUMMYFUNCTION("""COMPUTED_VALUE"""),69.0)</f>
        <v>69</v>
      </c>
      <c r="F8414" s="19" t="str">
        <f>IFERROR(__xludf.DUMMYFUNCTION("""COMPUTED_VALUE"""),"BLUE")</f>
        <v>BLUE</v>
      </c>
      <c r="G8414" s="20" t="str">
        <f>IFERROR(__xludf.DUMMYFUNCTION("""COMPUTED_VALUE"""),"Uncle Sams Cider (11/12/2021) (Blue)")</f>
        <v>Uncle Sams Cider (11/12/2021) (Blue)</v>
      </c>
      <c r="H8414" s="19"/>
    </row>
    <row r="8415">
      <c r="A8415" s="9"/>
      <c r="B8415" s="15"/>
      <c r="C8415" s="9">
        <f>IFERROR(__xludf.DUMMYFUNCTION("""COMPUTED_VALUE"""),44516.9621876273)</f>
        <v>44516.96219</v>
      </c>
      <c r="D8415" s="15">
        <f>IFERROR(__xludf.DUMMYFUNCTION("""COMPUTED_VALUE"""),1.079)</f>
        <v>1.079</v>
      </c>
      <c r="E8415" s="16">
        <f>IFERROR(__xludf.DUMMYFUNCTION("""COMPUTED_VALUE"""),69.0)</f>
        <v>69</v>
      </c>
      <c r="F8415" s="19" t="str">
        <f>IFERROR(__xludf.DUMMYFUNCTION("""COMPUTED_VALUE"""),"BLUE")</f>
        <v>BLUE</v>
      </c>
      <c r="G8415" s="20" t="str">
        <f>IFERROR(__xludf.DUMMYFUNCTION("""COMPUTED_VALUE"""),"Uncle Sams Cider (11/12/2021) (Blue)")</f>
        <v>Uncle Sams Cider (11/12/2021) (Blue)</v>
      </c>
      <c r="H8415" s="19"/>
    </row>
    <row r="8416">
      <c r="A8416" s="9"/>
      <c r="B8416" s="15"/>
      <c r="C8416" s="9">
        <f>IFERROR(__xludf.DUMMYFUNCTION("""COMPUTED_VALUE"""),44516.9517674305)</f>
        <v>44516.95177</v>
      </c>
      <c r="D8416" s="15">
        <f>IFERROR(__xludf.DUMMYFUNCTION("""COMPUTED_VALUE"""),1.079)</f>
        <v>1.079</v>
      </c>
      <c r="E8416" s="16">
        <f>IFERROR(__xludf.DUMMYFUNCTION("""COMPUTED_VALUE"""),69.0)</f>
        <v>69</v>
      </c>
      <c r="F8416" s="19" t="str">
        <f>IFERROR(__xludf.DUMMYFUNCTION("""COMPUTED_VALUE"""),"BLUE")</f>
        <v>BLUE</v>
      </c>
      <c r="G8416" s="20" t="str">
        <f>IFERROR(__xludf.DUMMYFUNCTION("""COMPUTED_VALUE"""),"Uncle Sams Cider (11/12/2021) (Blue)")</f>
        <v>Uncle Sams Cider (11/12/2021) (Blue)</v>
      </c>
      <c r="H8416" s="19"/>
    </row>
    <row r="8417">
      <c r="A8417" s="9"/>
      <c r="B8417" s="15"/>
      <c r="C8417" s="9">
        <f>IFERROR(__xludf.DUMMYFUNCTION("""COMPUTED_VALUE"""),44516.9413464467)</f>
        <v>44516.94135</v>
      </c>
      <c r="D8417" s="15">
        <f>IFERROR(__xludf.DUMMYFUNCTION("""COMPUTED_VALUE"""),1.079)</f>
        <v>1.079</v>
      </c>
      <c r="E8417" s="16">
        <f>IFERROR(__xludf.DUMMYFUNCTION("""COMPUTED_VALUE"""),69.0)</f>
        <v>69</v>
      </c>
      <c r="F8417" s="19" t="str">
        <f>IFERROR(__xludf.DUMMYFUNCTION("""COMPUTED_VALUE"""),"BLUE")</f>
        <v>BLUE</v>
      </c>
      <c r="G8417" s="20" t="str">
        <f>IFERROR(__xludf.DUMMYFUNCTION("""COMPUTED_VALUE"""),"Uncle Sams Cider (11/12/2021) (Blue)")</f>
        <v>Uncle Sams Cider (11/12/2021) (Blue)</v>
      </c>
      <c r="H8417" s="19"/>
    </row>
    <row r="8418">
      <c r="A8418" s="9"/>
      <c r="B8418" s="15"/>
      <c r="C8418" s="9">
        <f>IFERROR(__xludf.DUMMYFUNCTION("""COMPUTED_VALUE"""),44516.9309027662)</f>
        <v>44516.9309</v>
      </c>
      <c r="D8418" s="15">
        <f>IFERROR(__xludf.DUMMYFUNCTION("""COMPUTED_VALUE"""),1.079)</f>
        <v>1.079</v>
      </c>
      <c r="E8418" s="16">
        <f>IFERROR(__xludf.DUMMYFUNCTION("""COMPUTED_VALUE"""),69.0)</f>
        <v>69</v>
      </c>
      <c r="F8418" s="19" t="str">
        <f>IFERROR(__xludf.DUMMYFUNCTION("""COMPUTED_VALUE"""),"BLUE")</f>
        <v>BLUE</v>
      </c>
      <c r="G8418" s="20" t="str">
        <f>IFERROR(__xludf.DUMMYFUNCTION("""COMPUTED_VALUE"""),"Uncle Sams Cider (11/12/2021) (Blue)")</f>
        <v>Uncle Sams Cider (11/12/2021) (Blue)</v>
      </c>
      <c r="H8418" s="19"/>
    </row>
    <row r="8419">
      <c r="A8419" s="9"/>
      <c r="B8419" s="15"/>
      <c r="C8419" s="9">
        <f>IFERROR(__xludf.DUMMYFUNCTION("""COMPUTED_VALUE"""),44516.920480949)</f>
        <v>44516.92048</v>
      </c>
      <c r="D8419" s="15">
        <f>IFERROR(__xludf.DUMMYFUNCTION("""COMPUTED_VALUE"""),1.079)</f>
        <v>1.079</v>
      </c>
      <c r="E8419" s="16">
        <f>IFERROR(__xludf.DUMMYFUNCTION("""COMPUTED_VALUE"""),69.0)</f>
        <v>69</v>
      </c>
      <c r="F8419" s="19" t="str">
        <f>IFERROR(__xludf.DUMMYFUNCTION("""COMPUTED_VALUE"""),"BLUE")</f>
        <v>BLUE</v>
      </c>
      <c r="G8419" s="20" t="str">
        <f>IFERROR(__xludf.DUMMYFUNCTION("""COMPUTED_VALUE"""),"Uncle Sams Cider (11/12/2021) (Blue)")</f>
        <v>Uncle Sams Cider (11/12/2021) (Blue)</v>
      </c>
      <c r="H8419" s="19"/>
    </row>
    <row r="8420">
      <c r="A8420" s="9"/>
      <c r="B8420" s="15"/>
      <c r="C8420" s="9">
        <f>IFERROR(__xludf.DUMMYFUNCTION("""COMPUTED_VALUE"""),44516.9100599652)</f>
        <v>44516.91006</v>
      </c>
      <c r="D8420" s="15">
        <f>IFERROR(__xludf.DUMMYFUNCTION("""COMPUTED_VALUE"""),1.079)</f>
        <v>1.079</v>
      </c>
      <c r="E8420" s="16">
        <f>IFERROR(__xludf.DUMMYFUNCTION("""COMPUTED_VALUE"""),69.0)</f>
        <v>69</v>
      </c>
      <c r="F8420" s="19" t="str">
        <f>IFERROR(__xludf.DUMMYFUNCTION("""COMPUTED_VALUE"""),"BLUE")</f>
        <v>BLUE</v>
      </c>
      <c r="G8420" s="20" t="str">
        <f>IFERROR(__xludf.DUMMYFUNCTION("""COMPUTED_VALUE"""),"Uncle Sams Cider (11/12/2021) (Blue)")</f>
        <v>Uncle Sams Cider (11/12/2021) (Blue)</v>
      </c>
      <c r="H8420" s="19"/>
    </row>
    <row r="8421">
      <c r="A8421" s="9"/>
      <c r="B8421" s="15"/>
      <c r="C8421" s="9">
        <f>IFERROR(__xludf.DUMMYFUNCTION("""COMPUTED_VALUE"""),44516.899626574)</f>
        <v>44516.89963</v>
      </c>
      <c r="D8421" s="15">
        <f>IFERROR(__xludf.DUMMYFUNCTION("""COMPUTED_VALUE"""),1.079)</f>
        <v>1.079</v>
      </c>
      <c r="E8421" s="16">
        <f>IFERROR(__xludf.DUMMYFUNCTION("""COMPUTED_VALUE"""),69.0)</f>
        <v>69</v>
      </c>
      <c r="F8421" s="19" t="str">
        <f>IFERROR(__xludf.DUMMYFUNCTION("""COMPUTED_VALUE"""),"BLUE")</f>
        <v>BLUE</v>
      </c>
      <c r="G8421" s="20" t="str">
        <f>IFERROR(__xludf.DUMMYFUNCTION("""COMPUTED_VALUE"""),"Uncle Sams Cider (11/12/2021) (Blue)")</f>
        <v>Uncle Sams Cider (11/12/2021) (Blue)</v>
      </c>
      <c r="H8421" s="19"/>
    </row>
    <row r="8422">
      <c r="A8422" s="9"/>
      <c r="B8422" s="15"/>
      <c r="C8422" s="9">
        <f>IFERROR(__xludf.DUMMYFUNCTION("""COMPUTED_VALUE"""),44516.8892043865)</f>
        <v>44516.8892</v>
      </c>
      <c r="D8422" s="15">
        <f>IFERROR(__xludf.DUMMYFUNCTION("""COMPUTED_VALUE"""),1.079)</f>
        <v>1.079</v>
      </c>
      <c r="E8422" s="16">
        <f>IFERROR(__xludf.DUMMYFUNCTION("""COMPUTED_VALUE"""),69.0)</f>
        <v>69</v>
      </c>
      <c r="F8422" s="19" t="str">
        <f>IFERROR(__xludf.DUMMYFUNCTION("""COMPUTED_VALUE"""),"BLUE")</f>
        <v>BLUE</v>
      </c>
      <c r="G8422" s="20" t="str">
        <f>IFERROR(__xludf.DUMMYFUNCTION("""COMPUTED_VALUE"""),"Uncle Sams Cider (11/12/2021) (Blue)")</f>
        <v>Uncle Sams Cider (11/12/2021) (Blue)</v>
      </c>
      <c r="H8422" s="19"/>
    </row>
    <row r="8423">
      <c r="A8423" s="9"/>
      <c r="B8423" s="15"/>
      <c r="C8423" s="9">
        <f>IFERROR(__xludf.DUMMYFUNCTION("""COMPUTED_VALUE"""),44516.8787838888)</f>
        <v>44516.87878</v>
      </c>
      <c r="D8423" s="15">
        <f>IFERROR(__xludf.DUMMYFUNCTION("""COMPUTED_VALUE"""),1.079)</f>
        <v>1.079</v>
      </c>
      <c r="E8423" s="16">
        <f>IFERROR(__xludf.DUMMYFUNCTION("""COMPUTED_VALUE"""),69.0)</f>
        <v>69</v>
      </c>
      <c r="F8423" s="19" t="str">
        <f>IFERROR(__xludf.DUMMYFUNCTION("""COMPUTED_VALUE"""),"BLUE")</f>
        <v>BLUE</v>
      </c>
      <c r="G8423" s="20" t="str">
        <f>IFERROR(__xludf.DUMMYFUNCTION("""COMPUTED_VALUE"""),"Uncle Sams Cider (11/12/2021) (Blue)")</f>
        <v>Uncle Sams Cider (11/12/2021) (Blue)</v>
      </c>
      <c r="H8423" s="19"/>
    </row>
    <row r="8424">
      <c r="A8424" s="9"/>
      <c r="B8424" s="15"/>
      <c r="C8424" s="9">
        <f>IFERROR(__xludf.DUMMYFUNCTION("""COMPUTED_VALUE"""),44516.8683630208)</f>
        <v>44516.86836</v>
      </c>
      <c r="D8424" s="15">
        <f>IFERROR(__xludf.DUMMYFUNCTION("""COMPUTED_VALUE"""),1.079)</f>
        <v>1.079</v>
      </c>
      <c r="E8424" s="16">
        <f>IFERROR(__xludf.DUMMYFUNCTION("""COMPUTED_VALUE"""),69.0)</f>
        <v>69</v>
      </c>
      <c r="F8424" s="19" t="str">
        <f>IFERROR(__xludf.DUMMYFUNCTION("""COMPUTED_VALUE"""),"BLUE")</f>
        <v>BLUE</v>
      </c>
      <c r="G8424" s="20" t="str">
        <f>IFERROR(__xludf.DUMMYFUNCTION("""COMPUTED_VALUE"""),"Uncle Sams Cider (11/12/2021) (Blue)")</f>
        <v>Uncle Sams Cider (11/12/2021) (Blue)</v>
      </c>
      <c r="H8424" s="19"/>
    </row>
    <row r="8425">
      <c r="A8425" s="9"/>
      <c r="B8425" s="15"/>
      <c r="C8425" s="9">
        <f>IFERROR(__xludf.DUMMYFUNCTION("""COMPUTED_VALUE"""),44516.8579422338)</f>
        <v>44516.85794</v>
      </c>
      <c r="D8425" s="15">
        <f>IFERROR(__xludf.DUMMYFUNCTION("""COMPUTED_VALUE"""),1.08)</f>
        <v>1.08</v>
      </c>
      <c r="E8425" s="16">
        <f>IFERROR(__xludf.DUMMYFUNCTION("""COMPUTED_VALUE"""),69.0)</f>
        <v>69</v>
      </c>
      <c r="F8425" s="19" t="str">
        <f>IFERROR(__xludf.DUMMYFUNCTION("""COMPUTED_VALUE"""),"BLUE")</f>
        <v>BLUE</v>
      </c>
      <c r="G8425" s="20" t="str">
        <f>IFERROR(__xludf.DUMMYFUNCTION("""COMPUTED_VALUE"""),"Uncle Sams Cider (11/12/2021) (Blue)")</f>
        <v>Uncle Sams Cider (11/12/2021) (Blue)</v>
      </c>
      <c r="H8425" s="19"/>
    </row>
    <row r="8426">
      <c r="A8426" s="9"/>
      <c r="B8426" s="15"/>
      <c r="C8426" s="9">
        <f>IFERROR(__xludf.DUMMYFUNCTION("""COMPUTED_VALUE"""),44516.847522118)</f>
        <v>44516.84752</v>
      </c>
      <c r="D8426" s="15">
        <f>IFERROR(__xludf.DUMMYFUNCTION("""COMPUTED_VALUE"""),1.08)</f>
        <v>1.08</v>
      </c>
      <c r="E8426" s="16">
        <f>IFERROR(__xludf.DUMMYFUNCTION("""COMPUTED_VALUE"""),69.0)</f>
        <v>69</v>
      </c>
      <c r="F8426" s="19" t="str">
        <f>IFERROR(__xludf.DUMMYFUNCTION("""COMPUTED_VALUE"""),"BLUE")</f>
        <v>BLUE</v>
      </c>
      <c r="G8426" s="20" t="str">
        <f>IFERROR(__xludf.DUMMYFUNCTION("""COMPUTED_VALUE"""),"Uncle Sams Cider (11/12/2021) (Blue)")</f>
        <v>Uncle Sams Cider (11/12/2021) (Blue)</v>
      </c>
      <c r="H8426" s="19"/>
    </row>
    <row r="8427">
      <c r="A8427" s="9"/>
      <c r="B8427" s="15"/>
      <c r="C8427" s="9">
        <f>IFERROR(__xludf.DUMMYFUNCTION("""COMPUTED_VALUE"""),44516.837100162)</f>
        <v>44516.8371</v>
      </c>
      <c r="D8427" s="15">
        <f>IFERROR(__xludf.DUMMYFUNCTION("""COMPUTED_VALUE"""),1.08)</f>
        <v>1.08</v>
      </c>
      <c r="E8427" s="16">
        <f>IFERROR(__xludf.DUMMYFUNCTION("""COMPUTED_VALUE"""),69.0)</f>
        <v>69</v>
      </c>
      <c r="F8427" s="19" t="str">
        <f>IFERROR(__xludf.DUMMYFUNCTION("""COMPUTED_VALUE"""),"BLUE")</f>
        <v>BLUE</v>
      </c>
      <c r="G8427" s="20" t="str">
        <f>IFERROR(__xludf.DUMMYFUNCTION("""COMPUTED_VALUE"""),"Uncle Sams Cider (11/12/2021) (Blue)")</f>
        <v>Uncle Sams Cider (11/12/2021) (Blue)</v>
      </c>
      <c r="H8427" s="19"/>
    </row>
    <row r="8428">
      <c r="A8428" s="9"/>
      <c r="B8428" s="15"/>
      <c r="C8428" s="9">
        <f>IFERROR(__xludf.DUMMYFUNCTION("""COMPUTED_VALUE"""),44516.8266780208)</f>
        <v>44516.82668</v>
      </c>
      <c r="D8428" s="15">
        <f>IFERROR(__xludf.DUMMYFUNCTION("""COMPUTED_VALUE"""),1.08)</f>
        <v>1.08</v>
      </c>
      <c r="E8428" s="16">
        <f>IFERROR(__xludf.DUMMYFUNCTION("""COMPUTED_VALUE"""),69.0)</f>
        <v>69</v>
      </c>
      <c r="F8428" s="19" t="str">
        <f>IFERROR(__xludf.DUMMYFUNCTION("""COMPUTED_VALUE"""),"BLUE")</f>
        <v>BLUE</v>
      </c>
      <c r="G8428" s="20" t="str">
        <f>IFERROR(__xludf.DUMMYFUNCTION("""COMPUTED_VALUE"""),"Uncle Sams Cider (11/12/2021) (Blue)")</f>
        <v>Uncle Sams Cider (11/12/2021) (Blue)</v>
      </c>
      <c r="H8428" s="19"/>
    </row>
    <row r="8429">
      <c r="A8429" s="9"/>
      <c r="B8429" s="15"/>
      <c r="C8429" s="9">
        <f>IFERROR(__xludf.DUMMYFUNCTION("""COMPUTED_VALUE"""),44516.8162555902)</f>
        <v>44516.81626</v>
      </c>
      <c r="D8429" s="15">
        <f>IFERROR(__xludf.DUMMYFUNCTION("""COMPUTED_VALUE"""),1.08)</f>
        <v>1.08</v>
      </c>
      <c r="E8429" s="16">
        <f>IFERROR(__xludf.DUMMYFUNCTION("""COMPUTED_VALUE"""),69.0)</f>
        <v>69</v>
      </c>
      <c r="F8429" s="19" t="str">
        <f>IFERROR(__xludf.DUMMYFUNCTION("""COMPUTED_VALUE"""),"BLUE")</f>
        <v>BLUE</v>
      </c>
      <c r="G8429" s="20" t="str">
        <f>IFERROR(__xludf.DUMMYFUNCTION("""COMPUTED_VALUE"""),"Uncle Sams Cider (11/12/2021) (Blue)")</f>
        <v>Uncle Sams Cider (11/12/2021) (Blue)</v>
      </c>
      <c r="H8429" s="19"/>
    </row>
    <row r="8430">
      <c r="A8430" s="9"/>
      <c r="B8430" s="15"/>
      <c r="C8430" s="9">
        <f>IFERROR(__xludf.DUMMYFUNCTION("""COMPUTED_VALUE"""),44516.805835625)</f>
        <v>44516.80584</v>
      </c>
      <c r="D8430" s="15">
        <f>IFERROR(__xludf.DUMMYFUNCTION("""COMPUTED_VALUE"""),1.08)</f>
        <v>1.08</v>
      </c>
      <c r="E8430" s="16">
        <f>IFERROR(__xludf.DUMMYFUNCTION("""COMPUTED_VALUE"""),69.0)</f>
        <v>69</v>
      </c>
      <c r="F8430" s="19" t="str">
        <f>IFERROR(__xludf.DUMMYFUNCTION("""COMPUTED_VALUE"""),"BLUE")</f>
        <v>BLUE</v>
      </c>
      <c r="G8430" s="20" t="str">
        <f>IFERROR(__xludf.DUMMYFUNCTION("""COMPUTED_VALUE"""),"Uncle Sams Cider (11/12/2021) (Blue)")</f>
        <v>Uncle Sams Cider (11/12/2021) (Blue)</v>
      </c>
      <c r="H8430" s="19"/>
    </row>
    <row r="8431">
      <c r="A8431" s="9"/>
      <c r="B8431" s="15"/>
      <c r="C8431" s="9">
        <f>IFERROR(__xludf.DUMMYFUNCTION("""COMPUTED_VALUE"""),44516.7954031944)</f>
        <v>44516.7954</v>
      </c>
      <c r="D8431" s="15">
        <f>IFERROR(__xludf.DUMMYFUNCTION("""COMPUTED_VALUE"""),1.08)</f>
        <v>1.08</v>
      </c>
      <c r="E8431" s="16">
        <f>IFERROR(__xludf.DUMMYFUNCTION("""COMPUTED_VALUE"""),69.0)</f>
        <v>69</v>
      </c>
      <c r="F8431" s="19" t="str">
        <f>IFERROR(__xludf.DUMMYFUNCTION("""COMPUTED_VALUE"""),"BLUE")</f>
        <v>BLUE</v>
      </c>
      <c r="G8431" s="20" t="str">
        <f>IFERROR(__xludf.DUMMYFUNCTION("""COMPUTED_VALUE"""),"Uncle Sams Cider (11/12/2021) (Blue)")</f>
        <v>Uncle Sams Cider (11/12/2021) (Blue)</v>
      </c>
      <c r="H8431" s="19"/>
    </row>
    <row r="8432">
      <c r="A8432" s="9"/>
      <c r="B8432" s="15"/>
      <c r="C8432" s="9">
        <f>IFERROR(__xludf.DUMMYFUNCTION("""COMPUTED_VALUE"""),44516.7849814583)</f>
        <v>44516.78498</v>
      </c>
      <c r="D8432" s="15">
        <f>IFERROR(__xludf.DUMMYFUNCTION("""COMPUTED_VALUE"""),1.08)</f>
        <v>1.08</v>
      </c>
      <c r="E8432" s="16">
        <f>IFERROR(__xludf.DUMMYFUNCTION("""COMPUTED_VALUE"""),69.0)</f>
        <v>69</v>
      </c>
      <c r="F8432" s="19" t="str">
        <f>IFERROR(__xludf.DUMMYFUNCTION("""COMPUTED_VALUE"""),"BLUE")</f>
        <v>BLUE</v>
      </c>
      <c r="G8432" s="20" t="str">
        <f>IFERROR(__xludf.DUMMYFUNCTION("""COMPUTED_VALUE"""),"Uncle Sams Cider (11/12/2021) (Blue)")</f>
        <v>Uncle Sams Cider (11/12/2021) (Blue)</v>
      </c>
      <c r="H8432" s="19"/>
    </row>
    <row r="8433">
      <c r="A8433" s="9"/>
      <c r="B8433" s="15"/>
      <c r="C8433" s="9">
        <f>IFERROR(__xludf.DUMMYFUNCTION("""COMPUTED_VALUE"""),44516.7745607986)</f>
        <v>44516.77456</v>
      </c>
      <c r="D8433" s="15">
        <f>IFERROR(__xludf.DUMMYFUNCTION("""COMPUTED_VALUE"""),1.08)</f>
        <v>1.08</v>
      </c>
      <c r="E8433" s="16">
        <f>IFERROR(__xludf.DUMMYFUNCTION("""COMPUTED_VALUE"""),69.0)</f>
        <v>69</v>
      </c>
      <c r="F8433" s="19" t="str">
        <f>IFERROR(__xludf.DUMMYFUNCTION("""COMPUTED_VALUE"""),"BLUE")</f>
        <v>BLUE</v>
      </c>
      <c r="G8433" s="20" t="str">
        <f>IFERROR(__xludf.DUMMYFUNCTION("""COMPUTED_VALUE"""),"Uncle Sams Cider (11/12/2021) (Blue)")</f>
        <v>Uncle Sams Cider (11/12/2021) (Blue)</v>
      </c>
      <c r="H8433" s="19"/>
    </row>
    <row r="8434">
      <c r="A8434" s="9"/>
      <c r="B8434" s="15"/>
      <c r="C8434" s="9">
        <f>IFERROR(__xludf.DUMMYFUNCTION("""COMPUTED_VALUE"""),44516.764139618)</f>
        <v>44516.76414</v>
      </c>
      <c r="D8434" s="15">
        <f>IFERROR(__xludf.DUMMYFUNCTION("""COMPUTED_VALUE"""),1.081)</f>
        <v>1.081</v>
      </c>
      <c r="E8434" s="16">
        <f>IFERROR(__xludf.DUMMYFUNCTION("""COMPUTED_VALUE"""),69.0)</f>
        <v>69</v>
      </c>
      <c r="F8434" s="19" t="str">
        <f>IFERROR(__xludf.DUMMYFUNCTION("""COMPUTED_VALUE"""),"BLUE")</f>
        <v>BLUE</v>
      </c>
      <c r="G8434" s="20" t="str">
        <f>IFERROR(__xludf.DUMMYFUNCTION("""COMPUTED_VALUE"""),"Uncle Sams Cider (11/12/2021) (Blue)")</f>
        <v>Uncle Sams Cider (11/12/2021) (Blue)</v>
      </c>
      <c r="H8434" s="19"/>
    </row>
    <row r="8435">
      <c r="A8435" s="9"/>
      <c r="B8435" s="15"/>
      <c r="C8435" s="9">
        <f>IFERROR(__xludf.DUMMYFUNCTION("""COMPUTED_VALUE"""),44516.7537195833)</f>
        <v>44516.75372</v>
      </c>
      <c r="D8435" s="15">
        <f>IFERROR(__xludf.DUMMYFUNCTION("""COMPUTED_VALUE"""),1.08)</f>
        <v>1.08</v>
      </c>
      <c r="E8435" s="16">
        <f>IFERROR(__xludf.DUMMYFUNCTION("""COMPUTED_VALUE"""),69.0)</f>
        <v>69</v>
      </c>
      <c r="F8435" s="19" t="str">
        <f>IFERROR(__xludf.DUMMYFUNCTION("""COMPUTED_VALUE"""),"BLUE")</f>
        <v>BLUE</v>
      </c>
      <c r="G8435" s="20" t="str">
        <f>IFERROR(__xludf.DUMMYFUNCTION("""COMPUTED_VALUE"""),"Uncle Sams Cider (11/12/2021) (Blue)")</f>
        <v>Uncle Sams Cider (11/12/2021) (Blue)</v>
      </c>
      <c r="H8435" s="19"/>
    </row>
    <row r="8436">
      <c r="A8436" s="9"/>
      <c r="B8436" s="15"/>
      <c r="C8436" s="9">
        <f>IFERROR(__xludf.DUMMYFUNCTION("""COMPUTED_VALUE"""),44516.7432984953)</f>
        <v>44516.7433</v>
      </c>
      <c r="D8436" s="15">
        <f>IFERROR(__xludf.DUMMYFUNCTION("""COMPUTED_VALUE"""),1.081)</f>
        <v>1.081</v>
      </c>
      <c r="E8436" s="16">
        <f>IFERROR(__xludf.DUMMYFUNCTION("""COMPUTED_VALUE"""),69.0)</f>
        <v>69</v>
      </c>
      <c r="F8436" s="19" t="str">
        <f>IFERROR(__xludf.DUMMYFUNCTION("""COMPUTED_VALUE"""),"BLUE")</f>
        <v>BLUE</v>
      </c>
      <c r="G8436" s="20" t="str">
        <f>IFERROR(__xludf.DUMMYFUNCTION("""COMPUTED_VALUE"""),"Uncle Sams Cider (11/12/2021) (Blue)")</f>
        <v>Uncle Sams Cider (11/12/2021) (Blue)</v>
      </c>
      <c r="H8436" s="19"/>
    </row>
    <row r="8437">
      <c r="A8437" s="9"/>
      <c r="B8437" s="15"/>
      <c r="C8437" s="9">
        <f>IFERROR(__xludf.DUMMYFUNCTION("""COMPUTED_VALUE"""),44516.7328767939)</f>
        <v>44516.73288</v>
      </c>
      <c r="D8437" s="15">
        <f>IFERROR(__xludf.DUMMYFUNCTION("""COMPUTED_VALUE"""),1.08)</f>
        <v>1.08</v>
      </c>
      <c r="E8437" s="16">
        <f>IFERROR(__xludf.DUMMYFUNCTION("""COMPUTED_VALUE"""),69.0)</f>
        <v>69</v>
      </c>
      <c r="F8437" s="19" t="str">
        <f>IFERROR(__xludf.DUMMYFUNCTION("""COMPUTED_VALUE"""),"BLUE")</f>
        <v>BLUE</v>
      </c>
      <c r="G8437" s="20" t="str">
        <f>IFERROR(__xludf.DUMMYFUNCTION("""COMPUTED_VALUE"""),"Uncle Sams Cider (11/12/2021) (Blue)")</f>
        <v>Uncle Sams Cider (11/12/2021) (Blue)</v>
      </c>
      <c r="H8437" s="19"/>
    </row>
    <row r="8438">
      <c r="A8438" s="9"/>
      <c r="B8438" s="15"/>
      <c r="C8438" s="9">
        <f>IFERROR(__xludf.DUMMYFUNCTION("""COMPUTED_VALUE"""),44516.7224556018)</f>
        <v>44516.72246</v>
      </c>
      <c r="D8438" s="15">
        <f>IFERROR(__xludf.DUMMYFUNCTION("""COMPUTED_VALUE"""),1.081)</f>
        <v>1.081</v>
      </c>
      <c r="E8438" s="16">
        <f>IFERROR(__xludf.DUMMYFUNCTION("""COMPUTED_VALUE"""),69.0)</f>
        <v>69</v>
      </c>
      <c r="F8438" s="19" t="str">
        <f>IFERROR(__xludf.DUMMYFUNCTION("""COMPUTED_VALUE"""),"BLUE")</f>
        <v>BLUE</v>
      </c>
      <c r="G8438" s="20" t="str">
        <f>IFERROR(__xludf.DUMMYFUNCTION("""COMPUTED_VALUE"""),"Uncle Sams Cider (11/12/2021) (Blue)")</f>
        <v>Uncle Sams Cider (11/12/2021) (Blue)</v>
      </c>
      <c r="H8438" s="19"/>
    </row>
    <row r="8439">
      <c r="A8439" s="9"/>
      <c r="B8439" s="15"/>
      <c r="C8439" s="9">
        <f>IFERROR(__xludf.DUMMYFUNCTION("""COMPUTED_VALUE"""),44516.7120345486)</f>
        <v>44516.71203</v>
      </c>
      <c r="D8439" s="15">
        <f>IFERROR(__xludf.DUMMYFUNCTION("""COMPUTED_VALUE"""),1.081)</f>
        <v>1.081</v>
      </c>
      <c r="E8439" s="16">
        <f>IFERROR(__xludf.DUMMYFUNCTION("""COMPUTED_VALUE"""),69.0)</f>
        <v>69</v>
      </c>
      <c r="F8439" s="19" t="str">
        <f>IFERROR(__xludf.DUMMYFUNCTION("""COMPUTED_VALUE"""),"BLUE")</f>
        <v>BLUE</v>
      </c>
      <c r="G8439" s="20" t="str">
        <f>IFERROR(__xludf.DUMMYFUNCTION("""COMPUTED_VALUE"""),"Uncle Sams Cider (11/12/2021) (Blue)")</f>
        <v>Uncle Sams Cider (11/12/2021) (Blue)</v>
      </c>
      <c r="H8439" s="19"/>
    </row>
    <row r="8440">
      <c r="A8440" s="9"/>
      <c r="B8440" s="15"/>
      <c r="C8440" s="9">
        <f>IFERROR(__xludf.DUMMYFUNCTION("""COMPUTED_VALUE"""),44516.7016016898)</f>
        <v>44516.7016</v>
      </c>
      <c r="D8440" s="15">
        <f>IFERROR(__xludf.DUMMYFUNCTION("""COMPUTED_VALUE"""),1.081)</f>
        <v>1.081</v>
      </c>
      <c r="E8440" s="16">
        <f>IFERROR(__xludf.DUMMYFUNCTION("""COMPUTED_VALUE"""),69.0)</f>
        <v>69</v>
      </c>
      <c r="F8440" s="19" t="str">
        <f>IFERROR(__xludf.DUMMYFUNCTION("""COMPUTED_VALUE"""),"BLUE")</f>
        <v>BLUE</v>
      </c>
      <c r="G8440" s="20" t="str">
        <f>IFERROR(__xludf.DUMMYFUNCTION("""COMPUTED_VALUE"""),"Uncle Sams Cider (11/12/2021) (Blue)")</f>
        <v>Uncle Sams Cider (11/12/2021) (Blue)</v>
      </c>
      <c r="H8440" s="19"/>
    </row>
    <row r="8441">
      <c r="A8441" s="9"/>
      <c r="B8441" s="15"/>
      <c r="C8441" s="9">
        <f>IFERROR(__xludf.DUMMYFUNCTION("""COMPUTED_VALUE"""),44516.6911798726)</f>
        <v>44516.69118</v>
      </c>
      <c r="D8441" s="15">
        <f>IFERROR(__xludf.DUMMYFUNCTION("""COMPUTED_VALUE"""),1.081)</f>
        <v>1.081</v>
      </c>
      <c r="E8441" s="16">
        <f>IFERROR(__xludf.DUMMYFUNCTION("""COMPUTED_VALUE"""),69.0)</f>
        <v>69</v>
      </c>
      <c r="F8441" s="19" t="str">
        <f>IFERROR(__xludf.DUMMYFUNCTION("""COMPUTED_VALUE"""),"BLUE")</f>
        <v>BLUE</v>
      </c>
      <c r="G8441" s="20" t="str">
        <f>IFERROR(__xludf.DUMMYFUNCTION("""COMPUTED_VALUE"""),"Uncle Sams Cider (11/12/2021) (Blue)")</f>
        <v>Uncle Sams Cider (11/12/2021) (Blue)</v>
      </c>
      <c r="H8441" s="19"/>
    </row>
    <row r="8442">
      <c r="A8442" s="9"/>
      <c r="B8442" s="15"/>
      <c r="C8442" s="9">
        <f>IFERROR(__xludf.DUMMYFUNCTION("""COMPUTED_VALUE"""),44516.6807585185)</f>
        <v>44516.68076</v>
      </c>
      <c r="D8442" s="15">
        <f>IFERROR(__xludf.DUMMYFUNCTION("""COMPUTED_VALUE"""),1.081)</f>
        <v>1.081</v>
      </c>
      <c r="E8442" s="16">
        <f>IFERROR(__xludf.DUMMYFUNCTION("""COMPUTED_VALUE"""),69.0)</f>
        <v>69</v>
      </c>
      <c r="F8442" s="19" t="str">
        <f>IFERROR(__xludf.DUMMYFUNCTION("""COMPUTED_VALUE"""),"BLUE")</f>
        <v>BLUE</v>
      </c>
      <c r="G8442" s="20" t="str">
        <f>IFERROR(__xludf.DUMMYFUNCTION("""COMPUTED_VALUE"""),"Uncle Sams Cider (11/12/2021) (Blue)")</f>
        <v>Uncle Sams Cider (11/12/2021) (Blue)</v>
      </c>
      <c r="H8442" s="19"/>
    </row>
    <row r="8443">
      <c r="A8443" s="9"/>
      <c r="B8443" s="15"/>
      <c r="C8443" s="9">
        <f>IFERROR(__xludf.DUMMYFUNCTION("""COMPUTED_VALUE"""),44516.6703374536)</f>
        <v>44516.67034</v>
      </c>
      <c r="D8443" s="15">
        <f>IFERROR(__xludf.DUMMYFUNCTION("""COMPUTED_VALUE"""),1.081)</f>
        <v>1.081</v>
      </c>
      <c r="E8443" s="16">
        <f>IFERROR(__xludf.DUMMYFUNCTION("""COMPUTED_VALUE"""),68.0)</f>
        <v>68</v>
      </c>
      <c r="F8443" s="19" t="str">
        <f>IFERROR(__xludf.DUMMYFUNCTION("""COMPUTED_VALUE"""),"BLUE")</f>
        <v>BLUE</v>
      </c>
      <c r="G8443" s="20" t="str">
        <f>IFERROR(__xludf.DUMMYFUNCTION("""COMPUTED_VALUE"""),"Uncle Sams Cider (11/12/2021) (Blue)")</f>
        <v>Uncle Sams Cider (11/12/2021) (Blue)</v>
      </c>
      <c r="H8443" s="19"/>
    </row>
    <row r="8444">
      <c r="A8444" s="9"/>
      <c r="B8444" s="15"/>
      <c r="C8444" s="9">
        <f>IFERROR(__xludf.DUMMYFUNCTION("""COMPUTED_VALUE"""),44516.6599165046)</f>
        <v>44516.65992</v>
      </c>
      <c r="D8444" s="15">
        <f>IFERROR(__xludf.DUMMYFUNCTION("""COMPUTED_VALUE"""),1.081)</f>
        <v>1.081</v>
      </c>
      <c r="E8444" s="16">
        <f>IFERROR(__xludf.DUMMYFUNCTION("""COMPUTED_VALUE"""),69.0)</f>
        <v>69</v>
      </c>
      <c r="F8444" s="19" t="str">
        <f>IFERROR(__xludf.DUMMYFUNCTION("""COMPUTED_VALUE"""),"BLUE")</f>
        <v>BLUE</v>
      </c>
      <c r="G8444" s="20" t="str">
        <f>IFERROR(__xludf.DUMMYFUNCTION("""COMPUTED_VALUE"""),"Uncle Sams Cider (11/12/2021) (Blue)")</f>
        <v>Uncle Sams Cider (11/12/2021) (Blue)</v>
      </c>
      <c r="H8444" s="19"/>
    </row>
    <row r="8445">
      <c r="A8445" s="9"/>
      <c r="B8445" s="15"/>
      <c r="C8445" s="9">
        <f>IFERROR(__xludf.DUMMYFUNCTION("""COMPUTED_VALUE"""),44516.6494962963)</f>
        <v>44516.6495</v>
      </c>
      <c r="D8445" s="15">
        <f>IFERROR(__xludf.DUMMYFUNCTION("""COMPUTED_VALUE"""),1.081)</f>
        <v>1.081</v>
      </c>
      <c r="E8445" s="16">
        <f>IFERROR(__xludf.DUMMYFUNCTION("""COMPUTED_VALUE"""),69.0)</f>
        <v>69</v>
      </c>
      <c r="F8445" s="19" t="str">
        <f>IFERROR(__xludf.DUMMYFUNCTION("""COMPUTED_VALUE"""),"BLUE")</f>
        <v>BLUE</v>
      </c>
      <c r="G8445" s="20" t="str">
        <f>IFERROR(__xludf.DUMMYFUNCTION("""COMPUTED_VALUE"""),"Uncle Sams Cider (11/12/2021) (Blue)")</f>
        <v>Uncle Sams Cider (11/12/2021) (Blue)</v>
      </c>
      <c r="H8445" s="19"/>
    </row>
    <row r="8446">
      <c r="A8446" s="9"/>
      <c r="B8446" s="15"/>
      <c r="C8446" s="9">
        <f>IFERROR(__xludf.DUMMYFUNCTION("""COMPUTED_VALUE"""),44516.6390754629)</f>
        <v>44516.63908</v>
      </c>
      <c r="D8446" s="15">
        <f>IFERROR(__xludf.DUMMYFUNCTION("""COMPUTED_VALUE"""),1.081)</f>
        <v>1.081</v>
      </c>
      <c r="E8446" s="16">
        <f>IFERROR(__xludf.DUMMYFUNCTION("""COMPUTED_VALUE"""),68.0)</f>
        <v>68</v>
      </c>
      <c r="F8446" s="19" t="str">
        <f>IFERROR(__xludf.DUMMYFUNCTION("""COMPUTED_VALUE"""),"BLUE")</f>
        <v>BLUE</v>
      </c>
      <c r="G8446" s="20" t="str">
        <f>IFERROR(__xludf.DUMMYFUNCTION("""COMPUTED_VALUE"""),"Uncle Sams Cider (11/12/2021) (Blue)")</f>
        <v>Uncle Sams Cider (11/12/2021) (Blue)</v>
      </c>
      <c r="H8446" s="19"/>
    </row>
    <row r="8447">
      <c r="A8447" s="9"/>
      <c r="B8447" s="15"/>
      <c r="C8447" s="9">
        <f>IFERROR(__xludf.DUMMYFUNCTION("""COMPUTED_VALUE"""),44516.6286424884)</f>
        <v>44516.62864</v>
      </c>
      <c r="D8447" s="15">
        <f>IFERROR(__xludf.DUMMYFUNCTION("""COMPUTED_VALUE"""),1.081)</f>
        <v>1.081</v>
      </c>
      <c r="E8447" s="16">
        <f>IFERROR(__xludf.DUMMYFUNCTION("""COMPUTED_VALUE"""),69.0)</f>
        <v>69</v>
      </c>
      <c r="F8447" s="19" t="str">
        <f>IFERROR(__xludf.DUMMYFUNCTION("""COMPUTED_VALUE"""),"BLUE")</f>
        <v>BLUE</v>
      </c>
      <c r="G8447" s="20" t="str">
        <f>IFERROR(__xludf.DUMMYFUNCTION("""COMPUTED_VALUE"""),"Uncle Sams Cider (11/12/2021) (Blue)")</f>
        <v>Uncle Sams Cider (11/12/2021) (Blue)</v>
      </c>
      <c r="H8447" s="19"/>
    </row>
    <row r="8448">
      <c r="A8448" s="9"/>
      <c r="B8448" s="15"/>
      <c r="C8448" s="9">
        <f>IFERROR(__xludf.DUMMYFUNCTION("""COMPUTED_VALUE"""),44516.6182217824)</f>
        <v>44516.61822</v>
      </c>
      <c r="D8448" s="15">
        <f>IFERROR(__xludf.DUMMYFUNCTION("""COMPUTED_VALUE"""),1.081)</f>
        <v>1.081</v>
      </c>
      <c r="E8448" s="16">
        <f>IFERROR(__xludf.DUMMYFUNCTION("""COMPUTED_VALUE"""),68.0)</f>
        <v>68</v>
      </c>
      <c r="F8448" s="19" t="str">
        <f>IFERROR(__xludf.DUMMYFUNCTION("""COMPUTED_VALUE"""),"BLUE")</f>
        <v>BLUE</v>
      </c>
      <c r="G8448" s="20" t="str">
        <f>IFERROR(__xludf.DUMMYFUNCTION("""COMPUTED_VALUE"""),"Uncle Sams Cider (11/12/2021) (Blue)")</f>
        <v>Uncle Sams Cider (11/12/2021) (Blue)</v>
      </c>
      <c r="H8448" s="19"/>
    </row>
    <row r="8449">
      <c r="A8449" s="9"/>
      <c r="B8449" s="15"/>
      <c r="C8449" s="9">
        <f>IFERROR(__xludf.DUMMYFUNCTION("""COMPUTED_VALUE"""),44516.6077898148)</f>
        <v>44516.60779</v>
      </c>
      <c r="D8449" s="15">
        <f>IFERROR(__xludf.DUMMYFUNCTION("""COMPUTED_VALUE"""),1.082)</f>
        <v>1.082</v>
      </c>
      <c r="E8449" s="16">
        <f>IFERROR(__xludf.DUMMYFUNCTION("""COMPUTED_VALUE"""),68.0)</f>
        <v>68</v>
      </c>
      <c r="F8449" s="19" t="str">
        <f>IFERROR(__xludf.DUMMYFUNCTION("""COMPUTED_VALUE"""),"BLUE")</f>
        <v>BLUE</v>
      </c>
      <c r="G8449" s="20" t="str">
        <f>IFERROR(__xludf.DUMMYFUNCTION("""COMPUTED_VALUE"""),"Uncle Sams Cider (11/12/2021) (Blue)")</f>
        <v>Uncle Sams Cider (11/12/2021) (Blue)</v>
      </c>
      <c r="H8449" s="19"/>
    </row>
    <row r="8450">
      <c r="A8450" s="9"/>
      <c r="B8450" s="15"/>
      <c r="C8450" s="9">
        <f>IFERROR(__xludf.DUMMYFUNCTION("""COMPUTED_VALUE"""),44516.5973678703)</f>
        <v>44516.59737</v>
      </c>
      <c r="D8450" s="15">
        <f>IFERROR(__xludf.DUMMYFUNCTION("""COMPUTED_VALUE"""),1.082)</f>
        <v>1.082</v>
      </c>
      <c r="E8450" s="16">
        <f>IFERROR(__xludf.DUMMYFUNCTION("""COMPUTED_VALUE"""),68.0)</f>
        <v>68</v>
      </c>
      <c r="F8450" s="19" t="str">
        <f>IFERROR(__xludf.DUMMYFUNCTION("""COMPUTED_VALUE"""),"BLUE")</f>
        <v>BLUE</v>
      </c>
      <c r="G8450" s="20" t="str">
        <f>IFERROR(__xludf.DUMMYFUNCTION("""COMPUTED_VALUE"""),"Uncle Sams Cider (11/12/2021) (Blue)")</f>
        <v>Uncle Sams Cider (11/12/2021) (Blue)</v>
      </c>
      <c r="H8450" s="19"/>
    </row>
    <row r="8451">
      <c r="A8451" s="9"/>
      <c r="B8451" s="15"/>
      <c r="C8451" s="9">
        <f>IFERROR(__xludf.DUMMYFUNCTION("""COMPUTED_VALUE"""),44516.5869478009)</f>
        <v>44516.58695</v>
      </c>
      <c r="D8451" s="15">
        <f>IFERROR(__xludf.DUMMYFUNCTION("""COMPUTED_VALUE"""),1.082)</f>
        <v>1.082</v>
      </c>
      <c r="E8451" s="16">
        <f>IFERROR(__xludf.DUMMYFUNCTION("""COMPUTED_VALUE"""),68.0)</f>
        <v>68</v>
      </c>
      <c r="F8451" s="19" t="str">
        <f>IFERROR(__xludf.DUMMYFUNCTION("""COMPUTED_VALUE"""),"BLUE")</f>
        <v>BLUE</v>
      </c>
      <c r="G8451" s="20" t="str">
        <f>IFERROR(__xludf.DUMMYFUNCTION("""COMPUTED_VALUE"""),"Uncle Sams Cider (11/12/2021) (Blue)")</f>
        <v>Uncle Sams Cider (11/12/2021) (Blue)</v>
      </c>
      <c r="H8451" s="19"/>
    </row>
    <row r="8452">
      <c r="A8452" s="9"/>
      <c r="B8452" s="15"/>
      <c r="C8452" s="9">
        <f>IFERROR(__xludf.DUMMYFUNCTION("""COMPUTED_VALUE"""),44516.5765250694)</f>
        <v>44516.57653</v>
      </c>
      <c r="D8452" s="15">
        <f>IFERROR(__xludf.DUMMYFUNCTION("""COMPUTED_VALUE"""),1.081)</f>
        <v>1.081</v>
      </c>
      <c r="E8452" s="16">
        <f>IFERROR(__xludf.DUMMYFUNCTION("""COMPUTED_VALUE"""),68.0)</f>
        <v>68</v>
      </c>
      <c r="F8452" s="19" t="str">
        <f>IFERROR(__xludf.DUMMYFUNCTION("""COMPUTED_VALUE"""),"BLUE")</f>
        <v>BLUE</v>
      </c>
      <c r="G8452" s="20" t="str">
        <f>IFERROR(__xludf.DUMMYFUNCTION("""COMPUTED_VALUE"""),"Uncle Sams Cider (11/12/2021) (Blue)")</f>
        <v>Uncle Sams Cider (11/12/2021) (Blue)</v>
      </c>
      <c r="H8452" s="19"/>
    </row>
    <row r="8453">
      <c r="A8453" s="9"/>
      <c r="B8453" s="15"/>
      <c r="C8453" s="9">
        <f>IFERROR(__xludf.DUMMYFUNCTION("""COMPUTED_VALUE"""),44516.5661049189)</f>
        <v>44516.5661</v>
      </c>
      <c r="D8453" s="15">
        <f>IFERROR(__xludf.DUMMYFUNCTION("""COMPUTED_VALUE"""),1.082)</f>
        <v>1.082</v>
      </c>
      <c r="E8453" s="16">
        <f>IFERROR(__xludf.DUMMYFUNCTION("""COMPUTED_VALUE"""),68.0)</f>
        <v>68</v>
      </c>
      <c r="F8453" s="19" t="str">
        <f>IFERROR(__xludf.DUMMYFUNCTION("""COMPUTED_VALUE"""),"BLUE")</f>
        <v>BLUE</v>
      </c>
      <c r="G8453" s="20" t="str">
        <f>IFERROR(__xludf.DUMMYFUNCTION("""COMPUTED_VALUE"""),"Uncle Sams Cider (11/12/2021) (Blue)")</f>
        <v>Uncle Sams Cider (11/12/2021) (Blue)</v>
      </c>
      <c r="H8453" s="19"/>
    </row>
    <row r="8454">
      <c r="A8454" s="9"/>
      <c r="B8454" s="15"/>
      <c r="C8454" s="9">
        <f>IFERROR(__xludf.DUMMYFUNCTION("""COMPUTED_VALUE"""),44516.5556818171)</f>
        <v>44516.55568</v>
      </c>
      <c r="D8454" s="15">
        <f>IFERROR(__xludf.DUMMYFUNCTION("""COMPUTED_VALUE"""),1.082)</f>
        <v>1.082</v>
      </c>
      <c r="E8454" s="16">
        <f>IFERROR(__xludf.DUMMYFUNCTION("""COMPUTED_VALUE"""),68.0)</f>
        <v>68</v>
      </c>
      <c r="F8454" s="19" t="str">
        <f>IFERROR(__xludf.DUMMYFUNCTION("""COMPUTED_VALUE"""),"BLUE")</f>
        <v>BLUE</v>
      </c>
      <c r="G8454" s="20" t="str">
        <f>IFERROR(__xludf.DUMMYFUNCTION("""COMPUTED_VALUE"""),"Uncle Sams Cider (11/12/2021) (Blue)")</f>
        <v>Uncle Sams Cider (11/12/2021) (Blue)</v>
      </c>
      <c r="H8454" s="19"/>
    </row>
    <row r="8455">
      <c r="A8455" s="9"/>
      <c r="B8455" s="15"/>
      <c r="C8455" s="9">
        <f>IFERROR(__xludf.DUMMYFUNCTION("""COMPUTED_VALUE"""),44516.5452580208)</f>
        <v>44516.54526</v>
      </c>
      <c r="D8455" s="15">
        <f>IFERROR(__xludf.DUMMYFUNCTION("""COMPUTED_VALUE"""),1.082)</f>
        <v>1.082</v>
      </c>
      <c r="E8455" s="16">
        <f>IFERROR(__xludf.DUMMYFUNCTION("""COMPUTED_VALUE"""),68.0)</f>
        <v>68</v>
      </c>
      <c r="F8455" s="19" t="str">
        <f>IFERROR(__xludf.DUMMYFUNCTION("""COMPUTED_VALUE"""),"BLUE")</f>
        <v>BLUE</v>
      </c>
      <c r="G8455" s="20" t="str">
        <f>IFERROR(__xludf.DUMMYFUNCTION("""COMPUTED_VALUE"""),"Uncle Sams Cider (11/12/2021) (Blue)")</f>
        <v>Uncle Sams Cider (11/12/2021) (Blue)</v>
      </c>
      <c r="H8455" s="19"/>
    </row>
    <row r="8456">
      <c r="A8456" s="9"/>
      <c r="B8456" s="15"/>
      <c r="C8456" s="9">
        <f>IFERROR(__xludf.DUMMYFUNCTION("""COMPUTED_VALUE"""),44516.5348371759)</f>
        <v>44516.53484</v>
      </c>
      <c r="D8456" s="15">
        <f>IFERROR(__xludf.DUMMYFUNCTION("""COMPUTED_VALUE"""),1.082)</f>
        <v>1.082</v>
      </c>
      <c r="E8456" s="16">
        <f>IFERROR(__xludf.DUMMYFUNCTION("""COMPUTED_VALUE"""),68.0)</f>
        <v>68</v>
      </c>
      <c r="F8456" s="19" t="str">
        <f>IFERROR(__xludf.DUMMYFUNCTION("""COMPUTED_VALUE"""),"BLUE")</f>
        <v>BLUE</v>
      </c>
      <c r="G8456" s="20" t="str">
        <f>IFERROR(__xludf.DUMMYFUNCTION("""COMPUTED_VALUE"""),"Uncle Sams Cider (11/12/2021) (Blue)")</f>
        <v>Uncle Sams Cider (11/12/2021) (Blue)</v>
      </c>
      <c r="H8456" s="19"/>
    </row>
    <row r="8457">
      <c r="A8457" s="9"/>
      <c r="B8457" s="15"/>
      <c r="C8457" s="9">
        <f>IFERROR(__xludf.DUMMYFUNCTION("""COMPUTED_VALUE"""),44516.5244139236)</f>
        <v>44516.52441</v>
      </c>
      <c r="D8457" s="15">
        <f>IFERROR(__xludf.DUMMYFUNCTION("""COMPUTED_VALUE"""),1.082)</f>
        <v>1.082</v>
      </c>
      <c r="E8457" s="16">
        <f>IFERROR(__xludf.DUMMYFUNCTION("""COMPUTED_VALUE"""),68.0)</f>
        <v>68</v>
      </c>
      <c r="F8457" s="19" t="str">
        <f>IFERROR(__xludf.DUMMYFUNCTION("""COMPUTED_VALUE"""),"BLUE")</f>
        <v>BLUE</v>
      </c>
      <c r="G8457" s="20" t="str">
        <f>IFERROR(__xludf.DUMMYFUNCTION("""COMPUTED_VALUE"""),"Uncle Sams Cider (11/12/2021) (Blue)")</f>
        <v>Uncle Sams Cider (11/12/2021) (Blue)</v>
      </c>
      <c r="H8457" s="19"/>
    </row>
    <row r="8458">
      <c r="A8458" s="9"/>
      <c r="B8458" s="15"/>
      <c r="C8458" s="9">
        <f>IFERROR(__xludf.DUMMYFUNCTION("""COMPUTED_VALUE"""),44516.5139925115)</f>
        <v>44516.51399</v>
      </c>
      <c r="D8458" s="15">
        <f>IFERROR(__xludf.DUMMYFUNCTION("""COMPUTED_VALUE"""),1.082)</f>
        <v>1.082</v>
      </c>
      <c r="E8458" s="16">
        <f>IFERROR(__xludf.DUMMYFUNCTION("""COMPUTED_VALUE"""),68.0)</f>
        <v>68</v>
      </c>
      <c r="F8458" s="19" t="str">
        <f>IFERROR(__xludf.DUMMYFUNCTION("""COMPUTED_VALUE"""),"BLUE")</f>
        <v>BLUE</v>
      </c>
      <c r="G8458" s="20" t="str">
        <f>IFERROR(__xludf.DUMMYFUNCTION("""COMPUTED_VALUE"""),"Uncle Sams Cider (11/12/2021) (Blue)")</f>
        <v>Uncle Sams Cider (11/12/2021) (Blue)</v>
      </c>
      <c r="H8458" s="19"/>
    </row>
    <row r="8459">
      <c r="A8459" s="9"/>
      <c r="B8459" s="15"/>
      <c r="C8459" s="9">
        <f>IFERROR(__xludf.DUMMYFUNCTION("""COMPUTED_VALUE"""),44516.5035720717)</f>
        <v>44516.50357</v>
      </c>
      <c r="D8459" s="15">
        <f>IFERROR(__xludf.DUMMYFUNCTION("""COMPUTED_VALUE"""),1.082)</f>
        <v>1.082</v>
      </c>
      <c r="E8459" s="16">
        <f>IFERROR(__xludf.DUMMYFUNCTION("""COMPUTED_VALUE"""),68.0)</f>
        <v>68</v>
      </c>
      <c r="F8459" s="19" t="str">
        <f>IFERROR(__xludf.DUMMYFUNCTION("""COMPUTED_VALUE"""),"BLUE")</f>
        <v>BLUE</v>
      </c>
      <c r="G8459" s="20" t="str">
        <f>IFERROR(__xludf.DUMMYFUNCTION("""COMPUTED_VALUE"""),"Uncle Sams Cider (11/12/2021) (Blue)")</f>
        <v>Uncle Sams Cider (11/12/2021) (Blue)</v>
      </c>
      <c r="H8459" s="19"/>
    </row>
    <row r="8460">
      <c r="A8460" s="9"/>
      <c r="B8460" s="15"/>
      <c r="C8460" s="9">
        <f>IFERROR(__xludf.DUMMYFUNCTION("""COMPUTED_VALUE"""),44516.4931515509)</f>
        <v>44516.49315</v>
      </c>
      <c r="D8460" s="15">
        <f>IFERROR(__xludf.DUMMYFUNCTION("""COMPUTED_VALUE"""),1.082)</f>
        <v>1.082</v>
      </c>
      <c r="E8460" s="16">
        <f>IFERROR(__xludf.DUMMYFUNCTION("""COMPUTED_VALUE"""),68.0)</f>
        <v>68</v>
      </c>
      <c r="F8460" s="19" t="str">
        <f>IFERROR(__xludf.DUMMYFUNCTION("""COMPUTED_VALUE"""),"BLUE")</f>
        <v>BLUE</v>
      </c>
      <c r="G8460" s="20" t="str">
        <f>IFERROR(__xludf.DUMMYFUNCTION("""COMPUTED_VALUE"""),"Uncle Sams Cider (11/12/2021) (Blue)")</f>
        <v>Uncle Sams Cider (11/12/2021) (Blue)</v>
      </c>
      <c r="H8460" s="19"/>
    </row>
    <row r="8461">
      <c r="A8461" s="9"/>
      <c r="B8461" s="15"/>
      <c r="C8461" s="9">
        <f>IFERROR(__xludf.DUMMYFUNCTION("""COMPUTED_VALUE"""),44516.4827301157)</f>
        <v>44516.48273</v>
      </c>
      <c r="D8461" s="15">
        <f>IFERROR(__xludf.DUMMYFUNCTION("""COMPUTED_VALUE"""),1.082)</f>
        <v>1.082</v>
      </c>
      <c r="E8461" s="16">
        <f>IFERROR(__xludf.DUMMYFUNCTION("""COMPUTED_VALUE"""),68.0)</f>
        <v>68</v>
      </c>
      <c r="F8461" s="19" t="str">
        <f>IFERROR(__xludf.DUMMYFUNCTION("""COMPUTED_VALUE"""),"BLUE")</f>
        <v>BLUE</v>
      </c>
      <c r="G8461" s="20" t="str">
        <f>IFERROR(__xludf.DUMMYFUNCTION("""COMPUTED_VALUE"""),"Uncle Sams Cider (11/12/2021) (Blue)")</f>
        <v>Uncle Sams Cider (11/12/2021) (Blue)</v>
      </c>
      <c r="H8461" s="19"/>
    </row>
    <row r="8462">
      <c r="A8462" s="9"/>
      <c r="B8462" s="15"/>
      <c r="C8462" s="9">
        <f>IFERROR(__xludf.DUMMYFUNCTION("""COMPUTED_VALUE"""),44516.472311493)</f>
        <v>44516.47231</v>
      </c>
      <c r="D8462" s="15">
        <f>IFERROR(__xludf.DUMMYFUNCTION("""COMPUTED_VALUE"""),1.082)</f>
        <v>1.082</v>
      </c>
      <c r="E8462" s="16">
        <f>IFERROR(__xludf.DUMMYFUNCTION("""COMPUTED_VALUE"""),68.0)</f>
        <v>68</v>
      </c>
      <c r="F8462" s="19" t="str">
        <f>IFERROR(__xludf.DUMMYFUNCTION("""COMPUTED_VALUE"""),"BLUE")</f>
        <v>BLUE</v>
      </c>
      <c r="G8462" s="20" t="str">
        <f>IFERROR(__xludf.DUMMYFUNCTION("""COMPUTED_VALUE"""),"Uncle Sams Cider (11/12/2021) (Blue)")</f>
        <v>Uncle Sams Cider (11/12/2021) (Blue)</v>
      </c>
      <c r="H8462" s="19"/>
    </row>
    <row r="8463">
      <c r="A8463" s="9"/>
      <c r="B8463" s="15"/>
      <c r="C8463" s="9">
        <f>IFERROR(__xludf.DUMMYFUNCTION("""COMPUTED_VALUE"""),44516.4618900347)</f>
        <v>44516.46189</v>
      </c>
      <c r="D8463" s="15">
        <f>IFERROR(__xludf.DUMMYFUNCTION("""COMPUTED_VALUE"""),1.082)</f>
        <v>1.082</v>
      </c>
      <c r="E8463" s="16">
        <f>IFERROR(__xludf.DUMMYFUNCTION("""COMPUTED_VALUE"""),68.0)</f>
        <v>68</v>
      </c>
      <c r="F8463" s="19" t="str">
        <f>IFERROR(__xludf.DUMMYFUNCTION("""COMPUTED_VALUE"""),"BLUE")</f>
        <v>BLUE</v>
      </c>
      <c r="G8463" s="20" t="str">
        <f>IFERROR(__xludf.DUMMYFUNCTION("""COMPUTED_VALUE"""),"Uncle Sams Cider (11/12/2021) (Blue)")</f>
        <v>Uncle Sams Cider (11/12/2021) (Blue)</v>
      </c>
      <c r="H8463" s="19"/>
    </row>
    <row r="8464">
      <c r="A8464" s="9"/>
      <c r="B8464" s="15"/>
      <c r="C8464" s="9">
        <f>IFERROR(__xludf.DUMMYFUNCTION("""COMPUTED_VALUE"""),44516.4514697916)</f>
        <v>44516.45147</v>
      </c>
      <c r="D8464" s="15">
        <f>IFERROR(__xludf.DUMMYFUNCTION("""COMPUTED_VALUE"""),1.083)</f>
        <v>1.083</v>
      </c>
      <c r="E8464" s="16">
        <f>IFERROR(__xludf.DUMMYFUNCTION("""COMPUTED_VALUE"""),68.0)</f>
        <v>68</v>
      </c>
      <c r="F8464" s="19" t="str">
        <f>IFERROR(__xludf.DUMMYFUNCTION("""COMPUTED_VALUE"""),"BLUE")</f>
        <v>BLUE</v>
      </c>
      <c r="G8464" s="20" t="str">
        <f>IFERROR(__xludf.DUMMYFUNCTION("""COMPUTED_VALUE"""),"Uncle Sams Cider (11/12/2021) (Blue)")</f>
        <v>Uncle Sams Cider (11/12/2021) (Blue)</v>
      </c>
      <c r="H8464" s="19"/>
    </row>
    <row r="8465">
      <c r="A8465" s="9"/>
      <c r="B8465" s="15"/>
      <c r="C8465" s="9">
        <f>IFERROR(__xludf.DUMMYFUNCTION("""COMPUTED_VALUE"""),44516.4410474421)</f>
        <v>44516.44105</v>
      </c>
      <c r="D8465" s="15">
        <f>IFERROR(__xludf.DUMMYFUNCTION("""COMPUTED_VALUE"""),1.083)</f>
        <v>1.083</v>
      </c>
      <c r="E8465" s="16">
        <f>IFERROR(__xludf.DUMMYFUNCTION("""COMPUTED_VALUE"""),68.0)</f>
        <v>68</v>
      </c>
      <c r="F8465" s="19" t="str">
        <f>IFERROR(__xludf.DUMMYFUNCTION("""COMPUTED_VALUE"""),"BLUE")</f>
        <v>BLUE</v>
      </c>
      <c r="G8465" s="20" t="str">
        <f>IFERROR(__xludf.DUMMYFUNCTION("""COMPUTED_VALUE"""),"Uncle Sams Cider (11/12/2021) (Blue)")</f>
        <v>Uncle Sams Cider (11/12/2021) (Blue)</v>
      </c>
      <c r="H8465" s="19"/>
    </row>
    <row r="8466">
      <c r="A8466" s="9"/>
      <c r="B8466" s="15"/>
      <c r="C8466" s="9">
        <f>IFERROR(__xludf.DUMMYFUNCTION("""COMPUTED_VALUE"""),44516.4306254629)</f>
        <v>44516.43063</v>
      </c>
      <c r="D8466" s="15">
        <f>IFERROR(__xludf.DUMMYFUNCTION("""COMPUTED_VALUE"""),1.083)</f>
        <v>1.083</v>
      </c>
      <c r="E8466" s="16">
        <f>IFERROR(__xludf.DUMMYFUNCTION("""COMPUTED_VALUE"""),68.0)</f>
        <v>68</v>
      </c>
      <c r="F8466" s="19" t="str">
        <f>IFERROR(__xludf.DUMMYFUNCTION("""COMPUTED_VALUE"""),"BLUE")</f>
        <v>BLUE</v>
      </c>
      <c r="G8466" s="20" t="str">
        <f>IFERROR(__xludf.DUMMYFUNCTION("""COMPUTED_VALUE"""),"Uncle Sams Cider (11/12/2021) (Blue)")</f>
        <v>Uncle Sams Cider (11/12/2021) (Blue)</v>
      </c>
      <c r="H8466" s="19"/>
    </row>
    <row r="8467">
      <c r="A8467" s="9"/>
      <c r="B8467" s="15"/>
      <c r="C8467" s="9">
        <f>IFERROR(__xludf.DUMMYFUNCTION("""COMPUTED_VALUE"""),44516.4202038194)</f>
        <v>44516.4202</v>
      </c>
      <c r="D8467" s="15">
        <f>IFERROR(__xludf.DUMMYFUNCTION("""COMPUTED_VALUE"""),1.083)</f>
        <v>1.083</v>
      </c>
      <c r="E8467" s="16">
        <f>IFERROR(__xludf.DUMMYFUNCTION("""COMPUTED_VALUE"""),68.0)</f>
        <v>68</v>
      </c>
      <c r="F8467" s="19" t="str">
        <f>IFERROR(__xludf.DUMMYFUNCTION("""COMPUTED_VALUE"""),"BLUE")</f>
        <v>BLUE</v>
      </c>
      <c r="G8467" s="20" t="str">
        <f>IFERROR(__xludf.DUMMYFUNCTION("""COMPUTED_VALUE"""),"Uncle Sams Cider (11/12/2021) (Blue)")</f>
        <v>Uncle Sams Cider (11/12/2021) (Blue)</v>
      </c>
      <c r="H8467" s="19"/>
    </row>
    <row r="8468">
      <c r="A8468" s="9"/>
      <c r="B8468" s="15"/>
      <c r="C8468" s="9">
        <f>IFERROR(__xludf.DUMMYFUNCTION("""COMPUTED_VALUE"""),44516.4097833912)</f>
        <v>44516.40978</v>
      </c>
      <c r="D8468" s="15">
        <f>IFERROR(__xludf.DUMMYFUNCTION("""COMPUTED_VALUE"""),1.083)</f>
        <v>1.083</v>
      </c>
      <c r="E8468" s="16">
        <f>IFERROR(__xludf.DUMMYFUNCTION("""COMPUTED_VALUE"""),68.0)</f>
        <v>68</v>
      </c>
      <c r="F8468" s="19" t="str">
        <f>IFERROR(__xludf.DUMMYFUNCTION("""COMPUTED_VALUE"""),"BLUE")</f>
        <v>BLUE</v>
      </c>
      <c r="G8468" s="20" t="str">
        <f>IFERROR(__xludf.DUMMYFUNCTION("""COMPUTED_VALUE"""),"Uncle Sams Cider (11/12/2021) (Blue)")</f>
        <v>Uncle Sams Cider (11/12/2021) (Blue)</v>
      </c>
      <c r="H8468" s="19"/>
    </row>
    <row r="8469">
      <c r="A8469" s="9"/>
      <c r="B8469" s="15"/>
      <c r="C8469" s="9">
        <f>IFERROR(__xludf.DUMMYFUNCTION("""COMPUTED_VALUE"""),44516.3993608449)</f>
        <v>44516.39936</v>
      </c>
      <c r="D8469" s="15">
        <f>IFERROR(__xludf.DUMMYFUNCTION("""COMPUTED_VALUE"""),1.083)</f>
        <v>1.083</v>
      </c>
      <c r="E8469" s="16">
        <f>IFERROR(__xludf.DUMMYFUNCTION("""COMPUTED_VALUE"""),68.0)</f>
        <v>68</v>
      </c>
      <c r="F8469" s="19" t="str">
        <f>IFERROR(__xludf.DUMMYFUNCTION("""COMPUTED_VALUE"""),"BLUE")</f>
        <v>BLUE</v>
      </c>
      <c r="G8469" s="20" t="str">
        <f>IFERROR(__xludf.DUMMYFUNCTION("""COMPUTED_VALUE"""),"Uncle Sams Cider (11/12/2021) (Blue)")</f>
        <v>Uncle Sams Cider (11/12/2021) (Blue)</v>
      </c>
      <c r="H8469" s="19"/>
    </row>
    <row r="8470">
      <c r="A8470" s="9"/>
      <c r="B8470" s="15"/>
      <c r="C8470" s="9">
        <f>IFERROR(__xludf.DUMMYFUNCTION("""COMPUTED_VALUE"""),44516.388940324)</f>
        <v>44516.38894</v>
      </c>
      <c r="D8470" s="15">
        <f>IFERROR(__xludf.DUMMYFUNCTION("""COMPUTED_VALUE"""),1.083)</f>
        <v>1.083</v>
      </c>
      <c r="E8470" s="16">
        <f>IFERROR(__xludf.DUMMYFUNCTION("""COMPUTED_VALUE"""),68.0)</f>
        <v>68</v>
      </c>
      <c r="F8470" s="19" t="str">
        <f>IFERROR(__xludf.DUMMYFUNCTION("""COMPUTED_VALUE"""),"BLUE")</f>
        <v>BLUE</v>
      </c>
      <c r="G8470" s="20" t="str">
        <f>IFERROR(__xludf.DUMMYFUNCTION("""COMPUTED_VALUE"""),"Uncle Sams Cider (11/12/2021) (Blue)")</f>
        <v>Uncle Sams Cider (11/12/2021) (Blue)</v>
      </c>
      <c r="H8470" s="19"/>
    </row>
    <row r="8471">
      <c r="A8471" s="9"/>
      <c r="B8471" s="15"/>
      <c r="C8471" s="9">
        <f>IFERROR(__xludf.DUMMYFUNCTION("""COMPUTED_VALUE"""),44516.3785194444)</f>
        <v>44516.37852</v>
      </c>
      <c r="D8471" s="15">
        <f>IFERROR(__xludf.DUMMYFUNCTION("""COMPUTED_VALUE"""),1.083)</f>
        <v>1.083</v>
      </c>
      <c r="E8471" s="16">
        <f>IFERROR(__xludf.DUMMYFUNCTION("""COMPUTED_VALUE"""),68.0)</f>
        <v>68</v>
      </c>
      <c r="F8471" s="19" t="str">
        <f>IFERROR(__xludf.DUMMYFUNCTION("""COMPUTED_VALUE"""),"BLUE")</f>
        <v>BLUE</v>
      </c>
      <c r="G8471" s="20" t="str">
        <f>IFERROR(__xludf.DUMMYFUNCTION("""COMPUTED_VALUE"""),"Uncle Sams Cider (11/12/2021) (Blue)")</f>
        <v>Uncle Sams Cider (11/12/2021) (Blue)</v>
      </c>
      <c r="H8471" s="19"/>
    </row>
    <row r="8472">
      <c r="A8472" s="9"/>
      <c r="B8472" s="15"/>
      <c r="C8472" s="9">
        <f>IFERROR(__xludf.DUMMYFUNCTION("""COMPUTED_VALUE"""),44516.3680989814)</f>
        <v>44516.3681</v>
      </c>
      <c r="D8472" s="15">
        <f>IFERROR(__xludf.DUMMYFUNCTION("""COMPUTED_VALUE"""),1.083)</f>
        <v>1.083</v>
      </c>
      <c r="E8472" s="16">
        <f>IFERROR(__xludf.DUMMYFUNCTION("""COMPUTED_VALUE"""),68.0)</f>
        <v>68</v>
      </c>
      <c r="F8472" s="19" t="str">
        <f>IFERROR(__xludf.DUMMYFUNCTION("""COMPUTED_VALUE"""),"BLUE")</f>
        <v>BLUE</v>
      </c>
      <c r="G8472" s="20" t="str">
        <f>IFERROR(__xludf.DUMMYFUNCTION("""COMPUTED_VALUE"""),"Uncle Sams Cider (11/12/2021) (Blue)")</f>
        <v>Uncle Sams Cider (11/12/2021) (Blue)</v>
      </c>
      <c r="H8472" s="19"/>
    </row>
    <row r="8473">
      <c r="A8473" s="9"/>
      <c r="B8473" s="15"/>
      <c r="C8473" s="9">
        <f>IFERROR(__xludf.DUMMYFUNCTION("""COMPUTED_VALUE"""),44516.3576765856)</f>
        <v>44516.35768</v>
      </c>
      <c r="D8473" s="15">
        <f>IFERROR(__xludf.DUMMYFUNCTION("""COMPUTED_VALUE"""),1.083)</f>
        <v>1.083</v>
      </c>
      <c r="E8473" s="16">
        <f>IFERROR(__xludf.DUMMYFUNCTION("""COMPUTED_VALUE"""),68.0)</f>
        <v>68</v>
      </c>
      <c r="F8473" s="19" t="str">
        <f>IFERROR(__xludf.DUMMYFUNCTION("""COMPUTED_VALUE"""),"BLUE")</f>
        <v>BLUE</v>
      </c>
      <c r="G8473" s="20" t="str">
        <f>IFERROR(__xludf.DUMMYFUNCTION("""COMPUTED_VALUE"""),"Uncle Sams Cider (11/12/2021) (Blue)")</f>
        <v>Uncle Sams Cider (11/12/2021) (Blue)</v>
      </c>
      <c r="H8473" s="19"/>
    </row>
    <row r="8474">
      <c r="A8474" s="9"/>
      <c r="B8474" s="15"/>
      <c r="C8474" s="9">
        <f>IFERROR(__xludf.DUMMYFUNCTION("""COMPUTED_VALUE"""),44516.3472327777)</f>
        <v>44516.34723</v>
      </c>
      <c r="D8474" s="15">
        <f>IFERROR(__xludf.DUMMYFUNCTION("""COMPUTED_VALUE"""),1.083)</f>
        <v>1.083</v>
      </c>
      <c r="E8474" s="16">
        <f>IFERROR(__xludf.DUMMYFUNCTION("""COMPUTED_VALUE"""),68.0)</f>
        <v>68</v>
      </c>
      <c r="F8474" s="19" t="str">
        <f>IFERROR(__xludf.DUMMYFUNCTION("""COMPUTED_VALUE"""),"BLUE")</f>
        <v>BLUE</v>
      </c>
      <c r="G8474" s="20" t="str">
        <f>IFERROR(__xludf.DUMMYFUNCTION("""COMPUTED_VALUE"""),"Uncle Sams Cider (11/12/2021) (Blue)")</f>
        <v>Uncle Sams Cider (11/12/2021) (Blue)</v>
      </c>
      <c r="H8474" s="19"/>
    </row>
    <row r="8475">
      <c r="A8475" s="9"/>
      <c r="B8475" s="15"/>
      <c r="C8475" s="9">
        <f>IFERROR(__xludf.DUMMYFUNCTION("""COMPUTED_VALUE"""),44516.3368140162)</f>
        <v>44516.33681</v>
      </c>
      <c r="D8475" s="15">
        <f>IFERROR(__xludf.DUMMYFUNCTION("""COMPUTED_VALUE"""),1.083)</f>
        <v>1.083</v>
      </c>
      <c r="E8475" s="16">
        <f>IFERROR(__xludf.DUMMYFUNCTION("""COMPUTED_VALUE"""),68.0)</f>
        <v>68</v>
      </c>
      <c r="F8475" s="19" t="str">
        <f>IFERROR(__xludf.DUMMYFUNCTION("""COMPUTED_VALUE"""),"BLUE")</f>
        <v>BLUE</v>
      </c>
      <c r="G8475" s="20" t="str">
        <f>IFERROR(__xludf.DUMMYFUNCTION("""COMPUTED_VALUE"""),"Uncle Sams Cider (11/12/2021) (Blue)")</f>
        <v>Uncle Sams Cider (11/12/2021) (Blue)</v>
      </c>
      <c r="H8475" s="19"/>
    </row>
    <row r="8476">
      <c r="A8476" s="9"/>
      <c r="B8476" s="15"/>
      <c r="C8476" s="9">
        <f>IFERROR(__xludf.DUMMYFUNCTION("""COMPUTED_VALUE"""),44516.3263946875)</f>
        <v>44516.32639</v>
      </c>
      <c r="D8476" s="15">
        <f>IFERROR(__xludf.DUMMYFUNCTION("""COMPUTED_VALUE"""),1.084)</f>
        <v>1.084</v>
      </c>
      <c r="E8476" s="16">
        <f>IFERROR(__xludf.DUMMYFUNCTION("""COMPUTED_VALUE"""),68.0)</f>
        <v>68</v>
      </c>
      <c r="F8476" s="19" t="str">
        <f>IFERROR(__xludf.DUMMYFUNCTION("""COMPUTED_VALUE"""),"BLUE")</f>
        <v>BLUE</v>
      </c>
      <c r="G8476" s="20" t="str">
        <f>IFERROR(__xludf.DUMMYFUNCTION("""COMPUTED_VALUE"""),"Uncle Sams Cider (11/12/2021) (Blue)")</f>
        <v>Uncle Sams Cider (11/12/2021) (Blue)</v>
      </c>
      <c r="H8476" s="19"/>
    </row>
    <row r="8477">
      <c r="A8477" s="9"/>
      <c r="B8477" s="15"/>
      <c r="C8477" s="9">
        <f>IFERROR(__xludf.DUMMYFUNCTION("""COMPUTED_VALUE"""),44516.3159618981)</f>
        <v>44516.31596</v>
      </c>
      <c r="D8477" s="15">
        <f>IFERROR(__xludf.DUMMYFUNCTION("""COMPUTED_VALUE"""),1.083)</f>
        <v>1.083</v>
      </c>
      <c r="E8477" s="16">
        <f>IFERROR(__xludf.DUMMYFUNCTION("""COMPUTED_VALUE"""),68.0)</f>
        <v>68</v>
      </c>
      <c r="F8477" s="19" t="str">
        <f>IFERROR(__xludf.DUMMYFUNCTION("""COMPUTED_VALUE"""),"BLUE")</f>
        <v>BLUE</v>
      </c>
      <c r="G8477" s="20" t="str">
        <f>IFERROR(__xludf.DUMMYFUNCTION("""COMPUTED_VALUE"""),"Uncle Sams Cider (11/12/2021) (Blue)")</f>
        <v>Uncle Sams Cider (11/12/2021) (Blue)</v>
      </c>
      <c r="H8477" s="19"/>
    </row>
    <row r="8478">
      <c r="A8478" s="9"/>
      <c r="B8478" s="15"/>
      <c r="C8478" s="9">
        <f>IFERROR(__xludf.DUMMYFUNCTION("""COMPUTED_VALUE"""),44516.3055425462)</f>
        <v>44516.30554</v>
      </c>
      <c r="D8478" s="15">
        <f>IFERROR(__xludf.DUMMYFUNCTION("""COMPUTED_VALUE"""),1.084)</f>
        <v>1.084</v>
      </c>
      <c r="E8478" s="16">
        <f>IFERROR(__xludf.DUMMYFUNCTION("""COMPUTED_VALUE"""),68.0)</f>
        <v>68</v>
      </c>
      <c r="F8478" s="19" t="str">
        <f>IFERROR(__xludf.DUMMYFUNCTION("""COMPUTED_VALUE"""),"BLUE")</f>
        <v>BLUE</v>
      </c>
      <c r="G8478" s="20" t="str">
        <f>IFERROR(__xludf.DUMMYFUNCTION("""COMPUTED_VALUE"""),"Uncle Sams Cider (11/12/2021) (Blue)")</f>
        <v>Uncle Sams Cider (11/12/2021) (Blue)</v>
      </c>
      <c r="H8478" s="19"/>
    </row>
    <row r="8479">
      <c r="A8479" s="9"/>
      <c r="B8479" s="15"/>
      <c r="C8479" s="9">
        <f>IFERROR(__xludf.DUMMYFUNCTION("""COMPUTED_VALUE"""),44516.2951217476)</f>
        <v>44516.29512</v>
      </c>
      <c r="D8479" s="15">
        <f>IFERROR(__xludf.DUMMYFUNCTION("""COMPUTED_VALUE"""),1.083)</f>
        <v>1.083</v>
      </c>
      <c r="E8479" s="16">
        <f>IFERROR(__xludf.DUMMYFUNCTION("""COMPUTED_VALUE"""),68.0)</f>
        <v>68</v>
      </c>
      <c r="F8479" s="19" t="str">
        <f>IFERROR(__xludf.DUMMYFUNCTION("""COMPUTED_VALUE"""),"BLUE")</f>
        <v>BLUE</v>
      </c>
      <c r="G8479" s="20" t="str">
        <f>IFERROR(__xludf.DUMMYFUNCTION("""COMPUTED_VALUE"""),"Uncle Sams Cider (11/12/2021) (Blue)")</f>
        <v>Uncle Sams Cider (11/12/2021) (Blue)</v>
      </c>
      <c r="H8479" s="19"/>
    </row>
    <row r="8480">
      <c r="A8480" s="9"/>
      <c r="B8480" s="15"/>
      <c r="C8480" s="9">
        <f>IFERROR(__xludf.DUMMYFUNCTION("""COMPUTED_VALUE"""),44516.284700405)</f>
        <v>44516.2847</v>
      </c>
      <c r="D8480" s="15">
        <f>IFERROR(__xludf.DUMMYFUNCTION("""COMPUTED_VALUE"""),1.084)</f>
        <v>1.084</v>
      </c>
      <c r="E8480" s="16">
        <f>IFERROR(__xludf.DUMMYFUNCTION("""COMPUTED_VALUE"""),68.0)</f>
        <v>68</v>
      </c>
      <c r="F8480" s="19" t="str">
        <f>IFERROR(__xludf.DUMMYFUNCTION("""COMPUTED_VALUE"""),"BLUE")</f>
        <v>BLUE</v>
      </c>
      <c r="G8480" s="20" t="str">
        <f>IFERROR(__xludf.DUMMYFUNCTION("""COMPUTED_VALUE"""),"Uncle Sams Cider (11/12/2021) (Blue)")</f>
        <v>Uncle Sams Cider (11/12/2021) (Blue)</v>
      </c>
      <c r="H8480" s="19"/>
    </row>
    <row r="8481">
      <c r="A8481" s="9"/>
      <c r="B8481" s="15"/>
      <c r="C8481" s="9">
        <f>IFERROR(__xludf.DUMMYFUNCTION("""COMPUTED_VALUE"""),44516.2742798958)</f>
        <v>44516.27428</v>
      </c>
      <c r="D8481" s="15">
        <f>IFERROR(__xludf.DUMMYFUNCTION("""COMPUTED_VALUE"""),1.084)</f>
        <v>1.084</v>
      </c>
      <c r="E8481" s="16">
        <f>IFERROR(__xludf.DUMMYFUNCTION("""COMPUTED_VALUE"""),68.0)</f>
        <v>68</v>
      </c>
      <c r="F8481" s="19" t="str">
        <f>IFERROR(__xludf.DUMMYFUNCTION("""COMPUTED_VALUE"""),"BLUE")</f>
        <v>BLUE</v>
      </c>
      <c r="G8481" s="20" t="str">
        <f>IFERROR(__xludf.DUMMYFUNCTION("""COMPUTED_VALUE"""),"Uncle Sams Cider (11/12/2021) (Blue)")</f>
        <v>Uncle Sams Cider (11/12/2021) (Blue)</v>
      </c>
      <c r="H8481" s="19"/>
    </row>
    <row r="8482">
      <c r="A8482" s="9"/>
      <c r="B8482" s="15"/>
      <c r="C8482" s="9">
        <f>IFERROR(__xludf.DUMMYFUNCTION("""COMPUTED_VALUE"""),44516.2638462152)</f>
        <v>44516.26385</v>
      </c>
      <c r="D8482" s="15">
        <f>IFERROR(__xludf.DUMMYFUNCTION("""COMPUTED_VALUE"""),1.084)</f>
        <v>1.084</v>
      </c>
      <c r="E8482" s="16">
        <f>IFERROR(__xludf.DUMMYFUNCTION("""COMPUTED_VALUE"""),68.0)</f>
        <v>68</v>
      </c>
      <c r="F8482" s="19" t="str">
        <f>IFERROR(__xludf.DUMMYFUNCTION("""COMPUTED_VALUE"""),"BLUE")</f>
        <v>BLUE</v>
      </c>
      <c r="G8482" s="20" t="str">
        <f>IFERROR(__xludf.DUMMYFUNCTION("""COMPUTED_VALUE"""),"Uncle Sams Cider (11/12/2021) (Blue)")</f>
        <v>Uncle Sams Cider (11/12/2021) (Blue)</v>
      </c>
      <c r="H8482" s="19"/>
    </row>
    <row r="8483">
      <c r="A8483" s="9"/>
      <c r="B8483" s="15"/>
      <c r="C8483" s="9">
        <f>IFERROR(__xludf.DUMMYFUNCTION("""COMPUTED_VALUE"""),44516.2534138541)</f>
        <v>44516.25341</v>
      </c>
      <c r="D8483" s="15">
        <f>IFERROR(__xludf.DUMMYFUNCTION("""COMPUTED_VALUE"""),1.084)</f>
        <v>1.084</v>
      </c>
      <c r="E8483" s="16">
        <f>IFERROR(__xludf.DUMMYFUNCTION("""COMPUTED_VALUE"""),68.0)</f>
        <v>68</v>
      </c>
      <c r="F8483" s="19" t="str">
        <f>IFERROR(__xludf.DUMMYFUNCTION("""COMPUTED_VALUE"""),"BLUE")</f>
        <v>BLUE</v>
      </c>
      <c r="G8483" s="20" t="str">
        <f>IFERROR(__xludf.DUMMYFUNCTION("""COMPUTED_VALUE"""),"Uncle Sams Cider (11/12/2021) (Blue)")</f>
        <v>Uncle Sams Cider (11/12/2021) (Blue)</v>
      </c>
      <c r="H8483" s="19"/>
    </row>
    <row r="8484">
      <c r="A8484" s="9"/>
      <c r="B8484" s="15"/>
      <c r="C8484" s="9">
        <f>IFERROR(__xludf.DUMMYFUNCTION("""COMPUTED_VALUE"""),44516.2429915277)</f>
        <v>44516.24299</v>
      </c>
      <c r="D8484" s="15">
        <f>IFERROR(__xludf.DUMMYFUNCTION("""COMPUTED_VALUE"""),1.084)</f>
        <v>1.084</v>
      </c>
      <c r="E8484" s="16">
        <f>IFERROR(__xludf.DUMMYFUNCTION("""COMPUTED_VALUE"""),68.0)</f>
        <v>68</v>
      </c>
      <c r="F8484" s="19" t="str">
        <f>IFERROR(__xludf.DUMMYFUNCTION("""COMPUTED_VALUE"""),"BLUE")</f>
        <v>BLUE</v>
      </c>
      <c r="G8484" s="20" t="str">
        <f>IFERROR(__xludf.DUMMYFUNCTION("""COMPUTED_VALUE"""),"Uncle Sams Cider (11/12/2021) (Blue)")</f>
        <v>Uncle Sams Cider (11/12/2021) (Blue)</v>
      </c>
      <c r="H8484" s="19"/>
    </row>
    <row r="8485">
      <c r="A8485" s="9"/>
      <c r="B8485" s="15"/>
      <c r="C8485" s="9">
        <f>IFERROR(__xludf.DUMMYFUNCTION("""COMPUTED_VALUE"""),44516.2325706365)</f>
        <v>44516.23257</v>
      </c>
      <c r="D8485" s="15">
        <f>IFERROR(__xludf.DUMMYFUNCTION("""COMPUTED_VALUE"""),1.084)</f>
        <v>1.084</v>
      </c>
      <c r="E8485" s="16">
        <f>IFERROR(__xludf.DUMMYFUNCTION("""COMPUTED_VALUE"""),68.0)</f>
        <v>68</v>
      </c>
      <c r="F8485" s="19" t="str">
        <f>IFERROR(__xludf.DUMMYFUNCTION("""COMPUTED_VALUE"""),"BLUE")</f>
        <v>BLUE</v>
      </c>
      <c r="G8485" s="20" t="str">
        <f>IFERROR(__xludf.DUMMYFUNCTION("""COMPUTED_VALUE"""),"Uncle Sams Cider (11/12/2021) (Blue)")</f>
        <v>Uncle Sams Cider (11/12/2021) (Blue)</v>
      </c>
      <c r="H8485" s="19"/>
    </row>
    <row r="8486">
      <c r="A8486" s="9"/>
      <c r="B8486" s="15"/>
      <c r="C8486" s="9">
        <f>IFERROR(__xludf.DUMMYFUNCTION("""COMPUTED_VALUE"""),44516.222151956)</f>
        <v>44516.22215</v>
      </c>
      <c r="D8486" s="15">
        <f>IFERROR(__xludf.DUMMYFUNCTION("""COMPUTED_VALUE"""),1.084)</f>
        <v>1.084</v>
      </c>
      <c r="E8486" s="16">
        <f>IFERROR(__xludf.DUMMYFUNCTION("""COMPUTED_VALUE"""),68.0)</f>
        <v>68</v>
      </c>
      <c r="F8486" s="19" t="str">
        <f>IFERROR(__xludf.DUMMYFUNCTION("""COMPUTED_VALUE"""),"BLUE")</f>
        <v>BLUE</v>
      </c>
      <c r="G8486" s="20" t="str">
        <f>IFERROR(__xludf.DUMMYFUNCTION("""COMPUTED_VALUE"""),"Uncle Sams Cider (11/12/2021) (Blue)")</f>
        <v>Uncle Sams Cider (11/12/2021) (Blue)</v>
      </c>
      <c r="H8486" s="19"/>
    </row>
    <row r="8487">
      <c r="A8487" s="9"/>
      <c r="B8487" s="15"/>
      <c r="C8487" s="9">
        <f>IFERROR(__xludf.DUMMYFUNCTION("""COMPUTED_VALUE"""),44516.2116952199)</f>
        <v>44516.2117</v>
      </c>
      <c r="D8487" s="15">
        <f>IFERROR(__xludf.DUMMYFUNCTION("""COMPUTED_VALUE"""),1.084)</f>
        <v>1.084</v>
      </c>
      <c r="E8487" s="16">
        <f>IFERROR(__xludf.DUMMYFUNCTION("""COMPUTED_VALUE"""),68.0)</f>
        <v>68</v>
      </c>
      <c r="F8487" s="19" t="str">
        <f>IFERROR(__xludf.DUMMYFUNCTION("""COMPUTED_VALUE"""),"BLUE")</f>
        <v>BLUE</v>
      </c>
      <c r="G8487" s="20" t="str">
        <f>IFERROR(__xludf.DUMMYFUNCTION("""COMPUTED_VALUE"""),"Uncle Sams Cider (11/12/2021) (Blue)")</f>
        <v>Uncle Sams Cider (11/12/2021) (Blue)</v>
      </c>
      <c r="H8487" s="19"/>
    </row>
    <row r="8488">
      <c r="A8488" s="9"/>
      <c r="B8488" s="15"/>
      <c r="C8488" s="9">
        <f>IFERROR(__xludf.DUMMYFUNCTION("""COMPUTED_VALUE"""),44516.2012755902)</f>
        <v>44516.20128</v>
      </c>
      <c r="D8488" s="15">
        <f>IFERROR(__xludf.DUMMYFUNCTION("""COMPUTED_VALUE"""),1.084)</f>
        <v>1.084</v>
      </c>
      <c r="E8488" s="16">
        <f>IFERROR(__xludf.DUMMYFUNCTION("""COMPUTED_VALUE"""),68.0)</f>
        <v>68</v>
      </c>
      <c r="F8488" s="19" t="str">
        <f>IFERROR(__xludf.DUMMYFUNCTION("""COMPUTED_VALUE"""),"BLUE")</f>
        <v>BLUE</v>
      </c>
      <c r="G8488" s="20" t="str">
        <f>IFERROR(__xludf.DUMMYFUNCTION("""COMPUTED_VALUE"""),"Uncle Sams Cider (11/12/2021) (Blue)")</f>
        <v>Uncle Sams Cider (11/12/2021) (Blue)</v>
      </c>
      <c r="H8488" s="19"/>
    </row>
    <row r="8489">
      <c r="A8489" s="9"/>
      <c r="B8489" s="15"/>
      <c r="C8489" s="9">
        <f>IFERROR(__xludf.DUMMYFUNCTION("""COMPUTED_VALUE"""),44516.1908567245)</f>
        <v>44516.19086</v>
      </c>
      <c r="D8489" s="15">
        <f>IFERROR(__xludf.DUMMYFUNCTION("""COMPUTED_VALUE"""),1.085)</f>
        <v>1.085</v>
      </c>
      <c r="E8489" s="16">
        <f>IFERROR(__xludf.DUMMYFUNCTION("""COMPUTED_VALUE"""),68.0)</f>
        <v>68</v>
      </c>
      <c r="F8489" s="19" t="str">
        <f>IFERROR(__xludf.DUMMYFUNCTION("""COMPUTED_VALUE"""),"BLUE")</f>
        <v>BLUE</v>
      </c>
      <c r="G8489" s="20" t="str">
        <f>IFERROR(__xludf.DUMMYFUNCTION("""COMPUTED_VALUE"""),"Uncle Sams Cider (11/12/2021) (Blue)")</f>
        <v>Uncle Sams Cider (11/12/2021) (Blue)</v>
      </c>
      <c r="H8489" s="19"/>
    </row>
    <row r="8490">
      <c r="A8490" s="9"/>
      <c r="B8490" s="15"/>
      <c r="C8490" s="9">
        <f>IFERROR(__xludf.DUMMYFUNCTION("""COMPUTED_VALUE"""),44516.1804356481)</f>
        <v>44516.18044</v>
      </c>
      <c r="D8490" s="15">
        <f>IFERROR(__xludf.DUMMYFUNCTION("""COMPUTED_VALUE"""),1.084)</f>
        <v>1.084</v>
      </c>
      <c r="E8490" s="16">
        <f>IFERROR(__xludf.DUMMYFUNCTION("""COMPUTED_VALUE"""),68.0)</f>
        <v>68</v>
      </c>
      <c r="F8490" s="19" t="str">
        <f>IFERROR(__xludf.DUMMYFUNCTION("""COMPUTED_VALUE"""),"BLUE")</f>
        <v>BLUE</v>
      </c>
      <c r="G8490" s="20" t="str">
        <f>IFERROR(__xludf.DUMMYFUNCTION("""COMPUTED_VALUE"""),"Uncle Sams Cider (11/12/2021) (Blue)")</f>
        <v>Uncle Sams Cider (11/12/2021) (Blue)</v>
      </c>
      <c r="H8490" s="19"/>
    </row>
    <row r="8491">
      <c r="A8491" s="9"/>
      <c r="B8491" s="15"/>
      <c r="C8491" s="9">
        <f>IFERROR(__xludf.DUMMYFUNCTION("""COMPUTED_VALUE"""),44516.1700148495)</f>
        <v>44516.17001</v>
      </c>
      <c r="D8491" s="15">
        <f>IFERROR(__xludf.DUMMYFUNCTION("""COMPUTED_VALUE"""),1.085)</f>
        <v>1.085</v>
      </c>
      <c r="E8491" s="16">
        <f>IFERROR(__xludf.DUMMYFUNCTION("""COMPUTED_VALUE"""),68.0)</f>
        <v>68</v>
      </c>
      <c r="F8491" s="19" t="str">
        <f>IFERROR(__xludf.DUMMYFUNCTION("""COMPUTED_VALUE"""),"BLUE")</f>
        <v>BLUE</v>
      </c>
      <c r="G8491" s="20" t="str">
        <f>IFERROR(__xludf.DUMMYFUNCTION("""COMPUTED_VALUE"""),"Uncle Sams Cider (11/12/2021) (Blue)")</f>
        <v>Uncle Sams Cider (11/12/2021) (Blue)</v>
      </c>
      <c r="H8491" s="19"/>
    </row>
    <row r="8492">
      <c r="A8492" s="9"/>
      <c r="B8492" s="15"/>
      <c r="C8492" s="9">
        <f>IFERROR(__xludf.DUMMYFUNCTION("""COMPUTED_VALUE"""),44516.1595926041)</f>
        <v>44516.15959</v>
      </c>
      <c r="D8492" s="15">
        <f>IFERROR(__xludf.DUMMYFUNCTION("""COMPUTED_VALUE"""),1.084)</f>
        <v>1.084</v>
      </c>
      <c r="E8492" s="16">
        <f>IFERROR(__xludf.DUMMYFUNCTION("""COMPUTED_VALUE"""),68.0)</f>
        <v>68</v>
      </c>
      <c r="F8492" s="19" t="str">
        <f>IFERROR(__xludf.DUMMYFUNCTION("""COMPUTED_VALUE"""),"BLUE")</f>
        <v>BLUE</v>
      </c>
      <c r="G8492" s="20" t="str">
        <f>IFERROR(__xludf.DUMMYFUNCTION("""COMPUTED_VALUE"""),"Uncle Sams Cider (11/12/2021) (Blue)")</f>
        <v>Uncle Sams Cider (11/12/2021) (Blue)</v>
      </c>
      <c r="H8492" s="19"/>
    </row>
    <row r="8493">
      <c r="A8493" s="9"/>
      <c r="B8493" s="15"/>
      <c r="C8493" s="9">
        <f>IFERROR(__xludf.DUMMYFUNCTION("""COMPUTED_VALUE"""),44516.1491595949)</f>
        <v>44516.14916</v>
      </c>
      <c r="D8493" s="15">
        <f>IFERROR(__xludf.DUMMYFUNCTION("""COMPUTED_VALUE"""),1.085)</f>
        <v>1.085</v>
      </c>
      <c r="E8493" s="16">
        <f>IFERROR(__xludf.DUMMYFUNCTION("""COMPUTED_VALUE"""),68.0)</f>
        <v>68</v>
      </c>
      <c r="F8493" s="19" t="str">
        <f>IFERROR(__xludf.DUMMYFUNCTION("""COMPUTED_VALUE"""),"BLUE")</f>
        <v>BLUE</v>
      </c>
      <c r="G8493" s="20" t="str">
        <f>IFERROR(__xludf.DUMMYFUNCTION("""COMPUTED_VALUE"""),"Uncle Sams Cider (11/12/2021) (Blue)")</f>
        <v>Uncle Sams Cider (11/12/2021) (Blue)</v>
      </c>
      <c r="H8493" s="19"/>
    </row>
    <row r="8494">
      <c r="A8494" s="9"/>
      <c r="B8494" s="15"/>
      <c r="C8494" s="9">
        <f>IFERROR(__xludf.DUMMYFUNCTION("""COMPUTED_VALUE"""),44516.1387397222)</f>
        <v>44516.13874</v>
      </c>
      <c r="D8494" s="15">
        <f>IFERROR(__xludf.DUMMYFUNCTION("""COMPUTED_VALUE"""),1.085)</f>
        <v>1.085</v>
      </c>
      <c r="E8494" s="16">
        <f>IFERROR(__xludf.DUMMYFUNCTION("""COMPUTED_VALUE"""),68.0)</f>
        <v>68</v>
      </c>
      <c r="F8494" s="19" t="str">
        <f>IFERROR(__xludf.DUMMYFUNCTION("""COMPUTED_VALUE"""),"BLUE")</f>
        <v>BLUE</v>
      </c>
      <c r="G8494" s="20" t="str">
        <f>IFERROR(__xludf.DUMMYFUNCTION("""COMPUTED_VALUE"""),"Uncle Sams Cider (11/12/2021) (Blue)")</f>
        <v>Uncle Sams Cider (11/12/2021) (Blue)</v>
      </c>
      <c r="H8494" s="19"/>
    </row>
    <row r="8495">
      <c r="A8495" s="9"/>
      <c r="B8495" s="15"/>
      <c r="C8495" s="9">
        <f>IFERROR(__xludf.DUMMYFUNCTION("""COMPUTED_VALUE"""),44516.1283177314)</f>
        <v>44516.12832</v>
      </c>
      <c r="D8495" s="15">
        <f>IFERROR(__xludf.DUMMYFUNCTION("""COMPUTED_VALUE"""),1.084)</f>
        <v>1.084</v>
      </c>
      <c r="E8495" s="16">
        <f>IFERROR(__xludf.DUMMYFUNCTION("""COMPUTED_VALUE"""),68.0)</f>
        <v>68</v>
      </c>
      <c r="F8495" s="19" t="str">
        <f>IFERROR(__xludf.DUMMYFUNCTION("""COMPUTED_VALUE"""),"BLUE")</f>
        <v>BLUE</v>
      </c>
      <c r="G8495" s="20" t="str">
        <f>IFERROR(__xludf.DUMMYFUNCTION("""COMPUTED_VALUE"""),"Uncle Sams Cider (11/12/2021) (Blue)")</f>
        <v>Uncle Sams Cider (11/12/2021) (Blue)</v>
      </c>
      <c r="H8495" s="19"/>
    </row>
    <row r="8496">
      <c r="A8496" s="9"/>
      <c r="B8496" s="15"/>
      <c r="C8496" s="9">
        <f>IFERROR(__xludf.DUMMYFUNCTION("""COMPUTED_VALUE"""),44516.1178976736)</f>
        <v>44516.1179</v>
      </c>
      <c r="D8496" s="15">
        <f>IFERROR(__xludf.DUMMYFUNCTION("""COMPUTED_VALUE"""),1.085)</f>
        <v>1.085</v>
      </c>
      <c r="E8496" s="16">
        <f>IFERROR(__xludf.DUMMYFUNCTION("""COMPUTED_VALUE"""),68.0)</f>
        <v>68</v>
      </c>
      <c r="F8496" s="19" t="str">
        <f>IFERROR(__xludf.DUMMYFUNCTION("""COMPUTED_VALUE"""),"BLUE")</f>
        <v>BLUE</v>
      </c>
      <c r="G8496" s="20" t="str">
        <f>IFERROR(__xludf.DUMMYFUNCTION("""COMPUTED_VALUE"""),"Uncle Sams Cider (11/12/2021) (Blue)")</f>
        <v>Uncle Sams Cider (11/12/2021) (Blue)</v>
      </c>
      <c r="H8496" s="19"/>
    </row>
    <row r="8497">
      <c r="A8497" s="9"/>
      <c r="B8497" s="15"/>
      <c r="C8497" s="9">
        <f>IFERROR(__xludf.DUMMYFUNCTION("""COMPUTED_VALUE"""),44516.10747728)</f>
        <v>44516.10748</v>
      </c>
      <c r="D8497" s="15">
        <f>IFERROR(__xludf.DUMMYFUNCTION("""COMPUTED_VALUE"""),1.085)</f>
        <v>1.085</v>
      </c>
      <c r="E8497" s="16">
        <f>IFERROR(__xludf.DUMMYFUNCTION("""COMPUTED_VALUE"""),68.0)</f>
        <v>68</v>
      </c>
      <c r="F8497" s="19" t="str">
        <f>IFERROR(__xludf.DUMMYFUNCTION("""COMPUTED_VALUE"""),"BLUE")</f>
        <v>BLUE</v>
      </c>
      <c r="G8497" s="20" t="str">
        <f>IFERROR(__xludf.DUMMYFUNCTION("""COMPUTED_VALUE"""),"Uncle Sams Cider (11/12/2021) (Blue)")</f>
        <v>Uncle Sams Cider (11/12/2021) (Blue)</v>
      </c>
      <c r="H8497" s="19"/>
    </row>
    <row r="8498">
      <c r="A8498" s="9"/>
      <c r="B8498" s="15"/>
      <c r="C8498" s="9">
        <f>IFERROR(__xludf.DUMMYFUNCTION("""COMPUTED_VALUE"""),44516.0970567708)</f>
        <v>44516.09706</v>
      </c>
      <c r="D8498" s="15">
        <f>IFERROR(__xludf.DUMMYFUNCTION("""COMPUTED_VALUE"""),1.085)</f>
        <v>1.085</v>
      </c>
      <c r="E8498" s="16">
        <f>IFERROR(__xludf.DUMMYFUNCTION("""COMPUTED_VALUE"""),68.0)</f>
        <v>68</v>
      </c>
      <c r="F8498" s="19" t="str">
        <f>IFERROR(__xludf.DUMMYFUNCTION("""COMPUTED_VALUE"""),"BLUE")</f>
        <v>BLUE</v>
      </c>
      <c r="G8498" s="20" t="str">
        <f>IFERROR(__xludf.DUMMYFUNCTION("""COMPUTED_VALUE"""),"Uncle Sams Cider (11/12/2021) (Blue)")</f>
        <v>Uncle Sams Cider (11/12/2021) (Blue)</v>
      </c>
      <c r="H8498" s="19"/>
    </row>
    <row r="8499">
      <c r="A8499" s="9"/>
      <c r="B8499" s="15"/>
      <c r="C8499" s="9">
        <f>IFERROR(__xludf.DUMMYFUNCTION("""COMPUTED_VALUE"""),44516.0866354166)</f>
        <v>44516.08664</v>
      </c>
      <c r="D8499" s="15">
        <f>IFERROR(__xludf.DUMMYFUNCTION("""COMPUTED_VALUE"""),1.085)</f>
        <v>1.085</v>
      </c>
      <c r="E8499" s="16">
        <f>IFERROR(__xludf.DUMMYFUNCTION("""COMPUTED_VALUE"""),68.0)</f>
        <v>68</v>
      </c>
      <c r="F8499" s="19" t="str">
        <f>IFERROR(__xludf.DUMMYFUNCTION("""COMPUTED_VALUE"""),"BLUE")</f>
        <v>BLUE</v>
      </c>
      <c r="G8499" s="20" t="str">
        <f>IFERROR(__xludf.DUMMYFUNCTION("""COMPUTED_VALUE"""),"Uncle Sams Cider (11/12/2021) (Blue)")</f>
        <v>Uncle Sams Cider (11/12/2021) (Blue)</v>
      </c>
      <c r="H8499" s="19"/>
    </row>
    <row r="8500">
      <c r="A8500" s="9"/>
      <c r="B8500" s="15"/>
      <c r="C8500" s="9">
        <f>IFERROR(__xludf.DUMMYFUNCTION("""COMPUTED_VALUE"""),44516.0762008796)</f>
        <v>44516.0762</v>
      </c>
      <c r="D8500" s="15">
        <f>IFERROR(__xludf.DUMMYFUNCTION("""COMPUTED_VALUE"""),1.085)</f>
        <v>1.085</v>
      </c>
      <c r="E8500" s="16">
        <f>IFERROR(__xludf.DUMMYFUNCTION("""COMPUTED_VALUE"""),68.0)</f>
        <v>68</v>
      </c>
      <c r="F8500" s="19" t="str">
        <f>IFERROR(__xludf.DUMMYFUNCTION("""COMPUTED_VALUE"""),"BLUE")</f>
        <v>BLUE</v>
      </c>
      <c r="G8500" s="20" t="str">
        <f>IFERROR(__xludf.DUMMYFUNCTION("""COMPUTED_VALUE"""),"Uncle Sams Cider (11/12/2021) (Blue)")</f>
        <v>Uncle Sams Cider (11/12/2021) (Blue)</v>
      </c>
      <c r="H8500" s="19"/>
    </row>
    <row r="8501">
      <c r="A8501" s="9"/>
      <c r="B8501" s="15"/>
      <c r="C8501" s="9">
        <f>IFERROR(__xludf.DUMMYFUNCTION("""COMPUTED_VALUE"""),44516.0657796064)</f>
        <v>44516.06578</v>
      </c>
      <c r="D8501" s="15">
        <f>IFERROR(__xludf.DUMMYFUNCTION("""COMPUTED_VALUE"""),1.085)</f>
        <v>1.085</v>
      </c>
      <c r="E8501" s="16">
        <f>IFERROR(__xludf.DUMMYFUNCTION("""COMPUTED_VALUE"""),68.0)</f>
        <v>68</v>
      </c>
      <c r="F8501" s="19" t="str">
        <f>IFERROR(__xludf.DUMMYFUNCTION("""COMPUTED_VALUE"""),"BLUE")</f>
        <v>BLUE</v>
      </c>
      <c r="G8501" s="20" t="str">
        <f>IFERROR(__xludf.DUMMYFUNCTION("""COMPUTED_VALUE"""),"Uncle Sams Cider (11/12/2021) (Blue)")</f>
        <v>Uncle Sams Cider (11/12/2021) (Blue)</v>
      </c>
      <c r="H8501" s="19"/>
    </row>
    <row r="8502">
      <c r="A8502" s="9"/>
      <c r="B8502" s="15"/>
      <c r="C8502" s="9">
        <f>IFERROR(__xludf.DUMMYFUNCTION("""COMPUTED_VALUE"""),44516.0553585532)</f>
        <v>44516.05536</v>
      </c>
      <c r="D8502" s="15">
        <f>IFERROR(__xludf.DUMMYFUNCTION("""COMPUTED_VALUE"""),1.085)</f>
        <v>1.085</v>
      </c>
      <c r="E8502" s="16">
        <f>IFERROR(__xludf.DUMMYFUNCTION("""COMPUTED_VALUE"""),68.0)</f>
        <v>68</v>
      </c>
      <c r="F8502" s="19" t="str">
        <f>IFERROR(__xludf.DUMMYFUNCTION("""COMPUTED_VALUE"""),"BLUE")</f>
        <v>BLUE</v>
      </c>
      <c r="G8502" s="20" t="str">
        <f>IFERROR(__xludf.DUMMYFUNCTION("""COMPUTED_VALUE"""),"Uncle Sams Cider (11/12/2021) (Blue)")</f>
        <v>Uncle Sams Cider (11/12/2021) (Blue)</v>
      </c>
      <c r="H8502" s="19"/>
    </row>
    <row r="8503">
      <c r="A8503" s="9"/>
      <c r="B8503" s="15"/>
      <c r="C8503" s="9">
        <f>IFERROR(__xludf.DUMMYFUNCTION("""COMPUTED_VALUE"""),44516.0449377893)</f>
        <v>44516.04494</v>
      </c>
      <c r="D8503" s="15">
        <f>IFERROR(__xludf.DUMMYFUNCTION("""COMPUTED_VALUE"""),1.086)</f>
        <v>1.086</v>
      </c>
      <c r="E8503" s="16">
        <f>IFERROR(__xludf.DUMMYFUNCTION("""COMPUTED_VALUE"""),68.0)</f>
        <v>68</v>
      </c>
      <c r="F8503" s="19" t="str">
        <f>IFERROR(__xludf.DUMMYFUNCTION("""COMPUTED_VALUE"""),"BLUE")</f>
        <v>BLUE</v>
      </c>
      <c r="G8503" s="20" t="str">
        <f>IFERROR(__xludf.DUMMYFUNCTION("""COMPUTED_VALUE"""),"Uncle Sams Cider (11/12/2021) (Blue)")</f>
        <v>Uncle Sams Cider (11/12/2021) (Blue)</v>
      </c>
      <c r="H8503" s="19"/>
    </row>
    <row r="8504">
      <c r="A8504" s="9"/>
      <c r="B8504" s="15"/>
      <c r="C8504" s="9">
        <f>IFERROR(__xludf.DUMMYFUNCTION("""COMPUTED_VALUE"""),44516.0345173495)</f>
        <v>44516.03452</v>
      </c>
      <c r="D8504" s="15">
        <f>IFERROR(__xludf.DUMMYFUNCTION("""COMPUTED_VALUE"""),1.085)</f>
        <v>1.085</v>
      </c>
      <c r="E8504" s="16">
        <f>IFERROR(__xludf.DUMMYFUNCTION("""COMPUTED_VALUE"""),68.0)</f>
        <v>68</v>
      </c>
      <c r="F8504" s="19" t="str">
        <f>IFERROR(__xludf.DUMMYFUNCTION("""COMPUTED_VALUE"""),"BLUE")</f>
        <v>BLUE</v>
      </c>
      <c r="G8504" s="20" t="str">
        <f>IFERROR(__xludf.DUMMYFUNCTION("""COMPUTED_VALUE"""),"Uncle Sams Cider (11/12/2021) (Blue)")</f>
        <v>Uncle Sams Cider (11/12/2021) (Blue)</v>
      </c>
      <c r="H8504" s="19"/>
    </row>
    <row r="8505">
      <c r="A8505" s="9"/>
      <c r="B8505" s="15"/>
      <c r="C8505" s="9">
        <f>IFERROR(__xludf.DUMMYFUNCTION("""COMPUTED_VALUE"""),44516.024095324)</f>
        <v>44516.0241</v>
      </c>
      <c r="D8505" s="15">
        <f>IFERROR(__xludf.DUMMYFUNCTION("""COMPUTED_VALUE"""),1.086)</f>
        <v>1.086</v>
      </c>
      <c r="E8505" s="16">
        <f>IFERROR(__xludf.DUMMYFUNCTION("""COMPUTED_VALUE"""),68.0)</f>
        <v>68</v>
      </c>
      <c r="F8505" s="19" t="str">
        <f>IFERROR(__xludf.DUMMYFUNCTION("""COMPUTED_VALUE"""),"BLUE")</f>
        <v>BLUE</v>
      </c>
      <c r="G8505" s="20" t="str">
        <f>IFERROR(__xludf.DUMMYFUNCTION("""COMPUTED_VALUE"""),"Uncle Sams Cider (11/12/2021) (Blue)")</f>
        <v>Uncle Sams Cider (11/12/2021) (Blue)</v>
      </c>
      <c r="H8505" s="19"/>
    </row>
    <row r="8506">
      <c r="A8506" s="9"/>
      <c r="B8506" s="15"/>
      <c r="C8506" s="9">
        <f>IFERROR(__xludf.DUMMYFUNCTION("""COMPUTED_VALUE"""),44516.0136761226)</f>
        <v>44516.01368</v>
      </c>
      <c r="D8506" s="15">
        <f>IFERROR(__xludf.DUMMYFUNCTION("""COMPUTED_VALUE"""),1.085)</f>
        <v>1.085</v>
      </c>
      <c r="E8506" s="16">
        <f>IFERROR(__xludf.DUMMYFUNCTION("""COMPUTED_VALUE"""),68.0)</f>
        <v>68</v>
      </c>
      <c r="F8506" s="19" t="str">
        <f>IFERROR(__xludf.DUMMYFUNCTION("""COMPUTED_VALUE"""),"BLUE")</f>
        <v>BLUE</v>
      </c>
      <c r="G8506" s="20" t="str">
        <f>IFERROR(__xludf.DUMMYFUNCTION("""COMPUTED_VALUE"""),"Uncle Sams Cider (11/12/2021) (Blue)")</f>
        <v>Uncle Sams Cider (11/12/2021) (Blue)</v>
      </c>
      <c r="H8506" s="19"/>
    </row>
    <row r="8507">
      <c r="A8507" s="9"/>
      <c r="B8507" s="15"/>
      <c r="C8507" s="9">
        <f>IFERROR(__xludf.DUMMYFUNCTION("""COMPUTED_VALUE"""),44516.0032535069)</f>
        <v>44516.00325</v>
      </c>
      <c r="D8507" s="15">
        <f>IFERROR(__xludf.DUMMYFUNCTION("""COMPUTED_VALUE"""),1.087)</f>
        <v>1.087</v>
      </c>
      <c r="E8507" s="16">
        <f>IFERROR(__xludf.DUMMYFUNCTION("""COMPUTED_VALUE"""),68.0)</f>
        <v>68</v>
      </c>
      <c r="F8507" s="19" t="str">
        <f>IFERROR(__xludf.DUMMYFUNCTION("""COMPUTED_VALUE"""),"BLUE")</f>
        <v>BLUE</v>
      </c>
      <c r="G8507" s="20" t="str">
        <f>IFERROR(__xludf.DUMMYFUNCTION("""COMPUTED_VALUE"""),"Uncle Sams Cider (11/12/2021) (Blue)")</f>
        <v>Uncle Sams Cider (11/12/2021) (Blue)</v>
      </c>
      <c r="H8507" s="19"/>
    </row>
    <row r="8508">
      <c r="A8508" s="9"/>
      <c r="B8508" s="15"/>
      <c r="C8508" s="9">
        <f>IFERROR(__xludf.DUMMYFUNCTION("""COMPUTED_VALUE"""),44515.9928323842)</f>
        <v>44515.99283</v>
      </c>
      <c r="D8508" s="15">
        <f>IFERROR(__xludf.DUMMYFUNCTION("""COMPUTED_VALUE"""),1.086)</f>
        <v>1.086</v>
      </c>
      <c r="E8508" s="16">
        <f>IFERROR(__xludf.DUMMYFUNCTION("""COMPUTED_VALUE"""),68.0)</f>
        <v>68</v>
      </c>
      <c r="F8508" s="19" t="str">
        <f>IFERROR(__xludf.DUMMYFUNCTION("""COMPUTED_VALUE"""),"BLUE")</f>
        <v>BLUE</v>
      </c>
      <c r="G8508" s="20" t="str">
        <f>IFERROR(__xludf.DUMMYFUNCTION("""COMPUTED_VALUE"""),"Uncle Sams Cider (11/12/2021) (Blue)")</f>
        <v>Uncle Sams Cider (11/12/2021) (Blue)</v>
      </c>
      <c r="H8508" s="19"/>
    </row>
    <row r="8509">
      <c r="A8509" s="9"/>
      <c r="B8509" s="15"/>
      <c r="C8509" s="9">
        <f>IFERROR(__xludf.DUMMYFUNCTION("""COMPUTED_VALUE"""),44515.9823995023)</f>
        <v>44515.9824</v>
      </c>
      <c r="D8509" s="15">
        <f>IFERROR(__xludf.DUMMYFUNCTION("""COMPUTED_VALUE"""),1.087)</f>
        <v>1.087</v>
      </c>
      <c r="E8509" s="16">
        <f>IFERROR(__xludf.DUMMYFUNCTION("""COMPUTED_VALUE"""),68.0)</f>
        <v>68</v>
      </c>
      <c r="F8509" s="19" t="str">
        <f>IFERROR(__xludf.DUMMYFUNCTION("""COMPUTED_VALUE"""),"BLUE")</f>
        <v>BLUE</v>
      </c>
      <c r="G8509" s="20" t="str">
        <f>IFERROR(__xludf.DUMMYFUNCTION("""COMPUTED_VALUE"""),"Uncle Sams Cider (11/12/2021) (Blue)")</f>
        <v>Uncle Sams Cider (11/12/2021) (Blue)</v>
      </c>
      <c r="H8509" s="19"/>
    </row>
    <row r="8510">
      <c r="A8510" s="9"/>
      <c r="B8510" s="15"/>
      <c r="C8510" s="9">
        <f>IFERROR(__xludf.DUMMYFUNCTION("""COMPUTED_VALUE"""),44515.9719792824)</f>
        <v>44515.97198</v>
      </c>
      <c r="D8510" s="15">
        <f>IFERROR(__xludf.DUMMYFUNCTION("""COMPUTED_VALUE"""),1.086)</f>
        <v>1.086</v>
      </c>
      <c r="E8510" s="16">
        <f>IFERROR(__xludf.DUMMYFUNCTION("""COMPUTED_VALUE"""),68.0)</f>
        <v>68</v>
      </c>
      <c r="F8510" s="19" t="str">
        <f>IFERROR(__xludf.DUMMYFUNCTION("""COMPUTED_VALUE"""),"BLUE")</f>
        <v>BLUE</v>
      </c>
      <c r="G8510" s="20" t="str">
        <f>IFERROR(__xludf.DUMMYFUNCTION("""COMPUTED_VALUE"""),"Uncle Sams Cider (11/12/2021) (Blue)")</f>
        <v>Uncle Sams Cider (11/12/2021) (Blue)</v>
      </c>
      <c r="H8510" s="19"/>
    </row>
    <row r="8511">
      <c r="A8511" s="9"/>
      <c r="B8511" s="15"/>
      <c r="C8511" s="9">
        <f>IFERROR(__xludf.DUMMYFUNCTION("""COMPUTED_VALUE"""),44515.9615335995)</f>
        <v>44515.96153</v>
      </c>
      <c r="D8511" s="15">
        <f>IFERROR(__xludf.DUMMYFUNCTION("""COMPUTED_VALUE"""),1.087)</f>
        <v>1.087</v>
      </c>
      <c r="E8511" s="16">
        <f>IFERROR(__xludf.DUMMYFUNCTION("""COMPUTED_VALUE"""),68.0)</f>
        <v>68</v>
      </c>
      <c r="F8511" s="19" t="str">
        <f>IFERROR(__xludf.DUMMYFUNCTION("""COMPUTED_VALUE"""),"BLUE")</f>
        <v>BLUE</v>
      </c>
      <c r="G8511" s="20" t="str">
        <f>IFERROR(__xludf.DUMMYFUNCTION("""COMPUTED_VALUE"""),"Uncle Sams Cider (11/12/2021) (Blue)")</f>
        <v>Uncle Sams Cider (11/12/2021) (Blue)</v>
      </c>
      <c r="H8511" s="19"/>
    </row>
    <row r="8512">
      <c r="A8512" s="9"/>
      <c r="B8512" s="15"/>
      <c r="C8512" s="9">
        <f>IFERROR(__xludf.DUMMYFUNCTION("""COMPUTED_VALUE"""),44515.9511009143)</f>
        <v>44515.9511</v>
      </c>
      <c r="D8512" s="15">
        <f>IFERROR(__xludf.DUMMYFUNCTION("""COMPUTED_VALUE"""),1.086)</f>
        <v>1.086</v>
      </c>
      <c r="E8512" s="16">
        <f>IFERROR(__xludf.DUMMYFUNCTION("""COMPUTED_VALUE"""),67.0)</f>
        <v>67</v>
      </c>
      <c r="F8512" s="19" t="str">
        <f>IFERROR(__xludf.DUMMYFUNCTION("""COMPUTED_VALUE"""),"BLUE")</f>
        <v>BLUE</v>
      </c>
      <c r="G8512" s="20" t="str">
        <f>IFERROR(__xludf.DUMMYFUNCTION("""COMPUTED_VALUE"""),"Uncle Sams Cider (11/12/2021) (Blue)")</f>
        <v>Uncle Sams Cider (11/12/2021) (Blue)</v>
      </c>
      <c r="H8512" s="19"/>
    </row>
    <row r="8513">
      <c r="A8513" s="9"/>
      <c r="B8513" s="15"/>
      <c r="C8513" s="9">
        <f>IFERROR(__xludf.DUMMYFUNCTION("""COMPUTED_VALUE"""),44515.9406798958)</f>
        <v>44515.94068</v>
      </c>
      <c r="D8513" s="15">
        <f>IFERROR(__xludf.DUMMYFUNCTION("""COMPUTED_VALUE"""),1.086)</f>
        <v>1.086</v>
      </c>
      <c r="E8513" s="16">
        <f>IFERROR(__xludf.DUMMYFUNCTION("""COMPUTED_VALUE"""),67.0)</f>
        <v>67</v>
      </c>
      <c r="F8513" s="19" t="str">
        <f>IFERROR(__xludf.DUMMYFUNCTION("""COMPUTED_VALUE"""),"BLUE")</f>
        <v>BLUE</v>
      </c>
      <c r="G8513" s="20" t="str">
        <f>IFERROR(__xludf.DUMMYFUNCTION("""COMPUTED_VALUE"""),"Uncle Sams Cider (11/12/2021) (Blue)")</f>
        <v>Uncle Sams Cider (11/12/2021) (Blue)</v>
      </c>
      <c r="H8513" s="19"/>
    </row>
    <row r="8514">
      <c r="A8514" s="9"/>
      <c r="B8514" s="15"/>
      <c r="C8514" s="9">
        <f>IFERROR(__xludf.DUMMYFUNCTION("""COMPUTED_VALUE"""),44515.9302591898)</f>
        <v>44515.93026</v>
      </c>
      <c r="D8514" s="15">
        <f>IFERROR(__xludf.DUMMYFUNCTION("""COMPUTED_VALUE"""),1.087)</f>
        <v>1.087</v>
      </c>
      <c r="E8514" s="16">
        <f>IFERROR(__xludf.DUMMYFUNCTION("""COMPUTED_VALUE"""),67.0)</f>
        <v>67</v>
      </c>
      <c r="F8514" s="19" t="str">
        <f>IFERROR(__xludf.DUMMYFUNCTION("""COMPUTED_VALUE"""),"BLUE")</f>
        <v>BLUE</v>
      </c>
      <c r="G8514" s="20" t="str">
        <f>IFERROR(__xludf.DUMMYFUNCTION("""COMPUTED_VALUE"""),"Uncle Sams Cider (11/12/2021) (Blue)")</f>
        <v>Uncle Sams Cider (11/12/2021) (Blue)</v>
      </c>
      <c r="H8514" s="19"/>
    </row>
    <row r="8515">
      <c r="A8515" s="9"/>
      <c r="B8515" s="15"/>
      <c r="C8515" s="9">
        <f>IFERROR(__xludf.DUMMYFUNCTION("""COMPUTED_VALUE"""),44515.919825243)</f>
        <v>44515.91983</v>
      </c>
      <c r="D8515" s="15">
        <f>IFERROR(__xludf.DUMMYFUNCTION("""COMPUTED_VALUE"""),1.086)</f>
        <v>1.086</v>
      </c>
      <c r="E8515" s="16">
        <f>IFERROR(__xludf.DUMMYFUNCTION("""COMPUTED_VALUE"""),67.0)</f>
        <v>67</v>
      </c>
      <c r="F8515" s="19" t="str">
        <f>IFERROR(__xludf.DUMMYFUNCTION("""COMPUTED_VALUE"""),"BLUE")</f>
        <v>BLUE</v>
      </c>
      <c r="G8515" s="20" t="str">
        <f>IFERROR(__xludf.DUMMYFUNCTION("""COMPUTED_VALUE"""),"Uncle Sams Cider (11/12/2021) (Blue)")</f>
        <v>Uncle Sams Cider (11/12/2021) (Blue)</v>
      </c>
      <c r="H8515" s="19"/>
    </row>
    <row r="8516">
      <c r="A8516" s="9"/>
      <c r="B8516" s="15"/>
      <c r="C8516" s="9">
        <f>IFERROR(__xludf.DUMMYFUNCTION("""COMPUTED_VALUE"""),44515.909404618)</f>
        <v>44515.9094</v>
      </c>
      <c r="D8516" s="15">
        <f>IFERROR(__xludf.DUMMYFUNCTION("""COMPUTED_VALUE"""),1.087)</f>
        <v>1.087</v>
      </c>
      <c r="E8516" s="16">
        <f>IFERROR(__xludf.DUMMYFUNCTION("""COMPUTED_VALUE"""),67.0)</f>
        <v>67</v>
      </c>
      <c r="F8516" s="19" t="str">
        <f>IFERROR(__xludf.DUMMYFUNCTION("""COMPUTED_VALUE"""),"BLUE")</f>
        <v>BLUE</v>
      </c>
      <c r="G8516" s="20" t="str">
        <f>IFERROR(__xludf.DUMMYFUNCTION("""COMPUTED_VALUE"""),"Uncle Sams Cider (11/12/2021) (Blue)")</f>
        <v>Uncle Sams Cider (11/12/2021) (Blue)</v>
      </c>
      <c r="H8516" s="19"/>
    </row>
    <row r="8517">
      <c r="A8517" s="9"/>
      <c r="B8517" s="15"/>
      <c r="C8517" s="9">
        <f>IFERROR(__xludf.DUMMYFUNCTION("""COMPUTED_VALUE"""),44515.8989843981)</f>
        <v>44515.89898</v>
      </c>
      <c r="D8517" s="15">
        <f>IFERROR(__xludf.DUMMYFUNCTION("""COMPUTED_VALUE"""),1.086)</f>
        <v>1.086</v>
      </c>
      <c r="E8517" s="16">
        <f>IFERROR(__xludf.DUMMYFUNCTION("""COMPUTED_VALUE"""),67.0)</f>
        <v>67</v>
      </c>
      <c r="F8517" s="19" t="str">
        <f>IFERROR(__xludf.DUMMYFUNCTION("""COMPUTED_VALUE"""),"BLUE")</f>
        <v>BLUE</v>
      </c>
      <c r="G8517" s="20" t="str">
        <f>IFERROR(__xludf.DUMMYFUNCTION("""COMPUTED_VALUE"""),"Uncle Sams Cider (11/12/2021) (Blue)")</f>
        <v>Uncle Sams Cider (11/12/2021) (Blue)</v>
      </c>
      <c r="H8517" s="19"/>
    </row>
    <row r="8518">
      <c r="A8518" s="9"/>
      <c r="B8518" s="15"/>
      <c r="C8518" s="9">
        <f>IFERROR(__xludf.DUMMYFUNCTION("""COMPUTED_VALUE"""),44515.8885631944)</f>
        <v>44515.88856</v>
      </c>
      <c r="D8518" s="15">
        <f>IFERROR(__xludf.DUMMYFUNCTION("""COMPUTED_VALUE"""),1.087)</f>
        <v>1.087</v>
      </c>
      <c r="E8518" s="16">
        <f>IFERROR(__xludf.DUMMYFUNCTION("""COMPUTED_VALUE"""),67.0)</f>
        <v>67</v>
      </c>
      <c r="F8518" s="19" t="str">
        <f>IFERROR(__xludf.DUMMYFUNCTION("""COMPUTED_VALUE"""),"BLUE")</f>
        <v>BLUE</v>
      </c>
      <c r="G8518" s="20" t="str">
        <f>IFERROR(__xludf.DUMMYFUNCTION("""COMPUTED_VALUE"""),"Uncle Sams Cider (11/12/2021) (Blue)")</f>
        <v>Uncle Sams Cider (11/12/2021) (Blue)</v>
      </c>
      <c r="H8518" s="19"/>
    </row>
    <row r="8519">
      <c r="A8519" s="9"/>
      <c r="B8519" s="15"/>
      <c r="C8519" s="9">
        <f>IFERROR(__xludf.DUMMYFUNCTION("""COMPUTED_VALUE"""),44515.8781435069)</f>
        <v>44515.87814</v>
      </c>
      <c r="D8519" s="15">
        <f>IFERROR(__xludf.DUMMYFUNCTION("""COMPUTED_VALUE"""),1.087)</f>
        <v>1.087</v>
      </c>
      <c r="E8519" s="16">
        <f>IFERROR(__xludf.DUMMYFUNCTION("""COMPUTED_VALUE"""),67.0)</f>
        <v>67</v>
      </c>
      <c r="F8519" s="19" t="str">
        <f>IFERROR(__xludf.DUMMYFUNCTION("""COMPUTED_VALUE"""),"BLUE")</f>
        <v>BLUE</v>
      </c>
      <c r="G8519" s="20" t="str">
        <f>IFERROR(__xludf.DUMMYFUNCTION("""COMPUTED_VALUE"""),"Uncle Sams Cider (11/12/2021) (Blue)")</f>
        <v>Uncle Sams Cider (11/12/2021) (Blue)</v>
      </c>
      <c r="H8519" s="19"/>
    </row>
    <row r="8520">
      <c r="A8520" s="9"/>
      <c r="B8520" s="15"/>
      <c r="C8520" s="9">
        <f>IFERROR(__xludf.DUMMYFUNCTION("""COMPUTED_VALUE"""),44515.8677236921)</f>
        <v>44515.86772</v>
      </c>
      <c r="D8520" s="15">
        <f>IFERROR(__xludf.DUMMYFUNCTION("""COMPUTED_VALUE"""),1.087)</f>
        <v>1.087</v>
      </c>
      <c r="E8520" s="16">
        <f>IFERROR(__xludf.DUMMYFUNCTION("""COMPUTED_VALUE"""),67.0)</f>
        <v>67</v>
      </c>
      <c r="F8520" s="19" t="str">
        <f>IFERROR(__xludf.DUMMYFUNCTION("""COMPUTED_VALUE"""),"BLUE")</f>
        <v>BLUE</v>
      </c>
      <c r="G8520" s="20" t="str">
        <f>IFERROR(__xludf.DUMMYFUNCTION("""COMPUTED_VALUE"""),"Uncle Sams Cider (11/12/2021) (Blue)")</f>
        <v>Uncle Sams Cider (11/12/2021) (Blue)</v>
      </c>
      <c r="H8520" s="19"/>
    </row>
    <row r="8521">
      <c r="A8521" s="9"/>
      <c r="B8521" s="15"/>
      <c r="C8521" s="9">
        <f>IFERROR(__xludf.DUMMYFUNCTION("""COMPUTED_VALUE"""),44515.857304537)</f>
        <v>44515.8573</v>
      </c>
      <c r="D8521" s="15">
        <f>IFERROR(__xludf.DUMMYFUNCTION("""COMPUTED_VALUE"""),1.087)</f>
        <v>1.087</v>
      </c>
      <c r="E8521" s="16">
        <f>IFERROR(__xludf.DUMMYFUNCTION("""COMPUTED_VALUE"""),67.0)</f>
        <v>67</v>
      </c>
      <c r="F8521" s="19" t="str">
        <f>IFERROR(__xludf.DUMMYFUNCTION("""COMPUTED_VALUE"""),"BLUE")</f>
        <v>BLUE</v>
      </c>
      <c r="G8521" s="20" t="str">
        <f>IFERROR(__xludf.DUMMYFUNCTION("""COMPUTED_VALUE"""),"Uncle Sams Cider (11/12/2021) (Blue)")</f>
        <v>Uncle Sams Cider (11/12/2021) (Blue)</v>
      </c>
      <c r="H8521" s="19"/>
    </row>
    <row r="8522">
      <c r="A8522" s="9"/>
      <c r="B8522" s="15"/>
      <c r="C8522" s="9">
        <f>IFERROR(__xludf.DUMMYFUNCTION("""COMPUTED_VALUE"""),44515.846884618)</f>
        <v>44515.84688</v>
      </c>
      <c r="D8522" s="15">
        <f>IFERROR(__xludf.DUMMYFUNCTION("""COMPUTED_VALUE"""),1.087)</f>
        <v>1.087</v>
      </c>
      <c r="E8522" s="16">
        <f>IFERROR(__xludf.DUMMYFUNCTION("""COMPUTED_VALUE"""),67.0)</f>
        <v>67</v>
      </c>
      <c r="F8522" s="19" t="str">
        <f>IFERROR(__xludf.DUMMYFUNCTION("""COMPUTED_VALUE"""),"BLUE")</f>
        <v>BLUE</v>
      </c>
      <c r="G8522" s="20" t="str">
        <f>IFERROR(__xludf.DUMMYFUNCTION("""COMPUTED_VALUE"""),"Uncle Sams Cider (11/12/2021) (Blue)")</f>
        <v>Uncle Sams Cider (11/12/2021) (Blue)</v>
      </c>
      <c r="H8522" s="19"/>
    </row>
    <row r="8523">
      <c r="A8523" s="9"/>
      <c r="B8523" s="15"/>
      <c r="C8523" s="9">
        <f>IFERROR(__xludf.DUMMYFUNCTION("""COMPUTED_VALUE"""),44515.836452118)</f>
        <v>44515.83645</v>
      </c>
      <c r="D8523" s="15">
        <f>IFERROR(__xludf.DUMMYFUNCTION("""COMPUTED_VALUE"""),1.088)</f>
        <v>1.088</v>
      </c>
      <c r="E8523" s="16">
        <f>IFERROR(__xludf.DUMMYFUNCTION("""COMPUTED_VALUE"""),67.0)</f>
        <v>67</v>
      </c>
      <c r="F8523" s="19" t="str">
        <f>IFERROR(__xludf.DUMMYFUNCTION("""COMPUTED_VALUE"""),"BLUE")</f>
        <v>BLUE</v>
      </c>
      <c r="G8523" s="20" t="str">
        <f>IFERROR(__xludf.DUMMYFUNCTION("""COMPUTED_VALUE"""),"Uncle Sams Cider (11/12/2021) (Blue)")</f>
        <v>Uncle Sams Cider (11/12/2021) (Blue)</v>
      </c>
      <c r="H8523" s="19"/>
    </row>
    <row r="8524">
      <c r="A8524" s="9"/>
      <c r="B8524" s="15"/>
      <c r="C8524" s="9">
        <f>IFERROR(__xludf.DUMMYFUNCTION("""COMPUTED_VALUE"""),44515.8260311226)</f>
        <v>44515.82603</v>
      </c>
      <c r="D8524" s="15">
        <f>IFERROR(__xludf.DUMMYFUNCTION("""COMPUTED_VALUE"""),1.087)</f>
        <v>1.087</v>
      </c>
      <c r="E8524" s="16">
        <f>IFERROR(__xludf.DUMMYFUNCTION("""COMPUTED_VALUE"""),67.0)</f>
        <v>67</v>
      </c>
      <c r="F8524" s="19" t="str">
        <f>IFERROR(__xludf.DUMMYFUNCTION("""COMPUTED_VALUE"""),"BLUE")</f>
        <v>BLUE</v>
      </c>
      <c r="G8524" s="20" t="str">
        <f>IFERROR(__xludf.DUMMYFUNCTION("""COMPUTED_VALUE"""),"Uncle Sams Cider (11/12/2021) (Blue)")</f>
        <v>Uncle Sams Cider (11/12/2021) (Blue)</v>
      </c>
      <c r="H8524" s="19"/>
    </row>
    <row r="8525">
      <c r="A8525" s="9"/>
      <c r="B8525" s="15"/>
      <c r="C8525" s="9">
        <f>IFERROR(__xludf.DUMMYFUNCTION("""COMPUTED_VALUE"""),44515.8156110069)</f>
        <v>44515.81561</v>
      </c>
      <c r="D8525" s="15">
        <f>IFERROR(__xludf.DUMMYFUNCTION("""COMPUTED_VALUE"""),1.088)</f>
        <v>1.088</v>
      </c>
      <c r="E8525" s="16">
        <f>IFERROR(__xludf.DUMMYFUNCTION("""COMPUTED_VALUE"""),67.0)</f>
        <v>67</v>
      </c>
      <c r="F8525" s="19" t="str">
        <f>IFERROR(__xludf.DUMMYFUNCTION("""COMPUTED_VALUE"""),"BLUE")</f>
        <v>BLUE</v>
      </c>
      <c r="G8525" s="20" t="str">
        <f>IFERROR(__xludf.DUMMYFUNCTION("""COMPUTED_VALUE"""),"Uncle Sams Cider (11/12/2021) (Blue)")</f>
        <v>Uncle Sams Cider (11/12/2021) (Blue)</v>
      </c>
      <c r="H8525" s="19"/>
    </row>
    <row r="8526">
      <c r="A8526" s="9"/>
      <c r="B8526" s="15"/>
      <c r="C8526" s="9">
        <f>IFERROR(__xludf.DUMMYFUNCTION("""COMPUTED_VALUE"""),44515.8051907291)</f>
        <v>44515.80519</v>
      </c>
      <c r="D8526" s="15">
        <f>IFERROR(__xludf.DUMMYFUNCTION("""COMPUTED_VALUE"""),1.088)</f>
        <v>1.088</v>
      </c>
      <c r="E8526" s="16">
        <f>IFERROR(__xludf.DUMMYFUNCTION("""COMPUTED_VALUE"""),67.0)</f>
        <v>67</v>
      </c>
      <c r="F8526" s="19" t="str">
        <f>IFERROR(__xludf.DUMMYFUNCTION("""COMPUTED_VALUE"""),"BLUE")</f>
        <v>BLUE</v>
      </c>
      <c r="G8526" s="20" t="str">
        <f>IFERROR(__xludf.DUMMYFUNCTION("""COMPUTED_VALUE"""),"Uncle Sams Cider (11/12/2021) (Blue)")</f>
        <v>Uncle Sams Cider (11/12/2021) (Blue)</v>
      </c>
      <c r="H8526" s="19"/>
    </row>
    <row r="8527">
      <c r="A8527" s="9"/>
      <c r="B8527" s="15"/>
      <c r="C8527" s="9">
        <f>IFERROR(__xludf.DUMMYFUNCTION("""COMPUTED_VALUE"""),44515.7947588541)</f>
        <v>44515.79476</v>
      </c>
      <c r="D8527" s="15">
        <f>IFERROR(__xludf.DUMMYFUNCTION("""COMPUTED_VALUE"""),1.088)</f>
        <v>1.088</v>
      </c>
      <c r="E8527" s="16">
        <f>IFERROR(__xludf.DUMMYFUNCTION("""COMPUTED_VALUE"""),67.0)</f>
        <v>67</v>
      </c>
      <c r="F8527" s="19" t="str">
        <f>IFERROR(__xludf.DUMMYFUNCTION("""COMPUTED_VALUE"""),"BLUE")</f>
        <v>BLUE</v>
      </c>
      <c r="G8527" s="20" t="str">
        <f>IFERROR(__xludf.DUMMYFUNCTION("""COMPUTED_VALUE"""),"Uncle Sams Cider (11/12/2021) (Blue)")</f>
        <v>Uncle Sams Cider (11/12/2021) (Blue)</v>
      </c>
      <c r="H8527" s="19"/>
    </row>
    <row r="8528">
      <c r="A8528" s="9"/>
      <c r="B8528" s="15"/>
      <c r="C8528" s="9">
        <f>IFERROR(__xludf.DUMMYFUNCTION("""COMPUTED_VALUE"""),44515.7843367476)</f>
        <v>44515.78434</v>
      </c>
      <c r="D8528" s="15">
        <f>IFERROR(__xludf.DUMMYFUNCTION("""COMPUTED_VALUE"""),1.087)</f>
        <v>1.087</v>
      </c>
      <c r="E8528" s="16">
        <f>IFERROR(__xludf.DUMMYFUNCTION("""COMPUTED_VALUE"""),67.0)</f>
        <v>67</v>
      </c>
      <c r="F8528" s="19" t="str">
        <f>IFERROR(__xludf.DUMMYFUNCTION("""COMPUTED_VALUE"""),"BLUE")</f>
        <v>BLUE</v>
      </c>
      <c r="G8528" s="20" t="str">
        <f>IFERROR(__xludf.DUMMYFUNCTION("""COMPUTED_VALUE"""),"Uncle Sams Cider (11/12/2021) (Blue)")</f>
        <v>Uncle Sams Cider (11/12/2021) (Blue)</v>
      </c>
      <c r="H8528" s="19"/>
    </row>
    <row r="8529">
      <c r="A8529" s="9"/>
      <c r="B8529" s="15"/>
      <c r="C8529" s="9">
        <f>IFERROR(__xludf.DUMMYFUNCTION("""COMPUTED_VALUE"""),44515.7739157291)</f>
        <v>44515.77392</v>
      </c>
      <c r="D8529" s="15">
        <f>IFERROR(__xludf.DUMMYFUNCTION("""COMPUTED_VALUE"""),1.088)</f>
        <v>1.088</v>
      </c>
      <c r="E8529" s="16">
        <f>IFERROR(__xludf.DUMMYFUNCTION("""COMPUTED_VALUE"""),67.0)</f>
        <v>67</v>
      </c>
      <c r="F8529" s="19" t="str">
        <f>IFERROR(__xludf.DUMMYFUNCTION("""COMPUTED_VALUE"""),"BLUE")</f>
        <v>BLUE</v>
      </c>
      <c r="G8529" s="20" t="str">
        <f>IFERROR(__xludf.DUMMYFUNCTION("""COMPUTED_VALUE"""),"Uncle Sams Cider (11/12/2021) (Blue)")</f>
        <v>Uncle Sams Cider (11/12/2021) (Blue)</v>
      </c>
      <c r="H8529" s="19"/>
    </row>
    <row r="8530">
      <c r="A8530" s="9"/>
      <c r="B8530" s="15"/>
      <c r="C8530" s="9">
        <f>IFERROR(__xludf.DUMMYFUNCTION("""COMPUTED_VALUE"""),44515.7634927083)</f>
        <v>44515.76349</v>
      </c>
      <c r="D8530" s="15">
        <f>IFERROR(__xludf.DUMMYFUNCTION("""COMPUTED_VALUE"""),1.089)</f>
        <v>1.089</v>
      </c>
      <c r="E8530" s="16">
        <f>IFERROR(__xludf.DUMMYFUNCTION("""COMPUTED_VALUE"""),67.0)</f>
        <v>67</v>
      </c>
      <c r="F8530" s="19" t="str">
        <f>IFERROR(__xludf.DUMMYFUNCTION("""COMPUTED_VALUE"""),"BLUE")</f>
        <v>BLUE</v>
      </c>
      <c r="G8530" s="20" t="str">
        <f>IFERROR(__xludf.DUMMYFUNCTION("""COMPUTED_VALUE"""),"Uncle Sams Cider (11/12/2021) (Blue)")</f>
        <v>Uncle Sams Cider (11/12/2021) (Blue)</v>
      </c>
      <c r="H8530" s="19"/>
    </row>
    <row r="8531">
      <c r="A8531" s="9"/>
      <c r="B8531" s="15"/>
      <c r="C8531" s="9">
        <f>IFERROR(__xludf.DUMMYFUNCTION("""COMPUTED_VALUE"""),44515.7530695833)</f>
        <v>44515.75307</v>
      </c>
      <c r="D8531" s="15">
        <f>IFERROR(__xludf.DUMMYFUNCTION("""COMPUTED_VALUE"""),1.089)</f>
        <v>1.089</v>
      </c>
      <c r="E8531" s="16">
        <f>IFERROR(__xludf.DUMMYFUNCTION("""COMPUTED_VALUE"""),67.0)</f>
        <v>67</v>
      </c>
      <c r="F8531" s="19" t="str">
        <f>IFERROR(__xludf.DUMMYFUNCTION("""COMPUTED_VALUE"""),"BLUE")</f>
        <v>BLUE</v>
      </c>
      <c r="G8531" s="20" t="str">
        <f>IFERROR(__xludf.DUMMYFUNCTION("""COMPUTED_VALUE"""),"Uncle Sams Cider (11/12/2021) (Blue)")</f>
        <v>Uncle Sams Cider (11/12/2021) (Blue)</v>
      </c>
      <c r="H8531" s="19"/>
    </row>
    <row r="8532">
      <c r="A8532" s="9"/>
      <c r="B8532" s="15"/>
      <c r="C8532" s="9">
        <f>IFERROR(__xludf.DUMMYFUNCTION("""COMPUTED_VALUE"""),44515.7426476273)</f>
        <v>44515.74265</v>
      </c>
      <c r="D8532" s="15">
        <f>IFERROR(__xludf.DUMMYFUNCTION("""COMPUTED_VALUE"""),1.089)</f>
        <v>1.089</v>
      </c>
      <c r="E8532" s="16">
        <f>IFERROR(__xludf.DUMMYFUNCTION("""COMPUTED_VALUE"""),67.0)</f>
        <v>67</v>
      </c>
      <c r="F8532" s="19" t="str">
        <f>IFERROR(__xludf.DUMMYFUNCTION("""COMPUTED_VALUE"""),"BLUE")</f>
        <v>BLUE</v>
      </c>
      <c r="G8532" s="20" t="str">
        <f>IFERROR(__xludf.DUMMYFUNCTION("""COMPUTED_VALUE"""),"Uncle Sams Cider (11/12/2021) (Blue)")</f>
        <v>Uncle Sams Cider (11/12/2021) (Blue)</v>
      </c>
      <c r="H8532" s="19"/>
    </row>
    <row r="8533">
      <c r="A8533" s="9"/>
      <c r="B8533" s="15"/>
      <c r="C8533" s="9">
        <f>IFERROR(__xludf.DUMMYFUNCTION("""COMPUTED_VALUE"""),44515.7322246527)</f>
        <v>44515.73222</v>
      </c>
      <c r="D8533" s="15">
        <f>IFERROR(__xludf.DUMMYFUNCTION("""COMPUTED_VALUE"""),1.088)</f>
        <v>1.088</v>
      </c>
      <c r="E8533" s="16">
        <f>IFERROR(__xludf.DUMMYFUNCTION("""COMPUTED_VALUE"""),67.0)</f>
        <v>67</v>
      </c>
      <c r="F8533" s="19" t="str">
        <f>IFERROR(__xludf.DUMMYFUNCTION("""COMPUTED_VALUE"""),"BLUE")</f>
        <v>BLUE</v>
      </c>
      <c r="G8533" s="20" t="str">
        <f>IFERROR(__xludf.DUMMYFUNCTION("""COMPUTED_VALUE"""),"Uncle Sams Cider (11/12/2021) (Blue)")</f>
        <v>Uncle Sams Cider (11/12/2021) (Blue)</v>
      </c>
      <c r="H8533" s="19"/>
    </row>
    <row r="8534">
      <c r="A8534" s="9"/>
      <c r="B8534" s="15"/>
      <c r="C8534" s="9">
        <f>IFERROR(__xludf.DUMMYFUNCTION("""COMPUTED_VALUE"""),44515.7218038078)</f>
        <v>44515.7218</v>
      </c>
      <c r="D8534" s="15">
        <f>IFERROR(__xludf.DUMMYFUNCTION("""COMPUTED_VALUE"""),1.089)</f>
        <v>1.089</v>
      </c>
      <c r="E8534" s="16">
        <f>IFERROR(__xludf.DUMMYFUNCTION("""COMPUTED_VALUE"""),67.0)</f>
        <v>67</v>
      </c>
      <c r="F8534" s="19" t="str">
        <f>IFERROR(__xludf.DUMMYFUNCTION("""COMPUTED_VALUE"""),"BLUE")</f>
        <v>BLUE</v>
      </c>
      <c r="G8534" s="20" t="str">
        <f>IFERROR(__xludf.DUMMYFUNCTION("""COMPUTED_VALUE"""),"Uncle Sams Cider (11/12/2021) (Blue)")</f>
        <v>Uncle Sams Cider (11/12/2021) (Blue)</v>
      </c>
      <c r="H8534" s="19"/>
    </row>
    <row r="8535">
      <c r="A8535" s="9"/>
      <c r="B8535" s="15"/>
      <c r="C8535" s="9">
        <f>IFERROR(__xludf.DUMMYFUNCTION("""COMPUTED_VALUE"""),44515.711369537)</f>
        <v>44515.71137</v>
      </c>
      <c r="D8535" s="15">
        <f>IFERROR(__xludf.DUMMYFUNCTION("""COMPUTED_VALUE"""),1.088)</f>
        <v>1.088</v>
      </c>
      <c r="E8535" s="16">
        <f>IFERROR(__xludf.DUMMYFUNCTION("""COMPUTED_VALUE"""),67.0)</f>
        <v>67</v>
      </c>
      <c r="F8535" s="19" t="str">
        <f>IFERROR(__xludf.DUMMYFUNCTION("""COMPUTED_VALUE"""),"BLUE")</f>
        <v>BLUE</v>
      </c>
      <c r="G8535" s="20" t="str">
        <f>IFERROR(__xludf.DUMMYFUNCTION("""COMPUTED_VALUE"""),"Uncle Sams Cider (11/12/2021) (Blue)")</f>
        <v>Uncle Sams Cider (11/12/2021) (Blue)</v>
      </c>
      <c r="H8535" s="19"/>
    </row>
    <row r="8536">
      <c r="A8536" s="9"/>
      <c r="B8536" s="15"/>
      <c r="C8536" s="9">
        <f>IFERROR(__xludf.DUMMYFUNCTION("""COMPUTED_VALUE"""),44515.7009479629)</f>
        <v>44515.70095</v>
      </c>
      <c r="D8536" s="15">
        <f>IFERROR(__xludf.DUMMYFUNCTION("""COMPUTED_VALUE"""),1.089)</f>
        <v>1.089</v>
      </c>
      <c r="E8536" s="16">
        <f>IFERROR(__xludf.DUMMYFUNCTION("""COMPUTED_VALUE"""),67.0)</f>
        <v>67</v>
      </c>
      <c r="F8536" s="19" t="str">
        <f>IFERROR(__xludf.DUMMYFUNCTION("""COMPUTED_VALUE"""),"BLUE")</f>
        <v>BLUE</v>
      </c>
      <c r="G8536" s="20" t="str">
        <f>IFERROR(__xludf.DUMMYFUNCTION("""COMPUTED_VALUE"""),"Uncle Sams Cider (11/12/2021) (Blue)")</f>
        <v>Uncle Sams Cider (11/12/2021) (Blue)</v>
      </c>
      <c r="H8536" s="19"/>
    </row>
    <row r="8537">
      <c r="A8537" s="9"/>
      <c r="B8537" s="15"/>
      <c r="C8537" s="9">
        <f>IFERROR(__xludf.DUMMYFUNCTION("""COMPUTED_VALUE"""),44515.6905277777)</f>
        <v>44515.69053</v>
      </c>
      <c r="D8537" s="15">
        <f>IFERROR(__xludf.DUMMYFUNCTION("""COMPUTED_VALUE"""),1.088)</f>
        <v>1.088</v>
      </c>
      <c r="E8537" s="16">
        <f>IFERROR(__xludf.DUMMYFUNCTION("""COMPUTED_VALUE"""),67.0)</f>
        <v>67</v>
      </c>
      <c r="F8537" s="19" t="str">
        <f>IFERROR(__xludf.DUMMYFUNCTION("""COMPUTED_VALUE"""),"BLUE")</f>
        <v>BLUE</v>
      </c>
      <c r="G8537" s="20" t="str">
        <f>IFERROR(__xludf.DUMMYFUNCTION("""COMPUTED_VALUE"""),"Uncle Sams Cider (11/12/2021) (Blue)")</f>
        <v>Uncle Sams Cider (11/12/2021) (Blue)</v>
      </c>
      <c r="H8537" s="19"/>
    </row>
    <row r="8538">
      <c r="A8538" s="9"/>
      <c r="B8538" s="15"/>
      <c r="C8538" s="9">
        <f>IFERROR(__xludf.DUMMYFUNCTION("""COMPUTED_VALUE"""),44515.680105324)</f>
        <v>44515.68011</v>
      </c>
      <c r="D8538" s="15">
        <f>IFERROR(__xludf.DUMMYFUNCTION("""COMPUTED_VALUE"""),1.089)</f>
        <v>1.089</v>
      </c>
      <c r="E8538" s="16">
        <f>IFERROR(__xludf.DUMMYFUNCTION("""COMPUTED_VALUE"""),67.0)</f>
        <v>67</v>
      </c>
      <c r="F8538" s="19" t="str">
        <f>IFERROR(__xludf.DUMMYFUNCTION("""COMPUTED_VALUE"""),"BLUE")</f>
        <v>BLUE</v>
      </c>
      <c r="G8538" s="20" t="str">
        <f>IFERROR(__xludf.DUMMYFUNCTION("""COMPUTED_VALUE"""),"Uncle Sams Cider (11/12/2021) (Blue)")</f>
        <v>Uncle Sams Cider (11/12/2021) (Blue)</v>
      </c>
      <c r="H8538" s="19"/>
    </row>
    <row r="8539">
      <c r="A8539" s="9"/>
      <c r="B8539" s="15"/>
      <c r="C8539" s="9">
        <f>IFERROR(__xludf.DUMMYFUNCTION("""COMPUTED_VALUE"""),44515.6696859722)</f>
        <v>44515.66969</v>
      </c>
      <c r="D8539" s="15">
        <f>IFERROR(__xludf.DUMMYFUNCTION("""COMPUTED_VALUE"""),1.088)</f>
        <v>1.088</v>
      </c>
      <c r="E8539" s="16">
        <f>IFERROR(__xludf.DUMMYFUNCTION("""COMPUTED_VALUE"""),67.0)</f>
        <v>67</v>
      </c>
      <c r="F8539" s="19" t="str">
        <f>IFERROR(__xludf.DUMMYFUNCTION("""COMPUTED_VALUE"""),"BLUE")</f>
        <v>BLUE</v>
      </c>
      <c r="G8539" s="20" t="str">
        <f>IFERROR(__xludf.DUMMYFUNCTION("""COMPUTED_VALUE"""),"Uncle Sams Cider (11/12/2021) (Blue)")</f>
        <v>Uncle Sams Cider (11/12/2021) (Blue)</v>
      </c>
      <c r="H8539" s="19"/>
    </row>
    <row r="8540">
      <c r="A8540" s="9"/>
      <c r="B8540" s="15"/>
      <c r="C8540" s="9">
        <f>IFERROR(__xludf.DUMMYFUNCTION("""COMPUTED_VALUE"""),44515.6592640856)</f>
        <v>44515.65926</v>
      </c>
      <c r="D8540" s="15">
        <f>IFERROR(__xludf.DUMMYFUNCTION("""COMPUTED_VALUE"""),1.09)</f>
        <v>1.09</v>
      </c>
      <c r="E8540" s="16">
        <f>IFERROR(__xludf.DUMMYFUNCTION("""COMPUTED_VALUE"""),67.0)</f>
        <v>67</v>
      </c>
      <c r="F8540" s="19" t="str">
        <f>IFERROR(__xludf.DUMMYFUNCTION("""COMPUTED_VALUE"""),"BLUE")</f>
        <v>BLUE</v>
      </c>
      <c r="G8540" s="20" t="str">
        <f>IFERROR(__xludf.DUMMYFUNCTION("""COMPUTED_VALUE"""),"Uncle Sams Cider (11/12/2021) (Blue)")</f>
        <v>Uncle Sams Cider (11/12/2021) (Blue)</v>
      </c>
      <c r="H8540" s="19"/>
    </row>
    <row r="8541">
      <c r="A8541" s="9"/>
      <c r="B8541" s="15"/>
      <c r="C8541" s="9">
        <f>IFERROR(__xludf.DUMMYFUNCTION("""COMPUTED_VALUE"""),44515.6488430324)</f>
        <v>44515.64884</v>
      </c>
      <c r="D8541" s="15">
        <f>IFERROR(__xludf.DUMMYFUNCTION("""COMPUTED_VALUE"""),1.089)</f>
        <v>1.089</v>
      </c>
      <c r="E8541" s="16">
        <f>IFERROR(__xludf.DUMMYFUNCTION("""COMPUTED_VALUE"""),67.0)</f>
        <v>67</v>
      </c>
      <c r="F8541" s="19" t="str">
        <f>IFERROR(__xludf.DUMMYFUNCTION("""COMPUTED_VALUE"""),"BLUE")</f>
        <v>BLUE</v>
      </c>
      <c r="G8541" s="20" t="str">
        <f>IFERROR(__xludf.DUMMYFUNCTION("""COMPUTED_VALUE"""),"Uncle Sams Cider (11/12/2021) (Blue)")</f>
        <v>Uncle Sams Cider (11/12/2021) (Blue)</v>
      </c>
      <c r="H8541" s="19"/>
    </row>
    <row r="8542">
      <c r="A8542" s="9"/>
      <c r="B8542" s="15"/>
      <c r="C8542" s="9">
        <f>IFERROR(__xludf.DUMMYFUNCTION("""COMPUTED_VALUE"""),44515.6384206828)</f>
        <v>44515.63842</v>
      </c>
      <c r="D8542" s="15">
        <f>IFERROR(__xludf.DUMMYFUNCTION("""COMPUTED_VALUE"""),1.089)</f>
        <v>1.089</v>
      </c>
      <c r="E8542" s="16">
        <f>IFERROR(__xludf.DUMMYFUNCTION("""COMPUTED_VALUE"""),67.0)</f>
        <v>67</v>
      </c>
      <c r="F8542" s="19" t="str">
        <f>IFERROR(__xludf.DUMMYFUNCTION("""COMPUTED_VALUE"""),"BLUE")</f>
        <v>BLUE</v>
      </c>
      <c r="G8542" s="20" t="str">
        <f>IFERROR(__xludf.DUMMYFUNCTION("""COMPUTED_VALUE"""),"Uncle Sams Cider (11/12/2021) (Blue)")</f>
        <v>Uncle Sams Cider (11/12/2021) (Blue)</v>
      </c>
      <c r="H8542" s="19"/>
    </row>
    <row r="8543">
      <c r="A8543" s="9"/>
      <c r="B8543" s="15"/>
      <c r="C8543" s="9">
        <f>IFERROR(__xludf.DUMMYFUNCTION("""COMPUTED_VALUE"""),44515.6279980324)</f>
        <v>44515.628</v>
      </c>
      <c r="D8543" s="15">
        <f>IFERROR(__xludf.DUMMYFUNCTION("""COMPUTED_VALUE"""),1.089)</f>
        <v>1.089</v>
      </c>
      <c r="E8543" s="16">
        <f>IFERROR(__xludf.DUMMYFUNCTION("""COMPUTED_VALUE"""),67.0)</f>
        <v>67</v>
      </c>
      <c r="F8543" s="19" t="str">
        <f>IFERROR(__xludf.DUMMYFUNCTION("""COMPUTED_VALUE"""),"BLUE")</f>
        <v>BLUE</v>
      </c>
      <c r="G8543" s="20" t="str">
        <f>IFERROR(__xludf.DUMMYFUNCTION("""COMPUTED_VALUE"""),"Uncle Sams Cider (11/12/2021) (Blue)")</f>
        <v>Uncle Sams Cider (11/12/2021) (Blue)</v>
      </c>
      <c r="H8543" s="19"/>
    </row>
    <row r="8544">
      <c r="A8544" s="9"/>
      <c r="B8544" s="15"/>
      <c r="C8544" s="9">
        <f>IFERROR(__xludf.DUMMYFUNCTION("""COMPUTED_VALUE"""),44515.6175787847)</f>
        <v>44515.61758</v>
      </c>
      <c r="D8544" s="15">
        <f>IFERROR(__xludf.DUMMYFUNCTION("""COMPUTED_VALUE"""),1.091)</f>
        <v>1.091</v>
      </c>
      <c r="E8544" s="16">
        <f>IFERROR(__xludf.DUMMYFUNCTION("""COMPUTED_VALUE"""),67.0)</f>
        <v>67</v>
      </c>
      <c r="F8544" s="19" t="str">
        <f>IFERROR(__xludf.DUMMYFUNCTION("""COMPUTED_VALUE"""),"BLUE")</f>
        <v>BLUE</v>
      </c>
      <c r="G8544" s="20" t="str">
        <f>IFERROR(__xludf.DUMMYFUNCTION("""COMPUTED_VALUE"""),"Uncle Sams Cider (11/12/2021) (Blue)")</f>
        <v>Uncle Sams Cider (11/12/2021) (Blue)</v>
      </c>
      <c r="H8544" s="19"/>
    </row>
    <row r="8545">
      <c r="A8545" s="9"/>
      <c r="B8545" s="15"/>
      <c r="C8545" s="9">
        <f>IFERROR(__xludf.DUMMYFUNCTION("""COMPUTED_VALUE"""),44515.6071313541)</f>
        <v>44515.60713</v>
      </c>
      <c r="D8545" s="15">
        <f>IFERROR(__xludf.DUMMYFUNCTION("""COMPUTED_VALUE"""),1.089)</f>
        <v>1.089</v>
      </c>
      <c r="E8545" s="16">
        <f>IFERROR(__xludf.DUMMYFUNCTION("""COMPUTED_VALUE"""),67.0)</f>
        <v>67</v>
      </c>
      <c r="F8545" s="19" t="str">
        <f>IFERROR(__xludf.DUMMYFUNCTION("""COMPUTED_VALUE"""),"BLUE")</f>
        <v>BLUE</v>
      </c>
      <c r="G8545" s="20" t="str">
        <f>IFERROR(__xludf.DUMMYFUNCTION("""COMPUTED_VALUE"""),"Uncle Sams Cider (11/12/2021) (Blue)")</f>
        <v>Uncle Sams Cider (11/12/2021) (Blue)</v>
      </c>
      <c r="H8545" s="19"/>
    </row>
    <row r="8546">
      <c r="A8546" s="9"/>
      <c r="B8546" s="15"/>
      <c r="C8546" s="9">
        <f>IFERROR(__xludf.DUMMYFUNCTION("""COMPUTED_VALUE"""),44515.5967088657)</f>
        <v>44515.59671</v>
      </c>
      <c r="D8546" s="15">
        <f>IFERROR(__xludf.DUMMYFUNCTION("""COMPUTED_VALUE"""),1.091)</f>
        <v>1.091</v>
      </c>
      <c r="E8546" s="16">
        <f>IFERROR(__xludf.DUMMYFUNCTION("""COMPUTED_VALUE"""),67.0)</f>
        <v>67</v>
      </c>
      <c r="F8546" s="19" t="str">
        <f>IFERROR(__xludf.DUMMYFUNCTION("""COMPUTED_VALUE"""),"BLUE")</f>
        <v>BLUE</v>
      </c>
      <c r="G8546" s="20" t="str">
        <f>IFERROR(__xludf.DUMMYFUNCTION("""COMPUTED_VALUE"""),"Uncle Sams Cider (11/12/2021) (Blue)")</f>
        <v>Uncle Sams Cider (11/12/2021) (Blue)</v>
      </c>
      <c r="H8546" s="19"/>
    </row>
    <row r="8547">
      <c r="A8547" s="9"/>
      <c r="B8547" s="15"/>
      <c r="C8547" s="9">
        <f>IFERROR(__xludf.DUMMYFUNCTION("""COMPUTED_VALUE"""),44515.5862893634)</f>
        <v>44515.58629</v>
      </c>
      <c r="D8547" s="15">
        <f>IFERROR(__xludf.DUMMYFUNCTION("""COMPUTED_VALUE"""),1.089)</f>
        <v>1.089</v>
      </c>
      <c r="E8547" s="16">
        <f>IFERROR(__xludf.DUMMYFUNCTION("""COMPUTED_VALUE"""),67.0)</f>
        <v>67</v>
      </c>
      <c r="F8547" s="19" t="str">
        <f>IFERROR(__xludf.DUMMYFUNCTION("""COMPUTED_VALUE"""),"BLUE")</f>
        <v>BLUE</v>
      </c>
      <c r="G8547" s="20" t="str">
        <f>IFERROR(__xludf.DUMMYFUNCTION("""COMPUTED_VALUE"""),"Uncle Sams Cider (11/12/2021) (Blue)")</f>
        <v>Uncle Sams Cider (11/12/2021) (Blue)</v>
      </c>
      <c r="H8547" s="19"/>
    </row>
    <row r="8548">
      <c r="A8548" s="9"/>
      <c r="B8548" s="15"/>
      <c r="C8548" s="9">
        <f>IFERROR(__xludf.DUMMYFUNCTION("""COMPUTED_VALUE"""),44515.5758684953)</f>
        <v>44515.57587</v>
      </c>
      <c r="D8548" s="15">
        <f>IFERROR(__xludf.DUMMYFUNCTION("""COMPUTED_VALUE"""),1.091)</f>
        <v>1.091</v>
      </c>
      <c r="E8548" s="16">
        <f>IFERROR(__xludf.DUMMYFUNCTION("""COMPUTED_VALUE"""),67.0)</f>
        <v>67</v>
      </c>
      <c r="F8548" s="19" t="str">
        <f>IFERROR(__xludf.DUMMYFUNCTION("""COMPUTED_VALUE"""),"BLUE")</f>
        <v>BLUE</v>
      </c>
      <c r="G8548" s="20" t="str">
        <f>IFERROR(__xludf.DUMMYFUNCTION("""COMPUTED_VALUE"""),"Uncle Sams Cider (11/12/2021) (Blue)")</f>
        <v>Uncle Sams Cider (11/12/2021) (Blue)</v>
      </c>
      <c r="H8548" s="19"/>
    </row>
    <row r="8549">
      <c r="A8549" s="9"/>
      <c r="B8549" s="15"/>
      <c r="C8549" s="9">
        <f>IFERROR(__xludf.DUMMYFUNCTION("""COMPUTED_VALUE"""),44515.5654507291)</f>
        <v>44515.56545</v>
      </c>
      <c r="D8549" s="15">
        <f>IFERROR(__xludf.DUMMYFUNCTION("""COMPUTED_VALUE"""),1.091)</f>
        <v>1.091</v>
      </c>
      <c r="E8549" s="16">
        <f>IFERROR(__xludf.DUMMYFUNCTION("""COMPUTED_VALUE"""),67.0)</f>
        <v>67</v>
      </c>
      <c r="F8549" s="19" t="str">
        <f>IFERROR(__xludf.DUMMYFUNCTION("""COMPUTED_VALUE"""),"BLUE")</f>
        <v>BLUE</v>
      </c>
      <c r="G8549" s="20" t="str">
        <f>IFERROR(__xludf.DUMMYFUNCTION("""COMPUTED_VALUE"""),"Uncle Sams Cider (11/12/2021) (Blue)")</f>
        <v>Uncle Sams Cider (11/12/2021) (Blue)</v>
      </c>
      <c r="H8549" s="19"/>
    </row>
    <row r="8550">
      <c r="A8550" s="9"/>
      <c r="B8550" s="15"/>
      <c r="C8550" s="9">
        <f>IFERROR(__xludf.DUMMYFUNCTION("""COMPUTED_VALUE"""),44515.5550276041)</f>
        <v>44515.55503</v>
      </c>
      <c r="D8550" s="15">
        <f>IFERROR(__xludf.DUMMYFUNCTION("""COMPUTED_VALUE"""),1.091)</f>
        <v>1.091</v>
      </c>
      <c r="E8550" s="16">
        <f>IFERROR(__xludf.DUMMYFUNCTION("""COMPUTED_VALUE"""),67.0)</f>
        <v>67</v>
      </c>
      <c r="F8550" s="19" t="str">
        <f>IFERROR(__xludf.DUMMYFUNCTION("""COMPUTED_VALUE"""),"BLUE")</f>
        <v>BLUE</v>
      </c>
      <c r="G8550" s="20" t="str">
        <f>IFERROR(__xludf.DUMMYFUNCTION("""COMPUTED_VALUE"""),"Uncle Sams Cider (11/12/2021) (Blue)")</f>
        <v>Uncle Sams Cider (11/12/2021) (Blue)</v>
      </c>
      <c r="H8550" s="19"/>
    </row>
    <row r="8551">
      <c r="A8551" s="9"/>
      <c r="B8551" s="15"/>
      <c r="C8551" s="9">
        <f>IFERROR(__xludf.DUMMYFUNCTION("""COMPUTED_VALUE"""),44515.5446071875)</f>
        <v>44515.54461</v>
      </c>
      <c r="D8551" s="15">
        <f>IFERROR(__xludf.DUMMYFUNCTION("""COMPUTED_VALUE"""),1.09)</f>
        <v>1.09</v>
      </c>
      <c r="E8551" s="16">
        <f>IFERROR(__xludf.DUMMYFUNCTION("""COMPUTED_VALUE"""),67.0)</f>
        <v>67</v>
      </c>
      <c r="F8551" s="19" t="str">
        <f>IFERROR(__xludf.DUMMYFUNCTION("""COMPUTED_VALUE"""),"BLUE")</f>
        <v>BLUE</v>
      </c>
      <c r="G8551" s="20" t="str">
        <f>IFERROR(__xludf.DUMMYFUNCTION("""COMPUTED_VALUE"""),"Uncle Sams Cider (11/12/2021) (Blue)")</f>
        <v>Uncle Sams Cider (11/12/2021) (Blue)</v>
      </c>
      <c r="H8551" s="19"/>
    </row>
    <row r="8552">
      <c r="A8552" s="9"/>
      <c r="B8552" s="15"/>
      <c r="C8552" s="9">
        <f>IFERROR(__xludf.DUMMYFUNCTION("""COMPUTED_VALUE"""),44515.5341876736)</f>
        <v>44515.53419</v>
      </c>
      <c r="D8552" s="15">
        <f>IFERROR(__xludf.DUMMYFUNCTION("""COMPUTED_VALUE"""),1.091)</f>
        <v>1.091</v>
      </c>
      <c r="E8552" s="16">
        <f>IFERROR(__xludf.DUMMYFUNCTION("""COMPUTED_VALUE"""),67.0)</f>
        <v>67</v>
      </c>
      <c r="F8552" s="19" t="str">
        <f>IFERROR(__xludf.DUMMYFUNCTION("""COMPUTED_VALUE"""),"BLUE")</f>
        <v>BLUE</v>
      </c>
      <c r="G8552" s="20" t="str">
        <f>IFERROR(__xludf.DUMMYFUNCTION("""COMPUTED_VALUE"""),"Uncle Sams Cider (11/12/2021) (Blue)")</f>
        <v>Uncle Sams Cider (11/12/2021) (Blue)</v>
      </c>
      <c r="H8552" s="19"/>
    </row>
    <row r="8553">
      <c r="A8553" s="9"/>
      <c r="B8553" s="15"/>
      <c r="C8553" s="9">
        <f>IFERROR(__xludf.DUMMYFUNCTION("""COMPUTED_VALUE"""),44515.5237660763)</f>
        <v>44515.52377</v>
      </c>
      <c r="D8553" s="15">
        <f>IFERROR(__xludf.DUMMYFUNCTION("""COMPUTED_VALUE"""),1.09)</f>
        <v>1.09</v>
      </c>
      <c r="E8553" s="16">
        <f>IFERROR(__xludf.DUMMYFUNCTION("""COMPUTED_VALUE"""),67.0)</f>
        <v>67</v>
      </c>
      <c r="F8553" s="19" t="str">
        <f>IFERROR(__xludf.DUMMYFUNCTION("""COMPUTED_VALUE"""),"BLUE")</f>
        <v>BLUE</v>
      </c>
      <c r="G8553" s="20" t="str">
        <f>IFERROR(__xludf.DUMMYFUNCTION("""COMPUTED_VALUE"""),"Uncle Sams Cider (11/12/2021) (Blue)")</f>
        <v>Uncle Sams Cider (11/12/2021) (Blue)</v>
      </c>
      <c r="H8553" s="19"/>
    </row>
    <row r="8554">
      <c r="A8554" s="9"/>
      <c r="B8554" s="15"/>
      <c r="C8554" s="9">
        <f>IFERROR(__xludf.DUMMYFUNCTION("""COMPUTED_VALUE"""),44515.5133437384)</f>
        <v>44515.51334</v>
      </c>
      <c r="D8554" s="15">
        <f>IFERROR(__xludf.DUMMYFUNCTION("""COMPUTED_VALUE"""),1.091)</f>
        <v>1.091</v>
      </c>
      <c r="E8554" s="16">
        <f>IFERROR(__xludf.DUMMYFUNCTION("""COMPUTED_VALUE"""),66.0)</f>
        <v>66</v>
      </c>
      <c r="F8554" s="19" t="str">
        <f>IFERROR(__xludf.DUMMYFUNCTION("""COMPUTED_VALUE"""),"BLUE")</f>
        <v>BLUE</v>
      </c>
      <c r="G8554" s="20" t="str">
        <f>IFERROR(__xludf.DUMMYFUNCTION("""COMPUTED_VALUE"""),"Uncle Sams Cider (11/12/2021) (Blue)")</f>
        <v>Uncle Sams Cider (11/12/2021) (Blue)</v>
      </c>
      <c r="H8554" s="19"/>
    </row>
    <row r="8555">
      <c r="A8555" s="9"/>
      <c r="B8555" s="15"/>
      <c r="C8555" s="9">
        <f>IFERROR(__xludf.DUMMYFUNCTION("""COMPUTED_VALUE"""),44515.5029223263)</f>
        <v>44515.50292</v>
      </c>
      <c r="D8555" s="15">
        <f>IFERROR(__xludf.DUMMYFUNCTION("""COMPUTED_VALUE"""),1.091)</f>
        <v>1.091</v>
      </c>
      <c r="E8555" s="16">
        <f>IFERROR(__xludf.DUMMYFUNCTION("""COMPUTED_VALUE"""),66.0)</f>
        <v>66</v>
      </c>
      <c r="F8555" s="19" t="str">
        <f>IFERROR(__xludf.DUMMYFUNCTION("""COMPUTED_VALUE"""),"BLUE")</f>
        <v>BLUE</v>
      </c>
      <c r="G8555" s="20" t="str">
        <f>IFERROR(__xludf.DUMMYFUNCTION("""COMPUTED_VALUE"""),"Uncle Sams Cider (11/12/2021) (Blue)")</f>
        <v>Uncle Sams Cider (11/12/2021) (Blue)</v>
      </c>
      <c r="H8555" s="19"/>
    </row>
    <row r="8556">
      <c r="A8556" s="9"/>
      <c r="B8556" s="15"/>
      <c r="C8556" s="9">
        <f>IFERROR(__xludf.DUMMYFUNCTION("""COMPUTED_VALUE"""),44515.4925005902)</f>
        <v>44515.4925</v>
      </c>
      <c r="D8556" s="15">
        <f>IFERROR(__xludf.DUMMYFUNCTION("""COMPUTED_VALUE"""),1.092)</f>
        <v>1.092</v>
      </c>
      <c r="E8556" s="16">
        <f>IFERROR(__xludf.DUMMYFUNCTION("""COMPUTED_VALUE"""),66.0)</f>
        <v>66</v>
      </c>
      <c r="F8556" s="19" t="str">
        <f>IFERROR(__xludf.DUMMYFUNCTION("""COMPUTED_VALUE"""),"BLUE")</f>
        <v>BLUE</v>
      </c>
      <c r="G8556" s="20" t="str">
        <f>IFERROR(__xludf.DUMMYFUNCTION("""COMPUTED_VALUE"""),"Uncle Sams Cider (11/12/2021) (Blue)")</f>
        <v>Uncle Sams Cider (11/12/2021) (Blue)</v>
      </c>
      <c r="H8556" s="19"/>
    </row>
    <row r="8557">
      <c r="A8557" s="9"/>
      <c r="B8557" s="15"/>
      <c r="C8557" s="9">
        <f>IFERROR(__xludf.DUMMYFUNCTION("""COMPUTED_VALUE"""),44515.482067581)</f>
        <v>44515.48207</v>
      </c>
      <c r="D8557" s="15">
        <f>IFERROR(__xludf.DUMMYFUNCTION("""COMPUTED_VALUE"""),1.09)</f>
        <v>1.09</v>
      </c>
      <c r="E8557" s="16">
        <f>IFERROR(__xludf.DUMMYFUNCTION("""COMPUTED_VALUE"""),66.0)</f>
        <v>66</v>
      </c>
      <c r="F8557" s="19" t="str">
        <f>IFERROR(__xludf.DUMMYFUNCTION("""COMPUTED_VALUE"""),"BLUE")</f>
        <v>BLUE</v>
      </c>
      <c r="G8557" s="20" t="str">
        <f>IFERROR(__xludf.DUMMYFUNCTION("""COMPUTED_VALUE"""),"Uncle Sams Cider (11/12/2021) (Blue)")</f>
        <v>Uncle Sams Cider (11/12/2021) (Blue)</v>
      </c>
      <c r="H8557" s="19"/>
    </row>
    <row r="8558">
      <c r="A8558" s="9"/>
      <c r="B8558" s="15"/>
      <c r="C8558" s="9">
        <f>IFERROR(__xludf.DUMMYFUNCTION("""COMPUTED_VALUE"""),44515.4716460995)</f>
        <v>44515.47165</v>
      </c>
      <c r="D8558" s="15">
        <f>IFERROR(__xludf.DUMMYFUNCTION("""COMPUTED_VALUE"""),1.092)</f>
        <v>1.092</v>
      </c>
      <c r="E8558" s="16">
        <f>IFERROR(__xludf.DUMMYFUNCTION("""COMPUTED_VALUE"""),66.0)</f>
        <v>66</v>
      </c>
      <c r="F8558" s="19" t="str">
        <f>IFERROR(__xludf.DUMMYFUNCTION("""COMPUTED_VALUE"""),"BLUE")</f>
        <v>BLUE</v>
      </c>
      <c r="G8558" s="20" t="str">
        <f>IFERROR(__xludf.DUMMYFUNCTION("""COMPUTED_VALUE"""),"Uncle Sams Cider (11/12/2021) (Blue)")</f>
        <v>Uncle Sams Cider (11/12/2021) (Blue)</v>
      </c>
      <c r="H8558" s="19"/>
    </row>
    <row r="8559">
      <c r="A8559" s="9"/>
      <c r="B8559" s="15"/>
      <c r="C8559" s="9">
        <f>IFERROR(__xludf.DUMMYFUNCTION("""COMPUTED_VALUE"""),44515.4612121527)</f>
        <v>44515.46121</v>
      </c>
      <c r="D8559" s="15">
        <f>IFERROR(__xludf.DUMMYFUNCTION("""COMPUTED_VALUE"""),1.092)</f>
        <v>1.092</v>
      </c>
      <c r="E8559" s="16">
        <f>IFERROR(__xludf.DUMMYFUNCTION("""COMPUTED_VALUE"""),66.0)</f>
        <v>66</v>
      </c>
      <c r="F8559" s="19" t="str">
        <f>IFERROR(__xludf.DUMMYFUNCTION("""COMPUTED_VALUE"""),"BLUE")</f>
        <v>BLUE</v>
      </c>
      <c r="G8559" s="20" t="str">
        <f>IFERROR(__xludf.DUMMYFUNCTION("""COMPUTED_VALUE"""),"Uncle Sams Cider (11/12/2021) (Blue)")</f>
        <v>Uncle Sams Cider (11/12/2021) (Blue)</v>
      </c>
      <c r="H8559" s="19"/>
    </row>
    <row r="8560">
      <c r="A8560" s="9"/>
      <c r="B8560" s="15"/>
      <c r="C8560" s="9">
        <f>IFERROR(__xludf.DUMMYFUNCTION("""COMPUTED_VALUE"""),44515.4507786458)</f>
        <v>44515.45078</v>
      </c>
      <c r="D8560" s="15">
        <f>IFERROR(__xludf.DUMMYFUNCTION("""COMPUTED_VALUE"""),1.091)</f>
        <v>1.091</v>
      </c>
      <c r="E8560" s="16">
        <f>IFERROR(__xludf.DUMMYFUNCTION("""COMPUTED_VALUE"""),66.0)</f>
        <v>66</v>
      </c>
      <c r="F8560" s="19" t="str">
        <f>IFERROR(__xludf.DUMMYFUNCTION("""COMPUTED_VALUE"""),"BLUE")</f>
        <v>BLUE</v>
      </c>
      <c r="G8560" s="20" t="str">
        <f>IFERROR(__xludf.DUMMYFUNCTION("""COMPUTED_VALUE"""),"Uncle Sams Cider (11/12/2021) (Blue)")</f>
        <v>Uncle Sams Cider (11/12/2021) (Blue)</v>
      </c>
      <c r="H8560" s="19"/>
    </row>
    <row r="8561">
      <c r="A8561" s="9"/>
      <c r="B8561" s="15"/>
      <c r="C8561" s="9">
        <f>IFERROR(__xludf.DUMMYFUNCTION("""COMPUTED_VALUE"""),44515.4403564236)</f>
        <v>44515.44036</v>
      </c>
      <c r="D8561" s="15">
        <f>IFERROR(__xludf.DUMMYFUNCTION("""COMPUTED_VALUE"""),1.092)</f>
        <v>1.092</v>
      </c>
      <c r="E8561" s="16">
        <f>IFERROR(__xludf.DUMMYFUNCTION("""COMPUTED_VALUE"""),66.0)</f>
        <v>66</v>
      </c>
      <c r="F8561" s="19" t="str">
        <f>IFERROR(__xludf.DUMMYFUNCTION("""COMPUTED_VALUE"""),"BLUE")</f>
        <v>BLUE</v>
      </c>
      <c r="G8561" s="20" t="str">
        <f>IFERROR(__xludf.DUMMYFUNCTION("""COMPUTED_VALUE"""),"Uncle Sams Cider (11/12/2021) (Blue)")</f>
        <v>Uncle Sams Cider (11/12/2021) (Blue)</v>
      </c>
      <c r="H8561" s="19"/>
    </row>
    <row r="8562">
      <c r="A8562" s="9"/>
      <c r="B8562" s="15"/>
      <c r="C8562" s="9">
        <f>IFERROR(__xludf.DUMMYFUNCTION("""COMPUTED_VALUE"""),44515.429936875)</f>
        <v>44515.42994</v>
      </c>
      <c r="D8562" s="15">
        <f>IFERROR(__xludf.DUMMYFUNCTION("""COMPUTED_VALUE"""),1.091)</f>
        <v>1.091</v>
      </c>
      <c r="E8562" s="16">
        <f>IFERROR(__xludf.DUMMYFUNCTION("""COMPUTED_VALUE"""),66.0)</f>
        <v>66</v>
      </c>
      <c r="F8562" s="19" t="str">
        <f>IFERROR(__xludf.DUMMYFUNCTION("""COMPUTED_VALUE"""),"BLUE")</f>
        <v>BLUE</v>
      </c>
      <c r="G8562" s="20" t="str">
        <f>IFERROR(__xludf.DUMMYFUNCTION("""COMPUTED_VALUE"""),"Uncle Sams Cider (11/12/2021) (Blue)")</f>
        <v>Uncle Sams Cider (11/12/2021) (Blue)</v>
      </c>
      <c r="H8562" s="19"/>
    </row>
    <row r="8563">
      <c r="A8563" s="9"/>
      <c r="B8563" s="15"/>
      <c r="C8563" s="9">
        <f>IFERROR(__xludf.DUMMYFUNCTION("""COMPUTED_VALUE"""),44515.4195150925)</f>
        <v>44515.41952</v>
      </c>
      <c r="D8563" s="15">
        <f>IFERROR(__xludf.DUMMYFUNCTION("""COMPUTED_VALUE"""),1.092)</f>
        <v>1.092</v>
      </c>
      <c r="E8563" s="16">
        <f>IFERROR(__xludf.DUMMYFUNCTION("""COMPUTED_VALUE"""),66.0)</f>
        <v>66</v>
      </c>
      <c r="F8563" s="19" t="str">
        <f>IFERROR(__xludf.DUMMYFUNCTION("""COMPUTED_VALUE"""),"BLUE")</f>
        <v>BLUE</v>
      </c>
      <c r="G8563" s="20" t="str">
        <f>IFERROR(__xludf.DUMMYFUNCTION("""COMPUTED_VALUE"""),"Uncle Sams Cider (11/12/2021) (Blue)")</f>
        <v>Uncle Sams Cider (11/12/2021) (Blue)</v>
      </c>
      <c r="H8563" s="19"/>
    </row>
    <row r="8564">
      <c r="A8564" s="9"/>
      <c r="B8564" s="15"/>
      <c r="C8564" s="9">
        <f>IFERROR(__xludf.DUMMYFUNCTION("""COMPUTED_VALUE"""),44515.4090950578)</f>
        <v>44515.4091</v>
      </c>
      <c r="D8564" s="15">
        <f>IFERROR(__xludf.DUMMYFUNCTION("""COMPUTED_VALUE"""),1.091)</f>
        <v>1.091</v>
      </c>
      <c r="E8564" s="16">
        <f>IFERROR(__xludf.DUMMYFUNCTION("""COMPUTED_VALUE"""),66.0)</f>
        <v>66</v>
      </c>
      <c r="F8564" s="19" t="str">
        <f>IFERROR(__xludf.DUMMYFUNCTION("""COMPUTED_VALUE"""),"BLUE")</f>
        <v>BLUE</v>
      </c>
      <c r="G8564" s="20" t="str">
        <f>IFERROR(__xludf.DUMMYFUNCTION("""COMPUTED_VALUE"""),"Uncle Sams Cider (11/12/2021) (Blue)")</f>
        <v>Uncle Sams Cider (11/12/2021) (Blue)</v>
      </c>
      <c r="H8564" s="19"/>
    </row>
    <row r="8565">
      <c r="A8565" s="9"/>
      <c r="B8565" s="15"/>
      <c r="C8565" s="9">
        <f>IFERROR(__xludf.DUMMYFUNCTION("""COMPUTED_VALUE"""),44515.3986738888)</f>
        <v>44515.39867</v>
      </c>
      <c r="D8565" s="15">
        <f>IFERROR(__xludf.DUMMYFUNCTION("""COMPUTED_VALUE"""),1.092)</f>
        <v>1.092</v>
      </c>
      <c r="E8565" s="16">
        <f>IFERROR(__xludf.DUMMYFUNCTION("""COMPUTED_VALUE"""),66.0)</f>
        <v>66</v>
      </c>
      <c r="F8565" s="19" t="str">
        <f>IFERROR(__xludf.DUMMYFUNCTION("""COMPUTED_VALUE"""),"BLUE")</f>
        <v>BLUE</v>
      </c>
      <c r="G8565" s="20" t="str">
        <f>IFERROR(__xludf.DUMMYFUNCTION("""COMPUTED_VALUE"""),"Uncle Sams Cider (11/12/2021) (Blue)")</f>
        <v>Uncle Sams Cider (11/12/2021) (Blue)</v>
      </c>
      <c r="H8565" s="19"/>
    </row>
    <row r="8566">
      <c r="A8566" s="9"/>
      <c r="B8566" s="15"/>
      <c r="C8566" s="9">
        <f>IFERROR(__xludf.DUMMYFUNCTION("""COMPUTED_VALUE"""),44515.388253449)</f>
        <v>44515.38825</v>
      </c>
      <c r="D8566" s="15">
        <f>IFERROR(__xludf.DUMMYFUNCTION("""COMPUTED_VALUE"""),1.092)</f>
        <v>1.092</v>
      </c>
      <c r="E8566" s="16">
        <f>IFERROR(__xludf.DUMMYFUNCTION("""COMPUTED_VALUE"""),66.0)</f>
        <v>66</v>
      </c>
      <c r="F8566" s="19" t="str">
        <f>IFERROR(__xludf.DUMMYFUNCTION("""COMPUTED_VALUE"""),"BLUE")</f>
        <v>BLUE</v>
      </c>
      <c r="G8566" s="20" t="str">
        <f>IFERROR(__xludf.DUMMYFUNCTION("""COMPUTED_VALUE"""),"Uncle Sams Cider (11/12/2021) (Blue)")</f>
        <v>Uncle Sams Cider (11/12/2021) (Blue)</v>
      </c>
      <c r="H8566" s="19"/>
    </row>
    <row r="8567">
      <c r="A8567" s="9"/>
      <c r="B8567" s="15"/>
      <c r="C8567" s="9">
        <f>IFERROR(__xludf.DUMMYFUNCTION("""COMPUTED_VALUE"""),44515.3778337152)</f>
        <v>44515.37783</v>
      </c>
      <c r="D8567" s="15">
        <f>IFERROR(__xludf.DUMMYFUNCTION("""COMPUTED_VALUE"""),1.092)</f>
        <v>1.092</v>
      </c>
      <c r="E8567" s="16">
        <f>IFERROR(__xludf.DUMMYFUNCTION("""COMPUTED_VALUE"""),66.0)</f>
        <v>66</v>
      </c>
      <c r="F8567" s="19" t="str">
        <f>IFERROR(__xludf.DUMMYFUNCTION("""COMPUTED_VALUE"""),"BLUE")</f>
        <v>BLUE</v>
      </c>
      <c r="G8567" s="20" t="str">
        <f>IFERROR(__xludf.DUMMYFUNCTION("""COMPUTED_VALUE"""),"Uncle Sams Cider (11/12/2021) (Blue)")</f>
        <v>Uncle Sams Cider (11/12/2021) (Blue)</v>
      </c>
      <c r="H8567" s="19"/>
    </row>
    <row r="8568">
      <c r="A8568" s="9"/>
      <c r="B8568" s="15"/>
      <c r="C8568" s="9">
        <f>IFERROR(__xludf.DUMMYFUNCTION("""COMPUTED_VALUE"""),44515.36741353)</f>
        <v>44515.36741</v>
      </c>
      <c r="D8568" s="15">
        <f>IFERROR(__xludf.DUMMYFUNCTION("""COMPUTED_VALUE"""),1.092)</f>
        <v>1.092</v>
      </c>
      <c r="E8568" s="16">
        <f>IFERROR(__xludf.DUMMYFUNCTION("""COMPUTED_VALUE"""),66.0)</f>
        <v>66</v>
      </c>
      <c r="F8568" s="19" t="str">
        <f>IFERROR(__xludf.DUMMYFUNCTION("""COMPUTED_VALUE"""),"BLUE")</f>
        <v>BLUE</v>
      </c>
      <c r="G8568" s="20" t="str">
        <f>IFERROR(__xludf.DUMMYFUNCTION("""COMPUTED_VALUE"""),"Uncle Sams Cider (11/12/2021) (Blue)")</f>
        <v>Uncle Sams Cider (11/12/2021) (Blue)</v>
      </c>
      <c r="H8568" s="19"/>
    </row>
    <row r="8569">
      <c r="A8569" s="9"/>
      <c r="B8569" s="15"/>
      <c r="C8569" s="9">
        <f>IFERROR(__xludf.DUMMYFUNCTION("""COMPUTED_VALUE"""),44515.3569929861)</f>
        <v>44515.35699</v>
      </c>
      <c r="D8569" s="15">
        <f>IFERROR(__xludf.DUMMYFUNCTION("""COMPUTED_VALUE"""),1.092)</f>
        <v>1.092</v>
      </c>
      <c r="E8569" s="16">
        <f>IFERROR(__xludf.DUMMYFUNCTION("""COMPUTED_VALUE"""),66.0)</f>
        <v>66</v>
      </c>
      <c r="F8569" s="19" t="str">
        <f>IFERROR(__xludf.DUMMYFUNCTION("""COMPUTED_VALUE"""),"BLUE")</f>
        <v>BLUE</v>
      </c>
      <c r="G8569" s="20" t="str">
        <f>IFERROR(__xludf.DUMMYFUNCTION("""COMPUTED_VALUE"""),"Uncle Sams Cider (11/12/2021) (Blue)")</f>
        <v>Uncle Sams Cider (11/12/2021) (Blue)</v>
      </c>
      <c r="H8569" s="19"/>
    </row>
    <row r="8570">
      <c r="A8570" s="9"/>
      <c r="B8570" s="15"/>
      <c r="C8570" s="9">
        <f>IFERROR(__xludf.DUMMYFUNCTION("""COMPUTED_VALUE"""),44515.3465721643)</f>
        <v>44515.34657</v>
      </c>
      <c r="D8570" s="15">
        <f>IFERROR(__xludf.DUMMYFUNCTION("""COMPUTED_VALUE"""),1.092)</f>
        <v>1.092</v>
      </c>
      <c r="E8570" s="16">
        <f>IFERROR(__xludf.DUMMYFUNCTION("""COMPUTED_VALUE"""),66.0)</f>
        <v>66</v>
      </c>
      <c r="F8570" s="19" t="str">
        <f>IFERROR(__xludf.DUMMYFUNCTION("""COMPUTED_VALUE"""),"BLUE")</f>
        <v>BLUE</v>
      </c>
      <c r="G8570" s="20" t="str">
        <f>IFERROR(__xludf.DUMMYFUNCTION("""COMPUTED_VALUE"""),"Uncle Sams Cider (11/12/2021) (Blue)")</f>
        <v>Uncle Sams Cider (11/12/2021) (Blue)</v>
      </c>
      <c r="H8570" s="19"/>
    </row>
    <row r="8571">
      <c r="A8571" s="9"/>
      <c r="B8571" s="15"/>
      <c r="C8571" s="9">
        <f>IFERROR(__xludf.DUMMYFUNCTION("""COMPUTED_VALUE"""),44515.3361509259)</f>
        <v>44515.33615</v>
      </c>
      <c r="D8571" s="15">
        <f>IFERROR(__xludf.DUMMYFUNCTION("""COMPUTED_VALUE"""),1.092)</f>
        <v>1.092</v>
      </c>
      <c r="E8571" s="16">
        <f>IFERROR(__xludf.DUMMYFUNCTION("""COMPUTED_VALUE"""),66.0)</f>
        <v>66</v>
      </c>
      <c r="F8571" s="19" t="str">
        <f>IFERROR(__xludf.DUMMYFUNCTION("""COMPUTED_VALUE"""),"BLUE")</f>
        <v>BLUE</v>
      </c>
      <c r="G8571" s="20" t="str">
        <f>IFERROR(__xludf.DUMMYFUNCTION("""COMPUTED_VALUE"""),"Uncle Sams Cider (11/12/2021) (Blue)")</f>
        <v>Uncle Sams Cider (11/12/2021) (Blue)</v>
      </c>
      <c r="H8571" s="19"/>
    </row>
    <row r="8572">
      <c r="A8572" s="9"/>
      <c r="B8572" s="15"/>
      <c r="C8572" s="9">
        <f>IFERROR(__xludf.DUMMYFUNCTION("""COMPUTED_VALUE"""),44515.3257297222)</f>
        <v>44515.32573</v>
      </c>
      <c r="D8572" s="15">
        <f>IFERROR(__xludf.DUMMYFUNCTION("""COMPUTED_VALUE"""),1.093)</f>
        <v>1.093</v>
      </c>
      <c r="E8572" s="16">
        <f>IFERROR(__xludf.DUMMYFUNCTION("""COMPUTED_VALUE"""),66.0)</f>
        <v>66</v>
      </c>
      <c r="F8572" s="19" t="str">
        <f>IFERROR(__xludf.DUMMYFUNCTION("""COMPUTED_VALUE"""),"BLUE")</f>
        <v>BLUE</v>
      </c>
      <c r="G8572" s="20" t="str">
        <f>IFERROR(__xludf.DUMMYFUNCTION("""COMPUTED_VALUE"""),"Uncle Sams Cider (11/12/2021) (Blue)")</f>
        <v>Uncle Sams Cider (11/12/2021) (Blue)</v>
      </c>
      <c r="H8572" s="19"/>
    </row>
    <row r="8573">
      <c r="A8573" s="9"/>
      <c r="B8573" s="15"/>
      <c r="C8573" s="9">
        <f>IFERROR(__xludf.DUMMYFUNCTION("""COMPUTED_VALUE"""),44515.3153089814)</f>
        <v>44515.31531</v>
      </c>
      <c r="D8573" s="15">
        <f>IFERROR(__xludf.DUMMYFUNCTION("""COMPUTED_VALUE"""),1.092)</f>
        <v>1.092</v>
      </c>
      <c r="E8573" s="16">
        <f>IFERROR(__xludf.DUMMYFUNCTION("""COMPUTED_VALUE"""),66.0)</f>
        <v>66</v>
      </c>
      <c r="F8573" s="19" t="str">
        <f>IFERROR(__xludf.DUMMYFUNCTION("""COMPUTED_VALUE"""),"BLUE")</f>
        <v>BLUE</v>
      </c>
      <c r="G8573" s="20" t="str">
        <f>IFERROR(__xludf.DUMMYFUNCTION("""COMPUTED_VALUE"""),"Uncle Sams Cider (11/12/2021) (Blue)")</f>
        <v>Uncle Sams Cider (11/12/2021) (Blue)</v>
      </c>
      <c r="H8573" s="19"/>
    </row>
    <row r="8574">
      <c r="A8574" s="9"/>
      <c r="B8574" s="15"/>
      <c r="C8574" s="9">
        <f>IFERROR(__xludf.DUMMYFUNCTION("""COMPUTED_VALUE"""),44515.304886412)</f>
        <v>44515.30489</v>
      </c>
      <c r="D8574" s="15">
        <f>IFERROR(__xludf.DUMMYFUNCTION("""COMPUTED_VALUE"""),1.092)</f>
        <v>1.092</v>
      </c>
      <c r="E8574" s="16">
        <f>IFERROR(__xludf.DUMMYFUNCTION("""COMPUTED_VALUE"""),66.0)</f>
        <v>66</v>
      </c>
      <c r="F8574" s="19" t="str">
        <f>IFERROR(__xludf.DUMMYFUNCTION("""COMPUTED_VALUE"""),"BLUE")</f>
        <v>BLUE</v>
      </c>
      <c r="G8574" s="20" t="str">
        <f>IFERROR(__xludf.DUMMYFUNCTION("""COMPUTED_VALUE"""),"Uncle Sams Cider (11/12/2021) (Blue)")</f>
        <v>Uncle Sams Cider (11/12/2021) (Blue)</v>
      </c>
      <c r="H8574" s="19"/>
    </row>
    <row r="8575">
      <c r="A8575" s="9"/>
      <c r="B8575" s="15"/>
      <c r="C8575" s="9">
        <f>IFERROR(__xludf.DUMMYFUNCTION("""COMPUTED_VALUE"""),44515.2944654629)</f>
        <v>44515.29447</v>
      </c>
      <c r="D8575" s="15">
        <f>IFERROR(__xludf.DUMMYFUNCTION("""COMPUTED_VALUE"""),1.093)</f>
        <v>1.093</v>
      </c>
      <c r="E8575" s="16">
        <f>IFERROR(__xludf.DUMMYFUNCTION("""COMPUTED_VALUE"""),66.0)</f>
        <v>66</v>
      </c>
      <c r="F8575" s="19" t="str">
        <f>IFERROR(__xludf.DUMMYFUNCTION("""COMPUTED_VALUE"""),"BLUE")</f>
        <v>BLUE</v>
      </c>
      <c r="G8575" s="20" t="str">
        <f>IFERROR(__xludf.DUMMYFUNCTION("""COMPUTED_VALUE"""),"Uncle Sams Cider (11/12/2021) (Blue)")</f>
        <v>Uncle Sams Cider (11/12/2021) (Blue)</v>
      </c>
      <c r="H8575" s="19"/>
    </row>
    <row r="8576">
      <c r="A8576" s="9"/>
      <c r="B8576" s="15"/>
      <c r="C8576" s="9">
        <f>IFERROR(__xludf.DUMMYFUNCTION("""COMPUTED_VALUE"""),44515.2840458333)</f>
        <v>44515.28405</v>
      </c>
      <c r="D8576" s="15">
        <f>IFERROR(__xludf.DUMMYFUNCTION("""COMPUTED_VALUE"""),1.092)</f>
        <v>1.092</v>
      </c>
      <c r="E8576" s="16">
        <f>IFERROR(__xludf.DUMMYFUNCTION("""COMPUTED_VALUE"""),66.0)</f>
        <v>66</v>
      </c>
      <c r="F8576" s="19" t="str">
        <f>IFERROR(__xludf.DUMMYFUNCTION("""COMPUTED_VALUE"""),"BLUE")</f>
        <v>BLUE</v>
      </c>
      <c r="G8576" s="20" t="str">
        <f>IFERROR(__xludf.DUMMYFUNCTION("""COMPUTED_VALUE"""),"Uncle Sams Cider (11/12/2021) (Blue)")</f>
        <v>Uncle Sams Cider (11/12/2021) (Blue)</v>
      </c>
      <c r="H8576" s="19"/>
    </row>
    <row r="8577">
      <c r="A8577" s="9"/>
      <c r="B8577" s="15"/>
      <c r="C8577" s="9">
        <f>IFERROR(__xludf.DUMMYFUNCTION("""COMPUTED_VALUE"""),44515.2736133564)</f>
        <v>44515.27361</v>
      </c>
      <c r="D8577" s="15">
        <f>IFERROR(__xludf.DUMMYFUNCTION("""COMPUTED_VALUE"""),1.093)</f>
        <v>1.093</v>
      </c>
      <c r="E8577" s="16">
        <f>IFERROR(__xludf.DUMMYFUNCTION("""COMPUTED_VALUE"""),66.0)</f>
        <v>66</v>
      </c>
      <c r="F8577" s="19" t="str">
        <f>IFERROR(__xludf.DUMMYFUNCTION("""COMPUTED_VALUE"""),"BLUE")</f>
        <v>BLUE</v>
      </c>
      <c r="G8577" s="20" t="str">
        <f>IFERROR(__xludf.DUMMYFUNCTION("""COMPUTED_VALUE"""),"Uncle Sams Cider (11/12/2021) (Blue)")</f>
        <v>Uncle Sams Cider (11/12/2021) (Blue)</v>
      </c>
      <c r="H8577" s="19"/>
    </row>
    <row r="8578">
      <c r="A8578" s="9"/>
      <c r="B8578" s="15"/>
      <c r="C8578" s="9">
        <f>IFERROR(__xludf.DUMMYFUNCTION("""COMPUTED_VALUE"""),44515.2631820601)</f>
        <v>44515.26318</v>
      </c>
      <c r="D8578" s="15">
        <f>IFERROR(__xludf.DUMMYFUNCTION("""COMPUTED_VALUE"""),1.093)</f>
        <v>1.093</v>
      </c>
      <c r="E8578" s="16">
        <f>IFERROR(__xludf.DUMMYFUNCTION("""COMPUTED_VALUE"""),66.0)</f>
        <v>66</v>
      </c>
      <c r="F8578" s="19" t="str">
        <f>IFERROR(__xludf.DUMMYFUNCTION("""COMPUTED_VALUE"""),"BLUE")</f>
        <v>BLUE</v>
      </c>
      <c r="G8578" s="20" t="str">
        <f>IFERROR(__xludf.DUMMYFUNCTION("""COMPUTED_VALUE"""),"Uncle Sams Cider (11/12/2021) (Blue)")</f>
        <v>Uncle Sams Cider (11/12/2021) (Blue)</v>
      </c>
      <c r="H8578" s="19"/>
    </row>
    <row r="8579">
      <c r="A8579" s="9"/>
      <c r="B8579" s="15"/>
      <c r="C8579" s="9">
        <f>IFERROR(__xludf.DUMMYFUNCTION("""COMPUTED_VALUE"""),44515.2527610763)</f>
        <v>44515.25276</v>
      </c>
      <c r="D8579" s="15">
        <f>IFERROR(__xludf.DUMMYFUNCTION("""COMPUTED_VALUE"""),1.093)</f>
        <v>1.093</v>
      </c>
      <c r="E8579" s="16">
        <f>IFERROR(__xludf.DUMMYFUNCTION("""COMPUTED_VALUE"""),66.0)</f>
        <v>66</v>
      </c>
      <c r="F8579" s="19" t="str">
        <f>IFERROR(__xludf.DUMMYFUNCTION("""COMPUTED_VALUE"""),"BLUE")</f>
        <v>BLUE</v>
      </c>
      <c r="G8579" s="20" t="str">
        <f>IFERROR(__xludf.DUMMYFUNCTION("""COMPUTED_VALUE"""),"Uncle Sams Cider (11/12/2021) (Blue)")</f>
        <v>Uncle Sams Cider (11/12/2021) (Blue)</v>
      </c>
      <c r="H8579" s="19"/>
    </row>
    <row r="8580">
      <c r="A8580" s="9"/>
      <c r="B8580" s="15"/>
      <c r="C8580" s="9">
        <f>IFERROR(__xludf.DUMMYFUNCTION("""COMPUTED_VALUE"""),44515.2423410416)</f>
        <v>44515.24234</v>
      </c>
      <c r="D8580" s="15">
        <f>IFERROR(__xludf.DUMMYFUNCTION("""COMPUTED_VALUE"""),1.093)</f>
        <v>1.093</v>
      </c>
      <c r="E8580" s="16">
        <f>IFERROR(__xludf.DUMMYFUNCTION("""COMPUTED_VALUE"""),66.0)</f>
        <v>66</v>
      </c>
      <c r="F8580" s="19" t="str">
        <f>IFERROR(__xludf.DUMMYFUNCTION("""COMPUTED_VALUE"""),"BLUE")</f>
        <v>BLUE</v>
      </c>
      <c r="G8580" s="20" t="str">
        <f>IFERROR(__xludf.DUMMYFUNCTION("""COMPUTED_VALUE"""),"Uncle Sams Cider (11/12/2021) (Blue)")</f>
        <v>Uncle Sams Cider (11/12/2021) (Blue)</v>
      </c>
      <c r="H8580" s="19"/>
    </row>
    <row r="8581">
      <c r="A8581" s="9"/>
      <c r="B8581" s="15"/>
      <c r="C8581" s="9">
        <f>IFERROR(__xludf.DUMMYFUNCTION("""COMPUTED_VALUE"""),44515.2319082291)</f>
        <v>44515.23191</v>
      </c>
      <c r="D8581" s="15">
        <f>IFERROR(__xludf.DUMMYFUNCTION("""COMPUTED_VALUE"""),1.094)</f>
        <v>1.094</v>
      </c>
      <c r="E8581" s="16">
        <f>IFERROR(__xludf.DUMMYFUNCTION("""COMPUTED_VALUE"""),66.0)</f>
        <v>66</v>
      </c>
      <c r="F8581" s="19" t="str">
        <f>IFERROR(__xludf.DUMMYFUNCTION("""COMPUTED_VALUE"""),"BLUE")</f>
        <v>BLUE</v>
      </c>
      <c r="G8581" s="20" t="str">
        <f>IFERROR(__xludf.DUMMYFUNCTION("""COMPUTED_VALUE"""),"Uncle Sams Cider (11/12/2021) (Blue)")</f>
        <v>Uncle Sams Cider (11/12/2021) (Blue)</v>
      </c>
      <c r="H8581" s="19"/>
    </row>
    <row r="8582">
      <c r="A8582" s="9"/>
      <c r="B8582" s="15"/>
      <c r="C8582" s="9">
        <f>IFERROR(__xludf.DUMMYFUNCTION("""COMPUTED_VALUE"""),44515.2214888773)</f>
        <v>44515.22149</v>
      </c>
      <c r="D8582" s="15">
        <f>IFERROR(__xludf.DUMMYFUNCTION("""COMPUTED_VALUE"""),1.094)</f>
        <v>1.094</v>
      </c>
      <c r="E8582" s="16">
        <f>IFERROR(__xludf.DUMMYFUNCTION("""COMPUTED_VALUE"""),66.0)</f>
        <v>66</v>
      </c>
      <c r="F8582" s="19" t="str">
        <f>IFERROR(__xludf.DUMMYFUNCTION("""COMPUTED_VALUE"""),"BLUE")</f>
        <v>BLUE</v>
      </c>
      <c r="G8582" s="20" t="str">
        <f>IFERROR(__xludf.DUMMYFUNCTION("""COMPUTED_VALUE"""),"Uncle Sams Cider (11/12/2021) (Blue)")</f>
        <v>Uncle Sams Cider (11/12/2021) (Blue)</v>
      </c>
      <c r="H8582" s="19"/>
    </row>
    <row r="8583">
      <c r="A8583" s="9"/>
      <c r="B8583" s="15"/>
      <c r="C8583" s="9">
        <f>IFERROR(__xludf.DUMMYFUNCTION("""COMPUTED_VALUE"""),44515.2110693749)</f>
        <v>44515.21107</v>
      </c>
      <c r="D8583" s="15">
        <f>IFERROR(__xludf.DUMMYFUNCTION("""COMPUTED_VALUE"""),1.094)</f>
        <v>1.094</v>
      </c>
      <c r="E8583" s="16">
        <f>IFERROR(__xludf.DUMMYFUNCTION("""COMPUTED_VALUE"""),66.0)</f>
        <v>66</v>
      </c>
      <c r="F8583" s="19" t="str">
        <f>IFERROR(__xludf.DUMMYFUNCTION("""COMPUTED_VALUE"""),"BLUE")</f>
        <v>BLUE</v>
      </c>
      <c r="G8583" s="20" t="str">
        <f>IFERROR(__xludf.DUMMYFUNCTION("""COMPUTED_VALUE"""),"Uncle Sams Cider (11/12/2021) (Blue)")</f>
        <v>Uncle Sams Cider (11/12/2021) (Blue)</v>
      </c>
      <c r="H8583" s="19"/>
    </row>
    <row r="8584">
      <c r="A8584" s="9"/>
      <c r="B8584" s="15"/>
      <c r="C8584" s="9">
        <f>IFERROR(__xludf.DUMMYFUNCTION("""COMPUTED_VALUE"""),44515.2006362615)</f>
        <v>44515.20064</v>
      </c>
      <c r="D8584" s="15">
        <f>IFERROR(__xludf.DUMMYFUNCTION("""COMPUTED_VALUE"""),1.093)</f>
        <v>1.093</v>
      </c>
      <c r="E8584" s="16">
        <f>IFERROR(__xludf.DUMMYFUNCTION("""COMPUTED_VALUE"""),66.0)</f>
        <v>66</v>
      </c>
      <c r="F8584" s="19" t="str">
        <f>IFERROR(__xludf.DUMMYFUNCTION("""COMPUTED_VALUE"""),"BLUE")</f>
        <v>BLUE</v>
      </c>
      <c r="G8584" s="20" t="str">
        <f>IFERROR(__xludf.DUMMYFUNCTION("""COMPUTED_VALUE"""),"Uncle Sams Cider (11/12/2021) (Blue)")</f>
        <v>Uncle Sams Cider (11/12/2021) (Blue)</v>
      </c>
      <c r="H8584" s="19"/>
    </row>
    <row r="8585">
      <c r="A8585" s="9"/>
      <c r="B8585" s="15"/>
      <c r="C8585" s="9">
        <f>IFERROR(__xludf.DUMMYFUNCTION("""COMPUTED_VALUE"""),44515.1902033564)</f>
        <v>44515.1902</v>
      </c>
      <c r="D8585" s="15">
        <f>IFERROR(__xludf.DUMMYFUNCTION("""COMPUTED_VALUE"""),1.093)</f>
        <v>1.093</v>
      </c>
      <c r="E8585" s="16">
        <f>IFERROR(__xludf.DUMMYFUNCTION("""COMPUTED_VALUE"""),65.0)</f>
        <v>65</v>
      </c>
      <c r="F8585" s="19" t="str">
        <f>IFERROR(__xludf.DUMMYFUNCTION("""COMPUTED_VALUE"""),"BLUE")</f>
        <v>BLUE</v>
      </c>
      <c r="G8585" s="20" t="str">
        <f>IFERROR(__xludf.DUMMYFUNCTION("""COMPUTED_VALUE"""),"Uncle Sams Cider (11/12/2021) (Blue)")</f>
        <v>Uncle Sams Cider (11/12/2021) (Blue)</v>
      </c>
      <c r="H8585" s="19"/>
    </row>
    <row r="8586">
      <c r="A8586" s="9"/>
      <c r="B8586" s="15"/>
      <c r="C8586" s="9">
        <f>IFERROR(__xludf.DUMMYFUNCTION("""COMPUTED_VALUE"""),44515.179783368)</f>
        <v>44515.17978</v>
      </c>
      <c r="D8586" s="15">
        <f>IFERROR(__xludf.DUMMYFUNCTION("""COMPUTED_VALUE"""),1.094)</f>
        <v>1.094</v>
      </c>
      <c r="E8586" s="16">
        <f>IFERROR(__xludf.DUMMYFUNCTION("""COMPUTED_VALUE"""),65.0)</f>
        <v>65</v>
      </c>
      <c r="F8586" s="19" t="str">
        <f>IFERROR(__xludf.DUMMYFUNCTION("""COMPUTED_VALUE"""),"BLUE")</f>
        <v>BLUE</v>
      </c>
      <c r="G8586" s="20" t="str">
        <f>IFERROR(__xludf.DUMMYFUNCTION("""COMPUTED_VALUE"""),"Uncle Sams Cider (11/12/2021) (Blue)")</f>
        <v>Uncle Sams Cider (11/12/2021) (Blue)</v>
      </c>
      <c r="H8586" s="19"/>
    </row>
    <row r="8587">
      <c r="A8587" s="9"/>
      <c r="B8587" s="15"/>
      <c r="C8587" s="9">
        <f>IFERROR(__xludf.DUMMYFUNCTION("""COMPUTED_VALUE"""),44515.1693615509)</f>
        <v>44515.16936</v>
      </c>
      <c r="D8587" s="15">
        <f>IFERROR(__xludf.DUMMYFUNCTION("""COMPUTED_VALUE"""),1.094)</f>
        <v>1.094</v>
      </c>
      <c r="E8587" s="16">
        <f>IFERROR(__xludf.DUMMYFUNCTION("""COMPUTED_VALUE"""),65.0)</f>
        <v>65</v>
      </c>
      <c r="F8587" s="19" t="str">
        <f>IFERROR(__xludf.DUMMYFUNCTION("""COMPUTED_VALUE"""),"BLUE")</f>
        <v>BLUE</v>
      </c>
      <c r="G8587" s="20" t="str">
        <f>IFERROR(__xludf.DUMMYFUNCTION("""COMPUTED_VALUE"""),"Uncle Sams Cider (11/12/2021) (Blue)")</f>
        <v>Uncle Sams Cider (11/12/2021) (Blue)</v>
      </c>
      <c r="H8587" s="19"/>
    </row>
    <row r="8588">
      <c r="A8588" s="9"/>
      <c r="B8588" s="15"/>
      <c r="C8588" s="9">
        <f>IFERROR(__xludf.DUMMYFUNCTION("""COMPUTED_VALUE"""),44515.158940081)</f>
        <v>44515.15894</v>
      </c>
      <c r="D8588" s="15">
        <f>IFERROR(__xludf.DUMMYFUNCTION("""COMPUTED_VALUE"""),1.094)</f>
        <v>1.094</v>
      </c>
      <c r="E8588" s="16">
        <f>IFERROR(__xludf.DUMMYFUNCTION("""COMPUTED_VALUE"""),65.0)</f>
        <v>65</v>
      </c>
      <c r="F8588" s="19" t="str">
        <f>IFERROR(__xludf.DUMMYFUNCTION("""COMPUTED_VALUE"""),"BLUE")</f>
        <v>BLUE</v>
      </c>
      <c r="G8588" s="20" t="str">
        <f>IFERROR(__xludf.DUMMYFUNCTION("""COMPUTED_VALUE"""),"Uncle Sams Cider (11/12/2021) (Blue)")</f>
        <v>Uncle Sams Cider (11/12/2021) (Blue)</v>
      </c>
      <c r="H8588" s="19"/>
    </row>
    <row r="8589">
      <c r="A8589" s="9"/>
      <c r="B8589" s="15"/>
      <c r="C8589" s="9">
        <f>IFERROR(__xludf.DUMMYFUNCTION("""COMPUTED_VALUE"""),44515.1485067939)</f>
        <v>44515.14851</v>
      </c>
      <c r="D8589" s="15">
        <f>IFERROR(__xludf.DUMMYFUNCTION("""COMPUTED_VALUE"""),1.094)</f>
        <v>1.094</v>
      </c>
      <c r="E8589" s="16">
        <f>IFERROR(__xludf.DUMMYFUNCTION("""COMPUTED_VALUE"""),65.0)</f>
        <v>65</v>
      </c>
      <c r="F8589" s="19" t="str">
        <f>IFERROR(__xludf.DUMMYFUNCTION("""COMPUTED_VALUE"""),"BLUE")</f>
        <v>BLUE</v>
      </c>
      <c r="G8589" s="20" t="str">
        <f>IFERROR(__xludf.DUMMYFUNCTION("""COMPUTED_VALUE"""),"Uncle Sams Cider (11/12/2021) (Blue)")</f>
        <v>Uncle Sams Cider (11/12/2021) (Blue)</v>
      </c>
      <c r="H8589" s="19"/>
    </row>
    <row r="8590">
      <c r="A8590" s="9"/>
      <c r="B8590" s="15"/>
      <c r="C8590" s="9">
        <f>IFERROR(__xludf.DUMMYFUNCTION("""COMPUTED_VALUE"""),44515.1380718865)</f>
        <v>44515.13807</v>
      </c>
      <c r="D8590" s="15">
        <f>IFERROR(__xludf.DUMMYFUNCTION("""COMPUTED_VALUE"""),1.094)</f>
        <v>1.094</v>
      </c>
      <c r="E8590" s="16">
        <f>IFERROR(__xludf.DUMMYFUNCTION("""COMPUTED_VALUE"""),65.0)</f>
        <v>65</v>
      </c>
      <c r="F8590" s="19" t="str">
        <f>IFERROR(__xludf.DUMMYFUNCTION("""COMPUTED_VALUE"""),"BLUE")</f>
        <v>BLUE</v>
      </c>
      <c r="G8590" s="20" t="str">
        <f>IFERROR(__xludf.DUMMYFUNCTION("""COMPUTED_VALUE"""),"Uncle Sams Cider (11/12/2021) (Blue)")</f>
        <v>Uncle Sams Cider (11/12/2021) (Blue)</v>
      </c>
      <c r="H8590" s="19"/>
    </row>
    <row r="8591">
      <c r="A8591" s="9"/>
      <c r="B8591" s="15"/>
      <c r="C8591" s="9">
        <f>IFERROR(__xludf.DUMMYFUNCTION("""COMPUTED_VALUE"""),44515.1276510185)</f>
        <v>44515.12765</v>
      </c>
      <c r="D8591" s="15">
        <f>IFERROR(__xludf.DUMMYFUNCTION("""COMPUTED_VALUE"""),1.095)</f>
        <v>1.095</v>
      </c>
      <c r="E8591" s="16">
        <f>IFERROR(__xludf.DUMMYFUNCTION("""COMPUTED_VALUE"""),65.0)</f>
        <v>65</v>
      </c>
      <c r="F8591" s="19" t="str">
        <f>IFERROR(__xludf.DUMMYFUNCTION("""COMPUTED_VALUE"""),"BLUE")</f>
        <v>BLUE</v>
      </c>
      <c r="G8591" s="20" t="str">
        <f>IFERROR(__xludf.DUMMYFUNCTION("""COMPUTED_VALUE"""),"Uncle Sams Cider (11/12/2021) (Blue)")</f>
        <v>Uncle Sams Cider (11/12/2021) (Blue)</v>
      </c>
      <c r="H8591" s="19"/>
    </row>
    <row r="8592">
      <c r="A8592" s="9"/>
      <c r="B8592" s="15"/>
      <c r="C8592" s="9">
        <f>IFERROR(__xludf.DUMMYFUNCTION("""COMPUTED_VALUE"""),44515.1172186689)</f>
        <v>44515.11722</v>
      </c>
      <c r="D8592" s="15">
        <f>IFERROR(__xludf.DUMMYFUNCTION("""COMPUTED_VALUE"""),1.095)</f>
        <v>1.095</v>
      </c>
      <c r="E8592" s="16">
        <f>IFERROR(__xludf.DUMMYFUNCTION("""COMPUTED_VALUE"""),65.0)</f>
        <v>65</v>
      </c>
      <c r="F8592" s="19" t="str">
        <f>IFERROR(__xludf.DUMMYFUNCTION("""COMPUTED_VALUE"""),"BLUE")</f>
        <v>BLUE</v>
      </c>
      <c r="G8592" s="20" t="str">
        <f>IFERROR(__xludf.DUMMYFUNCTION("""COMPUTED_VALUE"""),"Uncle Sams Cider (11/12/2021) (Blue)")</f>
        <v>Uncle Sams Cider (11/12/2021) (Blue)</v>
      </c>
      <c r="H8592" s="19"/>
    </row>
    <row r="8593">
      <c r="A8593" s="9"/>
      <c r="B8593" s="15"/>
      <c r="C8593" s="9">
        <f>IFERROR(__xludf.DUMMYFUNCTION("""COMPUTED_VALUE"""),44515.1067965972)</f>
        <v>44515.1068</v>
      </c>
      <c r="D8593" s="15">
        <f>IFERROR(__xludf.DUMMYFUNCTION("""COMPUTED_VALUE"""),1.094)</f>
        <v>1.094</v>
      </c>
      <c r="E8593" s="16">
        <f>IFERROR(__xludf.DUMMYFUNCTION("""COMPUTED_VALUE"""),65.0)</f>
        <v>65</v>
      </c>
      <c r="F8593" s="19" t="str">
        <f>IFERROR(__xludf.DUMMYFUNCTION("""COMPUTED_VALUE"""),"BLUE")</f>
        <v>BLUE</v>
      </c>
      <c r="G8593" s="20" t="str">
        <f>IFERROR(__xludf.DUMMYFUNCTION("""COMPUTED_VALUE"""),"Uncle Sams Cider (11/12/2021) (Blue)")</f>
        <v>Uncle Sams Cider (11/12/2021) (Blue)</v>
      </c>
      <c r="H8593" s="19"/>
    </row>
    <row r="8594">
      <c r="A8594" s="9"/>
      <c r="B8594" s="15"/>
      <c r="C8594" s="9">
        <f>IFERROR(__xludf.DUMMYFUNCTION("""COMPUTED_VALUE"""),44515.0963743287)</f>
        <v>44515.09637</v>
      </c>
      <c r="D8594" s="15">
        <f>IFERROR(__xludf.DUMMYFUNCTION("""COMPUTED_VALUE"""),1.095)</f>
        <v>1.095</v>
      </c>
      <c r="E8594" s="16">
        <f>IFERROR(__xludf.DUMMYFUNCTION("""COMPUTED_VALUE"""),65.0)</f>
        <v>65</v>
      </c>
      <c r="F8594" s="19" t="str">
        <f>IFERROR(__xludf.DUMMYFUNCTION("""COMPUTED_VALUE"""),"BLUE")</f>
        <v>BLUE</v>
      </c>
      <c r="G8594" s="20" t="str">
        <f>IFERROR(__xludf.DUMMYFUNCTION("""COMPUTED_VALUE"""),"Uncle Sams Cider (11/12/2021) (Blue)")</f>
        <v>Uncle Sams Cider (11/12/2021) (Blue)</v>
      </c>
      <c r="H8594" s="19"/>
    </row>
    <row r="8595">
      <c r="A8595" s="9"/>
      <c r="B8595" s="15"/>
      <c r="C8595" s="9">
        <f>IFERROR(__xludf.DUMMYFUNCTION("""COMPUTED_VALUE"""),44515.0859539004)</f>
        <v>44515.08595</v>
      </c>
      <c r="D8595" s="15">
        <f>IFERROR(__xludf.DUMMYFUNCTION("""COMPUTED_VALUE"""),1.095)</f>
        <v>1.095</v>
      </c>
      <c r="E8595" s="16">
        <f>IFERROR(__xludf.DUMMYFUNCTION("""COMPUTED_VALUE"""),65.0)</f>
        <v>65</v>
      </c>
      <c r="F8595" s="19" t="str">
        <f>IFERROR(__xludf.DUMMYFUNCTION("""COMPUTED_VALUE"""),"BLUE")</f>
        <v>BLUE</v>
      </c>
      <c r="G8595" s="20" t="str">
        <f>IFERROR(__xludf.DUMMYFUNCTION("""COMPUTED_VALUE"""),"Uncle Sams Cider (11/12/2021) (Blue)")</f>
        <v>Uncle Sams Cider (11/12/2021) (Blue)</v>
      </c>
      <c r="H8595" s="19"/>
    </row>
    <row r="8596">
      <c r="A8596" s="9"/>
      <c r="B8596" s="15"/>
      <c r="C8596" s="9">
        <f>IFERROR(__xludf.DUMMYFUNCTION("""COMPUTED_VALUE"""),44515.0755325578)</f>
        <v>44515.07553</v>
      </c>
      <c r="D8596" s="15">
        <f>IFERROR(__xludf.DUMMYFUNCTION("""COMPUTED_VALUE"""),1.094)</f>
        <v>1.094</v>
      </c>
      <c r="E8596" s="16">
        <f>IFERROR(__xludf.DUMMYFUNCTION("""COMPUTED_VALUE"""),65.0)</f>
        <v>65</v>
      </c>
      <c r="F8596" s="19" t="str">
        <f>IFERROR(__xludf.DUMMYFUNCTION("""COMPUTED_VALUE"""),"BLUE")</f>
        <v>BLUE</v>
      </c>
      <c r="G8596" s="20" t="str">
        <f>IFERROR(__xludf.DUMMYFUNCTION("""COMPUTED_VALUE"""),"Uncle Sams Cider (11/12/2021) (Blue)")</f>
        <v>Uncle Sams Cider (11/12/2021) (Blue)</v>
      </c>
      <c r="H8596" s="19"/>
    </row>
    <row r="8597">
      <c r="A8597" s="9"/>
      <c r="B8597" s="15"/>
      <c r="C8597" s="9">
        <f>IFERROR(__xludf.DUMMYFUNCTION("""COMPUTED_VALUE"""),44515.0651104282)</f>
        <v>44515.06511</v>
      </c>
      <c r="D8597" s="15">
        <f>IFERROR(__xludf.DUMMYFUNCTION("""COMPUTED_VALUE"""),1.095)</f>
        <v>1.095</v>
      </c>
      <c r="E8597" s="16">
        <f>IFERROR(__xludf.DUMMYFUNCTION("""COMPUTED_VALUE"""),65.0)</f>
        <v>65</v>
      </c>
      <c r="F8597" s="19" t="str">
        <f>IFERROR(__xludf.DUMMYFUNCTION("""COMPUTED_VALUE"""),"BLUE")</f>
        <v>BLUE</v>
      </c>
      <c r="G8597" s="20" t="str">
        <f>IFERROR(__xludf.DUMMYFUNCTION("""COMPUTED_VALUE"""),"Uncle Sams Cider (11/12/2021) (Blue)")</f>
        <v>Uncle Sams Cider (11/12/2021) (Blue)</v>
      </c>
      <c r="H8597" s="19"/>
    </row>
    <row r="8598">
      <c r="A8598" s="9"/>
      <c r="B8598" s="15"/>
      <c r="C8598" s="9">
        <f>IFERROR(__xludf.DUMMYFUNCTION("""COMPUTED_VALUE"""),44515.0546893055)</f>
        <v>44515.05469</v>
      </c>
      <c r="D8598" s="15">
        <f>IFERROR(__xludf.DUMMYFUNCTION("""COMPUTED_VALUE"""),1.095)</f>
        <v>1.095</v>
      </c>
      <c r="E8598" s="16">
        <f>IFERROR(__xludf.DUMMYFUNCTION("""COMPUTED_VALUE"""),65.0)</f>
        <v>65</v>
      </c>
      <c r="F8598" s="19" t="str">
        <f>IFERROR(__xludf.DUMMYFUNCTION("""COMPUTED_VALUE"""),"BLUE")</f>
        <v>BLUE</v>
      </c>
      <c r="G8598" s="20" t="str">
        <f>IFERROR(__xludf.DUMMYFUNCTION("""COMPUTED_VALUE"""),"Uncle Sams Cider (11/12/2021) (Blue)")</f>
        <v>Uncle Sams Cider (11/12/2021) (Blue)</v>
      </c>
      <c r="H8598" s="19"/>
    </row>
    <row r="8599">
      <c r="A8599" s="9"/>
      <c r="B8599" s="15"/>
      <c r="C8599" s="9">
        <f>IFERROR(__xludf.DUMMYFUNCTION("""COMPUTED_VALUE"""),44515.0442692013)</f>
        <v>44515.04427</v>
      </c>
      <c r="D8599" s="15">
        <f>IFERROR(__xludf.DUMMYFUNCTION("""COMPUTED_VALUE"""),1.095)</f>
        <v>1.095</v>
      </c>
      <c r="E8599" s="16">
        <f>IFERROR(__xludf.DUMMYFUNCTION("""COMPUTED_VALUE"""),65.0)</f>
        <v>65</v>
      </c>
      <c r="F8599" s="19" t="str">
        <f>IFERROR(__xludf.DUMMYFUNCTION("""COMPUTED_VALUE"""),"BLUE")</f>
        <v>BLUE</v>
      </c>
      <c r="G8599" s="20" t="str">
        <f>IFERROR(__xludf.DUMMYFUNCTION("""COMPUTED_VALUE"""),"Uncle Sams Cider (11/12/2021) (Blue)")</f>
        <v>Uncle Sams Cider (11/12/2021) (Blue)</v>
      </c>
      <c r="H8599" s="19"/>
    </row>
    <row r="8600">
      <c r="A8600" s="9"/>
      <c r="B8600" s="15"/>
      <c r="C8600" s="9">
        <f>IFERROR(__xludf.DUMMYFUNCTION("""COMPUTED_VALUE"""),44515.0338488773)</f>
        <v>44515.03385</v>
      </c>
      <c r="D8600" s="15">
        <f>IFERROR(__xludf.DUMMYFUNCTION("""COMPUTED_VALUE"""),1.095)</f>
        <v>1.095</v>
      </c>
      <c r="E8600" s="16">
        <f>IFERROR(__xludf.DUMMYFUNCTION("""COMPUTED_VALUE"""),65.0)</f>
        <v>65</v>
      </c>
      <c r="F8600" s="19" t="str">
        <f>IFERROR(__xludf.DUMMYFUNCTION("""COMPUTED_VALUE"""),"BLUE")</f>
        <v>BLUE</v>
      </c>
      <c r="G8600" s="20" t="str">
        <f>IFERROR(__xludf.DUMMYFUNCTION("""COMPUTED_VALUE"""),"Uncle Sams Cider (11/12/2021) (Blue)")</f>
        <v>Uncle Sams Cider (11/12/2021) (Blue)</v>
      </c>
      <c r="H8600" s="19"/>
    </row>
    <row r="8601">
      <c r="A8601" s="9"/>
      <c r="B8601" s="15"/>
      <c r="C8601" s="9">
        <f>IFERROR(__xludf.DUMMYFUNCTION("""COMPUTED_VALUE"""),44515.0234269212)</f>
        <v>44515.02343</v>
      </c>
      <c r="D8601" s="15">
        <f>IFERROR(__xludf.DUMMYFUNCTION("""COMPUTED_VALUE"""),1.095)</f>
        <v>1.095</v>
      </c>
      <c r="E8601" s="16">
        <f>IFERROR(__xludf.DUMMYFUNCTION("""COMPUTED_VALUE"""),65.0)</f>
        <v>65</v>
      </c>
      <c r="F8601" s="19" t="str">
        <f>IFERROR(__xludf.DUMMYFUNCTION("""COMPUTED_VALUE"""),"BLUE")</f>
        <v>BLUE</v>
      </c>
      <c r="G8601" s="20" t="str">
        <f>IFERROR(__xludf.DUMMYFUNCTION("""COMPUTED_VALUE"""),"Uncle Sams Cider (11/12/2021) (Blue)")</f>
        <v>Uncle Sams Cider (11/12/2021) (Blue)</v>
      </c>
      <c r="H8601" s="19"/>
    </row>
    <row r="8602">
      <c r="A8602" s="9"/>
      <c r="B8602" s="15"/>
      <c r="C8602" s="9">
        <f>IFERROR(__xludf.DUMMYFUNCTION("""COMPUTED_VALUE"""),44515.0130053009)</f>
        <v>44515.01301</v>
      </c>
      <c r="D8602" s="15">
        <f>IFERROR(__xludf.DUMMYFUNCTION("""COMPUTED_VALUE"""),1.095)</f>
        <v>1.095</v>
      </c>
      <c r="E8602" s="16">
        <f>IFERROR(__xludf.DUMMYFUNCTION("""COMPUTED_VALUE"""),64.0)</f>
        <v>64</v>
      </c>
      <c r="F8602" s="19" t="str">
        <f>IFERROR(__xludf.DUMMYFUNCTION("""COMPUTED_VALUE"""),"BLUE")</f>
        <v>BLUE</v>
      </c>
      <c r="G8602" s="20" t="str">
        <f>IFERROR(__xludf.DUMMYFUNCTION("""COMPUTED_VALUE"""),"Uncle Sams Cider (11/12/2021) (Blue)")</f>
        <v>Uncle Sams Cider (11/12/2021) (Blue)</v>
      </c>
      <c r="H8602" s="19"/>
    </row>
    <row r="8603">
      <c r="A8603" s="9"/>
      <c r="B8603" s="15"/>
      <c r="C8603" s="9">
        <f>IFERROR(__xludf.DUMMYFUNCTION("""COMPUTED_VALUE"""),44515.002584699)</f>
        <v>44515.00258</v>
      </c>
      <c r="D8603" s="15">
        <f>IFERROR(__xludf.DUMMYFUNCTION("""COMPUTED_VALUE"""),1.095)</f>
        <v>1.095</v>
      </c>
      <c r="E8603" s="16">
        <f>IFERROR(__xludf.DUMMYFUNCTION("""COMPUTED_VALUE"""),64.0)</f>
        <v>64</v>
      </c>
      <c r="F8603" s="19" t="str">
        <f>IFERROR(__xludf.DUMMYFUNCTION("""COMPUTED_VALUE"""),"BLUE")</f>
        <v>BLUE</v>
      </c>
      <c r="G8603" s="20" t="str">
        <f>IFERROR(__xludf.DUMMYFUNCTION("""COMPUTED_VALUE"""),"Uncle Sams Cider (11/12/2021) (Blue)")</f>
        <v>Uncle Sams Cider (11/12/2021) (Blue)</v>
      </c>
      <c r="H8603" s="19"/>
    </row>
    <row r="8604">
      <c r="A8604" s="9"/>
      <c r="B8604" s="15"/>
      <c r="C8604" s="9">
        <f>IFERROR(__xludf.DUMMYFUNCTION("""COMPUTED_VALUE"""),44514.9921635995)</f>
        <v>44514.99216</v>
      </c>
      <c r="D8604" s="15">
        <f>IFERROR(__xludf.DUMMYFUNCTION("""COMPUTED_VALUE"""),1.096)</f>
        <v>1.096</v>
      </c>
      <c r="E8604" s="16">
        <f>IFERROR(__xludf.DUMMYFUNCTION("""COMPUTED_VALUE"""),64.0)</f>
        <v>64</v>
      </c>
      <c r="F8604" s="19" t="str">
        <f>IFERROR(__xludf.DUMMYFUNCTION("""COMPUTED_VALUE"""),"BLUE")</f>
        <v>BLUE</v>
      </c>
      <c r="G8604" s="20" t="str">
        <f>IFERROR(__xludf.DUMMYFUNCTION("""COMPUTED_VALUE"""),"Uncle Sams Cider (11/12/2021) (Blue)")</f>
        <v>Uncle Sams Cider (11/12/2021) (Blue)</v>
      </c>
      <c r="H8604" s="19"/>
    </row>
    <row r="8605">
      <c r="A8605" s="9"/>
      <c r="B8605" s="15"/>
      <c r="C8605" s="9">
        <f>IFERROR(__xludf.DUMMYFUNCTION("""COMPUTED_VALUE"""),44514.9817432407)</f>
        <v>44514.98174</v>
      </c>
      <c r="D8605" s="15">
        <f>IFERROR(__xludf.DUMMYFUNCTION("""COMPUTED_VALUE"""),1.096)</f>
        <v>1.096</v>
      </c>
      <c r="E8605" s="16">
        <f>IFERROR(__xludf.DUMMYFUNCTION("""COMPUTED_VALUE"""),63.0)</f>
        <v>63</v>
      </c>
      <c r="F8605" s="19" t="str">
        <f>IFERROR(__xludf.DUMMYFUNCTION("""COMPUTED_VALUE"""),"BLUE")</f>
        <v>BLUE</v>
      </c>
      <c r="G8605" s="20" t="str">
        <f>IFERROR(__xludf.DUMMYFUNCTION("""COMPUTED_VALUE"""),"Uncle Sams Cider (11/12/2021) (Blue)")</f>
        <v>Uncle Sams Cider (11/12/2021) (Blue)</v>
      </c>
      <c r="H8605" s="19"/>
    </row>
    <row r="8606">
      <c r="A8606" s="9"/>
      <c r="B8606" s="15"/>
      <c r="C8606" s="9">
        <f>IFERROR(__xludf.DUMMYFUNCTION("""COMPUTED_VALUE"""),44514.9713222685)</f>
        <v>44514.97132</v>
      </c>
      <c r="D8606" s="15">
        <f>IFERROR(__xludf.DUMMYFUNCTION("""COMPUTED_VALUE"""),1.097)</f>
        <v>1.097</v>
      </c>
      <c r="E8606" s="16">
        <f>IFERROR(__xludf.DUMMYFUNCTION("""COMPUTED_VALUE"""),63.0)</f>
        <v>63</v>
      </c>
      <c r="F8606" s="19" t="str">
        <f>IFERROR(__xludf.DUMMYFUNCTION("""COMPUTED_VALUE"""),"BLUE")</f>
        <v>BLUE</v>
      </c>
      <c r="G8606" s="20" t="str">
        <f>IFERROR(__xludf.DUMMYFUNCTION("""COMPUTED_VALUE"""),"Uncle Sams Cider (11/12/2021) (Blue)")</f>
        <v>Uncle Sams Cider (11/12/2021) (Blue)</v>
      </c>
      <c r="H8606" s="19"/>
    </row>
    <row r="8607">
      <c r="A8607" s="9"/>
      <c r="B8607" s="15"/>
      <c r="C8607" s="9">
        <f>IFERROR(__xludf.DUMMYFUNCTION("""COMPUTED_VALUE"""),44514.960899456)</f>
        <v>44514.9609</v>
      </c>
      <c r="D8607" s="15">
        <f>IFERROR(__xludf.DUMMYFUNCTION("""COMPUTED_VALUE"""),1.096)</f>
        <v>1.096</v>
      </c>
      <c r="E8607" s="16">
        <f>IFERROR(__xludf.DUMMYFUNCTION("""COMPUTED_VALUE"""),64.0)</f>
        <v>64</v>
      </c>
      <c r="F8607" s="19" t="str">
        <f>IFERROR(__xludf.DUMMYFUNCTION("""COMPUTED_VALUE"""),"BLUE")</f>
        <v>BLUE</v>
      </c>
      <c r="G8607" s="20" t="str">
        <f>IFERROR(__xludf.DUMMYFUNCTION("""COMPUTED_VALUE"""),"Uncle Sams Cider (11/12/2021) (Blue)")</f>
        <v>Uncle Sams Cider (11/12/2021) (Blue)</v>
      </c>
      <c r="H8607" s="19"/>
    </row>
    <row r="8608">
      <c r="A8608" s="9"/>
      <c r="B8608" s="15"/>
      <c r="C8608" s="9">
        <f>IFERROR(__xludf.DUMMYFUNCTION("""COMPUTED_VALUE"""),44514.9504790972)</f>
        <v>44514.95048</v>
      </c>
      <c r="D8608" s="15">
        <f>IFERROR(__xludf.DUMMYFUNCTION("""COMPUTED_VALUE"""),1.096)</f>
        <v>1.096</v>
      </c>
      <c r="E8608" s="16">
        <f>IFERROR(__xludf.DUMMYFUNCTION("""COMPUTED_VALUE"""),67.0)</f>
        <v>67</v>
      </c>
      <c r="F8608" s="19" t="str">
        <f>IFERROR(__xludf.DUMMYFUNCTION("""COMPUTED_VALUE"""),"BLUE")</f>
        <v>BLUE</v>
      </c>
      <c r="G8608" s="20" t="str">
        <f>IFERROR(__xludf.DUMMYFUNCTION("""COMPUTED_VALUE"""),"Uncle Sams Cider (11/12/2021) (Blue)")</f>
        <v>Uncle Sams Cider (11/12/2021) (Blue)</v>
      </c>
      <c r="H8608" s="19"/>
    </row>
    <row r="8609">
      <c r="A8609" s="9"/>
      <c r="B8609" s="15"/>
      <c r="C8609" s="9">
        <f>IFERROR(__xludf.DUMMYFUNCTION("""COMPUTED_VALUE"""),44514.9400580439)</f>
        <v>44514.94006</v>
      </c>
      <c r="D8609" s="15">
        <f>IFERROR(__xludf.DUMMYFUNCTION("""COMPUTED_VALUE"""),1.096)</f>
        <v>1.096</v>
      </c>
      <c r="E8609" s="16">
        <f>IFERROR(__xludf.DUMMYFUNCTION("""COMPUTED_VALUE"""),69.0)</f>
        <v>69</v>
      </c>
      <c r="F8609" s="19" t="str">
        <f>IFERROR(__xludf.DUMMYFUNCTION("""COMPUTED_VALUE"""),"BLUE")</f>
        <v>BLUE</v>
      </c>
      <c r="G8609" s="20" t="str">
        <f>IFERROR(__xludf.DUMMYFUNCTION("""COMPUTED_VALUE"""),"Uncle Sams Cider (11/12/2021) (Blue)")</f>
        <v>Uncle Sams Cider (11/12/2021) (Blue)</v>
      </c>
      <c r="H8609" s="19"/>
    </row>
    <row r="8610">
      <c r="A8610" s="9"/>
      <c r="B8610" s="15"/>
      <c r="C8610" s="9">
        <f>IFERROR(__xludf.DUMMYFUNCTION("""COMPUTED_VALUE"""),44514.9296338888)</f>
        <v>44514.92963</v>
      </c>
      <c r="D8610" s="15">
        <f>IFERROR(__xludf.DUMMYFUNCTION("""COMPUTED_VALUE"""),1.096)</f>
        <v>1.096</v>
      </c>
      <c r="E8610" s="16">
        <f>IFERROR(__xludf.DUMMYFUNCTION("""COMPUTED_VALUE"""),69.0)</f>
        <v>69</v>
      </c>
      <c r="F8610" s="19" t="str">
        <f>IFERROR(__xludf.DUMMYFUNCTION("""COMPUTED_VALUE"""),"BLUE")</f>
        <v>BLUE</v>
      </c>
      <c r="G8610" s="20" t="str">
        <f>IFERROR(__xludf.DUMMYFUNCTION("""COMPUTED_VALUE"""),"Uncle Sams Cider (11/12/2021) (Blue)")</f>
        <v>Uncle Sams Cider (11/12/2021) (Blue)</v>
      </c>
      <c r="H8610" s="19"/>
    </row>
    <row r="8611">
      <c r="A8611" s="9"/>
      <c r="B8611" s="15"/>
      <c r="C8611" s="9">
        <f>IFERROR(__xludf.DUMMYFUNCTION("""COMPUTED_VALUE"""),44514.9192134953)</f>
        <v>44514.91921</v>
      </c>
      <c r="D8611" s="15">
        <f>IFERROR(__xludf.DUMMYFUNCTION("""COMPUTED_VALUE"""),1.097)</f>
        <v>1.097</v>
      </c>
      <c r="E8611" s="16">
        <f>IFERROR(__xludf.DUMMYFUNCTION("""COMPUTED_VALUE"""),69.0)</f>
        <v>69</v>
      </c>
      <c r="F8611" s="19" t="str">
        <f>IFERROR(__xludf.DUMMYFUNCTION("""COMPUTED_VALUE"""),"BLUE")</f>
        <v>BLUE</v>
      </c>
      <c r="G8611" s="20" t="str">
        <f>IFERROR(__xludf.DUMMYFUNCTION("""COMPUTED_VALUE"""),"Uncle Sams Cider (11/12/2021) (Blue)")</f>
        <v>Uncle Sams Cider (11/12/2021) (Blue)</v>
      </c>
      <c r="H8611" s="19"/>
    </row>
    <row r="8612">
      <c r="A8612" s="9"/>
      <c r="B8612" s="15"/>
      <c r="C8612" s="9">
        <f>IFERROR(__xludf.DUMMYFUNCTION("""COMPUTED_VALUE"""),44514.908778993)</f>
        <v>44514.90878</v>
      </c>
      <c r="D8612" s="15">
        <f>IFERROR(__xludf.DUMMYFUNCTION("""COMPUTED_VALUE"""),1.096)</f>
        <v>1.096</v>
      </c>
      <c r="E8612" s="16">
        <f>IFERROR(__xludf.DUMMYFUNCTION("""COMPUTED_VALUE"""),69.0)</f>
        <v>69</v>
      </c>
      <c r="F8612" s="19" t="str">
        <f>IFERROR(__xludf.DUMMYFUNCTION("""COMPUTED_VALUE"""),"BLUE")</f>
        <v>BLUE</v>
      </c>
      <c r="G8612" s="20" t="str">
        <f>IFERROR(__xludf.DUMMYFUNCTION("""COMPUTED_VALUE"""),"Uncle Sams Cider (11/12/2021) (Blue)")</f>
        <v>Uncle Sams Cider (11/12/2021) (Blue)</v>
      </c>
      <c r="H8612" s="19"/>
    </row>
    <row r="8613">
      <c r="A8613" s="9"/>
      <c r="B8613" s="15"/>
      <c r="C8613" s="9">
        <f>IFERROR(__xludf.DUMMYFUNCTION("""COMPUTED_VALUE"""),44514.8983581712)</f>
        <v>44514.89836</v>
      </c>
      <c r="D8613" s="15">
        <f>IFERROR(__xludf.DUMMYFUNCTION("""COMPUTED_VALUE"""),1.096)</f>
        <v>1.096</v>
      </c>
      <c r="E8613" s="16">
        <f>IFERROR(__xludf.DUMMYFUNCTION("""COMPUTED_VALUE"""),69.0)</f>
        <v>69</v>
      </c>
      <c r="F8613" s="19" t="str">
        <f>IFERROR(__xludf.DUMMYFUNCTION("""COMPUTED_VALUE"""),"BLUE")</f>
        <v>BLUE</v>
      </c>
      <c r="G8613" s="20" t="str">
        <f>IFERROR(__xludf.DUMMYFUNCTION("""COMPUTED_VALUE"""),"Uncle Sams Cider (11/12/2021) (Blue)")</f>
        <v>Uncle Sams Cider (11/12/2021) (Blue)</v>
      </c>
      <c r="H8613" s="19"/>
    </row>
    <row r="8614">
      <c r="A8614" s="9"/>
      <c r="B8614" s="15"/>
      <c r="C8614" s="9">
        <f>IFERROR(__xludf.DUMMYFUNCTION("""COMPUTED_VALUE"""),44514.8879363888)</f>
        <v>44514.88794</v>
      </c>
      <c r="D8614" s="15">
        <f>IFERROR(__xludf.DUMMYFUNCTION("""COMPUTED_VALUE"""),1.097)</f>
        <v>1.097</v>
      </c>
      <c r="E8614" s="16">
        <f>IFERROR(__xludf.DUMMYFUNCTION("""COMPUTED_VALUE"""),69.0)</f>
        <v>69</v>
      </c>
      <c r="F8614" s="19" t="str">
        <f>IFERROR(__xludf.DUMMYFUNCTION("""COMPUTED_VALUE"""),"BLUE")</f>
        <v>BLUE</v>
      </c>
      <c r="G8614" s="20" t="str">
        <f>IFERROR(__xludf.DUMMYFUNCTION("""COMPUTED_VALUE"""),"Uncle Sams Cider (11/12/2021) (Blue)")</f>
        <v>Uncle Sams Cider (11/12/2021) (Blue)</v>
      </c>
      <c r="H8614" s="19"/>
    </row>
    <row r="8615">
      <c r="A8615" s="9"/>
      <c r="B8615" s="15"/>
      <c r="C8615" s="9">
        <f>IFERROR(__xludf.DUMMYFUNCTION("""COMPUTED_VALUE"""),44514.8775157291)</f>
        <v>44514.87752</v>
      </c>
      <c r="D8615" s="15">
        <f>IFERROR(__xludf.DUMMYFUNCTION("""COMPUTED_VALUE"""),1.097)</f>
        <v>1.097</v>
      </c>
      <c r="E8615" s="16">
        <f>IFERROR(__xludf.DUMMYFUNCTION("""COMPUTED_VALUE"""),69.0)</f>
        <v>69</v>
      </c>
      <c r="F8615" s="19" t="str">
        <f>IFERROR(__xludf.DUMMYFUNCTION("""COMPUTED_VALUE"""),"BLUE")</f>
        <v>BLUE</v>
      </c>
      <c r="G8615" s="20" t="str">
        <f>IFERROR(__xludf.DUMMYFUNCTION("""COMPUTED_VALUE"""),"Uncle Sams Cider (11/12/2021) (Blue)")</f>
        <v>Uncle Sams Cider (11/12/2021) (Blue)</v>
      </c>
      <c r="H8615" s="19"/>
    </row>
    <row r="8616">
      <c r="A8616" s="9"/>
      <c r="B8616" s="15"/>
      <c r="C8616" s="9">
        <f>IFERROR(__xludf.DUMMYFUNCTION("""COMPUTED_VALUE"""),44514.8670940624)</f>
        <v>44514.86709</v>
      </c>
      <c r="D8616" s="15">
        <f>IFERROR(__xludf.DUMMYFUNCTION("""COMPUTED_VALUE"""),1.097)</f>
        <v>1.097</v>
      </c>
      <c r="E8616" s="16">
        <f>IFERROR(__xludf.DUMMYFUNCTION("""COMPUTED_VALUE"""),69.0)</f>
        <v>69</v>
      </c>
      <c r="F8616" s="19" t="str">
        <f>IFERROR(__xludf.DUMMYFUNCTION("""COMPUTED_VALUE"""),"BLUE")</f>
        <v>BLUE</v>
      </c>
      <c r="G8616" s="20" t="str">
        <f>IFERROR(__xludf.DUMMYFUNCTION("""COMPUTED_VALUE"""),"Uncle Sams Cider (11/12/2021) (Blue)")</f>
        <v>Uncle Sams Cider (11/12/2021) (Blue)</v>
      </c>
      <c r="H8616" s="19"/>
    </row>
    <row r="8617">
      <c r="A8617" s="9"/>
      <c r="B8617" s="15"/>
      <c r="C8617" s="9">
        <f>IFERROR(__xludf.DUMMYFUNCTION("""COMPUTED_VALUE"""),44514.8566736689)</f>
        <v>44514.85667</v>
      </c>
      <c r="D8617" s="15">
        <f>IFERROR(__xludf.DUMMYFUNCTION("""COMPUTED_VALUE"""),1.097)</f>
        <v>1.097</v>
      </c>
      <c r="E8617" s="16">
        <f>IFERROR(__xludf.DUMMYFUNCTION("""COMPUTED_VALUE"""),69.0)</f>
        <v>69</v>
      </c>
      <c r="F8617" s="19" t="str">
        <f>IFERROR(__xludf.DUMMYFUNCTION("""COMPUTED_VALUE"""),"BLUE")</f>
        <v>BLUE</v>
      </c>
      <c r="G8617" s="20" t="str">
        <f>IFERROR(__xludf.DUMMYFUNCTION("""COMPUTED_VALUE"""),"Uncle Sams Cider (11/12/2021) (Blue)")</f>
        <v>Uncle Sams Cider (11/12/2021) (Blue)</v>
      </c>
      <c r="H8617" s="19"/>
    </row>
    <row r="8618">
      <c r="A8618" s="9"/>
      <c r="B8618" s="15"/>
      <c r="C8618" s="9">
        <f>IFERROR(__xludf.DUMMYFUNCTION("""COMPUTED_VALUE"""),44514.8462544328)</f>
        <v>44514.84625</v>
      </c>
      <c r="D8618" s="15">
        <f>IFERROR(__xludf.DUMMYFUNCTION("""COMPUTED_VALUE"""),1.097)</f>
        <v>1.097</v>
      </c>
      <c r="E8618" s="16">
        <f>IFERROR(__xludf.DUMMYFUNCTION("""COMPUTED_VALUE"""),69.0)</f>
        <v>69</v>
      </c>
      <c r="F8618" s="19" t="str">
        <f>IFERROR(__xludf.DUMMYFUNCTION("""COMPUTED_VALUE"""),"BLUE")</f>
        <v>BLUE</v>
      </c>
      <c r="G8618" s="20" t="str">
        <f>IFERROR(__xludf.DUMMYFUNCTION("""COMPUTED_VALUE"""),"Uncle Sams Cider (11/12/2021) (Blue)")</f>
        <v>Uncle Sams Cider (11/12/2021) (Blue)</v>
      </c>
      <c r="H8618" s="19"/>
    </row>
    <row r="8619">
      <c r="A8619" s="9"/>
      <c r="B8619" s="15"/>
      <c r="C8619" s="9">
        <f>IFERROR(__xludf.DUMMYFUNCTION("""COMPUTED_VALUE"""),44514.8358326388)</f>
        <v>44514.83583</v>
      </c>
      <c r="D8619" s="15">
        <f>IFERROR(__xludf.DUMMYFUNCTION("""COMPUTED_VALUE"""),1.097)</f>
        <v>1.097</v>
      </c>
      <c r="E8619" s="16">
        <f>IFERROR(__xludf.DUMMYFUNCTION("""COMPUTED_VALUE"""),69.0)</f>
        <v>69</v>
      </c>
      <c r="F8619" s="19" t="str">
        <f>IFERROR(__xludf.DUMMYFUNCTION("""COMPUTED_VALUE"""),"BLUE")</f>
        <v>BLUE</v>
      </c>
      <c r="G8619" s="20" t="str">
        <f>IFERROR(__xludf.DUMMYFUNCTION("""COMPUTED_VALUE"""),"Uncle Sams Cider (11/12/2021) (Blue)")</f>
        <v>Uncle Sams Cider (11/12/2021) (Blue)</v>
      </c>
      <c r="H8619" s="19"/>
    </row>
    <row r="8620">
      <c r="A8620" s="9"/>
      <c r="B8620" s="15"/>
      <c r="C8620" s="9">
        <f>IFERROR(__xludf.DUMMYFUNCTION("""COMPUTED_VALUE"""),44514.8254136805)</f>
        <v>44514.82541</v>
      </c>
      <c r="D8620" s="15">
        <f>IFERROR(__xludf.DUMMYFUNCTION("""COMPUTED_VALUE"""),1.097)</f>
        <v>1.097</v>
      </c>
      <c r="E8620" s="16">
        <f>IFERROR(__xludf.DUMMYFUNCTION("""COMPUTED_VALUE"""),69.0)</f>
        <v>69</v>
      </c>
      <c r="F8620" s="19" t="str">
        <f>IFERROR(__xludf.DUMMYFUNCTION("""COMPUTED_VALUE"""),"BLUE")</f>
        <v>BLUE</v>
      </c>
      <c r="G8620" s="20" t="str">
        <f>IFERROR(__xludf.DUMMYFUNCTION("""COMPUTED_VALUE"""),"Uncle Sams Cider (11/12/2021) (Blue)")</f>
        <v>Uncle Sams Cider (11/12/2021) (Blue)</v>
      </c>
      <c r="H8620" s="19"/>
    </row>
    <row r="8621">
      <c r="A8621" s="9"/>
      <c r="B8621" s="15"/>
      <c r="C8621" s="9">
        <f>IFERROR(__xludf.DUMMYFUNCTION("""COMPUTED_VALUE"""),44514.8149927314)</f>
        <v>44514.81499</v>
      </c>
      <c r="D8621" s="15">
        <f>IFERROR(__xludf.DUMMYFUNCTION("""COMPUTED_VALUE"""),1.098)</f>
        <v>1.098</v>
      </c>
      <c r="E8621" s="16">
        <f>IFERROR(__xludf.DUMMYFUNCTION("""COMPUTED_VALUE"""),69.0)</f>
        <v>69</v>
      </c>
      <c r="F8621" s="19" t="str">
        <f>IFERROR(__xludf.DUMMYFUNCTION("""COMPUTED_VALUE"""),"BLUE")</f>
        <v>BLUE</v>
      </c>
      <c r="G8621" s="20" t="str">
        <f>IFERROR(__xludf.DUMMYFUNCTION("""COMPUTED_VALUE"""),"Uncle Sams Cider (11/12/2021) (Blue)")</f>
        <v>Uncle Sams Cider (11/12/2021) (Blue)</v>
      </c>
      <c r="H8621" s="19"/>
    </row>
    <row r="8622">
      <c r="A8622" s="9"/>
      <c r="B8622" s="15"/>
      <c r="C8622" s="9">
        <f>IFERROR(__xludf.DUMMYFUNCTION("""COMPUTED_VALUE"""),44514.804573206)</f>
        <v>44514.80457</v>
      </c>
      <c r="D8622" s="15">
        <f>IFERROR(__xludf.DUMMYFUNCTION("""COMPUTED_VALUE"""),1.098)</f>
        <v>1.098</v>
      </c>
      <c r="E8622" s="16">
        <f>IFERROR(__xludf.DUMMYFUNCTION("""COMPUTED_VALUE"""),69.0)</f>
        <v>69</v>
      </c>
      <c r="F8622" s="19" t="str">
        <f>IFERROR(__xludf.DUMMYFUNCTION("""COMPUTED_VALUE"""),"BLUE")</f>
        <v>BLUE</v>
      </c>
      <c r="G8622" s="20" t="str">
        <f>IFERROR(__xludf.DUMMYFUNCTION("""COMPUTED_VALUE"""),"Uncle Sams Cider (11/12/2021) (Blue)")</f>
        <v>Uncle Sams Cider (11/12/2021) (Blue)</v>
      </c>
      <c r="H8622" s="19"/>
    </row>
    <row r="8623">
      <c r="A8623" s="9"/>
      <c r="B8623" s="15"/>
      <c r="C8623" s="9">
        <f>IFERROR(__xludf.DUMMYFUNCTION("""COMPUTED_VALUE"""),44514.7941398958)</f>
        <v>44514.79414</v>
      </c>
      <c r="D8623" s="15">
        <f>IFERROR(__xludf.DUMMYFUNCTION("""COMPUTED_VALUE"""),1.098)</f>
        <v>1.098</v>
      </c>
      <c r="E8623" s="16">
        <f>IFERROR(__xludf.DUMMYFUNCTION("""COMPUTED_VALUE"""),69.0)</f>
        <v>69</v>
      </c>
      <c r="F8623" s="19" t="str">
        <f>IFERROR(__xludf.DUMMYFUNCTION("""COMPUTED_VALUE"""),"BLUE")</f>
        <v>BLUE</v>
      </c>
      <c r="G8623" s="20" t="str">
        <f>IFERROR(__xludf.DUMMYFUNCTION("""COMPUTED_VALUE"""),"Uncle Sams Cider (11/12/2021) (Blue)")</f>
        <v>Uncle Sams Cider (11/12/2021) (Blue)</v>
      </c>
      <c r="H8623" s="19"/>
    </row>
    <row r="8624">
      <c r="A8624" s="9"/>
      <c r="B8624" s="15"/>
      <c r="C8624" s="9">
        <f>IFERROR(__xludf.DUMMYFUNCTION("""COMPUTED_VALUE"""),44514.7837194907)</f>
        <v>44514.78372</v>
      </c>
      <c r="D8624" s="15">
        <f>IFERROR(__xludf.DUMMYFUNCTION("""COMPUTED_VALUE"""),1.098)</f>
        <v>1.098</v>
      </c>
      <c r="E8624" s="16">
        <f>IFERROR(__xludf.DUMMYFUNCTION("""COMPUTED_VALUE"""),69.0)</f>
        <v>69</v>
      </c>
      <c r="F8624" s="19" t="str">
        <f>IFERROR(__xludf.DUMMYFUNCTION("""COMPUTED_VALUE"""),"BLUE")</f>
        <v>BLUE</v>
      </c>
      <c r="G8624" s="20" t="str">
        <f>IFERROR(__xludf.DUMMYFUNCTION("""COMPUTED_VALUE"""),"Uncle Sams Cider (11/12/2021) (Blue)")</f>
        <v>Uncle Sams Cider (11/12/2021) (Blue)</v>
      </c>
      <c r="H8624" s="19"/>
    </row>
    <row r="8625">
      <c r="A8625" s="9"/>
      <c r="B8625" s="15"/>
      <c r="C8625" s="9">
        <f>IFERROR(__xludf.DUMMYFUNCTION("""COMPUTED_VALUE"""),44514.7732874536)</f>
        <v>44514.77329</v>
      </c>
      <c r="D8625" s="15">
        <f>IFERROR(__xludf.DUMMYFUNCTION("""COMPUTED_VALUE"""),1.097)</f>
        <v>1.097</v>
      </c>
      <c r="E8625" s="16">
        <f>IFERROR(__xludf.DUMMYFUNCTION("""COMPUTED_VALUE"""),69.0)</f>
        <v>69</v>
      </c>
      <c r="F8625" s="19" t="str">
        <f>IFERROR(__xludf.DUMMYFUNCTION("""COMPUTED_VALUE"""),"BLUE")</f>
        <v>BLUE</v>
      </c>
      <c r="G8625" s="20" t="str">
        <f>IFERROR(__xludf.DUMMYFUNCTION("""COMPUTED_VALUE"""),"Uncle Sams Cider (11/12/2021) (Blue)")</f>
        <v>Uncle Sams Cider (11/12/2021) (Blue)</v>
      </c>
      <c r="H8625" s="19"/>
    </row>
    <row r="8626">
      <c r="A8626" s="9"/>
      <c r="B8626" s="15"/>
      <c r="C8626" s="9">
        <f>IFERROR(__xludf.DUMMYFUNCTION("""COMPUTED_VALUE"""),44514.7628656134)</f>
        <v>44514.76287</v>
      </c>
      <c r="D8626" s="15">
        <f>IFERROR(__xludf.DUMMYFUNCTION("""COMPUTED_VALUE"""),1.098)</f>
        <v>1.098</v>
      </c>
      <c r="E8626" s="16">
        <f>IFERROR(__xludf.DUMMYFUNCTION("""COMPUTED_VALUE"""),69.0)</f>
        <v>69</v>
      </c>
      <c r="F8626" s="19" t="str">
        <f>IFERROR(__xludf.DUMMYFUNCTION("""COMPUTED_VALUE"""),"BLUE")</f>
        <v>BLUE</v>
      </c>
      <c r="G8626" s="20" t="str">
        <f>IFERROR(__xludf.DUMMYFUNCTION("""COMPUTED_VALUE"""),"Uncle Sams Cider (11/12/2021) (Blue)")</f>
        <v>Uncle Sams Cider (11/12/2021) (Blue)</v>
      </c>
      <c r="H8626" s="19"/>
    </row>
    <row r="8627">
      <c r="A8627" s="9"/>
      <c r="B8627" s="15"/>
      <c r="C8627" s="9">
        <f>IFERROR(__xludf.DUMMYFUNCTION("""COMPUTED_VALUE"""),44514.7524448726)</f>
        <v>44514.75244</v>
      </c>
      <c r="D8627" s="15">
        <f>IFERROR(__xludf.DUMMYFUNCTION("""COMPUTED_VALUE"""),1.097)</f>
        <v>1.097</v>
      </c>
      <c r="E8627" s="16">
        <f>IFERROR(__xludf.DUMMYFUNCTION("""COMPUTED_VALUE"""),69.0)</f>
        <v>69</v>
      </c>
      <c r="F8627" s="19" t="str">
        <f>IFERROR(__xludf.DUMMYFUNCTION("""COMPUTED_VALUE"""),"BLUE")</f>
        <v>BLUE</v>
      </c>
      <c r="G8627" s="20" t="str">
        <f>IFERROR(__xludf.DUMMYFUNCTION("""COMPUTED_VALUE"""),"Uncle Sams Cider (11/12/2021) (Blue)")</f>
        <v>Uncle Sams Cider (11/12/2021) (Blue)</v>
      </c>
      <c r="H8627" s="19"/>
    </row>
    <row r="8628">
      <c r="A8628" s="9"/>
      <c r="B8628" s="15"/>
      <c r="C8628" s="9">
        <f>IFERROR(__xludf.DUMMYFUNCTION("""COMPUTED_VALUE"""),44514.7420219444)</f>
        <v>44514.74202</v>
      </c>
      <c r="D8628" s="15">
        <f>IFERROR(__xludf.DUMMYFUNCTION("""COMPUTED_VALUE"""),1.098)</f>
        <v>1.098</v>
      </c>
      <c r="E8628" s="16">
        <f>IFERROR(__xludf.DUMMYFUNCTION("""COMPUTED_VALUE"""),69.0)</f>
        <v>69</v>
      </c>
      <c r="F8628" s="19" t="str">
        <f>IFERROR(__xludf.DUMMYFUNCTION("""COMPUTED_VALUE"""),"BLUE")</f>
        <v>BLUE</v>
      </c>
      <c r="G8628" s="20" t="str">
        <f>IFERROR(__xludf.DUMMYFUNCTION("""COMPUTED_VALUE"""),"Uncle Sams Cider (11/12/2021) (Blue)")</f>
        <v>Uncle Sams Cider (11/12/2021) (Blue)</v>
      </c>
      <c r="H8628" s="19"/>
    </row>
    <row r="8629">
      <c r="A8629" s="9"/>
      <c r="B8629" s="15"/>
      <c r="C8629" s="9">
        <f>IFERROR(__xludf.DUMMYFUNCTION("""COMPUTED_VALUE"""),44514.7316005208)</f>
        <v>44514.7316</v>
      </c>
      <c r="D8629" s="15">
        <f>IFERROR(__xludf.DUMMYFUNCTION("""COMPUTED_VALUE"""),1.098)</f>
        <v>1.098</v>
      </c>
      <c r="E8629" s="16">
        <f>IFERROR(__xludf.DUMMYFUNCTION("""COMPUTED_VALUE"""),69.0)</f>
        <v>69</v>
      </c>
      <c r="F8629" s="19" t="str">
        <f>IFERROR(__xludf.DUMMYFUNCTION("""COMPUTED_VALUE"""),"BLUE")</f>
        <v>BLUE</v>
      </c>
      <c r="G8629" s="20" t="str">
        <f>IFERROR(__xludf.DUMMYFUNCTION("""COMPUTED_VALUE"""),"Uncle Sams Cider (11/12/2021) (Blue)")</f>
        <v>Uncle Sams Cider (11/12/2021) (Blue)</v>
      </c>
      <c r="H8629" s="19"/>
    </row>
    <row r="8630">
      <c r="A8630" s="9"/>
      <c r="B8630" s="15"/>
      <c r="C8630" s="9">
        <f>IFERROR(__xludf.DUMMYFUNCTION("""COMPUTED_VALUE"""),44514.7211781365)</f>
        <v>44514.72118</v>
      </c>
      <c r="D8630" s="15">
        <f>IFERROR(__xludf.DUMMYFUNCTION("""COMPUTED_VALUE"""),1.098)</f>
        <v>1.098</v>
      </c>
      <c r="E8630" s="16">
        <f>IFERROR(__xludf.DUMMYFUNCTION("""COMPUTED_VALUE"""),69.0)</f>
        <v>69</v>
      </c>
      <c r="F8630" s="19" t="str">
        <f>IFERROR(__xludf.DUMMYFUNCTION("""COMPUTED_VALUE"""),"BLUE")</f>
        <v>BLUE</v>
      </c>
      <c r="G8630" s="20" t="str">
        <f>IFERROR(__xludf.DUMMYFUNCTION("""COMPUTED_VALUE"""),"Uncle Sams Cider (11/12/2021) (Blue)")</f>
        <v>Uncle Sams Cider (11/12/2021) (Blue)</v>
      </c>
      <c r="H8630" s="19"/>
    </row>
    <row r="8631">
      <c r="A8631" s="9"/>
      <c r="B8631" s="15"/>
      <c r="C8631" s="9">
        <f>IFERROR(__xludf.DUMMYFUNCTION("""COMPUTED_VALUE"""),44514.7107443287)</f>
        <v>44514.71074</v>
      </c>
      <c r="D8631" s="15">
        <f>IFERROR(__xludf.DUMMYFUNCTION("""COMPUTED_VALUE"""),1.098)</f>
        <v>1.098</v>
      </c>
      <c r="E8631" s="16">
        <f>IFERROR(__xludf.DUMMYFUNCTION("""COMPUTED_VALUE"""),69.0)</f>
        <v>69</v>
      </c>
      <c r="F8631" s="19" t="str">
        <f>IFERROR(__xludf.DUMMYFUNCTION("""COMPUTED_VALUE"""),"BLUE")</f>
        <v>BLUE</v>
      </c>
      <c r="G8631" s="20" t="str">
        <f>IFERROR(__xludf.DUMMYFUNCTION("""COMPUTED_VALUE"""),"Uncle Sams Cider (11/12/2021) (Blue)")</f>
        <v>Uncle Sams Cider (11/12/2021) (Blue)</v>
      </c>
      <c r="H8631" s="19"/>
    </row>
    <row r="8632">
      <c r="A8632" s="9"/>
      <c r="B8632" s="15"/>
      <c r="C8632" s="9">
        <f>IFERROR(__xludf.DUMMYFUNCTION("""COMPUTED_VALUE"""),44514.7003243865)</f>
        <v>44514.70032</v>
      </c>
      <c r="D8632" s="15">
        <f>IFERROR(__xludf.DUMMYFUNCTION("""COMPUTED_VALUE"""),1.099)</f>
        <v>1.099</v>
      </c>
      <c r="E8632" s="16">
        <f>IFERROR(__xludf.DUMMYFUNCTION("""COMPUTED_VALUE"""),68.0)</f>
        <v>68</v>
      </c>
      <c r="F8632" s="19" t="str">
        <f>IFERROR(__xludf.DUMMYFUNCTION("""COMPUTED_VALUE"""),"BLUE")</f>
        <v>BLUE</v>
      </c>
      <c r="G8632" s="20" t="str">
        <f>IFERROR(__xludf.DUMMYFUNCTION("""COMPUTED_VALUE"""),"Uncle Sams Cider (11/12/2021) (Blue)")</f>
        <v>Uncle Sams Cider (11/12/2021) (Blue)</v>
      </c>
      <c r="H8632" s="19"/>
    </row>
    <row r="8633">
      <c r="A8633" s="9"/>
      <c r="B8633" s="15"/>
      <c r="C8633" s="9">
        <f>IFERROR(__xludf.DUMMYFUNCTION("""COMPUTED_VALUE"""),44514.6898926273)</f>
        <v>44514.68989</v>
      </c>
      <c r="D8633" s="15">
        <f>IFERROR(__xludf.DUMMYFUNCTION("""COMPUTED_VALUE"""),1.099)</f>
        <v>1.099</v>
      </c>
      <c r="E8633" s="16">
        <f>IFERROR(__xludf.DUMMYFUNCTION("""COMPUTED_VALUE"""),68.0)</f>
        <v>68</v>
      </c>
      <c r="F8633" s="19" t="str">
        <f>IFERROR(__xludf.DUMMYFUNCTION("""COMPUTED_VALUE"""),"BLUE")</f>
        <v>BLUE</v>
      </c>
      <c r="G8633" s="20" t="str">
        <f>IFERROR(__xludf.DUMMYFUNCTION("""COMPUTED_VALUE"""),"Uncle Sams Cider (11/12/2021) (Blue)")</f>
        <v>Uncle Sams Cider (11/12/2021) (Blue)</v>
      </c>
      <c r="H8633" s="19"/>
    </row>
    <row r="8634">
      <c r="A8634" s="9"/>
      <c r="B8634" s="15"/>
      <c r="C8634" s="9">
        <f>IFERROR(__xludf.DUMMYFUNCTION("""COMPUTED_VALUE"""),44514.6794704166)</f>
        <v>44514.67947</v>
      </c>
      <c r="D8634" s="15">
        <f>IFERROR(__xludf.DUMMYFUNCTION("""COMPUTED_VALUE"""),1.099)</f>
        <v>1.099</v>
      </c>
      <c r="E8634" s="16">
        <f>IFERROR(__xludf.DUMMYFUNCTION("""COMPUTED_VALUE"""),68.0)</f>
        <v>68</v>
      </c>
      <c r="F8634" s="19" t="str">
        <f>IFERROR(__xludf.DUMMYFUNCTION("""COMPUTED_VALUE"""),"BLUE")</f>
        <v>BLUE</v>
      </c>
      <c r="G8634" s="20" t="str">
        <f>IFERROR(__xludf.DUMMYFUNCTION("""COMPUTED_VALUE"""),"Uncle Sams Cider (11/12/2021) (Blue)")</f>
        <v>Uncle Sams Cider (11/12/2021) (Blue)</v>
      </c>
      <c r="H8634" s="19"/>
    </row>
    <row r="8635">
      <c r="A8635" s="9"/>
      <c r="B8635" s="15"/>
      <c r="C8635" s="9">
        <f>IFERROR(__xludf.DUMMYFUNCTION("""COMPUTED_VALUE"""),44514.66904728)</f>
        <v>44514.66905</v>
      </c>
      <c r="D8635" s="15">
        <f>IFERROR(__xludf.DUMMYFUNCTION("""COMPUTED_VALUE"""),1.099)</f>
        <v>1.099</v>
      </c>
      <c r="E8635" s="16">
        <f>IFERROR(__xludf.DUMMYFUNCTION("""COMPUTED_VALUE"""),68.0)</f>
        <v>68</v>
      </c>
      <c r="F8635" s="19" t="str">
        <f>IFERROR(__xludf.DUMMYFUNCTION("""COMPUTED_VALUE"""),"BLUE")</f>
        <v>BLUE</v>
      </c>
      <c r="G8635" s="20" t="str">
        <f>IFERROR(__xludf.DUMMYFUNCTION("""COMPUTED_VALUE"""),"Uncle Sams Cider (11/12/2021) (Blue)")</f>
        <v>Uncle Sams Cider (11/12/2021) (Blue)</v>
      </c>
      <c r="H8635" s="19"/>
    </row>
    <row r="8636">
      <c r="A8636" s="9"/>
      <c r="B8636" s="15"/>
      <c r="C8636" s="9">
        <f>IFERROR(__xludf.DUMMYFUNCTION("""COMPUTED_VALUE"""),44514.658625243)</f>
        <v>44514.65863</v>
      </c>
      <c r="D8636" s="15">
        <f>IFERROR(__xludf.DUMMYFUNCTION("""COMPUTED_VALUE"""),1.099)</f>
        <v>1.099</v>
      </c>
      <c r="E8636" s="16">
        <f>IFERROR(__xludf.DUMMYFUNCTION("""COMPUTED_VALUE"""),68.0)</f>
        <v>68</v>
      </c>
      <c r="F8636" s="19" t="str">
        <f>IFERROR(__xludf.DUMMYFUNCTION("""COMPUTED_VALUE"""),"BLUE")</f>
        <v>BLUE</v>
      </c>
      <c r="G8636" s="20" t="str">
        <f>IFERROR(__xludf.DUMMYFUNCTION("""COMPUTED_VALUE"""),"Uncle Sams Cider (11/12/2021) (Blue)")</f>
        <v>Uncle Sams Cider (11/12/2021) (Blue)</v>
      </c>
      <c r="H8636" s="19"/>
    </row>
    <row r="8637">
      <c r="A8637" s="9"/>
      <c r="B8637" s="15"/>
      <c r="C8637" s="9">
        <f>IFERROR(__xludf.DUMMYFUNCTION("""COMPUTED_VALUE"""),44514.648203449)</f>
        <v>44514.6482</v>
      </c>
      <c r="D8637" s="15">
        <f>IFERROR(__xludf.DUMMYFUNCTION("""COMPUTED_VALUE"""),1.1)</f>
        <v>1.1</v>
      </c>
      <c r="E8637" s="16">
        <f>IFERROR(__xludf.DUMMYFUNCTION("""COMPUTED_VALUE"""),68.0)</f>
        <v>68</v>
      </c>
      <c r="F8637" s="19" t="str">
        <f>IFERROR(__xludf.DUMMYFUNCTION("""COMPUTED_VALUE"""),"BLUE")</f>
        <v>BLUE</v>
      </c>
      <c r="G8637" s="20" t="str">
        <f>IFERROR(__xludf.DUMMYFUNCTION("""COMPUTED_VALUE"""),"Uncle Sams Cider (11/12/2021) (Blue)")</f>
        <v>Uncle Sams Cider (11/12/2021) (Blue)</v>
      </c>
      <c r="H8637" s="19"/>
    </row>
    <row r="8638">
      <c r="A8638" s="9"/>
      <c r="B8638" s="15"/>
      <c r="C8638" s="9">
        <f>IFERROR(__xludf.DUMMYFUNCTION("""COMPUTED_VALUE"""),44514.6377838078)</f>
        <v>44514.63778</v>
      </c>
      <c r="D8638" s="15">
        <f>IFERROR(__xludf.DUMMYFUNCTION("""COMPUTED_VALUE"""),1.098)</f>
        <v>1.098</v>
      </c>
      <c r="E8638" s="16">
        <f>IFERROR(__xludf.DUMMYFUNCTION("""COMPUTED_VALUE"""),68.0)</f>
        <v>68</v>
      </c>
      <c r="F8638" s="19" t="str">
        <f>IFERROR(__xludf.DUMMYFUNCTION("""COMPUTED_VALUE"""),"BLUE")</f>
        <v>BLUE</v>
      </c>
      <c r="G8638" s="20" t="str">
        <f>IFERROR(__xludf.DUMMYFUNCTION("""COMPUTED_VALUE"""),"Uncle Sams Cider (11/12/2021) (Blue)")</f>
        <v>Uncle Sams Cider (11/12/2021) (Blue)</v>
      </c>
      <c r="H8638" s="19"/>
    </row>
    <row r="8639">
      <c r="A8639" s="9"/>
      <c r="B8639" s="15"/>
      <c r="C8639" s="9">
        <f>IFERROR(__xludf.DUMMYFUNCTION("""COMPUTED_VALUE"""),44514.6273630671)</f>
        <v>44514.62736</v>
      </c>
      <c r="D8639" s="15">
        <f>IFERROR(__xludf.DUMMYFUNCTION("""COMPUTED_VALUE"""),1.099)</f>
        <v>1.099</v>
      </c>
      <c r="E8639" s="16">
        <f>IFERROR(__xludf.DUMMYFUNCTION("""COMPUTED_VALUE"""),68.0)</f>
        <v>68</v>
      </c>
      <c r="F8639" s="19" t="str">
        <f>IFERROR(__xludf.DUMMYFUNCTION("""COMPUTED_VALUE"""),"BLUE")</f>
        <v>BLUE</v>
      </c>
      <c r="G8639" s="20" t="str">
        <f>IFERROR(__xludf.DUMMYFUNCTION("""COMPUTED_VALUE"""),"Uncle Sams Cider (11/12/2021) (Blue)")</f>
        <v>Uncle Sams Cider (11/12/2021) (Blue)</v>
      </c>
      <c r="H8639" s="19"/>
    </row>
    <row r="8640">
      <c r="A8640" s="9"/>
      <c r="B8640" s="15"/>
      <c r="C8640" s="9">
        <f>IFERROR(__xludf.DUMMYFUNCTION("""COMPUTED_VALUE"""),44514.6169393171)</f>
        <v>44514.61694</v>
      </c>
      <c r="D8640" s="15">
        <f>IFERROR(__xludf.DUMMYFUNCTION("""COMPUTED_VALUE"""),1.099)</f>
        <v>1.099</v>
      </c>
      <c r="E8640" s="16">
        <f>IFERROR(__xludf.DUMMYFUNCTION("""COMPUTED_VALUE"""),68.0)</f>
        <v>68</v>
      </c>
      <c r="F8640" s="19" t="str">
        <f>IFERROR(__xludf.DUMMYFUNCTION("""COMPUTED_VALUE"""),"BLUE")</f>
        <v>BLUE</v>
      </c>
      <c r="G8640" s="20" t="str">
        <f>IFERROR(__xludf.DUMMYFUNCTION("""COMPUTED_VALUE"""),"Uncle Sams Cider (11/12/2021) (Blue)")</f>
        <v>Uncle Sams Cider (11/12/2021) (Blue)</v>
      </c>
      <c r="H8640" s="19"/>
    </row>
    <row r="8641">
      <c r="A8641" s="9"/>
      <c r="B8641" s="15"/>
      <c r="C8641" s="9">
        <f>IFERROR(__xludf.DUMMYFUNCTION("""COMPUTED_VALUE"""),44514.6065184143)</f>
        <v>44514.60652</v>
      </c>
      <c r="D8641" s="15">
        <f>IFERROR(__xludf.DUMMYFUNCTION("""COMPUTED_VALUE"""),1.099)</f>
        <v>1.099</v>
      </c>
      <c r="E8641" s="16">
        <f>IFERROR(__xludf.DUMMYFUNCTION("""COMPUTED_VALUE"""),68.0)</f>
        <v>68</v>
      </c>
      <c r="F8641" s="19" t="str">
        <f>IFERROR(__xludf.DUMMYFUNCTION("""COMPUTED_VALUE"""),"BLUE")</f>
        <v>BLUE</v>
      </c>
      <c r="G8641" s="20" t="str">
        <f>IFERROR(__xludf.DUMMYFUNCTION("""COMPUTED_VALUE"""),"Uncle Sams Cider (11/12/2021) (Blue)")</f>
        <v>Uncle Sams Cider (11/12/2021) (Blue)</v>
      </c>
      <c r="H8641" s="19"/>
    </row>
    <row r="8642">
      <c r="A8642" s="9"/>
      <c r="B8642" s="15"/>
      <c r="C8642" s="9">
        <f>IFERROR(__xludf.DUMMYFUNCTION("""COMPUTED_VALUE"""),44514.5960970486)</f>
        <v>44514.5961</v>
      </c>
      <c r="D8642" s="15">
        <f>IFERROR(__xludf.DUMMYFUNCTION("""COMPUTED_VALUE"""),1.099)</f>
        <v>1.099</v>
      </c>
      <c r="E8642" s="16">
        <f>IFERROR(__xludf.DUMMYFUNCTION("""COMPUTED_VALUE"""),68.0)</f>
        <v>68</v>
      </c>
      <c r="F8642" s="19" t="str">
        <f>IFERROR(__xludf.DUMMYFUNCTION("""COMPUTED_VALUE"""),"BLUE")</f>
        <v>BLUE</v>
      </c>
      <c r="G8642" s="20" t="str">
        <f>IFERROR(__xludf.DUMMYFUNCTION("""COMPUTED_VALUE"""),"Uncle Sams Cider (11/12/2021) (Blue)")</f>
        <v>Uncle Sams Cider (11/12/2021) (Blue)</v>
      </c>
      <c r="H8642" s="19"/>
    </row>
    <row r="8643">
      <c r="A8643" s="9"/>
      <c r="B8643" s="15"/>
      <c r="C8643" s="9">
        <f>IFERROR(__xludf.DUMMYFUNCTION("""COMPUTED_VALUE"""),44514.58567603)</f>
        <v>44514.58568</v>
      </c>
      <c r="D8643" s="15">
        <f>IFERROR(__xludf.DUMMYFUNCTION("""COMPUTED_VALUE"""),1.1)</f>
        <v>1.1</v>
      </c>
      <c r="E8643" s="16">
        <f>IFERROR(__xludf.DUMMYFUNCTION("""COMPUTED_VALUE"""),68.0)</f>
        <v>68</v>
      </c>
      <c r="F8643" s="19" t="str">
        <f>IFERROR(__xludf.DUMMYFUNCTION("""COMPUTED_VALUE"""),"BLUE")</f>
        <v>BLUE</v>
      </c>
      <c r="G8643" s="20" t="str">
        <f>IFERROR(__xludf.DUMMYFUNCTION("""COMPUTED_VALUE"""),"Uncle Sams Cider (11/12/2021) (Blue)")</f>
        <v>Uncle Sams Cider (11/12/2021) (Blue)</v>
      </c>
      <c r="H8643" s="19"/>
    </row>
    <row r="8644">
      <c r="A8644" s="9"/>
      <c r="B8644" s="15"/>
      <c r="C8644" s="9">
        <f>IFERROR(__xludf.DUMMYFUNCTION("""COMPUTED_VALUE"""),44514.5752538888)</f>
        <v>44514.57525</v>
      </c>
      <c r="D8644" s="15">
        <f>IFERROR(__xludf.DUMMYFUNCTION("""COMPUTED_VALUE"""),1.1)</f>
        <v>1.1</v>
      </c>
      <c r="E8644" s="16">
        <f>IFERROR(__xludf.DUMMYFUNCTION("""COMPUTED_VALUE"""),68.0)</f>
        <v>68</v>
      </c>
      <c r="F8644" s="19" t="str">
        <f>IFERROR(__xludf.DUMMYFUNCTION("""COMPUTED_VALUE"""),"BLUE")</f>
        <v>BLUE</v>
      </c>
      <c r="G8644" s="20" t="str">
        <f>IFERROR(__xludf.DUMMYFUNCTION("""COMPUTED_VALUE"""),"Uncle Sams Cider (11/12/2021) (Blue)")</f>
        <v>Uncle Sams Cider (11/12/2021) (Blue)</v>
      </c>
      <c r="H8644" s="19"/>
    </row>
    <row r="8645">
      <c r="A8645" s="9"/>
      <c r="B8645" s="15"/>
      <c r="C8645" s="9">
        <f>IFERROR(__xludf.DUMMYFUNCTION("""COMPUTED_VALUE"""),44514.5648328472)</f>
        <v>44514.56483</v>
      </c>
      <c r="D8645" s="15">
        <f>IFERROR(__xludf.DUMMYFUNCTION("""COMPUTED_VALUE"""),1.099)</f>
        <v>1.099</v>
      </c>
      <c r="E8645" s="16">
        <f>IFERROR(__xludf.DUMMYFUNCTION("""COMPUTED_VALUE"""),68.0)</f>
        <v>68</v>
      </c>
      <c r="F8645" s="19" t="str">
        <f>IFERROR(__xludf.DUMMYFUNCTION("""COMPUTED_VALUE"""),"BLUE")</f>
        <v>BLUE</v>
      </c>
      <c r="G8645" s="20" t="str">
        <f>IFERROR(__xludf.DUMMYFUNCTION("""COMPUTED_VALUE"""),"Uncle Sams Cider (11/12/2021) (Blue)")</f>
        <v>Uncle Sams Cider (11/12/2021) (Blue)</v>
      </c>
      <c r="H8645" s="19"/>
    </row>
    <row r="8646">
      <c r="A8646" s="9"/>
      <c r="B8646" s="15"/>
      <c r="C8646" s="9">
        <f>IFERROR(__xludf.DUMMYFUNCTION("""COMPUTED_VALUE"""),44514.5544099305)</f>
        <v>44514.55441</v>
      </c>
      <c r="D8646" s="15">
        <f>IFERROR(__xludf.DUMMYFUNCTION("""COMPUTED_VALUE"""),1.1)</f>
        <v>1.1</v>
      </c>
      <c r="E8646" s="16">
        <f>IFERROR(__xludf.DUMMYFUNCTION("""COMPUTED_VALUE"""),68.0)</f>
        <v>68</v>
      </c>
      <c r="F8646" s="19" t="str">
        <f>IFERROR(__xludf.DUMMYFUNCTION("""COMPUTED_VALUE"""),"BLUE")</f>
        <v>BLUE</v>
      </c>
      <c r="G8646" s="20" t="str">
        <f>IFERROR(__xludf.DUMMYFUNCTION("""COMPUTED_VALUE"""),"Uncle Sams Cider (11/12/2021) (Blue)")</f>
        <v>Uncle Sams Cider (11/12/2021) (Blue)</v>
      </c>
      <c r="H8646" s="19"/>
    </row>
    <row r="8647">
      <c r="A8647" s="9"/>
      <c r="B8647" s="15"/>
      <c r="C8647" s="9">
        <f>IFERROR(__xludf.DUMMYFUNCTION("""COMPUTED_VALUE"""),44514.543979456)</f>
        <v>44514.54398</v>
      </c>
      <c r="D8647" s="15">
        <f>IFERROR(__xludf.DUMMYFUNCTION("""COMPUTED_VALUE"""),1.1)</f>
        <v>1.1</v>
      </c>
      <c r="E8647" s="16">
        <f>IFERROR(__xludf.DUMMYFUNCTION("""COMPUTED_VALUE"""),68.0)</f>
        <v>68</v>
      </c>
      <c r="F8647" s="19" t="str">
        <f>IFERROR(__xludf.DUMMYFUNCTION("""COMPUTED_VALUE"""),"BLUE")</f>
        <v>BLUE</v>
      </c>
      <c r="G8647" s="20" t="str">
        <f>IFERROR(__xludf.DUMMYFUNCTION("""COMPUTED_VALUE"""),"Uncle Sams Cider (11/12/2021) (Blue)")</f>
        <v>Uncle Sams Cider (11/12/2021) (Blue)</v>
      </c>
      <c r="H8647" s="19"/>
    </row>
    <row r="8648">
      <c r="A8648" s="9"/>
      <c r="B8648" s="15"/>
      <c r="C8648" s="9">
        <f>IFERROR(__xludf.DUMMYFUNCTION("""COMPUTED_VALUE"""),44514.5335570023)</f>
        <v>44514.53356</v>
      </c>
      <c r="D8648" s="15">
        <f>IFERROR(__xludf.DUMMYFUNCTION("""COMPUTED_VALUE"""),1.1)</f>
        <v>1.1</v>
      </c>
      <c r="E8648" s="16">
        <f>IFERROR(__xludf.DUMMYFUNCTION("""COMPUTED_VALUE"""),68.0)</f>
        <v>68</v>
      </c>
      <c r="F8648" s="19" t="str">
        <f>IFERROR(__xludf.DUMMYFUNCTION("""COMPUTED_VALUE"""),"BLUE")</f>
        <v>BLUE</v>
      </c>
      <c r="G8648" s="20" t="str">
        <f>IFERROR(__xludf.DUMMYFUNCTION("""COMPUTED_VALUE"""),"Uncle Sams Cider (11/12/2021) (Blue)")</f>
        <v>Uncle Sams Cider (11/12/2021) (Blue)</v>
      </c>
      <c r="H8648" s="19"/>
    </row>
    <row r="8649">
      <c r="A8649" s="9"/>
      <c r="B8649" s="15"/>
      <c r="C8649" s="9">
        <f>IFERROR(__xludf.DUMMYFUNCTION("""COMPUTED_VALUE"""),44514.5231247685)</f>
        <v>44514.52312</v>
      </c>
      <c r="D8649" s="15">
        <f>IFERROR(__xludf.DUMMYFUNCTION("""COMPUTED_VALUE"""),1.099)</f>
        <v>1.099</v>
      </c>
      <c r="E8649" s="16">
        <f>IFERROR(__xludf.DUMMYFUNCTION("""COMPUTED_VALUE"""),68.0)</f>
        <v>68</v>
      </c>
      <c r="F8649" s="19" t="str">
        <f>IFERROR(__xludf.DUMMYFUNCTION("""COMPUTED_VALUE"""),"BLUE")</f>
        <v>BLUE</v>
      </c>
      <c r="G8649" s="20" t="str">
        <f>IFERROR(__xludf.DUMMYFUNCTION("""COMPUTED_VALUE"""),"Uncle Sams Cider (11/12/2021) (Blue)")</f>
        <v>Uncle Sams Cider (11/12/2021) (Blue)</v>
      </c>
      <c r="H8649" s="19"/>
    </row>
    <row r="8650">
      <c r="A8650" s="9"/>
      <c r="B8650" s="15"/>
      <c r="C8650" s="9">
        <f>IFERROR(__xludf.DUMMYFUNCTION("""COMPUTED_VALUE"""),44514.5127051851)</f>
        <v>44514.51271</v>
      </c>
      <c r="D8650" s="15">
        <f>IFERROR(__xludf.DUMMYFUNCTION("""COMPUTED_VALUE"""),1.1)</f>
        <v>1.1</v>
      </c>
      <c r="E8650" s="16">
        <f>IFERROR(__xludf.DUMMYFUNCTION("""COMPUTED_VALUE"""),68.0)</f>
        <v>68</v>
      </c>
      <c r="F8650" s="19" t="str">
        <f>IFERROR(__xludf.DUMMYFUNCTION("""COMPUTED_VALUE"""),"BLUE")</f>
        <v>BLUE</v>
      </c>
      <c r="G8650" s="20" t="str">
        <f>IFERROR(__xludf.DUMMYFUNCTION("""COMPUTED_VALUE"""),"Uncle Sams Cider (11/12/2021) (Blue)")</f>
        <v>Uncle Sams Cider (11/12/2021) (Blue)</v>
      </c>
      <c r="H8650" s="19"/>
    </row>
    <row r="8651">
      <c r="A8651" s="9"/>
      <c r="B8651" s="15"/>
      <c r="C8651" s="9">
        <f>IFERROR(__xludf.DUMMYFUNCTION("""COMPUTED_VALUE"""),44514.5022846643)</f>
        <v>44514.50228</v>
      </c>
      <c r="D8651" s="15">
        <f>IFERROR(__xludf.DUMMYFUNCTION("""COMPUTED_VALUE"""),1.099)</f>
        <v>1.099</v>
      </c>
      <c r="E8651" s="16">
        <f>IFERROR(__xludf.DUMMYFUNCTION("""COMPUTED_VALUE"""),68.0)</f>
        <v>68</v>
      </c>
      <c r="F8651" s="19" t="str">
        <f>IFERROR(__xludf.DUMMYFUNCTION("""COMPUTED_VALUE"""),"BLUE")</f>
        <v>BLUE</v>
      </c>
      <c r="G8651" s="20" t="str">
        <f>IFERROR(__xludf.DUMMYFUNCTION("""COMPUTED_VALUE"""),"Uncle Sams Cider (11/12/2021) (Blue)")</f>
        <v>Uncle Sams Cider (11/12/2021) (Blue)</v>
      </c>
      <c r="H8651" s="19"/>
    </row>
    <row r="8652">
      <c r="A8652" s="9"/>
      <c r="B8652" s="15"/>
      <c r="C8652" s="9">
        <f>IFERROR(__xludf.DUMMYFUNCTION("""COMPUTED_VALUE"""),44514.4918645601)</f>
        <v>44514.49186</v>
      </c>
      <c r="D8652" s="15">
        <f>IFERROR(__xludf.DUMMYFUNCTION("""COMPUTED_VALUE"""),1.1)</f>
        <v>1.1</v>
      </c>
      <c r="E8652" s="16">
        <f>IFERROR(__xludf.DUMMYFUNCTION("""COMPUTED_VALUE"""),68.0)</f>
        <v>68</v>
      </c>
      <c r="F8652" s="19" t="str">
        <f>IFERROR(__xludf.DUMMYFUNCTION("""COMPUTED_VALUE"""),"BLUE")</f>
        <v>BLUE</v>
      </c>
      <c r="G8652" s="20" t="str">
        <f>IFERROR(__xludf.DUMMYFUNCTION("""COMPUTED_VALUE"""),"Uncle Sams Cider (11/12/2021) (Blue)")</f>
        <v>Uncle Sams Cider (11/12/2021) (Blue)</v>
      </c>
      <c r="H8652" s="19"/>
    </row>
    <row r="8653">
      <c r="A8653" s="9"/>
      <c r="B8653" s="15"/>
      <c r="C8653" s="9">
        <f>IFERROR(__xludf.DUMMYFUNCTION("""COMPUTED_VALUE"""),44514.4814429745)</f>
        <v>44514.48144</v>
      </c>
      <c r="D8653" s="15">
        <f>IFERROR(__xludf.DUMMYFUNCTION("""COMPUTED_VALUE"""),1.1)</f>
        <v>1.1</v>
      </c>
      <c r="E8653" s="16">
        <f>IFERROR(__xludf.DUMMYFUNCTION("""COMPUTED_VALUE"""),67.0)</f>
        <v>67</v>
      </c>
      <c r="F8653" s="19" t="str">
        <f>IFERROR(__xludf.DUMMYFUNCTION("""COMPUTED_VALUE"""),"BLUE")</f>
        <v>BLUE</v>
      </c>
      <c r="G8653" s="20" t="str">
        <f>IFERROR(__xludf.DUMMYFUNCTION("""COMPUTED_VALUE"""),"Uncle Sams Cider (11/12/2021) (Blue)")</f>
        <v>Uncle Sams Cider (11/12/2021) (Blue)</v>
      </c>
      <c r="H8653" s="19"/>
    </row>
    <row r="8654">
      <c r="A8654" s="9"/>
      <c r="B8654" s="15"/>
      <c r="C8654" s="9">
        <f>IFERROR(__xludf.DUMMYFUNCTION("""COMPUTED_VALUE"""),44514.4710224884)</f>
        <v>44514.47102</v>
      </c>
      <c r="D8654" s="15">
        <f>IFERROR(__xludf.DUMMYFUNCTION("""COMPUTED_VALUE"""),1.1)</f>
        <v>1.1</v>
      </c>
      <c r="E8654" s="16">
        <f>IFERROR(__xludf.DUMMYFUNCTION("""COMPUTED_VALUE"""),68.0)</f>
        <v>68</v>
      </c>
      <c r="F8654" s="19" t="str">
        <f>IFERROR(__xludf.DUMMYFUNCTION("""COMPUTED_VALUE"""),"BLUE")</f>
        <v>BLUE</v>
      </c>
      <c r="G8654" s="20" t="str">
        <f>IFERROR(__xludf.DUMMYFUNCTION("""COMPUTED_VALUE"""),"Uncle Sams Cider (11/12/2021) (Blue)")</f>
        <v>Uncle Sams Cider (11/12/2021) (Blue)</v>
      </c>
      <c r="H8654" s="19"/>
    </row>
    <row r="8655">
      <c r="A8655" s="9"/>
      <c r="B8655" s="15"/>
      <c r="C8655" s="9">
        <f>IFERROR(__xludf.DUMMYFUNCTION("""COMPUTED_VALUE"""),44514.4606017708)</f>
        <v>44514.4606</v>
      </c>
      <c r="D8655" s="15">
        <f>IFERROR(__xludf.DUMMYFUNCTION("""COMPUTED_VALUE"""),1.101)</f>
        <v>1.101</v>
      </c>
      <c r="E8655" s="16">
        <f>IFERROR(__xludf.DUMMYFUNCTION("""COMPUTED_VALUE"""),67.0)</f>
        <v>67</v>
      </c>
      <c r="F8655" s="19" t="str">
        <f>IFERROR(__xludf.DUMMYFUNCTION("""COMPUTED_VALUE"""),"BLUE")</f>
        <v>BLUE</v>
      </c>
      <c r="G8655" s="20" t="str">
        <f>IFERROR(__xludf.DUMMYFUNCTION("""COMPUTED_VALUE"""),"Uncle Sams Cider (11/12/2021) (Blue)")</f>
        <v>Uncle Sams Cider (11/12/2021) (Blue)</v>
      </c>
      <c r="H8655" s="19"/>
    </row>
    <row r="8656">
      <c r="A8656" s="9"/>
      <c r="B8656" s="15"/>
      <c r="C8656" s="9">
        <f>IFERROR(__xludf.DUMMYFUNCTION("""COMPUTED_VALUE"""),44514.4501581597)</f>
        <v>44514.45016</v>
      </c>
      <c r="D8656" s="15">
        <f>IFERROR(__xludf.DUMMYFUNCTION("""COMPUTED_VALUE"""),1.1)</f>
        <v>1.1</v>
      </c>
      <c r="E8656" s="16">
        <f>IFERROR(__xludf.DUMMYFUNCTION("""COMPUTED_VALUE"""),67.0)</f>
        <v>67</v>
      </c>
      <c r="F8656" s="19" t="str">
        <f>IFERROR(__xludf.DUMMYFUNCTION("""COMPUTED_VALUE"""),"BLUE")</f>
        <v>BLUE</v>
      </c>
      <c r="G8656" s="20" t="str">
        <f>IFERROR(__xludf.DUMMYFUNCTION("""COMPUTED_VALUE"""),"Uncle Sams Cider (11/12/2021) (Blue)")</f>
        <v>Uncle Sams Cider (11/12/2021) (Blue)</v>
      </c>
      <c r="H8656" s="19"/>
    </row>
    <row r="8657">
      <c r="A8657" s="9"/>
      <c r="B8657" s="15"/>
      <c r="C8657" s="9">
        <f>IFERROR(__xludf.DUMMYFUNCTION("""COMPUTED_VALUE"""),44514.4397259837)</f>
        <v>44514.43973</v>
      </c>
      <c r="D8657" s="15">
        <f>IFERROR(__xludf.DUMMYFUNCTION("""COMPUTED_VALUE"""),1.099)</f>
        <v>1.099</v>
      </c>
      <c r="E8657" s="16">
        <f>IFERROR(__xludf.DUMMYFUNCTION("""COMPUTED_VALUE"""),67.0)</f>
        <v>67</v>
      </c>
      <c r="F8657" s="19" t="str">
        <f>IFERROR(__xludf.DUMMYFUNCTION("""COMPUTED_VALUE"""),"BLUE")</f>
        <v>BLUE</v>
      </c>
      <c r="G8657" s="20" t="str">
        <f>IFERROR(__xludf.DUMMYFUNCTION("""COMPUTED_VALUE"""),"Uncle Sams Cider (11/12/2021) (Blue)")</f>
        <v>Uncle Sams Cider (11/12/2021) (Blue)</v>
      </c>
      <c r="H8657" s="19"/>
    </row>
    <row r="8658">
      <c r="A8658" s="9"/>
      <c r="B8658" s="15"/>
      <c r="C8658" s="9">
        <f>IFERROR(__xludf.DUMMYFUNCTION("""COMPUTED_VALUE"""),44514.4293059837)</f>
        <v>44514.42931</v>
      </c>
      <c r="D8658" s="15">
        <f>IFERROR(__xludf.DUMMYFUNCTION("""COMPUTED_VALUE"""),1.101)</f>
        <v>1.101</v>
      </c>
      <c r="E8658" s="16">
        <f>IFERROR(__xludf.DUMMYFUNCTION("""COMPUTED_VALUE"""),67.0)</f>
        <v>67</v>
      </c>
      <c r="F8658" s="19" t="str">
        <f>IFERROR(__xludf.DUMMYFUNCTION("""COMPUTED_VALUE"""),"BLUE")</f>
        <v>BLUE</v>
      </c>
      <c r="G8658" s="20" t="str">
        <f>IFERROR(__xludf.DUMMYFUNCTION("""COMPUTED_VALUE"""),"Uncle Sams Cider (11/12/2021) (Blue)")</f>
        <v>Uncle Sams Cider (11/12/2021) (Blue)</v>
      </c>
      <c r="H8658" s="19"/>
    </row>
    <row r="8659">
      <c r="A8659" s="9"/>
      <c r="B8659" s="15"/>
      <c r="C8659" s="9">
        <f>IFERROR(__xludf.DUMMYFUNCTION("""COMPUTED_VALUE"""),44514.4188842824)</f>
        <v>44514.41888</v>
      </c>
      <c r="D8659" s="15">
        <f>IFERROR(__xludf.DUMMYFUNCTION("""COMPUTED_VALUE"""),1.102)</f>
        <v>1.102</v>
      </c>
      <c r="E8659" s="16">
        <f>IFERROR(__xludf.DUMMYFUNCTION("""COMPUTED_VALUE"""),67.0)</f>
        <v>67</v>
      </c>
      <c r="F8659" s="19" t="str">
        <f>IFERROR(__xludf.DUMMYFUNCTION("""COMPUTED_VALUE"""),"BLUE")</f>
        <v>BLUE</v>
      </c>
      <c r="G8659" s="20" t="str">
        <f>IFERROR(__xludf.DUMMYFUNCTION("""COMPUTED_VALUE"""),"Uncle Sams Cider (11/12/2021) (Blue)")</f>
        <v>Uncle Sams Cider (11/12/2021) (Blue)</v>
      </c>
      <c r="H8659" s="19"/>
    </row>
    <row r="8660">
      <c r="A8660" s="9"/>
      <c r="B8660" s="15"/>
      <c r="C8660" s="9">
        <f>IFERROR(__xludf.DUMMYFUNCTION("""COMPUTED_VALUE"""),44514.4084625231)</f>
        <v>44514.40846</v>
      </c>
      <c r="D8660" s="15">
        <f>IFERROR(__xludf.DUMMYFUNCTION("""COMPUTED_VALUE"""),1.101)</f>
        <v>1.101</v>
      </c>
      <c r="E8660" s="16">
        <f>IFERROR(__xludf.DUMMYFUNCTION("""COMPUTED_VALUE"""),67.0)</f>
        <v>67</v>
      </c>
      <c r="F8660" s="19" t="str">
        <f>IFERROR(__xludf.DUMMYFUNCTION("""COMPUTED_VALUE"""),"BLUE")</f>
        <v>BLUE</v>
      </c>
      <c r="G8660" s="20" t="str">
        <f>IFERROR(__xludf.DUMMYFUNCTION("""COMPUTED_VALUE"""),"Uncle Sams Cider (11/12/2021) (Blue)")</f>
        <v>Uncle Sams Cider (11/12/2021) (Blue)</v>
      </c>
      <c r="H8660" s="19"/>
    </row>
    <row r="8661">
      <c r="A8661" s="9"/>
      <c r="B8661" s="15"/>
      <c r="C8661" s="9">
        <f>IFERROR(__xludf.DUMMYFUNCTION("""COMPUTED_VALUE"""),44514.3980402083)</f>
        <v>44514.39804</v>
      </c>
      <c r="D8661" s="15">
        <f>IFERROR(__xludf.DUMMYFUNCTION("""COMPUTED_VALUE"""),1.101)</f>
        <v>1.101</v>
      </c>
      <c r="E8661" s="16">
        <f>IFERROR(__xludf.DUMMYFUNCTION("""COMPUTED_VALUE"""),67.0)</f>
        <v>67</v>
      </c>
      <c r="F8661" s="19" t="str">
        <f>IFERROR(__xludf.DUMMYFUNCTION("""COMPUTED_VALUE"""),"BLUE")</f>
        <v>BLUE</v>
      </c>
      <c r="G8661" s="20" t="str">
        <f>IFERROR(__xludf.DUMMYFUNCTION("""COMPUTED_VALUE"""),"Uncle Sams Cider (11/12/2021) (Blue)")</f>
        <v>Uncle Sams Cider (11/12/2021) (Blue)</v>
      </c>
      <c r="H8661" s="19"/>
    </row>
    <row r="8662">
      <c r="A8662" s="9"/>
      <c r="B8662" s="15"/>
      <c r="C8662" s="9">
        <f>IFERROR(__xludf.DUMMYFUNCTION("""COMPUTED_VALUE"""),44514.3876177546)</f>
        <v>44514.38762</v>
      </c>
      <c r="D8662" s="15">
        <f>IFERROR(__xludf.DUMMYFUNCTION("""COMPUTED_VALUE"""),1.101)</f>
        <v>1.101</v>
      </c>
      <c r="E8662" s="16">
        <f>IFERROR(__xludf.DUMMYFUNCTION("""COMPUTED_VALUE"""),67.0)</f>
        <v>67</v>
      </c>
      <c r="F8662" s="19" t="str">
        <f>IFERROR(__xludf.DUMMYFUNCTION("""COMPUTED_VALUE"""),"BLUE")</f>
        <v>BLUE</v>
      </c>
      <c r="G8662" s="20" t="str">
        <f>IFERROR(__xludf.DUMMYFUNCTION("""COMPUTED_VALUE"""),"Uncle Sams Cider (11/12/2021) (Blue)")</f>
        <v>Uncle Sams Cider (11/12/2021) (Blue)</v>
      </c>
      <c r="H8662" s="19"/>
    </row>
    <row r="8663">
      <c r="A8663" s="9"/>
      <c r="B8663" s="15"/>
      <c r="C8663" s="9">
        <f>IFERROR(__xludf.DUMMYFUNCTION("""COMPUTED_VALUE"""),44514.3771960879)</f>
        <v>44514.3772</v>
      </c>
      <c r="D8663" s="15">
        <f>IFERROR(__xludf.DUMMYFUNCTION("""COMPUTED_VALUE"""),1.101)</f>
        <v>1.101</v>
      </c>
      <c r="E8663" s="16">
        <f>IFERROR(__xludf.DUMMYFUNCTION("""COMPUTED_VALUE"""),67.0)</f>
        <v>67</v>
      </c>
      <c r="F8663" s="19" t="str">
        <f>IFERROR(__xludf.DUMMYFUNCTION("""COMPUTED_VALUE"""),"BLUE")</f>
        <v>BLUE</v>
      </c>
      <c r="G8663" s="20" t="str">
        <f>IFERROR(__xludf.DUMMYFUNCTION("""COMPUTED_VALUE"""),"Uncle Sams Cider (11/12/2021) (Blue)")</f>
        <v>Uncle Sams Cider (11/12/2021) (Blue)</v>
      </c>
      <c r="H8663" s="19"/>
    </row>
    <row r="8664">
      <c r="A8664" s="9"/>
      <c r="B8664" s="15"/>
      <c r="C8664" s="9">
        <f>IFERROR(__xludf.DUMMYFUNCTION("""COMPUTED_VALUE"""),44514.3667642708)</f>
        <v>44514.36676</v>
      </c>
      <c r="D8664" s="15">
        <f>IFERROR(__xludf.DUMMYFUNCTION("""COMPUTED_VALUE"""),1.102)</f>
        <v>1.102</v>
      </c>
      <c r="E8664" s="16">
        <f>IFERROR(__xludf.DUMMYFUNCTION("""COMPUTED_VALUE"""),67.0)</f>
        <v>67</v>
      </c>
      <c r="F8664" s="19" t="str">
        <f>IFERROR(__xludf.DUMMYFUNCTION("""COMPUTED_VALUE"""),"BLUE")</f>
        <v>BLUE</v>
      </c>
      <c r="G8664" s="20" t="str">
        <f>IFERROR(__xludf.DUMMYFUNCTION("""COMPUTED_VALUE"""),"Uncle Sams Cider (11/12/2021) (Blue)")</f>
        <v>Uncle Sams Cider (11/12/2021) (Blue)</v>
      </c>
      <c r="H8664" s="19"/>
    </row>
    <row r="8665">
      <c r="A8665" s="9"/>
      <c r="B8665" s="15"/>
      <c r="C8665" s="9">
        <f>IFERROR(__xludf.DUMMYFUNCTION("""COMPUTED_VALUE"""),44514.3563293518)</f>
        <v>44514.35633</v>
      </c>
      <c r="D8665" s="15">
        <f>IFERROR(__xludf.DUMMYFUNCTION("""COMPUTED_VALUE"""),1.102)</f>
        <v>1.102</v>
      </c>
      <c r="E8665" s="16">
        <f>IFERROR(__xludf.DUMMYFUNCTION("""COMPUTED_VALUE"""),67.0)</f>
        <v>67</v>
      </c>
      <c r="F8665" s="19" t="str">
        <f>IFERROR(__xludf.DUMMYFUNCTION("""COMPUTED_VALUE"""),"BLUE")</f>
        <v>BLUE</v>
      </c>
      <c r="G8665" s="20" t="str">
        <f>IFERROR(__xludf.DUMMYFUNCTION("""COMPUTED_VALUE"""),"Uncle Sams Cider (11/12/2021) (Blue)")</f>
        <v>Uncle Sams Cider (11/12/2021) (Blue)</v>
      </c>
      <c r="H8665" s="19"/>
    </row>
    <row r="8666">
      <c r="A8666" s="9"/>
      <c r="B8666" s="15"/>
      <c r="C8666" s="9">
        <f>IFERROR(__xludf.DUMMYFUNCTION("""COMPUTED_VALUE"""),44514.3459080671)</f>
        <v>44514.34591</v>
      </c>
      <c r="D8666" s="15">
        <f>IFERROR(__xludf.DUMMYFUNCTION("""COMPUTED_VALUE"""),1.102)</f>
        <v>1.102</v>
      </c>
      <c r="E8666" s="16">
        <f>IFERROR(__xludf.DUMMYFUNCTION("""COMPUTED_VALUE"""),67.0)</f>
        <v>67</v>
      </c>
      <c r="F8666" s="19" t="str">
        <f>IFERROR(__xludf.DUMMYFUNCTION("""COMPUTED_VALUE"""),"BLUE")</f>
        <v>BLUE</v>
      </c>
      <c r="G8666" s="20" t="str">
        <f>IFERROR(__xludf.DUMMYFUNCTION("""COMPUTED_VALUE"""),"Uncle Sams Cider (11/12/2021) (Blue)")</f>
        <v>Uncle Sams Cider (11/12/2021) (Blue)</v>
      </c>
      <c r="H8666" s="19"/>
    </row>
    <row r="8667">
      <c r="A8667" s="9"/>
      <c r="B8667" s="15"/>
      <c r="C8667" s="9">
        <f>IFERROR(__xludf.DUMMYFUNCTION("""COMPUTED_VALUE"""),44514.3354871296)</f>
        <v>44514.33549</v>
      </c>
      <c r="D8667" s="15">
        <f>IFERROR(__xludf.DUMMYFUNCTION("""COMPUTED_VALUE"""),1.102)</f>
        <v>1.102</v>
      </c>
      <c r="E8667" s="16">
        <f>IFERROR(__xludf.DUMMYFUNCTION("""COMPUTED_VALUE"""),67.0)</f>
        <v>67</v>
      </c>
      <c r="F8667" s="19" t="str">
        <f>IFERROR(__xludf.DUMMYFUNCTION("""COMPUTED_VALUE"""),"BLUE")</f>
        <v>BLUE</v>
      </c>
      <c r="G8667" s="20" t="str">
        <f>IFERROR(__xludf.DUMMYFUNCTION("""COMPUTED_VALUE"""),"Uncle Sams Cider (11/12/2021) (Blue)")</f>
        <v>Uncle Sams Cider (11/12/2021) (Blue)</v>
      </c>
      <c r="H8667" s="19"/>
    </row>
    <row r="8668">
      <c r="A8668" s="9"/>
      <c r="B8668" s="15"/>
      <c r="C8668" s="9">
        <f>IFERROR(__xludf.DUMMYFUNCTION("""COMPUTED_VALUE"""),44514.3250646759)</f>
        <v>44514.32506</v>
      </c>
      <c r="D8668" s="15">
        <f>IFERROR(__xludf.DUMMYFUNCTION("""COMPUTED_VALUE"""),1.102)</f>
        <v>1.102</v>
      </c>
      <c r="E8668" s="16">
        <f>IFERROR(__xludf.DUMMYFUNCTION("""COMPUTED_VALUE"""),67.0)</f>
        <v>67</v>
      </c>
      <c r="F8668" s="19" t="str">
        <f>IFERROR(__xludf.DUMMYFUNCTION("""COMPUTED_VALUE"""),"BLUE")</f>
        <v>BLUE</v>
      </c>
      <c r="G8668" s="20" t="str">
        <f>IFERROR(__xludf.DUMMYFUNCTION("""COMPUTED_VALUE"""),"Uncle Sams Cider (11/12/2021) (Blue)")</f>
        <v>Uncle Sams Cider (11/12/2021) (Blue)</v>
      </c>
      <c r="H8668" s="19"/>
    </row>
    <row r="8669">
      <c r="A8669" s="9"/>
      <c r="B8669" s="15"/>
      <c r="C8669" s="9">
        <f>IFERROR(__xludf.DUMMYFUNCTION("""COMPUTED_VALUE"""),44514.3146445023)</f>
        <v>44514.31464</v>
      </c>
      <c r="D8669" s="15">
        <f>IFERROR(__xludf.DUMMYFUNCTION("""COMPUTED_VALUE"""),1.102)</f>
        <v>1.102</v>
      </c>
      <c r="E8669" s="16">
        <f>IFERROR(__xludf.DUMMYFUNCTION("""COMPUTED_VALUE"""),67.0)</f>
        <v>67</v>
      </c>
      <c r="F8669" s="19" t="str">
        <f>IFERROR(__xludf.DUMMYFUNCTION("""COMPUTED_VALUE"""),"BLUE")</f>
        <v>BLUE</v>
      </c>
      <c r="G8669" s="20" t="str">
        <f>IFERROR(__xludf.DUMMYFUNCTION("""COMPUTED_VALUE"""),"Uncle Sams Cider (11/12/2021) (Blue)")</f>
        <v>Uncle Sams Cider (11/12/2021) (Blue)</v>
      </c>
      <c r="H8669" s="19"/>
    </row>
    <row r="8670">
      <c r="A8670" s="9"/>
      <c r="B8670" s="15"/>
      <c r="C8670" s="9">
        <f>IFERROR(__xludf.DUMMYFUNCTION("""COMPUTED_VALUE"""),44514.3042242476)</f>
        <v>44514.30422</v>
      </c>
      <c r="D8670" s="15">
        <f>IFERROR(__xludf.DUMMYFUNCTION("""COMPUTED_VALUE"""),1.102)</f>
        <v>1.102</v>
      </c>
      <c r="E8670" s="16">
        <f>IFERROR(__xludf.DUMMYFUNCTION("""COMPUTED_VALUE"""),67.0)</f>
        <v>67</v>
      </c>
      <c r="F8670" s="19" t="str">
        <f>IFERROR(__xludf.DUMMYFUNCTION("""COMPUTED_VALUE"""),"BLUE")</f>
        <v>BLUE</v>
      </c>
      <c r="G8670" s="20" t="str">
        <f>IFERROR(__xludf.DUMMYFUNCTION("""COMPUTED_VALUE"""),"Uncle Sams Cider (11/12/2021) (Blue)")</f>
        <v>Uncle Sams Cider (11/12/2021) (Blue)</v>
      </c>
      <c r="H8670" s="19"/>
    </row>
    <row r="8671">
      <c r="A8671" s="9"/>
      <c r="B8671" s="15"/>
      <c r="C8671" s="9">
        <f>IFERROR(__xludf.DUMMYFUNCTION("""COMPUTED_VALUE"""),44514.2938041319)</f>
        <v>44514.2938</v>
      </c>
      <c r="D8671" s="15">
        <f>IFERROR(__xludf.DUMMYFUNCTION("""COMPUTED_VALUE"""),1.102)</f>
        <v>1.102</v>
      </c>
      <c r="E8671" s="16">
        <f>IFERROR(__xludf.DUMMYFUNCTION("""COMPUTED_VALUE"""),67.0)</f>
        <v>67</v>
      </c>
      <c r="F8671" s="19" t="str">
        <f>IFERROR(__xludf.DUMMYFUNCTION("""COMPUTED_VALUE"""),"BLUE")</f>
        <v>BLUE</v>
      </c>
      <c r="G8671" s="20" t="str">
        <f>IFERROR(__xludf.DUMMYFUNCTION("""COMPUTED_VALUE"""),"Uncle Sams Cider (11/12/2021) (Blue)")</f>
        <v>Uncle Sams Cider (11/12/2021) (Blue)</v>
      </c>
      <c r="H8671" s="19"/>
    </row>
    <row r="8672">
      <c r="A8672" s="9"/>
      <c r="B8672" s="15"/>
      <c r="C8672" s="9">
        <f>IFERROR(__xludf.DUMMYFUNCTION("""COMPUTED_VALUE"""),44514.2833854745)</f>
        <v>44514.28339</v>
      </c>
      <c r="D8672" s="15">
        <f>IFERROR(__xludf.DUMMYFUNCTION("""COMPUTED_VALUE"""),1.102)</f>
        <v>1.102</v>
      </c>
      <c r="E8672" s="16">
        <f>IFERROR(__xludf.DUMMYFUNCTION("""COMPUTED_VALUE"""),66.0)</f>
        <v>66</v>
      </c>
      <c r="F8672" s="19" t="str">
        <f>IFERROR(__xludf.DUMMYFUNCTION("""COMPUTED_VALUE"""),"BLUE")</f>
        <v>BLUE</v>
      </c>
      <c r="G8672" s="20" t="str">
        <f>IFERROR(__xludf.DUMMYFUNCTION("""COMPUTED_VALUE"""),"Uncle Sams Cider (11/12/2021) (Blue)")</f>
        <v>Uncle Sams Cider (11/12/2021) (Blue)</v>
      </c>
      <c r="H8672" s="19"/>
    </row>
    <row r="8673">
      <c r="A8673" s="9"/>
      <c r="B8673" s="15"/>
      <c r="C8673" s="9">
        <f>IFERROR(__xludf.DUMMYFUNCTION("""COMPUTED_VALUE"""),44514.2729637152)</f>
        <v>44514.27296</v>
      </c>
      <c r="D8673" s="15">
        <f>IFERROR(__xludf.DUMMYFUNCTION("""COMPUTED_VALUE"""),1.102)</f>
        <v>1.102</v>
      </c>
      <c r="E8673" s="16">
        <f>IFERROR(__xludf.DUMMYFUNCTION("""COMPUTED_VALUE"""),67.0)</f>
        <v>67</v>
      </c>
      <c r="F8673" s="19" t="str">
        <f>IFERROR(__xludf.DUMMYFUNCTION("""COMPUTED_VALUE"""),"BLUE")</f>
        <v>BLUE</v>
      </c>
      <c r="G8673" s="20" t="str">
        <f>IFERROR(__xludf.DUMMYFUNCTION("""COMPUTED_VALUE"""),"Uncle Sams Cider (11/12/2021) (Blue)")</f>
        <v>Uncle Sams Cider (11/12/2021) (Blue)</v>
      </c>
      <c r="H8673" s="19"/>
    </row>
    <row r="8674">
      <c r="A8674" s="9"/>
      <c r="B8674" s="15"/>
      <c r="C8674" s="9">
        <f>IFERROR(__xludf.DUMMYFUNCTION("""COMPUTED_VALUE"""),44514.2625439004)</f>
        <v>44514.26254</v>
      </c>
      <c r="D8674" s="15">
        <f>IFERROR(__xludf.DUMMYFUNCTION("""COMPUTED_VALUE"""),1.102)</f>
        <v>1.102</v>
      </c>
      <c r="E8674" s="16">
        <f>IFERROR(__xludf.DUMMYFUNCTION("""COMPUTED_VALUE"""),66.0)</f>
        <v>66</v>
      </c>
      <c r="F8674" s="19" t="str">
        <f>IFERROR(__xludf.DUMMYFUNCTION("""COMPUTED_VALUE"""),"BLUE")</f>
        <v>BLUE</v>
      </c>
      <c r="G8674" s="20" t="str">
        <f>IFERROR(__xludf.DUMMYFUNCTION("""COMPUTED_VALUE"""),"Uncle Sams Cider (11/12/2021) (Blue)")</f>
        <v>Uncle Sams Cider (11/12/2021) (Blue)</v>
      </c>
      <c r="H8674" s="19"/>
    </row>
    <row r="8675">
      <c r="A8675" s="9"/>
      <c r="B8675" s="15"/>
      <c r="C8675" s="9">
        <f>IFERROR(__xludf.DUMMYFUNCTION("""COMPUTED_VALUE"""),44514.2521222106)</f>
        <v>44514.25212</v>
      </c>
      <c r="D8675" s="15">
        <f>IFERROR(__xludf.DUMMYFUNCTION("""COMPUTED_VALUE"""),1.103)</f>
        <v>1.103</v>
      </c>
      <c r="E8675" s="16">
        <f>IFERROR(__xludf.DUMMYFUNCTION("""COMPUTED_VALUE"""),66.0)</f>
        <v>66</v>
      </c>
      <c r="F8675" s="19" t="str">
        <f>IFERROR(__xludf.DUMMYFUNCTION("""COMPUTED_VALUE"""),"BLUE")</f>
        <v>BLUE</v>
      </c>
      <c r="G8675" s="20" t="str">
        <f>IFERROR(__xludf.DUMMYFUNCTION("""COMPUTED_VALUE"""),"Uncle Sams Cider (11/12/2021) (Blue)")</f>
        <v>Uncle Sams Cider (11/12/2021) (Blue)</v>
      </c>
      <c r="H8675" s="19"/>
    </row>
    <row r="8676">
      <c r="A8676" s="9"/>
      <c r="B8676" s="15"/>
      <c r="C8676" s="9">
        <f>IFERROR(__xludf.DUMMYFUNCTION("""COMPUTED_VALUE"""),44514.2417005671)</f>
        <v>44514.2417</v>
      </c>
      <c r="D8676" s="15">
        <f>IFERROR(__xludf.DUMMYFUNCTION("""COMPUTED_VALUE"""),1.104)</f>
        <v>1.104</v>
      </c>
      <c r="E8676" s="16">
        <f>IFERROR(__xludf.DUMMYFUNCTION("""COMPUTED_VALUE"""),66.0)</f>
        <v>66</v>
      </c>
      <c r="F8676" s="19" t="str">
        <f>IFERROR(__xludf.DUMMYFUNCTION("""COMPUTED_VALUE"""),"BLUE")</f>
        <v>BLUE</v>
      </c>
      <c r="G8676" s="20" t="str">
        <f>IFERROR(__xludf.DUMMYFUNCTION("""COMPUTED_VALUE"""),"Uncle Sams Cider (11/12/2021) (Blue)")</f>
        <v>Uncle Sams Cider (11/12/2021) (Blue)</v>
      </c>
      <c r="H8676" s="19"/>
    </row>
    <row r="8677">
      <c r="A8677" s="9"/>
      <c r="B8677" s="15"/>
      <c r="C8677" s="9">
        <f>IFERROR(__xludf.DUMMYFUNCTION("""COMPUTED_VALUE"""),44514.2312690046)</f>
        <v>44514.23127</v>
      </c>
      <c r="D8677" s="15">
        <f>IFERROR(__xludf.DUMMYFUNCTION("""COMPUTED_VALUE"""),1.105)</f>
        <v>1.105</v>
      </c>
      <c r="E8677" s="16">
        <f>IFERROR(__xludf.DUMMYFUNCTION("""COMPUTED_VALUE"""),66.0)</f>
        <v>66</v>
      </c>
      <c r="F8677" s="19" t="str">
        <f>IFERROR(__xludf.DUMMYFUNCTION("""COMPUTED_VALUE"""),"BLUE")</f>
        <v>BLUE</v>
      </c>
      <c r="G8677" s="20" t="str">
        <f>IFERROR(__xludf.DUMMYFUNCTION("""COMPUTED_VALUE"""),"Uncle Sams Cider (11/12/2021) (Blue)")</f>
        <v>Uncle Sams Cider (11/12/2021) (Blue)</v>
      </c>
      <c r="H8677" s="19"/>
    </row>
    <row r="8678">
      <c r="A8678" s="9"/>
      <c r="B8678" s="15"/>
      <c r="C8678" s="9">
        <f>IFERROR(__xludf.DUMMYFUNCTION("""COMPUTED_VALUE"""),44514.2208472222)</f>
        <v>44514.22085</v>
      </c>
      <c r="D8678" s="15">
        <f>IFERROR(__xludf.DUMMYFUNCTION("""COMPUTED_VALUE"""),1.104)</f>
        <v>1.104</v>
      </c>
      <c r="E8678" s="16">
        <f>IFERROR(__xludf.DUMMYFUNCTION("""COMPUTED_VALUE"""),66.0)</f>
        <v>66</v>
      </c>
      <c r="F8678" s="19" t="str">
        <f>IFERROR(__xludf.DUMMYFUNCTION("""COMPUTED_VALUE"""),"BLUE")</f>
        <v>BLUE</v>
      </c>
      <c r="G8678" s="20" t="str">
        <f>IFERROR(__xludf.DUMMYFUNCTION("""COMPUTED_VALUE"""),"Uncle Sams Cider (11/12/2021) (Blue)")</f>
        <v>Uncle Sams Cider (11/12/2021) (Blue)</v>
      </c>
      <c r="H8678" s="19"/>
    </row>
    <row r="8679">
      <c r="A8679" s="9"/>
      <c r="B8679" s="15"/>
      <c r="C8679" s="9">
        <f>IFERROR(__xludf.DUMMYFUNCTION("""COMPUTED_VALUE"""),44514.2104258101)</f>
        <v>44514.21043</v>
      </c>
      <c r="D8679" s="15">
        <f>IFERROR(__xludf.DUMMYFUNCTION("""COMPUTED_VALUE"""),1.104)</f>
        <v>1.104</v>
      </c>
      <c r="E8679" s="16">
        <f>IFERROR(__xludf.DUMMYFUNCTION("""COMPUTED_VALUE"""),66.0)</f>
        <v>66</v>
      </c>
      <c r="F8679" s="19" t="str">
        <f>IFERROR(__xludf.DUMMYFUNCTION("""COMPUTED_VALUE"""),"BLUE")</f>
        <v>BLUE</v>
      </c>
      <c r="G8679" s="20" t="str">
        <f>IFERROR(__xludf.DUMMYFUNCTION("""COMPUTED_VALUE"""),"Uncle Sams Cider (11/12/2021) (Blue)")</f>
        <v>Uncle Sams Cider (11/12/2021) (Blue)</v>
      </c>
      <c r="H8679" s="19"/>
    </row>
    <row r="8680">
      <c r="A8680" s="9"/>
      <c r="B8680" s="15"/>
      <c r="C8680" s="9">
        <f>IFERROR(__xludf.DUMMYFUNCTION("""COMPUTED_VALUE"""),44514.2000058333)</f>
        <v>44514.20001</v>
      </c>
      <c r="D8680" s="15">
        <f>IFERROR(__xludf.DUMMYFUNCTION("""COMPUTED_VALUE"""),1.105)</f>
        <v>1.105</v>
      </c>
      <c r="E8680" s="16">
        <f>IFERROR(__xludf.DUMMYFUNCTION("""COMPUTED_VALUE"""),66.0)</f>
        <v>66</v>
      </c>
      <c r="F8680" s="19" t="str">
        <f>IFERROR(__xludf.DUMMYFUNCTION("""COMPUTED_VALUE"""),"BLUE")</f>
        <v>BLUE</v>
      </c>
      <c r="G8680" s="20" t="str">
        <f>IFERROR(__xludf.DUMMYFUNCTION("""COMPUTED_VALUE"""),"Uncle Sams Cider (11/12/2021) (Blue)")</f>
        <v>Uncle Sams Cider (11/12/2021) (Blue)</v>
      </c>
      <c r="H8680" s="19"/>
    </row>
    <row r="8681">
      <c r="A8681" s="9"/>
      <c r="B8681" s="15"/>
      <c r="C8681" s="9">
        <f>IFERROR(__xludf.DUMMYFUNCTION("""COMPUTED_VALUE"""),44514.1895844328)</f>
        <v>44514.18958</v>
      </c>
      <c r="D8681" s="15">
        <f>IFERROR(__xludf.DUMMYFUNCTION("""COMPUTED_VALUE"""),1.105)</f>
        <v>1.105</v>
      </c>
      <c r="E8681" s="16">
        <f>IFERROR(__xludf.DUMMYFUNCTION("""COMPUTED_VALUE"""),66.0)</f>
        <v>66</v>
      </c>
      <c r="F8681" s="19" t="str">
        <f>IFERROR(__xludf.DUMMYFUNCTION("""COMPUTED_VALUE"""),"BLUE")</f>
        <v>BLUE</v>
      </c>
      <c r="G8681" s="20" t="str">
        <f>IFERROR(__xludf.DUMMYFUNCTION("""COMPUTED_VALUE"""),"Uncle Sams Cider (11/12/2021) (Blue)")</f>
        <v>Uncle Sams Cider (11/12/2021) (Blue)</v>
      </c>
      <c r="H8681" s="19"/>
    </row>
    <row r="8682">
      <c r="A8682" s="9"/>
      <c r="B8682" s="15"/>
      <c r="C8682" s="9">
        <f>IFERROR(__xludf.DUMMYFUNCTION("""COMPUTED_VALUE"""),44514.1791652662)</f>
        <v>44514.17917</v>
      </c>
      <c r="D8682" s="15">
        <f>IFERROR(__xludf.DUMMYFUNCTION("""COMPUTED_VALUE"""),1.104)</f>
        <v>1.104</v>
      </c>
      <c r="E8682" s="16">
        <f>IFERROR(__xludf.DUMMYFUNCTION("""COMPUTED_VALUE"""),66.0)</f>
        <v>66</v>
      </c>
      <c r="F8682" s="19" t="str">
        <f>IFERROR(__xludf.DUMMYFUNCTION("""COMPUTED_VALUE"""),"BLUE")</f>
        <v>BLUE</v>
      </c>
      <c r="G8682" s="20" t="str">
        <f>IFERROR(__xludf.DUMMYFUNCTION("""COMPUTED_VALUE"""),"Uncle Sams Cider (11/12/2021) (Blue)")</f>
        <v>Uncle Sams Cider (11/12/2021) (Blue)</v>
      </c>
      <c r="H8682" s="19"/>
    </row>
    <row r="8683">
      <c r="A8683" s="9"/>
      <c r="B8683" s="15"/>
      <c r="C8683" s="9">
        <f>IFERROR(__xludf.DUMMYFUNCTION("""COMPUTED_VALUE"""),44514.1687429513)</f>
        <v>44514.16874</v>
      </c>
      <c r="D8683" s="15">
        <f>IFERROR(__xludf.DUMMYFUNCTION("""COMPUTED_VALUE"""),1.105)</f>
        <v>1.105</v>
      </c>
      <c r="E8683" s="16">
        <f>IFERROR(__xludf.DUMMYFUNCTION("""COMPUTED_VALUE"""),66.0)</f>
        <v>66</v>
      </c>
      <c r="F8683" s="19" t="str">
        <f>IFERROR(__xludf.DUMMYFUNCTION("""COMPUTED_VALUE"""),"BLUE")</f>
        <v>BLUE</v>
      </c>
      <c r="G8683" s="20" t="str">
        <f>IFERROR(__xludf.DUMMYFUNCTION("""COMPUTED_VALUE"""),"Uncle Sams Cider (11/12/2021) (Blue)")</f>
        <v>Uncle Sams Cider (11/12/2021) (Blue)</v>
      </c>
      <c r="H8683" s="19"/>
    </row>
    <row r="8684">
      <c r="A8684" s="9"/>
      <c r="B8684" s="15"/>
      <c r="C8684" s="9">
        <f>IFERROR(__xludf.DUMMYFUNCTION("""COMPUTED_VALUE"""),44514.1583231134)</f>
        <v>44514.15832</v>
      </c>
      <c r="D8684" s="15">
        <f>IFERROR(__xludf.DUMMYFUNCTION("""COMPUTED_VALUE"""),1.105)</f>
        <v>1.105</v>
      </c>
      <c r="E8684" s="16">
        <f>IFERROR(__xludf.DUMMYFUNCTION("""COMPUTED_VALUE"""),66.0)</f>
        <v>66</v>
      </c>
      <c r="F8684" s="19" t="str">
        <f>IFERROR(__xludf.DUMMYFUNCTION("""COMPUTED_VALUE"""),"BLUE")</f>
        <v>BLUE</v>
      </c>
      <c r="G8684" s="20" t="str">
        <f>IFERROR(__xludf.DUMMYFUNCTION("""COMPUTED_VALUE"""),"Uncle Sams Cider (11/12/2021) (Blue)")</f>
        <v>Uncle Sams Cider (11/12/2021) (Blue)</v>
      </c>
      <c r="H8684" s="19"/>
    </row>
    <row r="8685">
      <c r="A8685" s="9"/>
      <c r="B8685" s="15"/>
      <c r="C8685" s="9">
        <f>IFERROR(__xludf.DUMMYFUNCTION("""COMPUTED_VALUE"""),44514.1479033333)</f>
        <v>44514.1479</v>
      </c>
      <c r="D8685" s="15">
        <f>IFERROR(__xludf.DUMMYFUNCTION("""COMPUTED_VALUE"""),1.105)</f>
        <v>1.105</v>
      </c>
      <c r="E8685" s="16">
        <f>IFERROR(__xludf.DUMMYFUNCTION("""COMPUTED_VALUE"""),66.0)</f>
        <v>66</v>
      </c>
      <c r="F8685" s="19" t="str">
        <f>IFERROR(__xludf.DUMMYFUNCTION("""COMPUTED_VALUE"""),"BLUE")</f>
        <v>BLUE</v>
      </c>
      <c r="G8685" s="20" t="str">
        <f>IFERROR(__xludf.DUMMYFUNCTION("""COMPUTED_VALUE"""),"Uncle Sams Cider (11/12/2021) (Blue)")</f>
        <v>Uncle Sams Cider (11/12/2021) (Blue)</v>
      </c>
      <c r="H8685" s="19"/>
    </row>
    <row r="8686">
      <c r="A8686" s="9"/>
      <c r="B8686" s="15"/>
      <c r="C8686" s="9">
        <f>IFERROR(__xludf.DUMMYFUNCTION("""COMPUTED_VALUE"""),44514.1374817129)</f>
        <v>44514.13748</v>
      </c>
      <c r="D8686" s="15">
        <f>IFERROR(__xludf.DUMMYFUNCTION("""COMPUTED_VALUE"""),1.105)</f>
        <v>1.105</v>
      </c>
      <c r="E8686" s="16">
        <f>IFERROR(__xludf.DUMMYFUNCTION("""COMPUTED_VALUE"""),66.0)</f>
        <v>66</v>
      </c>
      <c r="F8686" s="19" t="str">
        <f>IFERROR(__xludf.DUMMYFUNCTION("""COMPUTED_VALUE"""),"BLUE")</f>
        <v>BLUE</v>
      </c>
      <c r="G8686" s="20" t="str">
        <f>IFERROR(__xludf.DUMMYFUNCTION("""COMPUTED_VALUE"""),"Uncle Sams Cider (11/12/2021) (Blue)")</f>
        <v>Uncle Sams Cider (11/12/2021) (Blue)</v>
      </c>
      <c r="H8686" s="19"/>
    </row>
    <row r="8687">
      <c r="A8687" s="9"/>
      <c r="B8687" s="15"/>
      <c r="C8687" s="9">
        <f>IFERROR(__xludf.DUMMYFUNCTION("""COMPUTED_VALUE"""),44514.1270605439)</f>
        <v>44514.12706</v>
      </c>
      <c r="D8687" s="15">
        <f>IFERROR(__xludf.DUMMYFUNCTION("""COMPUTED_VALUE"""),1.105)</f>
        <v>1.105</v>
      </c>
      <c r="E8687" s="16">
        <f>IFERROR(__xludf.DUMMYFUNCTION("""COMPUTED_VALUE"""),66.0)</f>
        <v>66</v>
      </c>
      <c r="F8687" s="19" t="str">
        <f>IFERROR(__xludf.DUMMYFUNCTION("""COMPUTED_VALUE"""),"BLUE")</f>
        <v>BLUE</v>
      </c>
      <c r="G8687" s="20" t="str">
        <f>IFERROR(__xludf.DUMMYFUNCTION("""COMPUTED_VALUE"""),"Uncle Sams Cider (11/12/2021) (Blue)")</f>
        <v>Uncle Sams Cider (11/12/2021) (Blue)</v>
      </c>
      <c r="H8687" s="19"/>
    </row>
    <row r="8688">
      <c r="A8688" s="9"/>
      <c r="B8688" s="15"/>
      <c r="C8688" s="9">
        <f>IFERROR(__xludf.DUMMYFUNCTION("""COMPUTED_VALUE"""),44514.1166382986)</f>
        <v>44514.11664</v>
      </c>
      <c r="D8688" s="15">
        <f>IFERROR(__xludf.DUMMYFUNCTION("""COMPUTED_VALUE"""),1.106)</f>
        <v>1.106</v>
      </c>
      <c r="E8688" s="16">
        <f>IFERROR(__xludf.DUMMYFUNCTION("""COMPUTED_VALUE"""),66.0)</f>
        <v>66</v>
      </c>
      <c r="F8688" s="19" t="str">
        <f>IFERROR(__xludf.DUMMYFUNCTION("""COMPUTED_VALUE"""),"BLUE")</f>
        <v>BLUE</v>
      </c>
      <c r="G8688" s="20" t="str">
        <f>IFERROR(__xludf.DUMMYFUNCTION("""COMPUTED_VALUE"""),"Uncle Sams Cider (11/12/2021) (Blue)")</f>
        <v>Uncle Sams Cider (11/12/2021) (Blue)</v>
      </c>
      <c r="H8688" s="19"/>
    </row>
    <row r="8689">
      <c r="A8689" s="9"/>
      <c r="B8689" s="15"/>
      <c r="C8689" s="9">
        <f>IFERROR(__xludf.DUMMYFUNCTION("""COMPUTED_VALUE"""),44514.1062192824)</f>
        <v>44514.10622</v>
      </c>
      <c r="D8689" s="15">
        <f>IFERROR(__xludf.DUMMYFUNCTION("""COMPUTED_VALUE"""),1.106)</f>
        <v>1.106</v>
      </c>
      <c r="E8689" s="16">
        <f>IFERROR(__xludf.DUMMYFUNCTION("""COMPUTED_VALUE"""),66.0)</f>
        <v>66</v>
      </c>
      <c r="F8689" s="19" t="str">
        <f>IFERROR(__xludf.DUMMYFUNCTION("""COMPUTED_VALUE"""),"BLUE")</f>
        <v>BLUE</v>
      </c>
      <c r="G8689" s="20" t="str">
        <f>IFERROR(__xludf.DUMMYFUNCTION("""COMPUTED_VALUE"""),"Uncle Sams Cider (11/12/2021) (Blue)")</f>
        <v>Uncle Sams Cider (11/12/2021) (Blue)</v>
      </c>
      <c r="H8689" s="19"/>
    </row>
    <row r="8690">
      <c r="A8690" s="9"/>
      <c r="B8690" s="15"/>
      <c r="C8690" s="9">
        <f>IFERROR(__xludf.DUMMYFUNCTION("""COMPUTED_VALUE"""),44514.0957982175)</f>
        <v>44514.0958</v>
      </c>
      <c r="D8690" s="15">
        <f>IFERROR(__xludf.DUMMYFUNCTION("""COMPUTED_VALUE"""),1.106)</f>
        <v>1.106</v>
      </c>
      <c r="E8690" s="16">
        <f>IFERROR(__xludf.DUMMYFUNCTION("""COMPUTED_VALUE"""),66.0)</f>
        <v>66</v>
      </c>
      <c r="F8690" s="19" t="str">
        <f>IFERROR(__xludf.DUMMYFUNCTION("""COMPUTED_VALUE"""),"BLUE")</f>
        <v>BLUE</v>
      </c>
      <c r="G8690" s="20" t="str">
        <f>IFERROR(__xludf.DUMMYFUNCTION("""COMPUTED_VALUE"""),"Uncle Sams Cider (11/12/2021) (Blue)")</f>
        <v>Uncle Sams Cider (11/12/2021) (Blue)</v>
      </c>
      <c r="H8690" s="19"/>
    </row>
    <row r="8691">
      <c r="A8691" s="9"/>
      <c r="B8691" s="15"/>
      <c r="C8691" s="9">
        <f>IFERROR(__xludf.DUMMYFUNCTION("""COMPUTED_VALUE"""),44514.0853777662)</f>
        <v>44514.08538</v>
      </c>
      <c r="D8691" s="15">
        <f>IFERROR(__xludf.DUMMYFUNCTION("""COMPUTED_VALUE"""),1.106)</f>
        <v>1.106</v>
      </c>
      <c r="E8691" s="16">
        <f>IFERROR(__xludf.DUMMYFUNCTION("""COMPUTED_VALUE"""),66.0)</f>
        <v>66</v>
      </c>
      <c r="F8691" s="19" t="str">
        <f>IFERROR(__xludf.DUMMYFUNCTION("""COMPUTED_VALUE"""),"BLUE")</f>
        <v>BLUE</v>
      </c>
      <c r="G8691" s="20" t="str">
        <f>IFERROR(__xludf.DUMMYFUNCTION("""COMPUTED_VALUE"""),"Uncle Sams Cider (11/12/2021) (Blue)")</f>
        <v>Uncle Sams Cider (11/12/2021) (Blue)</v>
      </c>
      <c r="H8691" s="19"/>
    </row>
    <row r="8692">
      <c r="A8692" s="9"/>
      <c r="B8692" s="15"/>
      <c r="C8692" s="9">
        <f>IFERROR(__xludf.DUMMYFUNCTION("""COMPUTED_VALUE"""),44514.0749579398)</f>
        <v>44514.07496</v>
      </c>
      <c r="D8692" s="15">
        <f>IFERROR(__xludf.DUMMYFUNCTION("""COMPUTED_VALUE"""),1.106)</f>
        <v>1.106</v>
      </c>
      <c r="E8692" s="16">
        <f>IFERROR(__xludf.DUMMYFUNCTION("""COMPUTED_VALUE"""),66.0)</f>
        <v>66</v>
      </c>
      <c r="F8692" s="19" t="str">
        <f>IFERROR(__xludf.DUMMYFUNCTION("""COMPUTED_VALUE"""),"BLUE")</f>
        <v>BLUE</v>
      </c>
      <c r="G8692" s="20" t="str">
        <f>IFERROR(__xludf.DUMMYFUNCTION("""COMPUTED_VALUE"""),"Uncle Sams Cider (11/12/2021) (Blue)")</f>
        <v>Uncle Sams Cider (11/12/2021) (Blue)</v>
      </c>
      <c r="H8692" s="19"/>
    </row>
    <row r="8693">
      <c r="A8693" s="9"/>
      <c r="B8693" s="15"/>
      <c r="C8693" s="9">
        <f>IFERROR(__xludf.DUMMYFUNCTION("""COMPUTED_VALUE"""),44514.064536875)</f>
        <v>44514.06454</v>
      </c>
      <c r="D8693" s="15">
        <f>IFERROR(__xludf.DUMMYFUNCTION("""COMPUTED_VALUE"""),1.106)</f>
        <v>1.106</v>
      </c>
      <c r="E8693" s="16">
        <f>IFERROR(__xludf.DUMMYFUNCTION("""COMPUTED_VALUE"""),66.0)</f>
        <v>66</v>
      </c>
      <c r="F8693" s="19" t="str">
        <f>IFERROR(__xludf.DUMMYFUNCTION("""COMPUTED_VALUE"""),"BLUE")</f>
        <v>BLUE</v>
      </c>
      <c r="G8693" s="20" t="str">
        <f>IFERROR(__xludf.DUMMYFUNCTION("""COMPUTED_VALUE"""),"Uncle Sams Cider (11/12/2021) (Blue)")</f>
        <v>Uncle Sams Cider (11/12/2021) (Blue)</v>
      </c>
      <c r="H8693" s="19"/>
    </row>
    <row r="8694">
      <c r="A8694" s="9"/>
      <c r="B8694" s="15"/>
      <c r="C8694" s="9">
        <f>IFERROR(__xludf.DUMMYFUNCTION("""COMPUTED_VALUE"""),44514.0541142476)</f>
        <v>44514.05411</v>
      </c>
      <c r="D8694" s="15">
        <f>IFERROR(__xludf.DUMMYFUNCTION("""COMPUTED_VALUE"""),1.106)</f>
        <v>1.106</v>
      </c>
      <c r="E8694" s="16">
        <f>IFERROR(__xludf.DUMMYFUNCTION("""COMPUTED_VALUE"""),66.0)</f>
        <v>66</v>
      </c>
      <c r="F8694" s="19" t="str">
        <f>IFERROR(__xludf.DUMMYFUNCTION("""COMPUTED_VALUE"""),"BLUE")</f>
        <v>BLUE</v>
      </c>
      <c r="G8694" s="20" t="str">
        <f>IFERROR(__xludf.DUMMYFUNCTION("""COMPUTED_VALUE"""),"Uncle Sams Cider (11/12/2021) (Blue)")</f>
        <v>Uncle Sams Cider (11/12/2021) (Blue)</v>
      </c>
      <c r="H8694" s="19"/>
    </row>
    <row r="8695">
      <c r="A8695" s="9"/>
      <c r="B8695" s="15"/>
      <c r="C8695" s="9">
        <f>IFERROR(__xludf.DUMMYFUNCTION("""COMPUTED_VALUE"""),44514.0436921412)</f>
        <v>44514.04369</v>
      </c>
      <c r="D8695" s="15">
        <f>IFERROR(__xludf.DUMMYFUNCTION("""COMPUTED_VALUE"""),1.106)</f>
        <v>1.106</v>
      </c>
      <c r="E8695" s="16">
        <f>IFERROR(__xludf.DUMMYFUNCTION("""COMPUTED_VALUE"""),65.0)</f>
        <v>65</v>
      </c>
      <c r="F8695" s="19" t="str">
        <f>IFERROR(__xludf.DUMMYFUNCTION("""COMPUTED_VALUE"""),"BLUE")</f>
        <v>BLUE</v>
      </c>
      <c r="G8695" s="20" t="str">
        <f>IFERROR(__xludf.DUMMYFUNCTION("""COMPUTED_VALUE"""),"Uncle Sams Cider (11/12/2021) (Blue)")</f>
        <v>Uncle Sams Cider (11/12/2021) (Blue)</v>
      </c>
      <c r="H8695" s="19"/>
    </row>
    <row r="8696">
      <c r="A8696" s="9"/>
      <c r="B8696" s="15"/>
      <c r="C8696" s="9">
        <f>IFERROR(__xludf.DUMMYFUNCTION("""COMPUTED_VALUE"""),44514.0332706365)</f>
        <v>44514.03327</v>
      </c>
      <c r="D8696" s="15">
        <f>IFERROR(__xludf.DUMMYFUNCTION("""COMPUTED_VALUE"""),1.106)</f>
        <v>1.106</v>
      </c>
      <c r="E8696" s="16">
        <f>IFERROR(__xludf.DUMMYFUNCTION("""COMPUTED_VALUE"""),65.0)</f>
        <v>65</v>
      </c>
      <c r="F8696" s="19" t="str">
        <f>IFERROR(__xludf.DUMMYFUNCTION("""COMPUTED_VALUE"""),"BLUE")</f>
        <v>BLUE</v>
      </c>
      <c r="G8696" s="20" t="str">
        <f>IFERROR(__xludf.DUMMYFUNCTION("""COMPUTED_VALUE"""),"Uncle Sams Cider (11/12/2021) (Blue)")</f>
        <v>Uncle Sams Cider (11/12/2021) (Blue)</v>
      </c>
      <c r="H8696" s="19"/>
    </row>
    <row r="8697">
      <c r="A8697" s="9"/>
      <c r="B8697" s="15"/>
      <c r="C8697" s="9">
        <f>IFERROR(__xludf.DUMMYFUNCTION("""COMPUTED_VALUE"""),44514.0228512963)</f>
        <v>44514.02285</v>
      </c>
      <c r="D8697" s="15">
        <f>IFERROR(__xludf.DUMMYFUNCTION("""COMPUTED_VALUE"""),1.107)</f>
        <v>1.107</v>
      </c>
      <c r="E8697" s="16">
        <f>IFERROR(__xludf.DUMMYFUNCTION("""COMPUTED_VALUE"""),65.0)</f>
        <v>65</v>
      </c>
      <c r="F8697" s="19" t="str">
        <f>IFERROR(__xludf.DUMMYFUNCTION("""COMPUTED_VALUE"""),"BLUE")</f>
        <v>BLUE</v>
      </c>
      <c r="G8697" s="20" t="str">
        <f>IFERROR(__xludf.DUMMYFUNCTION("""COMPUTED_VALUE"""),"Uncle Sams Cider (11/12/2021) (Blue)")</f>
        <v>Uncle Sams Cider (11/12/2021) (Blue)</v>
      </c>
      <c r="H8697" s="19"/>
    </row>
    <row r="8698">
      <c r="A8698" s="9"/>
      <c r="B8698" s="15"/>
      <c r="C8698" s="9">
        <f>IFERROR(__xludf.DUMMYFUNCTION("""COMPUTED_VALUE"""),44514.0124296064)</f>
        <v>44514.01243</v>
      </c>
      <c r="D8698" s="15">
        <f>IFERROR(__xludf.DUMMYFUNCTION("""COMPUTED_VALUE"""),1.107)</f>
        <v>1.107</v>
      </c>
      <c r="E8698" s="16">
        <f>IFERROR(__xludf.DUMMYFUNCTION("""COMPUTED_VALUE"""),65.0)</f>
        <v>65</v>
      </c>
      <c r="F8698" s="19" t="str">
        <f>IFERROR(__xludf.DUMMYFUNCTION("""COMPUTED_VALUE"""),"BLUE")</f>
        <v>BLUE</v>
      </c>
      <c r="G8698" s="20" t="str">
        <f>IFERROR(__xludf.DUMMYFUNCTION("""COMPUTED_VALUE"""),"Uncle Sams Cider (11/12/2021) (Blue)")</f>
        <v>Uncle Sams Cider (11/12/2021) (Blue)</v>
      </c>
      <c r="H8698" s="19"/>
    </row>
    <row r="8699">
      <c r="A8699" s="9"/>
      <c r="B8699" s="15"/>
      <c r="C8699" s="9">
        <f>IFERROR(__xludf.DUMMYFUNCTION("""COMPUTED_VALUE"""),44514.0020085185)</f>
        <v>44514.00201</v>
      </c>
      <c r="D8699" s="15">
        <f>IFERROR(__xludf.DUMMYFUNCTION("""COMPUTED_VALUE"""),1.107)</f>
        <v>1.107</v>
      </c>
      <c r="E8699" s="16">
        <f>IFERROR(__xludf.DUMMYFUNCTION("""COMPUTED_VALUE"""),65.0)</f>
        <v>65</v>
      </c>
      <c r="F8699" s="19" t="str">
        <f>IFERROR(__xludf.DUMMYFUNCTION("""COMPUTED_VALUE"""),"BLUE")</f>
        <v>BLUE</v>
      </c>
      <c r="G8699" s="20" t="str">
        <f>IFERROR(__xludf.DUMMYFUNCTION("""COMPUTED_VALUE"""),"Uncle Sams Cider (11/12/2021) (Blue)")</f>
        <v>Uncle Sams Cider (11/12/2021) (Blue)</v>
      </c>
      <c r="H8699" s="19"/>
    </row>
    <row r="8700">
      <c r="A8700" s="9"/>
      <c r="B8700" s="15"/>
      <c r="C8700" s="9">
        <f>IFERROR(__xludf.DUMMYFUNCTION("""COMPUTED_VALUE"""),44513.991588449)</f>
        <v>44513.99159</v>
      </c>
      <c r="D8700" s="15">
        <f>IFERROR(__xludf.DUMMYFUNCTION("""COMPUTED_VALUE"""),1.108)</f>
        <v>1.108</v>
      </c>
      <c r="E8700" s="16">
        <f>IFERROR(__xludf.DUMMYFUNCTION("""COMPUTED_VALUE"""),65.0)</f>
        <v>65</v>
      </c>
      <c r="F8700" s="19" t="str">
        <f>IFERROR(__xludf.DUMMYFUNCTION("""COMPUTED_VALUE"""),"BLUE")</f>
        <v>BLUE</v>
      </c>
      <c r="G8700" s="20" t="str">
        <f>IFERROR(__xludf.DUMMYFUNCTION("""COMPUTED_VALUE"""),"Uncle Sams Cider (11/12/2021) (Blue)")</f>
        <v>Uncle Sams Cider (11/12/2021) (Blue)</v>
      </c>
      <c r="H8700" s="19"/>
    </row>
    <row r="8701">
      <c r="A8701" s="9"/>
      <c r="B8701" s="15"/>
      <c r="C8701" s="9">
        <f>IFERROR(__xludf.DUMMYFUNCTION("""COMPUTED_VALUE"""),44513.9811327546)</f>
        <v>44513.98113</v>
      </c>
      <c r="D8701" s="15">
        <f>IFERROR(__xludf.DUMMYFUNCTION("""COMPUTED_VALUE"""),1.108)</f>
        <v>1.108</v>
      </c>
      <c r="E8701" s="16">
        <f>IFERROR(__xludf.DUMMYFUNCTION("""COMPUTED_VALUE"""),65.0)</f>
        <v>65</v>
      </c>
      <c r="F8701" s="19" t="str">
        <f>IFERROR(__xludf.DUMMYFUNCTION("""COMPUTED_VALUE"""),"BLUE")</f>
        <v>BLUE</v>
      </c>
      <c r="G8701" s="20" t="str">
        <f>IFERROR(__xludf.DUMMYFUNCTION("""COMPUTED_VALUE"""),"Uncle Sams Cider (11/12/2021) (Blue)")</f>
        <v>Uncle Sams Cider (11/12/2021) (Blue)</v>
      </c>
      <c r="H8701" s="19"/>
    </row>
    <row r="8702">
      <c r="A8702" s="9"/>
      <c r="B8702" s="15"/>
      <c r="C8702" s="9">
        <f>IFERROR(__xludf.DUMMYFUNCTION("""COMPUTED_VALUE"""),44513.9707117708)</f>
        <v>44513.97071</v>
      </c>
      <c r="D8702" s="15">
        <f>IFERROR(__xludf.DUMMYFUNCTION("""COMPUTED_VALUE"""),1.108)</f>
        <v>1.108</v>
      </c>
      <c r="E8702" s="16">
        <f>IFERROR(__xludf.DUMMYFUNCTION("""COMPUTED_VALUE"""),65.0)</f>
        <v>65</v>
      </c>
      <c r="F8702" s="19" t="str">
        <f>IFERROR(__xludf.DUMMYFUNCTION("""COMPUTED_VALUE"""),"BLUE")</f>
        <v>BLUE</v>
      </c>
      <c r="G8702" s="20" t="str">
        <f>IFERROR(__xludf.DUMMYFUNCTION("""COMPUTED_VALUE"""),"Uncle Sams Cider (11/12/2021) (Blue)")</f>
        <v>Uncle Sams Cider (11/12/2021) (Blue)</v>
      </c>
      <c r="H8702" s="19"/>
    </row>
    <row r="8703">
      <c r="A8703" s="9"/>
      <c r="B8703" s="15"/>
      <c r="C8703" s="9">
        <f>IFERROR(__xludf.DUMMYFUNCTION("""COMPUTED_VALUE"""),44513.9602797916)</f>
        <v>44513.96028</v>
      </c>
      <c r="D8703" s="15">
        <f>IFERROR(__xludf.DUMMYFUNCTION("""COMPUTED_VALUE"""),1.108)</f>
        <v>1.108</v>
      </c>
      <c r="E8703" s="16">
        <f>IFERROR(__xludf.DUMMYFUNCTION("""COMPUTED_VALUE"""),65.0)</f>
        <v>65</v>
      </c>
      <c r="F8703" s="19" t="str">
        <f>IFERROR(__xludf.DUMMYFUNCTION("""COMPUTED_VALUE"""),"BLUE")</f>
        <v>BLUE</v>
      </c>
      <c r="G8703" s="20" t="str">
        <f>IFERROR(__xludf.DUMMYFUNCTION("""COMPUTED_VALUE"""),"Uncle Sams Cider (11/12/2021) (Blue)")</f>
        <v>Uncle Sams Cider (11/12/2021) (Blue)</v>
      </c>
      <c r="H8703" s="19"/>
    </row>
    <row r="8704">
      <c r="A8704" s="9"/>
      <c r="B8704" s="15"/>
      <c r="C8704" s="9">
        <f>IFERROR(__xludf.DUMMYFUNCTION("""COMPUTED_VALUE"""),44513.9498590046)</f>
        <v>44513.94986</v>
      </c>
      <c r="D8704" s="15">
        <f>IFERROR(__xludf.DUMMYFUNCTION("""COMPUTED_VALUE"""),1.108)</f>
        <v>1.108</v>
      </c>
      <c r="E8704" s="16">
        <f>IFERROR(__xludf.DUMMYFUNCTION("""COMPUTED_VALUE"""),65.0)</f>
        <v>65</v>
      </c>
      <c r="F8704" s="19" t="str">
        <f>IFERROR(__xludf.DUMMYFUNCTION("""COMPUTED_VALUE"""),"BLUE")</f>
        <v>BLUE</v>
      </c>
      <c r="G8704" s="20" t="str">
        <f>IFERROR(__xludf.DUMMYFUNCTION("""COMPUTED_VALUE"""),"Uncle Sams Cider (11/12/2021) (Blue)")</f>
        <v>Uncle Sams Cider (11/12/2021) (Blue)</v>
      </c>
      <c r="H8704" s="19"/>
    </row>
    <row r="8705">
      <c r="A8705" s="9"/>
      <c r="B8705" s="15"/>
      <c r="C8705" s="9">
        <f>IFERROR(__xludf.DUMMYFUNCTION("""COMPUTED_VALUE"""),44513.939438449)</f>
        <v>44513.93944</v>
      </c>
      <c r="D8705" s="15">
        <f>IFERROR(__xludf.DUMMYFUNCTION("""COMPUTED_VALUE"""),1.108)</f>
        <v>1.108</v>
      </c>
      <c r="E8705" s="16">
        <f>IFERROR(__xludf.DUMMYFUNCTION("""COMPUTED_VALUE"""),65.0)</f>
        <v>65</v>
      </c>
      <c r="F8705" s="19" t="str">
        <f>IFERROR(__xludf.DUMMYFUNCTION("""COMPUTED_VALUE"""),"BLUE")</f>
        <v>BLUE</v>
      </c>
      <c r="G8705" s="20" t="str">
        <f>IFERROR(__xludf.DUMMYFUNCTION("""COMPUTED_VALUE"""),"Uncle Sams Cider (11/12/2021) (Blue)")</f>
        <v>Uncle Sams Cider (11/12/2021) (Blue)</v>
      </c>
      <c r="H8705" s="19"/>
    </row>
    <row r="8706">
      <c r="A8706" s="9"/>
      <c r="B8706" s="15"/>
      <c r="C8706" s="9">
        <f>IFERROR(__xludf.DUMMYFUNCTION("""COMPUTED_VALUE"""),44513.9290178009)</f>
        <v>44513.92902</v>
      </c>
      <c r="D8706" s="15">
        <f>IFERROR(__xludf.DUMMYFUNCTION("""COMPUTED_VALUE"""),1.108)</f>
        <v>1.108</v>
      </c>
      <c r="E8706" s="16">
        <f>IFERROR(__xludf.DUMMYFUNCTION("""COMPUTED_VALUE"""),65.0)</f>
        <v>65</v>
      </c>
      <c r="F8706" s="19" t="str">
        <f>IFERROR(__xludf.DUMMYFUNCTION("""COMPUTED_VALUE"""),"BLUE")</f>
        <v>BLUE</v>
      </c>
      <c r="G8706" s="20" t="str">
        <f>IFERROR(__xludf.DUMMYFUNCTION("""COMPUTED_VALUE"""),"Uncle Sams Cider (11/12/2021) (Blue)")</f>
        <v>Uncle Sams Cider (11/12/2021) (Blue)</v>
      </c>
      <c r="H8706" s="19"/>
    </row>
    <row r="8707">
      <c r="A8707" s="9"/>
      <c r="B8707" s="15"/>
      <c r="C8707" s="9">
        <f>IFERROR(__xludf.DUMMYFUNCTION("""COMPUTED_VALUE"""),44513.9185974999)</f>
        <v>44513.9186</v>
      </c>
      <c r="D8707" s="15">
        <f>IFERROR(__xludf.DUMMYFUNCTION("""COMPUTED_VALUE"""),1.108)</f>
        <v>1.108</v>
      </c>
      <c r="E8707" s="16">
        <f>IFERROR(__xludf.DUMMYFUNCTION("""COMPUTED_VALUE"""),65.0)</f>
        <v>65</v>
      </c>
      <c r="F8707" s="19" t="str">
        <f>IFERROR(__xludf.DUMMYFUNCTION("""COMPUTED_VALUE"""),"BLUE")</f>
        <v>BLUE</v>
      </c>
      <c r="G8707" s="20" t="str">
        <f>IFERROR(__xludf.DUMMYFUNCTION("""COMPUTED_VALUE"""),"Uncle Sams Cider (11/12/2021) (Blue)")</f>
        <v>Uncle Sams Cider (11/12/2021) (Blue)</v>
      </c>
      <c r="H8707" s="19"/>
    </row>
    <row r="8708">
      <c r="A8708" s="9"/>
      <c r="B8708" s="15"/>
      <c r="C8708" s="9">
        <f>IFERROR(__xludf.DUMMYFUNCTION("""COMPUTED_VALUE"""),44513.908176331)</f>
        <v>44513.90818</v>
      </c>
      <c r="D8708" s="15">
        <f>IFERROR(__xludf.DUMMYFUNCTION("""COMPUTED_VALUE"""),1.108)</f>
        <v>1.108</v>
      </c>
      <c r="E8708" s="16">
        <f>IFERROR(__xludf.DUMMYFUNCTION("""COMPUTED_VALUE"""),65.0)</f>
        <v>65</v>
      </c>
      <c r="F8708" s="19" t="str">
        <f>IFERROR(__xludf.DUMMYFUNCTION("""COMPUTED_VALUE"""),"BLUE")</f>
        <v>BLUE</v>
      </c>
      <c r="G8708" s="20" t="str">
        <f>IFERROR(__xludf.DUMMYFUNCTION("""COMPUTED_VALUE"""),"Uncle Sams Cider (11/12/2021) (Blue)")</f>
        <v>Uncle Sams Cider (11/12/2021) (Blue)</v>
      </c>
      <c r="H8708" s="19"/>
    </row>
    <row r="8709">
      <c r="A8709" s="9"/>
      <c r="B8709" s="15"/>
      <c r="C8709" s="9">
        <f>IFERROR(__xludf.DUMMYFUNCTION("""COMPUTED_VALUE"""),44513.8977561111)</f>
        <v>44513.89776</v>
      </c>
      <c r="D8709" s="15">
        <f>IFERROR(__xludf.DUMMYFUNCTION("""COMPUTED_VALUE"""),1.108)</f>
        <v>1.108</v>
      </c>
      <c r="E8709" s="16">
        <f>IFERROR(__xludf.DUMMYFUNCTION("""COMPUTED_VALUE"""),65.0)</f>
        <v>65</v>
      </c>
      <c r="F8709" s="19" t="str">
        <f>IFERROR(__xludf.DUMMYFUNCTION("""COMPUTED_VALUE"""),"BLUE")</f>
        <v>BLUE</v>
      </c>
      <c r="G8709" s="20" t="str">
        <f>IFERROR(__xludf.DUMMYFUNCTION("""COMPUTED_VALUE"""),"Uncle Sams Cider (11/12/2021) (Blue)")</f>
        <v>Uncle Sams Cider (11/12/2021) (Blue)</v>
      </c>
      <c r="H8709" s="19"/>
    </row>
    <row r="8710">
      <c r="A8710" s="9"/>
      <c r="B8710" s="15"/>
      <c r="C8710" s="9">
        <f>IFERROR(__xludf.DUMMYFUNCTION("""COMPUTED_VALUE"""),44513.8873344791)</f>
        <v>44513.88733</v>
      </c>
      <c r="D8710" s="15">
        <f>IFERROR(__xludf.DUMMYFUNCTION("""COMPUTED_VALUE"""),1.108)</f>
        <v>1.108</v>
      </c>
      <c r="E8710" s="16">
        <f>IFERROR(__xludf.DUMMYFUNCTION("""COMPUTED_VALUE"""),65.0)</f>
        <v>65</v>
      </c>
      <c r="F8710" s="19" t="str">
        <f>IFERROR(__xludf.DUMMYFUNCTION("""COMPUTED_VALUE"""),"BLUE")</f>
        <v>BLUE</v>
      </c>
      <c r="G8710" s="20" t="str">
        <f>IFERROR(__xludf.DUMMYFUNCTION("""COMPUTED_VALUE"""),"Uncle Sams Cider (11/12/2021) (Blue)")</f>
        <v>Uncle Sams Cider (11/12/2021) (Blue)</v>
      </c>
      <c r="H8710" s="19"/>
    </row>
    <row r="8711">
      <c r="A8711" s="9"/>
      <c r="B8711" s="15"/>
      <c r="C8711" s="9">
        <f>IFERROR(__xludf.DUMMYFUNCTION("""COMPUTED_VALUE"""),44513.8769142361)</f>
        <v>44513.87691</v>
      </c>
      <c r="D8711" s="15">
        <f>IFERROR(__xludf.DUMMYFUNCTION("""COMPUTED_VALUE"""),1.108)</f>
        <v>1.108</v>
      </c>
      <c r="E8711" s="16">
        <f>IFERROR(__xludf.DUMMYFUNCTION("""COMPUTED_VALUE"""),65.0)</f>
        <v>65</v>
      </c>
      <c r="F8711" s="19" t="str">
        <f>IFERROR(__xludf.DUMMYFUNCTION("""COMPUTED_VALUE"""),"BLUE")</f>
        <v>BLUE</v>
      </c>
      <c r="G8711" s="20" t="str">
        <f>IFERROR(__xludf.DUMMYFUNCTION("""COMPUTED_VALUE"""),"Uncle Sams Cider (11/12/2021) (Blue)")</f>
        <v>Uncle Sams Cider (11/12/2021) (Blue)</v>
      </c>
      <c r="H8711" s="19"/>
    </row>
    <row r="8712">
      <c r="A8712" s="9"/>
      <c r="B8712" s="15"/>
      <c r="C8712" s="9">
        <f>IFERROR(__xludf.DUMMYFUNCTION("""COMPUTED_VALUE"""),44513.8664913541)</f>
        <v>44513.86649</v>
      </c>
      <c r="D8712" s="15">
        <f>IFERROR(__xludf.DUMMYFUNCTION("""COMPUTED_VALUE"""),1.108)</f>
        <v>1.108</v>
      </c>
      <c r="E8712" s="16">
        <f>IFERROR(__xludf.DUMMYFUNCTION("""COMPUTED_VALUE"""),65.0)</f>
        <v>65</v>
      </c>
      <c r="F8712" s="19" t="str">
        <f>IFERROR(__xludf.DUMMYFUNCTION("""COMPUTED_VALUE"""),"BLUE")</f>
        <v>BLUE</v>
      </c>
      <c r="G8712" s="20" t="str">
        <f>IFERROR(__xludf.DUMMYFUNCTION("""COMPUTED_VALUE"""),"Uncle Sams Cider (11/12/2021) (Blue)")</f>
        <v>Uncle Sams Cider (11/12/2021) (Blue)</v>
      </c>
      <c r="H8712" s="19"/>
    </row>
    <row r="8713">
      <c r="A8713" s="9"/>
      <c r="B8713" s="15"/>
      <c r="C8713" s="9">
        <f>IFERROR(__xludf.DUMMYFUNCTION("""COMPUTED_VALUE"""),44513.8560701504)</f>
        <v>44513.85607</v>
      </c>
      <c r="D8713" s="15">
        <f>IFERROR(__xludf.DUMMYFUNCTION("""COMPUTED_VALUE"""),1.108)</f>
        <v>1.108</v>
      </c>
      <c r="E8713" s="16">
        <f>IFERROR(__xludf.DUMMYFUNCTION("""COMPUTED_VALUE"""),65.0)</f>
        <v>65</v>
      </c>
      <c r="F8713" s="19" t="str">
        <f>IFERROR(__xludf.DUMMYFUNCTION("""COMPUTED_VALUE"""),"BLUE")</f>
        <v>BLUE</v>
      </c>
      <c r="G8713" s="20" t="str">
        <f>IFERROR(__xludf.DUMMYFUNCTION("""COMPUTED_VALUE"""),"Uncle Sams Cider (11/12/2021) (Blue)")</f>
        <v>Uncle Sams Cider (11/12/2021) (Blue)</v>
      </c>
      <c r="H8713" s="19"/>
    </row>
    <row r="8714">
      <c r="A8714" s="9"/>
      <c r="B8714" s="15"/>
      <c r="C8714" s="9">
        <f>IFERROR(__xludf.DUMMYFUNCTION("""COMPUTED_VALUE"""),44513.8456504629)</f>
        <v>44513.84565</v>
      </c>
      <c r="D8714" s="15">
        <f>IFERROR(__xludf.DUMMYFUNCTION("""COMPUTED_VALUE"""),1.108)</f>
        <v>1.108</v>
      </c>
      <c r="E8714" s="16">
        <f>IFERROR(__xludf.DUMMYFUNCTION("""COMPUTED_VALUE"""),65.0)</f>
        <v>65</v>
      </c>
      <c r="F8714" s="19" t="str">
        <f>IFERROR(__xludf.DUMMYFUNCTION("""COMPUTED_VALUE"""),"BLUE")</f>
        <v>BLUE</v>
      </c>
      <c r="G8714" s="20" t="str">
        <f>IFERROR(__xludf.DUMMYFUNCTION("""COMPUTED_VALUE"""),"Uncle Sams Cider (11/12/2021) (Blue)")</f>
        <v>Uncle Sams Cider (11/12/2021) (Blue)</v>
      </c>
      <c r="H8714" s="19"/>
    </row>
    <row r="8715">
      <c r="A8715" s="9"/>
      <c r="B8715" s="15"/>
      <c r="C8715" s="9">
        <f>IFERROR(__xludf.DUMMYFUNCTION("""COMPUTED_VALUE"""),44513.835217824)</f>
        <v>44513.83522</v>
      </c>
      <c r="D8715" s="15">
        <f>IFERROR(__xludf.DUMMYFUNCTION("""COMPUTED_VALUE"""),1.109)</f>
        <v>1.109</v>
      </c>
      <c r="E8715" s="16">
        <f>IFERROR(__xludf.DUMMYFUNCTION("""COMPUTED_VALUE"""),65.0)</f>
        <v>65</v>
      </c>
      <c r="F8715" s="19" t="str">
        <f>IFERROR(__xludf.DUMMYFUNCTION("""COMPUTED_VALUE"""),"BLUE")</f>
        <v>BLUE</v>
      </c>
      <c r="G8715" s="20" t="str">
        <f>IFERROR(__xludf.DUMMYFUNCTION("""COMPUTED_VALUE"""),"Uncle Sams Cider (11/12/2021) (Blue)")</f>
        <v>Uncle Sams Cider (11/12/2021) (Blue)</v>
      </c>
      <c r="H8715" s="19"/>
    </row>
    <row r="8716">
      <c r="A8716" s="9"/>
      <c r="B8716" s="15"/>
      <c r="C8716" s="9">
        <f>IFERROR(__xludf.DUMMYFUNCTION("""COMPUTED_VALUE"""),44513.824796875)</f>
        <v>44513.8248</v>
      </c>
      <c r="D8716" s="15">
        <f>IFERROR(__xludf.DUMMYFUNCTION("""COMPUTED_VALUE"""),1.108)</f>
        <v>1.108</v>
      </c>
      <c r="E8716" s="16">
        <f>IFERROR(__xludf.DUMMYFUNCTION("""COMPUTED_VALUE"""),65.0)</f>
        <v>65</v>
      </c>
      <c r="F8716" s="19" t="str">
        <f>IFERROR(__xludf.DUMMYFUNCTION("""COMPUTED_VALUE"""),"BLUE")</f>
        <v>BLUE</v>
      </c>
      <c r="G8716" s="20" t="str">
        <f>IFERROR(__xludf.DUMMYFUNCTION("""COMPUTED_VALUE"""),"Uncle Sams Cider (11/12/2021) (Blue)")</f>
        <v>Uncle Sams Cider (11/12/2021) (Blue)</v>
      </c>
      <c r="H8716" s="19"/>
    </row>
    <row r="8717">
      <c r="A8717" s="9"/>
      <c r="B8717" s="15"/>
      <c r="C8717" s="9">
        <f>IFERROR(__xludf.DUMMYFUNCTION("""COMPUTED_VALUE"""),44513.8143783564)</f>
        <v>44513.81438</v>
      </c>
      <c r="D8717" s="15">
        <f>IFERROR(__xludf.DUMMYFUNCTION("""COMPUTED_VALUE"""),1.109)</f>
        <v>1.109</v>
      </c>
      <c r="E8717" s="16">
        <f>IFERROR(__xludf.DUMMYFUNCTION("""COMPUTED_VALUE"""),65.0)</f>
        <v>65</v>
      </c>
      <c r="F8717" s="19" t="str">
        <f>IFERROR(__xludf.DUMMYFUNCTION("""COMPUTED_VALUE"""),"BLUE")</f>
        <v>BLUE</v>
      </c>
      <c r="G8717" s="20" t="str">
        <f>IFERROR(__xludf.DUMMYFUNCTION("""COMPUTED_VALUE"""),"Uncle Sams Cider (11/12/2021) (Blue)")</f>
        <v>Uncle Sams Cider (11/12/2021) (Blue)</v>
      </c>
      <c r="H8717" s="19"/>
    </row>
    <row r="8718">
      <c r="A8718" s="9"/>
      <c r="B8718" s="15"/>
      <c r="C8718" s="9">
        <f>IFERROR(__xludf.DUMMYFUNCTION("""COMPUTED_VALUE"""),44513.8039583449)</f>
        <v>44513.80396</v>
      </c>
      <c r="D8718" s="15">
        <f>IFERROR(__xludf.DUMMYFUNCTION("""COMPUTED_VALUE"""),1.109)</f>
        <v>1.109</v>
      </c>
      <c r="E8718" s="16">
        <f>IFERROR(__xludf.DUMMYFUNCTION("""COMPUTED_VALUE"""),64.0)</f>
        <v>64</v>
      </c>
      <c r="F8718" s="19" t="str">
        <f>IFERROR(__xludf.DUMMYFUNCTION("""COMPUTED_VALUE"""),"BLUE")</f>
        <v>BLUE</v>
      </c>
      <c r="G8718" s="20" t="str">
        <f>IFERROR(__xludf.DUMMYFUNCTION("""COMPUTED_VALUE"""),"Uncle Sams Cider (11/12/2021) (Blue)")</f>
        <v>Uncle Sams Cider (11/12/2021) (Blue)</v>
      </c>
      <c r="H8718" s="19"/>
    </row>
    <row r="8719">
      <c r="A8719" s="9"/>
      <c r="B8719" s="15"/>
      <c r="C8719" s="9">
        <f>IFERROR(__xludf.DUMMYFUNCTION("""COMPUTED_VALUE"""),44513.7935378356)</f>
        <v>44513.79354</v>
      </c>
      <c r="D8719" s="15">
        <f>IFERROR(__xludf.DUMMYFUNCTION("""COMPUTED_VALUE"""),1.109)</f>
        <v>1.109</v>
      </c>
      <c r="E8719" s="16">
        <f>IFERROR(__xludf.DUMMYFUNCTION("""COMPUTED_VALUE"""),65.0)</f>
        <v>65</v>
      </c>
      <c r="F8719" s="19" t="str">
        <f>IFERROR(__xludf.DUMMYFUNCTION("""COMPUTED_VALUE"""),"BLUE")</f>
        <v>BLUE</v>
      </c>
      <c r="G8719" s="20" t="str">
        <f>IFERROR(__xludf.DUMMYFUNCTION("""COMPUTED_VALUE"""),"Uncle Sams Cider (11/12/2021) (Blue)")</f>
        <v>Uncle Sams Cider (11/12/2021) (Blue)</v>
      </c>
      <c r="H8719" s="19"/>
    </row>
    <row r="8720">
      <c r="A8720" s="9"/>
      <c r="B8720" s="15"/>
      <c r="C8720" s="9">
        <f>IFERROR(__xludf.DUMMYFUNCTION("""COMPUTED_VALUE"""),44513.783105868)</f>
        <v>44513.78311</v>
      </c>
      <c r="D8720" s="15">
        <f>IFERROR(__xludf.DUMMYFUNCTION("""COMPUTED_VALUE"""),1.109)</f>
        <v>1.109</v>
      </c>
      <c r="E8720" s="16">
        <f>IFERROR(__xludf.DUMMYFUNCTION("""COMPUTED_VALUE"""),64.0)</f>
        <v>64</v>
      </c>
      <c r="F8720" s="19" t="str">
        <f>IFERROR(__xludf.DUMMYFUNCTION("""COMPUTED_VALUE"""),"BLUE")</f>
        <v>BLUE</v>
      </c>
      <c r="G8720" s="20" t="str">
        <f>IFERROR(__xludf.DUMMYFUNCTION("""COMPUTED_VALUE"""),"Uncle Sams Cider (11/12/2021) (Blue)")</f>
        <v>Uncle Sams Cider (11/12/2021) (Blue)</v>
      </c>
      <c r="H8720" s="19"/>
    </row>
    <row r="8721">
      <c r="A8721" s="9"/>
      <c r="B8721" s="15"/>
      <c r="C8721" s="9">
        <f>IFERROR(__xludf.DUMMYFUNCTION("""COMPUTED_VALUE"""),44513.7726855787)</f>
        <v>44513.77269</v>
      </c>
      <c r="D8721" s="15">
        <f>IFERROR(__xludf.DUMMYFUNCTION("""COMPUTED_VALUE"""),1.109)</f>
        <v>1.109</v>
      </c>
      <c r="E8721" s="16">
        <f>IFERROR(__xludf.DUMMYFUNCTION("""COMPUTED_VALUE"""),64.0)</f>
        <v>64</v>
      </c>
      <c r="F8721" s="19" t="str">
        <f>IFERROR(__xludf.DUMMYFUNCTION("""COMPUTED_VALUE"""),"BLUE")</f>
        <v>BLUE</v>
      </c>
      <c r="G8721" s="20" t="str">
        <f>IFERROR(__xludf.DUMMYFUNCTION("""COMPUTED_VALUE"""),"Uncle Sams Cider (11/12/2021) (Blue)")</f>
        <v>Uncle Sams Cider (11/12/2021) (Blue)</v>
      </c>
      <c r="H8721" s="19"/>
    </row>
    <row r="8722">
      <c r="A8722" s="9"/>
      <c r="B8722" s="15"/>
      <c r="C8722" s="9">
        <f>IFERROR(__xludf.DUMMYFUNCTION("""COMPUTED_VALUE"""),44513.7622621643)</f>
        <v>44513.76226</v>
      </c>
      <c r="D8722" s="15">
        <f>IFERROR(__xludf.DUMMYFUNCTION("""COMPUTED_VALUE"""),1.109)</f>
        <v>1.109</v>
      </c>
      <c r="E8722" s="16">
        <f>IFERROR(__xludf.DUMMYFUNCTION("""COMPUTED_VALUE"""),64.0)</f>
        <v>64</v>
      </c>
      <c r="F8722" s="19" t="str">
        <f>IFERROR(__xludf.DUMMYFUNCTION("""COMPUTED_VALUE"""),"BLUE")</f>
        <v>BLUE</v>
      </c>
      <c r="G8722" s="20" t="str">
        <f>IFERROR(__xludf.DUMMYFUNCTION("""COMPUTED_VALUE"""),"Uncle Sams Cider (11/12/2021) (Blue)")</f>
        <v>Uncle Sams Cider (11/12/2021) (Blue)</v>
      </c>
      <c r="H8722" s="19"/>
    </row>
    <row r="8723">
      <c r="A8723" s="9"/>
      <c r="B8723" s="15"/>
      <c r="C8723" s="9">
        <f>IFERROR(__xludf.DUMMYFUNCTION("""COMPUTED_VALUE"""),44513.7518169328)</f>
        <v>44513.75182</v>
      </c>
      <c r="D8723" s="15">
        <f>IFERROR(__xludf.DUMMYFUNCTION("""COMPUTED_VALUE"""),1.109)</f>
        <v>1.109</v>
      </c>
      <c r="E8723" s="16">
        <f>IFERROR(__xludf.DUMMYFUNCTION("""COMPUTED_VALUE"""),64.0)</f>
        <v>64</v>
      </c>
      <c r="F8723" s="19" t="str">
        <f>IFERROR(__xludf.DUMMYFUNCTION("""COMPUTED_VALUE"""),"BLUE")</f>
        <v>BLUE</v>
      </c>
      <c r="G8723" s="20" t="str">
        <f>IFERROR(__xludf.DUMMYFUNCTION("""COMPUTED_VALUE"""),"Uncle Sams Cider (11/12/2021) (Blue)")</f>
        <v>Uncle Sams Cider (11/12/2021) (Blue)</v>
      </c>
      <c r="H8723" s="19"/>
    </row>
    <row r="8724">
      <c r="A8724" s="9"/>
      <c r="B8724" s="15"/>
      <c r="C8724" s="9">
        <f>IFERROR(__xludf.DUMMYFUNCTION("""COMPUTED_VALUE"""),44513.7413850231)</f>
        <v>44513.74139</v>
      </c>
      <c r="D8724" s="15">
        <f>IFERROR(__xludf.DUMMYFUNCTION("""COMPUTED_VALUE"""),1.11)</f>
        <v>1.11</v>
      </c>
      <c r="E8724" s="16">
        <f>IFERROR(__xludf.DUMMYFUNCTION("""COMPUTED_VALUE"""),64.0)</f>
        <v>64</v>
      </c>
      <c r="F8724" s="19" t="str">
        <f>IFERROR(__xludf.DUMMYFUNCTION("""COMPUTED_VALUE"""),"BLUE")</f>
        <v>BLUE</v>
      </c>
      <c r="G8724" s="20" t="str">
        <f>IFERROR(__xludf.DUMMYFUNCTION("""COMPUTED_VALUE"""),"Uncle Sams Cider (11/12/2021) (Blue)")</f>
        <v>Uncle Sams Cider (11/12/2021) (Blue)</v>
      </c>
      <c r="H8724" s="19"/>
    </row>
    <row r="8725">
      <c r="A8725" s="9"/>
      <c r="B8725" s="15"/>
      <c r="C8725" s="9">
        <f>IFERROR(__xludf.DUMMYFUNCTION("""COMPUTED_VALUE"""),44513.7309638541)</f>
        <v>44513.73096</v>
      </c>
      <c r="D8725" s="15">
        <f>IFERROR(__xludf.DUMMYFUNCTION("""COMPUTED_VALUE"""),1.11)</f>
        <v>1.11</v>
      </c>
      <c r="E8725" s="16">
        <f>IFERROR(__xludf.DUMMYFUNCTION("""COMPUTED_VALUE"""),64.0)</f>
        <v>64</v>
      </c>
      <c r="F8725" s="19" t="str">
        <f>IFERROR(__xludf.DUMMYFUNCTION("""COMPUTED_VALUE"""),"BLUE")</f>
        <v>BLUE</v>
      </c>
      <c r="G8725" s="20" t="str">
        <f>IFERROR(__xludf.DUMMYFUNCTION("""COMPUTED_VALUE"""),"Uncle Sams Cider (11/12/2021) (Blue)")</f>
        <v>Uncle Sams Cider (11/12/2021) (Blue)</v>
      </c>
      <c r="H8725" s="19"/>
    </row>
    <row r="8726">
      <c r="A8726" s="9"/>
      <c r="B8726" s="15"/>
      <c r="C8726" s="9">
        <f>IFERROR(__xludf.DUMMYFUNCTION("""COMPUTED_VALUE"""),44513.7205427083)</f>
        <v>44513.72054</v>
      </c>
      <c r="D8726" s="15">
        <f>IFERROR(__xludf.DUMMYFUNCTION("""COMPUTED_VALUE"""),1.111)</f>
        <v>1.111</v>
      </c>
      <c r="E8726" s="16">
        <f>IFERROR(__xludf.DUMMYFUNCTION("""COMPUTED_VALUE"""),64.0)</f>
        <v>64</v>
      </c>
      <c r="F8726" s="19" t="str">
        <f>IFERROR(__xludf.DUMMYFUNCTION("""COMPUTED_VALUE"""),"BLUE")</f>
        <v>BLUE</v>
      </c>
      <c r="G8726" s="20" t="str">
        <f>IFERROR(__xludf.DUMMYFUNCTION("""COMPUTED_VALUE"""),"Uncle Sams Cider (11/12/2021) (Blue)")</f>
        <v>Uncle Sams Cider (11/12/2021) (Blue)</v>
      </c>
      <c r="H8726" s="19"/>
    </row>
    <row r="8727">
      <c r="A8727" s="9"/>
      <c r="B8727" s="15"/>
      <c r="C8727" s="9">
        <f>IFERROR(__xludf.DUMMYFUNCTION("""COMPUTED_VALUE"""),44513.7101224768)</f>
        <v>44513.71012</v>
      </c>
      <c r="D8727" s="15">
        <f>IFERROR(__xludf.DUMMYFUNCTION("""COMPUTED_VALUE"""),1.112)</f>
        <v>1.112</v>
      </c>
      <c r="E8727" s="16">
        <f>IFERROR(__xludf.DUMMYFUNCTION("""COMPUTED_VALUE"""),64.0)</f>
        <v>64</v>
      </c>
      <c r="F8727" s="19" t="str">
        <f>IFERROR(__xludf.DUMMYFUNCTION("""COMPUTED_VALUE"""),"BLUE")</f>
        <v>BLUE</v>
      </c>
      <c r="G8727" s="20" t="str">
        <f>IFERROR(__xludf.DUMMYFUNCTION("""COMPUTED_VALUE"""),"Uncle Sams Cider (11/12/2021) (Blue)")</f>
        <v>Uncle Sams Cider (11/12/2021) (Blue)</v>
      </c>
      <c r="H8727" s="19"/>
    </row>
    <row r="8728">
      <c r="A8728" s="9"/>
      <c r="B8728" s="15"/>
      <c r="C8728" s="9">
        <f>IFERROR(__xludf.DUMMYFUNCTION("""COMPUTED_VALUE"""),44513.6997024421)</f>
        <v>44513.6997</v>
      </c>
      <c r="D8728" s="15">
        <f>IFERROR(__xludf.DUMMYFUNCTION("""COMPUTED_VALUE"""),1.113)</f>
        <v>1.113</v>
      </c>
      <c r="E8728" s="16">
        <f>IFERROR(__xludf.DUMMYFUNCTION("""COMPUTED_VALUE"""),64.0)</f>
        <v>64</v>
      </c>
      <c r="F8728" s="19" t="str">
        <f>IFERROR(__xludf.DUMMYFUNCTION("""COMPUTED_VALUE"""),"BLUE")</f>
        <v>BLUE</v>
      </c>
      <c r="G8728" s="20" t="str">
        <f>IFERROR(__xludf.DUMMYFUNCTION("""COMPUTED_VALUE"""),"Uncle Sams Cider (11/12/2021) (Blue)")</f>
        <v>Uncle Sams Cider (11/12/2021) (Blue)</v>
      </c>
      <c r="H8728" s="19"/>
    </row>
    <row r="8729">
      <c r="A8729" s="9"/>
      <c r="B8729" s="15"/>
      <c r="C8729" s="9">
        <f>IFERROR(__xludf.DUMMYFUNCTION("""COMPUTED_VALUE"""),44513.6892824421)</f>
        <v>44513.68928</v>
      </c>
      <c r="D8729" s="15">
        <f>IFERROR(__xludf.DUMMYFUNCTION("""COMPUTED_VALUE"""),1.113)</f>
        <v>1.113</v>
      </c>
      <c r="E8729" s="16">
        <f>IFERROR(__xludf.DUMMYFUNCTION("""COMPUTED_VALUE"""),64.0)</f>
        <v>64</v>
      </c>
      <c r="F8729" s="19" t="str">
        <f>IFERROR(__xludf.DUMMYFUNCTION("""COMPUTED_VALUE"""),"BLUE")</f>
        <v>BLUE</v>
      </c>
      <c r="G8729" s="20" t="str">
        <f>IFERROR(__xludf.DUMMYFUNCTION("""COMPUTED_VALUE"""),"Uncle Sams Cider (11/12/2021) (Blue)")</f>
        <v>Uncle Sams Cider (11/12/2021) (Blue)</v>
      </c>
      <c r="H8729" s="19"/>
    </row>
    <row r="8730">
      <c r="A8730" s="9"/>
      <c r="B8730" s="15"/>
      <c r="C8730" s="9">
        <f>IFERROR(__xludf.DUMMYFUNCTION("""COMPUTED_VALUE"""),44513.6788605324)</f>
        <v>44513.67886</v>
      </c>
      <c r="D8730" s="15">
        <f>IFERROR(__xludf.DUMMYFUNCTION("""COMPUTED_VALUE"""),1.114)</f>
        <v>1.114</v>
      </c>
      <c r="E8730" s="16">
        <f>IFERROR(__xludf.DUMMYFUNCTION("""COMPUTED_VALUE"""),64.0)</f>
        <v>64</v>
      </c>
      <c r="F8730" s="19" t="str">
        <f>IFERROR(__xludf.DUMMYFUNCTION("""COMPUTED_VALUE"""),"BLUE")</f>
        <v>BLUE</v>
      </c>
      <c r="G8730" s="20" t="str">
        <f>IFERROR(__xludf.DUMMYFUNCTION("""COMPUTED_VALUE"""),"Uncle Sams Cider (11/12/2021) (Blue)")</f>
        <v>Uncle Sams Cider (11/12/2021) (Blue)</v>
      </c>
      <c r="H8730" s="19"/>
    </row>
    <row r="8731">
      <c r="A8731" s="9"/>
      <c r="B8731" s="15"/>
      <c r="C8731" s="9">
        <f>IFERROR(__xludf.DUMMYFUNCTION("""COMPUTED_VALUE"""),44513.6684393634)</f>
        <v>44513.66844</v>
      </c>
      <c r="D8731" s="15">
        <f>IFERROR(__xludf.DUMMYFUNCTION("""COMPUTED_VALUE"""),1.115)</f>
        <v>1.115</v>
      </c>
      <c r="E8731" s="16">
        <f>IFERROR(__xludf.DUMMYFUNCTION("""COMPUTED_VALUE"""),64.0)</f>
        <v>64</v>
      </c>
      <c r="F8731" s="19" t="str">
        <f>IFERROR(__xludf.DUMMYFUNCTION("""COMPUTED_VALUE"""),"BLUE")</f>
        <v>BLUE</v>
      </c>
      <c r="G8731" s="20" t="str">
        <f>IFERROR(__xludf.DUMMYFUNCTION("""COMPUTED_VALUE"""),"Uncle Sams Cider (11/12/2021) (Blue)")</f>
        <v>Uncle Sams Cider (11/12/2021) (Blue)</v>
      </c>
      <c r="H8731" s="19"/>
    </row>
    <row r="8732">
      <c r="A8732" s="9"/>
      <c r="B8732" s="15"/>
      <c r="C8732" s="9">
        <f>IFERROR(__xludf.DUMMYFUNCTION("""COMPUTED_VALUE"""),44513.6580188078)</f>
        <v>44513.65802</v>
      </c>
      <c r="D8732" s="15">
        <f>IFERROR(__xludf.DUMMYFUNCTION("""COMPUTED_VALUE"""),1.116)</f>
        <v>1.116</v>
      </c>
      <c r="E8732" s="16">
        <f>IFERROR(__xludf.DUMMYFUNCTION("""COMPUTED_VALUE"""),64.0)</f>
        <v>64</v>
      </c>
      <c r="F8732" s="19" t="str">
        <f>IFERROR(__xludf.DUMMYFUNCTION("""COMPUTED_VALUE"""),"BLUE")</f>
        <v>BLUE</v>
      </c>
      <c r="G8732" s="20" t="str">
        <f>IFERROR(__xludf.DUMMYFUNCTION("""COMPUTED_VALUE"""),"Uncle Sams Cider (11/12/2021) (Blue)")</f>
        <v>Uncle Sams Cider (11/12/2021) (Blue)</v>
      </c>
      <c r="H8732" s="19"/>
    </row>
    <row r="8733">
      <c r="A8733" s="9"/>
      <c r="B8733" s="15"/>
      <c r="C8733" s="9">
        <f>IFERROR(__xludf.DUMMYFUNCTION("""COMPUTED_VALUE"""),44513.6475976851)</f>
        <v>44513.6476</v>
      </c>
      <c r="D8733" s="15">
        <f>IFERROR(__xludf.DUMMYFUNCTION("""COMPUTED_VALUE"""),1.118)</f>
        <v>1.118</v>
      </c>
      <c r="E8733" s="16">
        <f>IFERROR(__xludf.DUMMYFUNCTION("""COMPUTED_VALUE"""),64.0)</f>
        <v>64</v>
      </c>
      <c r="F8733" s="19" t="str">
        <f>IFERROR(__xludf.DUMMYFUNCTION("""COMPUTED_VALUE"""),"BLUE")</f>
        <v>BLUE</v>
      </c>
      <c r="G8733" s="20" t="str">
        <f>IFERROR(__xludf.DUMMYFUNCTION("""COMPUTED_VALUE"""),"Uncle Sams Cider (11/12/2021) (Blue)")</f>
        <v>Uncle Sams Cider (11/12/2021) (Blue)</v>
      </c>
      <c r="H8733" s="19"/>
    </row>
    <row r="8734">
      <c r="A8734" s="9"/>
      <c r="B8734" s="15"/>
      <c r="C8734" s="9">
        <f>IFERROR(__xludf.DUMMYFUNCTION("""COMPUTED_VALUE"""),44513.637175706)</f>
        <v>44513.63718</v>
      </c>
      <c r="D8734" s="15">
        <f>IFERROR(__xludf.DUMMYFUNCTION("""COMPUTED_VALUE"""),1.118)</f>
        <v>1.118</v>
      </c>
      <c r="E8734" s="16">
        <f>IFERROR(__xludf.DUMMYFUNCTION("""COMPUTED_VALUE"""),64.0)</f>
        <v>64</v>
      </c>
      <c r="F8734" s="19" t="str">
        <f>IFERROR(__xludf.DUMMYFUNCTION("""COMPUTED_VALUE"""),"BLUE")</f>
        <v>BLUE</v>
      </c>
      <c r="G8734" s="20" t="str">
        <f>IFERROR(__xludf.DUMMYFUNCTION("""COMPUTED_VALUE"""),"Uncle Sams Cider (11/12/2021) (Blue)")</f>
        <v>Uncle Sams Cider (11/12/2021) (Blue)</v>
      </c>
      <c r="H8734" s="19"/>
    </row>
    <row r="8735">
      <c r="A8735" s="9"/>
      <c r="B8735" s="15"/>
      <c r="C8735" s="9">
        <f>IFERROR(__xludf.DUMMYFUNCTION("""COMPUTED_VALUE"""),44513.6267547453)</f>
        <v>44513.62675</v>
      </c>
      <c r="D8735" s="15">
        <f>IFERROR(__xludf.DUMMYFUNCTION("""COMPUTED_VALUE"""),1.118)</f>
        <v>1.118</v>
      </c>
      <c r="E8735" s="16">
        <f>IFERROR(__xludf.DUMMYFUNCTION("""COMPUTED_VALUE"""),64.0)</f>
        <v>64</v>
      </c>
      <c r="F8735" s="19" t="str">
        <f>IFERROR(__xludf.DUMMYFUNCTION("""COMPUTED_VALUE"""),"BLUE")</f>
        <v>BLUE</v>
      </c>
      <c r="G8735" s="20" t="str">
        <f>IFERROR(__xludf.DUMMYFUNCTION("""COMPUTED_VALUE"""),"Uncle Sams Cider (11/12/2021) (Blue)")</f>
        <v>Uncle Sams Cider (11/12/2021) (Blue)</v>
      </c>
      <c r="H8735" s="19"/>
    </row>
    <row r="8736">
      <c r="A8736" s="9"/>
      <c r="B8736" s="15"/>
      <c r="C8736" s="9">
        <f>IFERROR(__xludf.DUMMYFUNCTION("""COMPUTED_VALUE"""),44513.6163338425)</f>
        <v>44513.61633</v>
      </c>
      <c r="D8736" s="15">
        <f>IFERROR(__xludf.DUMMYFUNCTION("""COMPUTED_VALUE"""),1.118)</f>
        <v>1.118</v>
      </c>
      <c r="E8736" s="16">
        <f>IFERROR(__xludf.DUMMYFUNCTION("""COMPUTED_VALUE"""),64.0)</f>
        <v>64</v>
      </c>
      <c r="F8736" s="19" t="str">
        <f>IFERROR(__xludf.DUMMYFUNCTION("""COMPUTED_VALUE"""),"BLUE")</f>
        <v>BLUE</v>
      </c>
      <c r="G8736" s="20" t="str">
        <f>IFERROR(__xludf.DUMMYFUNCTION("""COMPUTED_VALUE"""),"Uncle Sams Cider (11/12/2021) (Blue)")</f>
        <v>Uncle Sams Cider (11/12/2021) (Blue)</v>
      </c>
      <c r="H8736" s="19"/>
    </row>
    <row r="8737">
      <c r="A8737" s="9"/>
      <c r="B8737" s="15"/>
      <c r="C8737" s="9">
        <f>IFERROR(__xludf.DUMMYFUNCTION("""COMPUTED_VALUE"""),44513.6059132175)</f>
        <v>44513.60591</v>
      </c>
      <c r="D8737" s="15">
        <f>IFERROR(__xludf.DUMMYFUNCTION("""COMPUTED_VALUE"""),1.119)</f>
        <v>1.119</v>
      </c>
      <c r="E8737" s="16">
        <f>IFERROR(__xludf.DUMMYFUNCTION("""COMPUTED_VALUE"""),64.0)</f>
        <v>64</v>
      </c>
      <c r="F8737" s="19" t="str">
        <f>IFERROR(__xludf.DUMMYFUNCTION("""COMPUTED_VALUE"""),"BLUE")</f>
        <v>BLUE</v>
      </c>
      <c r="G8737" s="20" t="str">
        <f>IFERROR(__xludf.DUMMYFUNCTION("""COMPUTED_VALUE"""),"Uncle Sams Cider (11/12/2021) (Blue)")</f>
        <v>Uncle Sams Cider (11/12/2021) (Blue)</v>
      </c>
      <c r="H8737" s="19"/>
    </row>
    <row r="8738">
      <c r="A8738" s="9"/>
      <c r="B8738" s="15"/>
      <c r="C8738" s="9">
        <f>IFERROR(__xludf.DUMMYFUNCTION("""COMPUTED_VALUE"""),44513.5954913425)</f>
        <v>44513.59549</v>
      </c>
      <c r="D8738" s="15">
        <f>IFERROR(__xludf.DUMMYFUNCTION("""COMPUTED_VALUE"""),1.119)</f>
        <v>1.119</v>
      </c>
      <c r="E8738" s="16">
        <f>IFERROR(__xludf.DUMMYFUNCTION("""COMPUTED_VALUE"""),64.0)</f>
        <v>64</v>
      </c>
      <c r="F8738" s="19" t="str">
        <f>IFERROR(__xludf.DUMMYFUNCTION("""COMPUTED_VALUE"""),"BLUE")</f>
        <v>BLUE</v>
      </c>
      <c r="G8738" s="20" t="str">
        <f>IFERROR(__xludf.DUMMYFUNCTION("""COMPUTED_VALUE"""),"Uncle Sams Cider (11/12/2021) (Blue)")</f>
        <v>Uncle Sams Cider (11/12/2021) (Blue)</v>
      </c>
      <c r="H8738" s="19"/>
    </row>
    <row r="8739">
      <c r="A8739" s="9"/>
      <c r="B8739" s="15"/>
      <c r="C8739" s="9">
        <f>IFERROR(__xludf.DUMMYFUNCTION("""COMPUTED_VALUE"""),44513.5850695023)</f>
        <v>44513.58507</v>
      </c>
      <c r="D8739" s="15">
        <f>IFERROR(__xludf.DUMMYFUNCTION("""COMPUTED_VALUE"""),1.121)</f>
        <v>1.121</v>
      </c>
      <c r="E8739" s="16">
        <f>IFERROR(__xludf.DUMMYFUNCTION("""COMPUTED_VALUE"""),64.0)</f>
        <v>64</v>
      </c>
      <c r="F8739" s="19" t="str">
        <f>IFERROR(__xludf.DUMMYFUNCTION("""COMPUTED_VALUE"""),"BLUE")</f>
        <v>BLUE</v>
      </c>
      <c r="G8739" s="20" t="str">
        <f>IFERROR(__xludf.DUMMYFUNCTION("""COMPUTED_VALUE"""),"Uncle Sams Cider (11/12/2021) (Blue)")</f>
        <v>Uncle Sams Cider (11/12/2021) (Blue)</v>
      </c>
      <c r="H8739" s="19"/>
    </row>
    <row r="8740">
      <c r="A8740" s="9"/>
      <c r="B8740" s="15"/>
      <c r="C8740" s="9">
        <f>IFERROR(__xludf.DUMMYFUNCTION("""COMPUTED_VALUE"""),44513.5746494212)</f>
        <v>44513.57465</v>
      </c>
      <c r="D8740" s="15">
        <f>IFERROR(__xludf.DUMMYFUNCTION("""COMPUTED_VALUE"""),1.12)</f>
        <v>1.12</v>
      </c>
      <c r="E8740" s="16">
        <f>IFERROR(__xludf.DUMMYFUNCTION("""COMPUTED_VALUE"""),64.0)</f>
        <v>64</v>
      </c>
      <c r="F8740" s="19" t="str">
        <f>IFERROR(__xludf.DUMMYFUNCTION("""COMPUTED_VALUE"""),"BLUE")</f>
        <v>BLUE</v>
      </c>
      <c r="G8740" s="20" t="str">
        <f>IFERROR(__xludf.DUMMYFUNCTION("""COMPUTED_VALUE"""),"Uncle Sams Cider (11/12/2021) (Blue)")</f>
        <v>Uncle Sams Cider (11/12/2021) (Blue)</v>
      </c>
      <c r="H8740" s="19"/>
    </row>
    <row r="8741">
      <c r="A8741" s="9"/>
      <c r="B8741" s="15"/>
      <c r="C8741" s="9">
        <f>IFERROR(__xludf.DUMMYFUNCTION("""COMPUTED_VALUE"""),44513.564227662)</f>
        <v>44513.56423</v>
      </c>
      <c r="D8741" s="15">
        <f>IFERROR(__xludf.DUMMYFUNCTION("""COMPUTED_VALUE"""),1.122)</f>
        <v>1.122</v>
      </c>
      <c r="E8741" s="16">
        <f>IFERROR(__xludf.DUMMYFUNCTION("""COMPUTED_VALUE"""),64.0)</f>
        <v>64</v>
      </c>
      <c r="F8741" s="19" t="str">
        <f>IFERROR(__xludf.DUMMYFUNCTION("""COMPUTED_VALUE"""),"BLUE")</f>
        <v>BLUE</v>
      </c>
      <c r="G8741" s="20" t="str">
        <f>IFERROR(__xludf.DUMMYFUNCTION("""COMPUTED_VALUE"""),"Uncle Sams Cider (11/12/2021) (Blue)")</f>
        <v>Uncle Sams Cider (11/12/2021) (Blue)</v>
      </c>
      <c r="H8741" s="19"/>
    </row>
    <row r="8742">
      <c r="A8742" s="9"/>
      <c r="B8742" s="15"/>
      <c r="C8742" s="9">
        <f>IFERROR(__xludf.DUMMYFUNCTION("""COMPUTED_VALUE"""),44513.5538066203)</f>
        <v>44513.55381</v>
      </c>
      <c r="D8742" s="15">
        <f>IFERROR(__xludf.DUMMYFUNCTION("""COMPUTED_VALUE"""),1.122)</f>
        <v>1.122</v>
      </c>
      <c r="E8742" s="16">
        <f>IFERROR(__xludf.DUMMYFUNCTION("""COMPUTED_VALUE"""),64.0)</f>
        <v>64</v>
      </c>
      <c r="F8742" s="19" t="str">
        <f>IFERROR(__xludf.DUMMYFUNCTION("""COMPUTED_VALUE"""),"BLUE")</f>
        <v>BLUE</v>
      </c>
      <c r="G8742" s="20" t="str">
        <f>IFERROR(__xludf.DUMMYFUNCTION("""COMPUTED_VALUE"""),"Uncle Sams Cider (11/12/2021) (Blue)")</f>
        <v>Uncle Sams Cider (11/12/2021) (Blue)</v>
      </c>
      <c r="H8742" s="19"/>
    </row>
    <row r="8743">
      <c r="A8743" s="9"/>
      <c r="B8743" s="15"/>
      <c r="C8743" s="9">
        <f>IFERROR(__xludf.DUMMYFUNCTION("""COMPUTED_VALUE"""),44513.5433857754)</f>
        <v>44513.54339</v>
      </c>
      <c r="D8743" s="15">
        <f>IFERROR(__xludf.DUMMYFUNCTION("""COMPUTED_VALUE"""),1.12)</f>
        <v>1.12</v>
      </c>
      <c r="E8743" s="16">
        <f>IFERROR(__xludf.DUMMYFUNCTION("""COMPUTED_VALUE"""),64.0)</f>
        <v>64</v>
      </c>
      <c r="F8743" s="19" t="str">
        <f>IFERROR(__xludf.DUMMYFUNCTION("""COMPUTED_VALUE"""),"BLUE")</f>
        <v>BLUE</v>
      </c>
      <c r="G8743" s="20" t="str">
        <f>IFERROR(__xludf.DUMMYFUNCTION("""COMPUTED_VALUE"""),"Uncle Sams Cider (11/12/2021) (Blue)")</f>
        <v>Uncle Sams Cider (11/12/2021) (Blue)</v>
      </c>
      <c r="H8743" s="19"/>
    </row>
    <row r="8744">
      <c r="A8744" s="9"/>
      <c r="B8744" s="15"/>
      <c r="C8744" s="9">
        <f>IFERROR(__xludf.DUMMYFUNCTION("""COMPUTED_VALUE"""),44513.5329640972)</f>
        <v>44513.53296</v>
      </c>
      <c r="D8744" s="15">
        <f>IFERROR(__xludf.DUMMYFUNCTION("""COMPUTED_VALUE"""),1.117)</f>
        <v>1.117</v>
      </c>
      <c r="E8744" s="16">
        <f>IFERROR(__xludf.DUMMYFUNCTION("""COMPUTED_VALUE"""),64.0)</f>
        <v>64</v>
      </c>
      <c r="F8744" s="19" t="str">
        <f>IFERROR(__xludf.DUMMYFUNCTION("""COMPUTED_VALUE"""),"BLUE")</f>
        <v>BLUE</v>
      </c>
      <c r="G8744" s="20" t="str">
        <f>IFERROR(__xludf.DUMMYFUNCTION("""COMPUTED_VALUE"""),"Uncle Sams Cider (11/12/2021) (Blue)")</f>
        <v>Uncle Sams Cider (11/12/2021) (Blue)</v>
      </c>
      <c r="H8744" s="19"/>
    </row>
    <row r="8745">
      <c r="A8745" s="9"/>
      <c r="B8745" s="15"/>
      <c r="C8745" s="9">
        <f>IFERROR(__xludf.DUMMYFUNCTION("""COMPUTED_VALUE"""),44513.5225445833)</f>
        <v>44513.52254</v>
      </c>
      <c r="D8745" s="15">
        <f>IFERROR(__xludf.DUMMYFUNCTION("""COMPUTED_VALUE"""),1.115)</f>
        <v>1.115</v>
      </c>
      <c r="E8745" s="16">
        <f>IFERROR(__xludf.DUMMYFUNCTION("""COMPUTED_VALUE"""),64.0)</f>
        <v>64</v>
      </c>
      <c r="F8745" s="19" t="str">
        <f>IFERROR(__xludf.DUMMYFUNCTION("""COMPUTED_VALUE"""),"BLUE")</f>
        <v>BLUE</v>
      </c>
      <c r="G8745" s="20" t="str">
        <f>IFERROR(__xludf.DUMMYFUNCTION("""COMPUTED_VALUE"""),"Uncle Sams Cider (11/12/2021) (Blue)")</f>
        <v>Uncle Sams Cider (11/12/2021) (Blue)</v>
      </c>
      <c r="H8745" s="19"/>
    </row>
    <row r="8746">
      <c r="A8746" s="9"/>
      <c r="B8746" s="15"/>
      <c r="C8746" s="9">
        <f>IFERROR(__xludf.DUMMYFUNCTION("""COMPUTED_VALUE"""),44513.5121231018)</f>
        <v>44513.51212</v>
      </c>
      <c r="D8746" s="15">
        <f>IFERROR(__xludf.DUMMYFUNCTION("""COMPUTED_VALUE"""),1.112)</f>
        <v>1.112</v>
      </c>
      <c r="E8746" s="16">
        <f>IFERROR(__xludf.DUMMYFUNCTION("""COMPUTED_VALUE"""),64.0)</f>
        <v>64</v>
      </c>
      <c r="F8746" s="19" t="str">
        <f>IFERROR(__xludf.DUMMYFUNCTION("""COMPUTED_VALUE"""),"BLUE")</f>
        <v>BLUE</v>
      </c>
      <c r="G8746" s="20" t="str">
        <f>IFERROR(__xludf.DUMMYFUNCTION("""COMPUTED_VALUE"""),"Uncle Sams Cider (11/12/2021) (Blue)")</f>
        <v>Uncle Sams Cider (11/12/2021) (Blue)</v>
      </c>
      <c r="H8746" s="19"/>
    </row>
    <row r="8747">
      <c r="A8747" s="9"/>
      <c r="B8747" s="15"/>
      <c r="C8747" s="9">
        <f>IFERROR(__xludf.DUMMYFUNCTION("""COMPUTED_VALUE"""),44513.5017003356)</f>
        <v>44513.5017</v>
      </c>
      <c r="D8747" s="15">
        <f>IFERROR(__xludf.DUMMYFUNCTION("""COMPUTED_VALUE"""),1.111)</f>
        <v>1.111</v>
      </c>
      <c r="E8747" s="16">
        <f>IFERROR(__xludf.DUMMYFUNCTION("""COMPUTED_VALUE"""),64.0)</f>
        <v>64</v>
      </c>
      <c r="F8747" s="19" t="str">
        <f>IFERROR(__xludf.DUMMYFUNCTION("""COMPUTED_VALUE"""),"BLUE")</f>
        <v>BLUE</v>
      </c>
      <c r="G8747" s="20" t="str">
        <f>IFERROR(__xludf.DUMMYFUNCTION("""COMPUTED_VALUE"""),"Uncle Sams Cider (11/12/2021) (Blue)")</f>
        <v>Uncle Sams Cider (11/12/2021) (Blue)</v>
      </c>
      <c r="H8747" s="19"/>
    </row>
    <row r="8748">
      <c r="A8748" s="9"/>
      <c r="B8748" s="15"/>
      <c r="C8748" s="9">
        <f>IFERROR(__xludf.DUMMYFUNCTION("""COMPUTED_VALUE"""),44513.4912792592)</f>
        <v>44513.49128</v>
      </c>
      <c r="D8748" s="15">
        <f>IFERROR(__xludf.DUMMYFUNCTION("""COMPUTED_VALUE"""),1.11)</f>
        <v>1.11</v>
      </c>
      <c r="E8748" s="16">
        <f>IFERROR(__xludf.DUMMYFUNCTION("""COMPUTED_VALUE"""),64.0)</f>
        <v>64</v>
      </c>
      <c r="F8748" s="19" t="str">
        <f>IFERROR(__xludf.DUMMYFUNCTION("""COMPUTED_VALUE"""),"BLUE")</f>
        <v>BLUE</v>
      </c>
      <c r="G8748" s="20" t="str">
        <f>IFERROR(__xludf.DUMMYFUNCTION("""COMPUTED_VALUE"""),"Uncle Sams Cider (11/12/2021) (Blue)")</f>
        <v>Uncle Sams Cider (11/12/2021) (Blue)</v>
      </c>
      <c r="H8748" s="19"/>
    </row>
    <row r="8749">
      <c r="A8749" s="9"/>
      <c r="B8749" s="15"/>
      <c r="C8749" s="9">
        <f>IFERROR(__xludf.DUMMYFUNCTION("""COMPUTED_VALUE"""),44513.4808577662)</f>
        <v>44513.48086</v>
      </c>
      <c r="D8749" s="15">
        <f>IFERROR(__xludf.DUMMYFUNCTION("""COMPUTED_VALUE"""),1.11)</f>
        <v>1.11</v>
      </c>
      <c r="E8749" s="16">
        <f>IFERROR(__xludf.DUMMYFUNCTION("""COMPUTED_VALUE"""),64.0)</f>
        <v>64</v>
      </c>
      <c r="F8749" s="19" t="str">
        <f>IFERROR(__xludf.DUMMYFUNCTION("""COMPUTED_VALUE"""),"BLUE")</f>
        <v>BLUE</v>
      </c>
      <c r="G8749" s="20" t="str">
        <f>IFERROR(__xludf.DUMMYFUNCTION("""COMPUTED_VALUE"""),"Uncle Sams Cider (11/12/2021) (Blue)")</f>
        <v>Uncle Sams Cider (11/12/2021) (Blue)</v>
      </c>
      <c r="H8749" s="19"/>
    </row>
    <row r="8750">
      <c r="A8750" s="9"/>
      <c r="B8750" s="15"/>
      <c r="C8750" s="9">
        <f>IFERROR(__xludf.DUMMYFUNCTION("""COMPUTED_VALUE"""),44513.4704363078)</f>
        <v>44513.47044</v>
      </c>
      <c r="D8750" s="15">
        <f>IFERROR(__xludf.DUMMYFUNCTION("""COMPUTED_VALUE"""),1.11)</f>
        <v>1.11</v>
      </c>
      <c r="E8750" s="16">
        <f>IFERROR(__xludf.DUMMYFUNCTION("""COMPUTED_VALUE"""),64.0)</f>
        <v>64</v>
      </c>
      <c r="F8750" s="19" t="str">
        <f>IFERROR(__xludf.DUMMYFUNCTION("""COMPUTED_VALUE"""),"BLUE")</f>
        <v>BLUE</v>
      </c>
      <c r="G8750" s="20" t="str">
        <f>IFERROR(__xludf.DUMMYFUNCTION("""COMPUTED_VALUE"""),"Uncle Sams Cider (11/12/2021) (Blue)")</f>
        <v>Uncle Sams Cider (11/12/2021) (Blue)</v>
      </c>
      <c r="H8750" s="19"/>
    </row>
    <row r="8751">
      <c r="A8751" s="9"/>
      <c r="B8751" s="15"/>
      <c r="C8751" s="9">
        <f>IFERROR(__xludf.DUMMYFUNCTION("""COMPUTED_VALUE"""),44513.4600133449)</f>
        <v>44513.46001</v>
      </c>
      <c r="D8751" s="15">
        <f>IFERROR(__xludf.DUMMYFUNCTION("""COMPUTED_VALUE"""),1.11)</f>
        <v>1.11</v>
      </c>
      <c r="E8751" s="16">
        <f>IFERROR(__xludf.DUMMYFUNCTION("""COMPUTED_VALUE"""),64.0)</f>
        <v>64</v>
      </c>
      <c r="F8751" s="19" t="str">
        <f>IFERROR(__xludf.DUMMYFUNCTION("""COMPUTED_VALUE"""),"BLUE")</f>
        <v>BLUE</v>
      </c>
      <c r="G8751" s="20" t="str">
        <f>IFERROR(__xludf.DUMMYFUNCTION("""COMPUTED_VALUE"""),"Uncle Sams Cider (11/12/2021) (Blue)")</f>
        <v>Uncle Sams Cider (11/12/2021) (Blue)</v>
      </c>
      <c r="H8751" s="19"/>
    </row>
    <row r="8752">
      <c r="A8752" s="9"/>
      <c r="B8752" s="15"/>
      <c r="C8752" s="9">
        <f>IFERROR(__xludf.DUMMYFUNCTION("""COMPUTED_VALUE"""),44513.4495810069)</f>
        <v>44513.44958</v>
      </c>
      <c r="D8752" s="15">
        <f>IFERROR(__xludf.DUMMYFUNCTION("""COMPUTED_VALUE"""),1.11)</f>
        <v>1.11</v>
      </c>
      <c r="E8752" s="16">
        <f>IFERROR(__xludf.DUMMYFUNCTION("""COMPUTED_VALUE"""),64.0)</f>
        <v>64</v>
      </c>
      <c r="F8752" s="19" t="str">
        <f>IFERROR(__xludf.DUMMYFUNCTION("""COMPUTED_VALUE"""),"BLUE")</f>
        <v>BLUE</v>
      </c>
      <c r="G8752" s="20" t="str">
        <f>IFERROR(__xludf.DUMMYFUNCTION("""COMPUTED_VALUE"""),"Uncle Sams Cider (11/12/2021) (Blue)")</f>
        <v>Uncle Sams Cider (11/12/2021) (Blue)</v>
      </c>
      <c r="H8752" s="19"/>
    </row>
    <row r="8753">
      <c r="A8753" s="9"/>
      <c r="B8753" s="15"/>
      <c r="C8753" s="9">
        <f>IFERROR(__xludf.DUMMYFUNCTION("""COMPUTED_VALUE"""),44513.4391578819)</f>
        <v>44513.43916</v>
      </c>
      <c r="D8753" s="15">
        <f>IFERROR(__xludf.DUMMYFUNCTION("""COMPUTED_VALUE"""),1.11)</f>
        <v>1.11</v>
      </c>
      <c r="E8753" s="16">
        <f>IFERROR(__xludf.DUMMYFUNCTION("""COMPUTED_VALUE"""),64.0)</f>
        <v>64</v>
      </c>
      <c r="F8753" s="19" t="str">
        <f>IFERROR(__xludf.DUMMYFUNCTION("""COMPUTED_VALUE"""),"BLUE")</f>
        <v>BLUE</v>
      </c>
      <c r="G8753" s="20" t="str">
        <f>IFERROR(__xludf.DUMMYFUNCTION("""COMPUTED_VALUE"""),"Uncle Sams Cider (11/12/2021) (Blue)")</f>
        <v>Uncle Sams Cider (11/12/2021) (Blue)</v>
      </c>
      <c r="H8753" s="19"/>
    </row>
    <row r="8754">
      <c r="A8754" s="9"/>
      <c r="B8754" s="15"/>
      <c r="C8754" s="9">
        <f>IFERROR(__xludf.DUMMYFUNCTION("""COMPUTED_VALUE"""),44513.4287361689)</f>
        <v>44513.42874</v>
      </c>
      <c r="D8754" s="15">
        <f>IFERROR(__xludf.DUMMYFUNCTION("""COMPUTED_VALUE"""),1.11)</f>
        <v>1.11</v>
      </c>
      <c r="E8754" s="16">
        <f>IFERROR(__xludf.DUMMYFUNCTION("""COMPUTED_VALUE"""),64.0)</f>
        <v>64</v>
      </c>
      <c r="F8754" s="19" t="str">
        <f>IFERROR(__xludf.DUMMYFUNCTION("""COMPUTED_VALUE"""),"BLUE")</f>
        <v>BLUE</v>
      </c>
      <c r="G8754" s="20" t="str">
        <f>IFERROR(__xludf.DUMMYFUNCTION("""COMPUTED_VALUE"""),"Uncle Sams Cider (11/12/2021) (Blue)")</f>
        <v>Uncle Sams Cider (11/12/2021) (Blue)</v>
      </c>
      <c r="H8754" s="19"/>
    </row>
    <row r="8755">
      <c r="A8755" s="9"/>
      <c r="B8755" s="15"/>
      <c r="C8755" s="9">
        <f>IFERROR(__xludf.DUMMYFUNCTION("""COMPUTED_VALUE"""),44513.4183160648)</f>
        <v>44513.41832</v>
      </c>
      <c r="D8755" s="15">
        <f>IFERROR(__xludf.DUMMYFUNCTION("""COMPUTED_VALUE"""),1.11)</f>
        <v>1.11</v>
      </c>
      <c r="E8755" s="16">
        <f>IFERROR(__xludf.DUMMYFUNCTION("""COMPUTED_VALUE"""),64.0)</f>
        <v>64</v>
      </c>
      <c r="F8755" s="19" t="str">
        <f>IFERROR(__xludf.DUMMYFUNCTION("""COMPUTED_VALUE"""),"BLUE")</f>
        <v>BLUE</v>
      </c>
      <c r="G8755" s="20" t="str">
        <f>IFERROR(__xludf.DUMMYFUNCTION("""COMPUTED_VALUE"""),"Uncle Sams Cider (11/12/2021) (Blue)")</f>
        <v>Uncle Sams Cider (11/12/2021) (Blue)</v>
      </c>
      <c r="H8755" s="19"/>
    </row>
    <row r="8756">
      <c r="A8756" s="9"/>
      <c r="B8756" s="15"/>
      <c r="C8756" s="9">
        <f>IFERROR(__xludf.DUMMYFUNCTION("""COMPUTED_VALUE"""),44513.4078931018)</f>
        <v>44513.40789</v>
      </c>
      <c r="D8756" s="15">
        <f>IFERROR(__xludf.DUMMYFUNCTION("""COMPUTED_VALUE"""),1.109)</f>
        <v>1.109</v>
      </c>
      <c r="E8756" s="16">
        <f>IFERROR(__xludf.DUMMYFUNCTION("""COMPUTED_VALUE"""),64.0)</f>
        <v>64</v>
      </c>
      <c r="F8756" s="19" t="str">
        <f>IFERROR(__xludf.DUMMYFUNCTION("""COMPUTED_VALUE"""),"BLUE")</f>
        <v>BLUE</v>
      </c>
      <c r="G8756" s="20" t="str">
        <f>IFERROR(__xludf.DUMMYFUNCTION("""COMPUTED_VALUE"""),"Uncle Sams Cider (11/12/2021) (Blue)")</f>
        <v>Uncle Sams Cider (11/12/2021) (Blue)</v>
      </c>
      <c r="H8756" s="19"/>
    </row>
    <row r="8757">
      <c r="A8757" s="9"/>
      <c r="B8757" s="15"/>
      <c r="C8757" s="9">
        <f>IFERROR(__xludf.DUMMYFUNCTION("""COMPUTED_VALUE"""),44513.3974706828)</f>
        <v>44513.39747</v>
      </c>
      <c r="D8757" s="15">
        <f>IFERROR(__xludf.DUMMYFUNCTION("""COMPUTED_VALUE"""),1.11)</f>
        <v>1.11</v>
      </c>
      <c r="E8757" s="16">
        <f>IFERROR(__xludf.DUMMYFUNCTION("""COMPUTED_VALUE"""),64.0)</f>
        <v>64</v>
      </c>
      <c r="F8757" s="19" t="str">
        <f>IFERROR(__xludf.DUMMYFUNCTION("""COMPUTED_VALUE"""),"BLUE")</f>
        <v>BLUE</v>
      </c>
      <c r="G8757" s="20" t="str">
        <f>IFERROR(__xludf.DUMMYFUNCTION("""COMPUTED_VALUE"""),"Uncle Sams Cider (11/12/2021) (Blue)")</f>
        <v>Uncle Sams Cider (11/12/2021) (Blue)</v>
      </c>
      <c r="H8757" s="19"/>
    </row>
    <row r="8758">
      <c r="A8758" s="9"/>
      <c r="B8758" s="15"/>
      <c r="C8758" s="9">
        <f>IFERROR(__xludf.DUMMYFUNCTION("""COMPUTED_VALUE"""),44513.3870490972)</f>
        <v>44513.38705</v>
      </c>
      <c r="D8758" s="15">
        <f>IFERROR(__xludf.DUMMYFUNCTION("""COMPUTED_VALUE"""),1.11)</f>
        <v>1.11</v>
      </c>
      <c r="E8758" s="16">
        <f>IFERROR(__xludf.DUMMYFUNCTION("""COMPUTED_VALUE"""),64.0)</f>
        <v>64</v>
      </c>
      <c r="F8758" s="19" t="str">
        <f>IFERROR(__xludf.DUMMYFUNCTION("""COMPUTED_VALUE"""),"BLUE")</f>
        <v>BLUE</v>
      </c>
      <c r="G8758" s="20" t="str">
        <f>IFERROR(__xludf.DUMMYFUNCTION("""COMPUTED_VALUE"""),"Uncle Sams Cider (11/12/2021) (Blue)")</f>
        <v>Uncle Sams Cider (11/12/2021) (Blue)</v>
      </c>
      <c r="H8758" s="19"/>
    </row>
    <row r="8759">
      <c r="A8759" s="9"/>
      <c r="B8759" s="15"/>
      <c r="C8759" s="9">
        <f>IFERROR(__xludf.DUMMYFUNCTION("""COMPUTED_VALUE"""),44513.3766278356)</f>
        <v>44513.37663</v>
      </c>
      <c r="D8759" s="15">
        <f>IFERROR(__xludf.DUMMYFUNCTION("""COMPUTED_VALUE"""),1.11)</f>
        <v>1.11</v>
      </c>
      <c r="E8759" s="16">
        <f>IFERROR(__xludf.DUMMYFUNCTION("""COMPUTED_VALUE"""),64.0)</f>
        <v>64</v>
      </c>
      <c r="F8759" s="19" t="str">
        <f>IFERROR(__xludf.DUMMYFUNCTION("""COMPUTED_VALUE"""),"BLUE")</f>
        <v>BLUE</v>
      </c>
      <c r="G8759" s="20" t="str">
        <f>IFERROR(__xludf.DUMMYFUNCTION("""COMPUTED_VALUE"""),"Uncle Sams Cider (11/12/2021) (Blue)")</f>
        <v>Uncle Sams Cider (11/12/2021) (Blue)</v>
      </c>
      <c r="H8759" s="19"/>
    </row>
    <row r="8760">
      <c r="A8760" s="9"/>
      <c r="B8760" s="15"/>
      <c r="C8760" s="9">
        <f>IFERROR(__xludf.DUMMYFUNCTION("""COMPUTED_VALUE"""),44513.3662063541)</f>
        <v>44513.36621</v>
      </c>
      <c r="D8760" s="15">
        <f>IFERROR(__xludf.DUMMYFUNCTION("""COMPUTED_VALUE"""),1.11)</f>
        <v>1.11</v>
      </c>
      <c r="E8760" s="16">
        <f>IFERROR(__xludf.DUMMYFUNCTION("""COMPUTED_VALUE"""),64.0)</f>
        <v>64</v>
      </c>
      <c r="F8760" s="19" t="str">
        <f>IFERROR(__xludf.DUMMYFUNCTION("""COMPUTED_VALUE"""),"BLUE")</f>
        <v>BLUE</v>
      </c>
      <c r="G8760" s="20" t="str">
        <f>IFERROR(__xludf.DUMMYFUNCTION("""COMPUTED_VALUE"""),"Uncle Sams Cider (11/12/2021) (Blue)")</f>
        <v>Uncle Sams Cider (11/12/2021) (Blue)</v>
      </c>
      <c r="H8760" s="19"/>
    </row>
    <row r="8761">
      <c r="A8761" s="9"/>
      <c r="B8761" s="15"/>
      <c r="C8761" s="9">
        <f>IFERROR(__xludf.DUMMYFUNCTION("""COMPUTED_VALUE"""),44513.355783993)</f>
        <v>44513.35578</v>
      </c>
      <c r="D8761" s="15">
        <f>IFERROR(__xludf.DUMMYFUNCTION("""COMPUTED_VALUE"""),1.109)</f>
        <v>1.109</v>
      </c>
      <c r="E8761" s="16">
        <f>IFERROR(__xludf.DUMMYFUNCTION("""COMPUTED_VALUE"""),64.0)</f>
        <v>64</v>
      </c>
      <c r="F8761" s="19" t="str">
        <f>IFERROR(__xludf.DUMMYFUNCTION("""COMPUTED_VALUE"""),"BLUE")</f>
        <v>BLUE</v>
      </c>
      <c r="G8761" s="20" t="str">
        <f>IFERROR(__xludf.DUMMYFUNCTION("""COMPUTED_VALUE"""),"Uncle Sams Cider (11/12/2021) (Blue)")</f>
        <v>Uncle Sams Cider (11/12/2021) (Blue)</v>
      </c>
      <c r="H8761" s="19"/>
    </row>
    <row r="8762">
      <c r="A8762" s="9"/>
      <c r="B8762" s="15"/>
      <c r="C8762" s="9">
        <f>IFERROR(__xludf.DUMMYFUNCTION("""COMPUTED_VALUE"""),44513.3453629166)</f>
        <v>44513.34536</v>
      </c>
      <c r="D8762" s="15">
        <f>IFERROR(__xludf.DUMMYFUNCTION("""COMPUTED_VALUE"""),1.11)</f>
        <v>1.11</v>
      </c>
      <c r="E8762" s="16">
        <f>IFERROR(__xludf.DUMMYFUNCTION("""COMPUTED_VALUE"""),64.0)</f>
        <v>64</v>
      </c>
      <c r="F8762" s="19" t="str">
        <f>IFERROR(__xludf.DUMMYFUNCTION("""COMPUTED_VALUE"""),"BLUE")</f>
        <v>BLUE</v>
      </c>
      <c r="G8762" s="20" t="str">
        <f>IFERROR(__xludf.DUMMYFUNCTION("""COMPUTED_VALUE"""),"Uncle Sams Cider (11/12/2021) (Blue)")</f>
        <v>Uncle Sams Cider (11/12/2021) (Blue)</v>
      </c>
      <c r="H8762" s="19"/>
    </row>
    <row r="8763">
      <c r="A8763" s="9"/>
      <c r="B8763" s="15"/>
      <c r="C8763" s="9">
        <f>IFERROR(__xludf.DUMMYFUNCTION("""COMPUTED_VALUE"""),44513.3349416319)</f>
        <v>44513.33494</v>
      </c>
      <c r="D8763" s="15">
        <f>IFERROR(__xludf.DUMMYFUNCTION("""COMPUTED_VALUE"""),1.11)</f>
        <v>1.11</v>
      </c>
      <c r="E8763" s="16">
        <f>IFERROR(__xludf.DUMMYFUNCTION("""COMPUTED_VALUE"""),64.0)</f>
        <v>64</v>
      </c>
      <c r="F8763" s="19" t="str">
        <f>IFERROR(__xludf.DUMMYFUNCTION("""COMPUTED_VALUE"""),"BLUE")</f>
        <v>BLUE</v>
      </c>
      <c r="G8763" s="20" t="str">
        <f>IFERROR(__xludf.DUMMYFUNCTION("""COMPUTED_VALUE"""),"Uncle Sams Cider (11/12/2021) (Blue)")</f>
        <v>Uncle Sams Cider (11/12/2021) (Blue)</v>
      </c>
      <c r="H8763" s="19"/>
    </row>
    <row r="8764">
      <c r="A8764" s="9"/>
      <c r="B8764" s="15"/>
      <c r="C8764" s="9">
        <f>IFERROR(__xludf.DUMMYFUNCTION("""COMPUTED_VALUE"""),44513.3245215046)</f>
        <v>44513.32452</v>
      </c>
      <c r="D8764" s="15">
        <f>IFERROR(__xludf.DUMMYFUNCTION("""COMPUTED_VALUE"""),1.11)</f>
        <v>1.11</v>
      </c>
      <c r="E8764" s="16">
        <f>IFERROR(__xludf.DUMMYFUNCTION("""COMPUTED_VALUE"""),64.0)</f>
        <v>64</v>
      </c>
      <c r="F8764" s="19" t="str">
        <f>IFERROR(__xludf.DUMMYFUNCTION("""COMPUTED_VALUE"""),"BLUE")</f>
        <v>BLUE</v>
      </c>
      <c r="G8764" s="20" t="str">
        <f>IFERROR(__xludf.DUMMYFUNCTION("""COMPUTED_VALUE"""),"Uncle Sams Cider (11/12/2021) (Blue)")</f>
        <v>Uncle Sams Cider (11/12/2021) (Blue)</v>
      </c>
      <c r="H8764" s="19"/>
    </row>
    <row r="8765">
      <c r="A8765" s="9"/>
      <c r="B8765" s="15"/>
      <c r="C8765" s="9">
        <f>IFERROR(__xludf.DUMMYFUNCTION("""COMPUTED_VALUE"""),44513.3141003472)</f>
        <v>44513.3141</v>
      </c>
      <c r="D8765" s="15">
        <f>IFERROR(__xludf.DUMMYFUNCTION("""COMPUTED_VALUE"""),1.11)</f>
        <v>1.11</v>
      </c>
      <c r="E8765" s="16">
        <f>IFERROR(__xludf.DUMMYFUNCTION("""COMPUTED_VALUE"""),64.0)</f>
        <v>64</v>
      </c>
      <c r="F8765" s="19" t="str">
        <f>IFERROR(__xludf.DUMMYFUNCTION("""COMPUTED_VALUE"""),"BLUE")</f>
        <v>BLUE</v>
      </c>
      <c r="G8765" s="20" t="str">
        <f>IFERROR(__xludf.DUMMYFUNCTION("""COMPUTED_VALUE"""),"Uncle Sams Cider (11/12/2021) (Blue)")</f>
        <v>Uncle Sams Cider (11/12/2021) (Blue)</v>
      </c>
      <c r="H8765" s="19"/>
    </row>
    <row r="8766">
      <c r="A8766" s="9"/>
      <c r="B8766" s="15"/>
      <c r="C8766" s="9">
        <f>IFERROR(__xludf.DUMMYFUNCTION("""COMPUTED_VALUE"""),44513.3036790393)</f>
        <v>44513.30368</v>
      </c>
      <c r="D8766" s="15">
        <f>IFERROR(__xludf.DUMMYFUNCTION("""COMPUTED_VALUE"""),1.11)</f>
        <v>1.11</v>
      </c>
      <c r="E8766" s="16">
        <f>IFERROR(__xludf.DUMMYFUNCTION("""COMPUTED_VALUE"""),64.0)</f>
        <v>64</v>
      </c>
      <c r="F8766" s="19" t="str">
        <f>IFERROR(__xludf.DUMMYFUNCTION("""COMPUTED_VALUE"""),"BLUE")</f>
        <v>BLUE</v>
      </c>
      <c r="G8766" s="20" t="str">
        <f>IFERROR(__xludf.DUMMYFUNCTION("""COMPUTED_VALUE"""),"Uncle Sams Cider (11/12/2021) (Blue)")</f>
        <v>Uncle Sams Cider (11/12/2021) (Blue)</v>
      </c>
      <c r="H8766" s="19"/>
    </row>
    <row r="8767">
      <c r="A8767" s="9"/>
      <c r="B8767" s="15"/>
      <c r="C8767" s="9">
        <f>IFERROR(__xludf.DUMMYFUNCTION("""COMPUTED_VALUE"""),44513.293247118)</f>
        <v>44513.29325</v>
      </c>
      <c r="D8767" s="15">
        <f>IFERROR(__xludf.DUMMYFUNCTION("""COMPUTED_VALUE"""),1.11)</f>
        <v>1.11</v>
      </c>
      <c r="E8767" s="16">
        <f>IFERROR(__xludf.DUMMYFUNCTION("""COMPUTED_VALUE"""),64.0)</f>
        <v>64</v>
      </c>
      <c r="F8767" s="19" t="str">
        <f>IFERROR(__xludf.DUMMYFUNCTION("""COMPUTED_VALUE"""),"BLUE")</f>
        <v>BLUE</v>
      </c>
      <c r="G8767" s="20" t="str">
        <f>IFERROR(__xludf.DUMMYFUNCTION("""COMPUTED_VALUE"""),"Uncle Sams Cider (11/12/2021) (Blue)")</f>
        <v>Uncle Sams Cider (11/12/2021) (Blue)</v>
      </c>
      <c r="H8767" s="19"/>
    </row>
    <row r="8768">
      <c r="A8768" s="9"/>
      <c r="B8768" s="15"/>
      <c r="C8768" s="9">
        <f>IFERROR(__xludf.DUMMYFUNCTION("""COMPUTED_VALUE"""),44513.2828273379)</f>
        <v>44513.28283</v>
      </c>
      <c r="D8768" s="15">
        <f>IFERROR(__xludf.DUMMYFUNCTION("""COMPUTED_VALUE"""),1.11)</f>
        <v>1.11</v>
      </c>
      <c r="E8768" s="16">
        <f>IFERROR(__xludf.DUMMYFUNCTION("""COMPUTED_VALUE"""),64.0)</f>
        <v>64</v>
      </c>
      <c r="F8768" s="19" t="str">
        <f>IFERROR(__xludf.DUMMYFUNCTION("""COMPUTED_VALUE"""),"BLUE")</f>
        <v>BLUE</v>
      </c>
      <c r="G8768" s="20" t="str">
        <f>IFERROR(__xludf.DUMMYFUNCTION("""COMPUTED_VALUE"""),"Uncle Sams Cider (11/12/2021) (Blue)")</f>
        <v>Uncle Sams Cider (11/12/2021) (Blue)</v>
      </c>
      <c r="H8768" s="19"/>
    </row>
    <row r="8769">
      <c r="A8769" s="9"/>
      <c r="B8769" s="15"/>
      <c r="C8769" s="9">
        <f>IFERROR(__xludf.DUMMYFUNCTION("""COMPUTED_VALUE"""),44513.2724057754)</f>
        <v>44513.27241</v>
      </c>
      <c r="D8769" s="15">
        <f>IFERROR(__xludf.DUMMYFUNCTION("""COMPUTED_VALUE"""),1.111)</f>
        <v>1.111</v>
      </c>
      <c r="E8769" s="16">
        <f>IFERROR(__xludf.DUMMYFUNCTION("""COMPUTED_VALUE"""),64.0)</f>
        <v>64</v>
      </c>
      <c r="F8769" s="19" t="str">
        <f>IFERROR(__xludf.DUMMYFUNCTION("""COMPUTED_VALUE"""),"BLUE")</f>
        <v>BLUE</v>
      </c>
      <c r="G8769" s="20" t="str">
        <f>IFERROR(__xludf.DUMMYFUNCTION("""COMPUTED_VALUE"""),"Uncle Sams Cider (11/12/2021) (Blue)")</f>
        <v>Uncle Sams Cider (11/12/2021) (Blue)</v>
      </c>
      <c r="H8769" s="19"/>
    </row>
    <row r="8770">
      <c r="A8770" s="9"/>
      <c r="B8770" s="15"/>
      <c r="C8770" s="9">
        <f>IFERROR(__xludf.DUMMYFUNCTION("""COMPUTED_VALUE"""),44513.2619851851)</f>
        <v>44513.26199</v>
      </c>
      <c r="D8770" s="15">
        <f>IFERROR(__xludf.DUMMYFUNCTION("""COMPUTED_VALUE"""),1.11)</f>
        <v>1.11</v>
      </c>
      <c r="E8770" s="16">
        <f>IFERROR(__xludf.DUMMYFUNCTION("""COMPUTED_VALUE"""),64.0)</f>
        <v>64</v>
      </c>
      <c r="F8770" s="19" t="str">
        <f>IFERROR(__xludf.DUMMYFUNCTION("""COMPUTED_VALUE"""),"BLUE")</f>
        <v>BLUE</v>
      </c>
      <c r="G8770" s="20" t="str">
        <f>IFERROR(__xludf.DUMMYFUNCTION("""COMPUTED_VALUE"""),"Uncle Sams Cider (11/12/2021) (Blue)")</f>
        <v>Uncle Sams Cider (11/12/2021) (Blue)</v>
      </c>
      <c r="H8770" s="19"/>
    </row>
    <row r="8771">
      <c r="A8771" s="9"/>
      <c r="B8771" s="15"/>
      <c r="C8771" s="9">
        <f>IFERROR(__xludf.DUMMYFUNCTION("""COMPUTED_VALUE"""),44513.2515651736)</f>
        <v>44513.25157</v>
      </c>
      <c r="D8771" s="15">
        <f>IFERROR(__xludf.DUMMYFUNCTION("""COMPUTED_VALUE"""),1.11)</f>
        <v>1.11</v>
      </c>
      <c r="E8771" s="16">
        <f>IFERROR(__xludf.DUMMYFUNCTION("""COMPUTED_VALUE"""),64.0)</f>
        <v>64</v>
      </c>
      <c r="F8771" s="19" t="str">
        <f>IFERROR(__xludf.DUMMYFUNCTION("""COMPUTED_VALUE"""),"BLUE")</f>
        <v>BLUE</v>
      </c>
      <c r="G8771" s="20" t="str">
        <f>IFERROR(__xludf.DUMMYFUNCTION("""COMPUTED_VALUE"""),"Uncle Sams Cider (11/12/2021) (Blue)")</f>
        <v>Uncle Sams Cider (11/12/2021) (Blue)</v>
      </c>
      <c r="H8771" s="19"/>
    </row>
    <row r="8772">
      <c r="A8772" s="9"/>
      <c r="B8772" s="15"/>
      <c r="C8772" s="9">
        <f>IFERROR(__xludf.DUMMYFUNCTION("""COMPUTED_VALUE"""),44513.2411432754)</f>
        <v>44513.24114</v>
      </c>
      <c r="D8772" s="15">
        <f>IFERROR(__xludf.DUMMYFUNCTION("""COMPUTED_VALUE"""),1.11)</f>
        <v>1.11</v>
      </c>
      <c r="E8772" s="16">
        <f>IFERROR(__xludf.DUMMYFUNCTION("""COMPUTED_VALUE"""),64.0)</f>
        <v>64</v>
      </c>
      <c r="F8772" s="19" t="str">
        <f>IFERROR(__xludf.DUMMYFUNCTION("""COMPUTED_VALUE"""),"BLUE")</f>
        <v>BLUE</v>
      </c>
      <c r="G8772" s="20" t="str">
        <f>IFERROR(__xludf.DUMMYFUNCTION("""COMPUTED_VALUE"""),"Uncle Sams Cider (11/12/2021) (Blue)")</f>
        <v>Uncle Sams Cider (11/12/2021) (Blue)</v>
      </c>
      <c r="H8772" s="19"/>
    </row>
    <row r="8773">
      <c r="A8773" s="9"/>
      <c r="B8773" s="15"/>
      <c r="C8773" s="9">
        <f>IFERROR(__xludf.DUMMYFUNCTION("""COMPUTED_VALUE"""),44513.2307207986)</f>
        <v>44513.23072</v>
      </c>
      <c r="D8773" s="15">
        <f>IFERROR(__xludf.DUMMYFUNCTION("""COMPUTED_VALUE"""),1.11)</f>
        <v>1.11</v>
      </c>
      <c r="E8773" s="16">
        <f>IFERROR(__xludf.DUMMYFUNCTION("""COMPUTED_VALUE"""),64.0)</f>
        <v>64</v>
      </c>
      <c r="F8773" s="19" t="str">
        <f>IFERROR(__xludf.DUMMYFUNCTION("""COMPUTED_VALUE"""),"BLUE")</f>
        <v>BLUE</v>
      </c>
      <c r="G8773" s="20" t="str">
        <f>IFERROR(__xludf.DUMMYFUNCTION("""COMPUTED_VALUE"""),"Uncle Sams Cider (11/12/2021) (Blue)")</f>
        <v>Uncle Sams Cider (11/12/2021) (Blue)</v>
      </c>
      <c r="H8773" s="19"/>
    </row>
    <row r="8774">
      <c r="A8774" s="9"/>
      <c r="B8774" s="15"/>
      <c r="C8774" s="9">
        <f>IFERROR(__xludf.DUMMYFUNCTION("""COMPUTED_VALUE"""),44513.2202981481)</f>
        <v>44513.2203</v>
      </c>
      <c r="D8774" s="15">
        <f>IFERROR(__xludf.DUMMYFUNCTION("""COMPUTED_VALUE"""),1.11)</f>
        <v>1.11</v>
      </c>
      <c r="E8774" s="16">
        <f>IFERROR(__xludf.DUMMYFUNCTION("""COMPUTED_VALUE"""),64.0)</f>
        <v>64</v>
      </c>
      <c r="F8774" s="19" t="str">
        <f>IFERROR(__xludf.DUMMYFUNCTION("""COMPUTED_VALUE"""),"BLUE")</f>
        <v>BLUE</v>
      </c>
      <c r="G8774" s="20" t="str">
        <f>IFERROR(__xludf.DUMMYFUNCTION("""COMPUTED_VALUE"""),"Uncle Sams Cider (11/12/2021) (Blue)")</f>
        <v>Uncle Sams Cider (11/12/2021) (Blue)</v>
      </c>
      <c r="H8774" s="19"/>
    </row>
    <row r="8775">
      <c r="A8775" s="9"/>
      <c r="B8775" s="15"/>
      <c r="C8775" s="9">
        <f>IFERROR(__xludf.DUMMYFUNCTION("""COMPUTED_VALUE"""),44513.2098778587)</f>
        <v>44513.20988</v>
      </c>
      <c r="D8775" s="15">
        <f>IFERROR(__xludf.DUMMYFUNCTION("""COMPUTED_VALUE"""),1.11)</f>
        <v>1.11</v>
      </c>
      <c r="E8775" s="16">
        <f>IFERROR(__xludf.DUMMYFUNCTION("""COMPUTED_VALUE"""),64.0)</f>
        <v>64</v>
      </c>
      <c r="F8775" s="19" t="str">
        <f>IFERROR(__xludf.DUMMYFUNCTION("""COMPUTED_VALUE"""),"BLUE")</f>
        <v>BLUE</v>
      </c>
      <c r="G8775" s="20" t="str">
        <f>IFERROR(__xludf.DUMMYFUNCTION("""COMPUTED_VALUE"""),"Uncle Sams Cider (11/12/2021) (Blue)")</f>
        <v>Uncle Sams Cider (11/12/2021) (Blue)</v>
      </c>
      <c r="H8775" s="19"/>
    </row>
    <row r="8776">
      <c r="A8776" s="9"/>
      <c r="B8776" s="15"/>
      <c r="C8776" s="9">
        <f>IFERROR(__xludf.DUMMYFUNCTION("""COMPUTED_VALUE"""),44513.1994571759)</f>
        <v>44513.19946</v>
      </c>
      <c r="D8776" s="15">
        <f>IFERROR(__xludf.DUMMYFUNCTION("""COMPUTED_VALUE"""),1.11)</f>
        <v>1.11</v>
      </c>
      <c r="E8776" s="16">
        <f>IFERROR(__xludf.DUMMYFUNCTION("""COMPUTED_VALUE"""),64.0)</f>
        <v>64</v>
      </c>
      <c r="F8776" s="19" t="str">
        <f>IFERROR(__xludf.DUMMYFUNCTION("""COMPUTED_VALUE"""),"BLUE")</f>
        <v>BLUE</v>
      </c>
      <c r="G8776" s="20" t="str">
        <f>IFERROR(__xludf.DUMMYFUNCTION("""COMPUTED_VALUE"""),"Uncle Sams Cider (11/12/2021) (Blue)")</f>
        <v>Uncle Sams Cider (11/12/2021) (Blue)</v>
      </c>
      <c r="H8776" s="19"/>
    </row>
    <row r="8777">
      <c r="A8777" s="9"/>
      <c r="B8777" s="15"/>
      <c r="C8777" s="9">
        <f>IFERROR(__xludf.DUMMYFUNCTION("""COMPUTED_VALUE"""),44513.1890360416)</f>
        <v>44513.18904</v>
      </c>
      <c r="D8777" s="15">
        <f>IFERROR(__xludf.DUMMYFUNCTION("""COMPUTED_VALUE"""),1.111)</f>
        <v>1.111</v>
      </c>
      <c r="E8777" s="16">
        <f>IFERROR(__xludf.DUMMYFUNCTION("""COMPUTED_VALUE"""),64.0)</f>
        <v>64</v>
      </c>
      <c r="F8777" s="19" t="str">
        <f>IFERROR(__xludf.DUMMYFUNCTION("""COMPUTED_VALUE"""),"BLUE")</f>
        <v>BLUE</v>
      </c>
      <c r="G8777" s="20" t="str">
        <f>IFERROR(__xludf.DUMMYFUNCTION("""COMPUTED_VALUE"""),"Uncle Sams Cider (11/12/2021) (Blue)")</f>
        <v>Uncle Sams Cider (11/12/2021) (Blue)</v>
      </c>
      <c r="H8777" s="19"/>
    </row>
    <row r="8778">
      <c r="A8778" s="9"/>
      <c r="B8778" s="15"/>
      <c r="C8778" s="9">
        <f>IFERROR(__xludf.DUMMYFUNCTION("""COMPUTED_VALUE"""),44513.1786138888)</f>
        <v>44513.17861</v>
      </c>
      <c r="D8778" s="15">
        <f>IFERROR(__xludf.DUMMYFUNCTION("""COMPUTED_VALUE"""),1.11)</f>
        <v>1.11</v>
      </c>
      <c r="E8778" s="16">
        <f>IFERROR(__xludf.DUMMYFUNCTION("""COMPUTED_VALUE"""),64.0)</f>
        <v>64</v>
      </c>
      <c r="F8778" s="19" t="str">
        <f>IFERROR(__xludf.DUMMYFUNCTION("""COMPUTED_VALUE"""),"BLUE")</f>
        <v>BLUE</v>
      </c>
      <c r="G8778" s="20" t="str">
        <f>IFERROR(__xludf.DUMMYFUNCTION("""COMPUTED_VALUE"""),"Uncle Sams Cider (11/12/2021) (Blue)")</f>
        <v>Uncle Sams Cider (11/12/2021) (Blue)</v>
      </c>
      <c r="H8778" s="19"/>
    </row>
    <row r="8779">
      <c r="A8779" s="9"/>
      <c r="B8779" s="15"/>
      <c r="C8779" s="9">
        <f>IFERROR(__xludf.DUMMYFUNCTION("""COMPUTED_VALUE"""),44513.1681809722)</f>
        <v>44513.16818</v>
      </c>
      <c r="D8779" s="15">
        <f>IFERROR(__xludf.DUMMYFUNCTION("""COMPUTED_VALUE"""),1.111)</f>
        <v>1.111</v>
      </c>
      <c r="E8779" s="16">
        <f>IFERROR(__xludf.DUMMYFUNCTION("""COMPUTED_VALUE"""),64.0)</f>
        <v>64</v>
      </c>
      <c r="F8779" s="19" t="str">
        <f>IFERROR(__xludf.DUMMYFUNCTION("""COMPUTED_VALUE"""),"BLUE")</f>
        <v>BLUE</v>
      </c>
      <c r="G8779" s="20" t="str">
        <f>IFERROR(__xludf.DUMMYFUNCTION("""COMPUTED_VALUE"""),"Uncle Sams Cider (11/12/2021) (Blue)")</f>
        <v>Uncle Sams Cider (11/12/2021) (Blue)</v>
      </c>
      <c r="H8779" s="19"/>
    </row>
    <row r="8780">
      <c r="A8780" s="9"/>
      <c r="B8780" s="15"/>
      <c r="C8780" s="9">
        <f>IFERROR(__xludf.DUMMYFUNCTION("""COMPUTED_VALUE"""),44513.1577595601)</f>
        <v>44513.15776</v>
      </c>
      <c r="D8780" s="15">
        <f>IFERROR(__xludf.DUMMYFUNCTION("""COMPUTED_VALUE"""),1.11)</f>
        <v>1.11</v>
      </c>
      <c r="E8780" s="16">
        <f>IFERROR(__xludf.DUMMYFUNCTION("""COMPUTED_VALUE"""),64.0)</f>
        <v>64</v>
      </c>
      <c r="F8780" s="19" t="str">
        <f>IFERROR(__xludf.DUMMYFUNCTION("""COMPUTED_VALUE"""),"BLUE")</f>
        <v>BLUE</v>
      </c>
      <c r="G8780" s="20" t="str">
        <f>IFERROR(__xludf.DUMMYFUNCTION("""COMPUTED_VALUE"""),"Uncle Sams Cider (11/12/2021) (Blue)")</f>
        <v>Uncle Sams Cider (11/12/2021) (Blue)</v>
      </c>
      <c r="H8780" s="19"/>
    </row>
    <row r="8781">
      <c r="A8781" s="9"/>
      <c r="B8781" s="15"/>
      <c r="C8781" s="9">
        <f>IFERROR(__xludf.DUMMYFUNCTION("""COMPUTED_VALUE"""),44513.1473387384)</f>
        <v>44513.14734</v>
      </c>
      <c r="D8781" s="15">
        <f>IFERROR(__xludf.DUMMYFUNCTION("""COMPUTED_VALUE"""),1.111)</f>
        <v>1.111</v>
      </c>
      <c r="E8781" s="16">
        <f>IFERROR(__xludf.DUMMYFUNCTION("""COMPUTED_VALUE"""),64.0)</f>
        <v>64</v>
      </c>
      <c r="F8781" s="19" t="str">
        <f>IFERROR(__xludf.DUMMYFUNCTION("""COMPUTED_VALUE"""),"BLUE")</f>
        <v>BLUE</v>
      </c>
      <c r="G8781" s="20" t="str">
        <f>IFERROR(__xludf.DUMMYFUNCTION("""COMPUTED_VALUE"""),"Uncle Sams Cider (11/12/2021) (Blue)")</f>
        <v>Uncle Sams Cider (11/12/2021) (Blue)</v>
      </c>
      <c r="H8781" s="19"/>
    </row>
    <row r="8782">
      <c r="A8782" s="9"/>
      <c r="B8782" s="15"/>
      <c r="C8782" s="9">
        <f>IFERROR(__xludf.DUMMYFUNCTION("""COMPUTED_VALUE"""),44513.136917824)</f>
        <v>44513.13692</v>
      </c>
      <c r="D8782" s="15">
        <f>IFERROR(__xludf.DUMMYFUNCTION("""COMPUTED_VALUE"""),1.111)</f>
        <v>1.111</v>
      </c>
      <c r="E8782" s="16">
        <f>IFERROR(__xludf.DUMMYFUNCTION("""COMPUTED_VALUE"""),64.0)</f>
        <v>64</v>
      </c>
      <c r="F8782" s="19" t="str">
        <f>IFERROR(__xludf.DUMMYFUNCTION("""COMPUTED_VALUE"""),"BLUE")</f>
        <v>BLUE</v>
      </c>
      <c r="G8782" s="20" t="str">
        <f>IFERROR(__xludf.DUMMYFUNCTION("""COMPUTED_VALUE"""),"Uncle Sams Cider (11/12/2021) (Blue)")</f>
        <v>Uncle Sams Cider (11/12/2021) (Blue)</v>
      </c>
      <c r="H8782" s="19"/>
    </row>
    <row r="8783">
      <c r="A8783" s="9"/>
      <c r="B8783" s="15"/>
      <c r="C8783" s="9">
        <f>IFERROR(__xludf.DUMMYFUNCTION("""COMPUTED_VALUE"""),44513.1264959606)</f>
        <v>44513.1265</v>
      </c>
      <c r="D8783" s="15">
        <f>IFERROR(__xludf.DUMMYFUNCTION("""COMPUTED_VALUE"""),1.11)</f>
        <v>1.11</v>
      </c>
      <c r="E8783" s="16">
        <f>IFERROR(__xludf.DUMMYFUNCTION("""COMPUTED_VALUE"""),64.0)</f>
        <v>64</v>
      </c>
      <c r="F8783" s="19" t="str">
        <f>IFERROR(__xludf.DUMMYFUNCTION("""COMPUTED_VALUE"""),"BLUE")</f>
        <v>BLUE</v>
      </c>
      <c r="G8783" s="20" t="str">
        <f>IFERROR(__xludf.DUMMYFUNCTION("""COMPUTED_VALUE"""),"Uncle Sams Cider (11/12/2021) (Blue)")</f>
        <v>Uncle Sams Cider (11/12/2021) (Blue)</v>
      </c>
      <c r="H8783" s="19"/>
    </row>
    <row r="8784">
      <c r="A8784" s="9"/>
      <c r="B8784" s="15"/>
      <c r="C8784" s="9">
        <f>IFERROR(__xludf.DUMMYFUNCTION("""COMPUTED_VALUE"""),44513.1160630092)</f>
        <v>44513.11606</v>
      </c>
      <c r="D8784" s="15">
        <f>IFERROR(__xludf.DUMMYFUNCTION("""COMPUTED_VALUE"""),1.11)</f>
        <v>1.11</v>
      </c>
      <c r="E8784" s="16">
        <f>IFERROR(__xludf.DUMMYFUNCTION("""COMPUTED_VALUE"""),64.0)</f>
        <v>64</v>
      </c>
      <c r="F8784" s="19" t="str">
        <f>IFERROR(__xludf.DUMMYFUNCTION("""COMPUTED_VALUE"""),"BLUE")</f>
        <v>BLUE</v>
      </c>
      <c r="G8784" s="20" t="str">
        <f>IFERROR(__xludf.DUMMYFUNCTION("""COMPUTED_VALUE"""),"Uncle Sams Cider (11/12/2021) (Blue)")</f>
        <v>Uncle Sams Cider (11/12/2021) (Blue)</v>
      </c>
      <c r="H8784" s="19"/>
    </row>
    <row r="8785">
      <c r="A8785" s="9"/>
      <c r="B8785" s="15"/>
      <c r="C8785" s="9">
        <f>IFERROR(__xludf.DUMMYFUNCTION("""COMPUTED_VALUE"""),44513.1056301851)</f>
        <v>44513.10563</v>
      </c>
      <c r="D8785" s="15">
        <f>IFERROR(__xludf.DUMMYFUNCTION("""COMPUTED_VALUE"""),1.111)</f>
        <v>1.111</v>
      </c>
      <c r="E8785" s="16">
        <f>IFERROR(__xludf.DUMMYFUNCTION("""COMPUTED_VALUE"""),64.0)</f>
        <v>64</v>
      </c>
      <c r="F8785" s="19" t="str">
        <f>IFERROR(__xludf.DUMMYFUNCTION("""COMPUTED_VALUE"""),"BLUE")</f>
        <v>BLUE</v>
      </c>
      <c r="G8785" s="20" t="str">
        <f>IFERROR(__xludf.DUMMYFUNCTION("""COMPUTED_VALUE"""),"Uncle Sams Cider (11/12/2021) (Blue)")</f>
        <v>Uncle Sams Cider (11/12/2021) (Blue)</v>
      </c>
      <c r="H8785" s="19"/>
    </row>
    <row r="8786">
      <c r="A8786" s="9"/>
      <c r="B8786" s="15"/>
      <c r="C8786" s="9">
        <f>IFERROR(__xludf.DUMMYFUNCTION("""COMPUTED_VALUE"""),44513.0952095254)</f>
        <v>44513.09521</v>
      </c>
      <c r="D8786" s="15">
        <f>IFERROR(__xludf.DUMMYFUNCTION("""COMPUTED_VALUE"""),1.111)</f>
        <v>1.111</v>
      </c>
      <c r="E8786" s="16">
        <f>IFERROR(__xludf.DUMMYFUNCTION("""COMPUTED_VALUE"""),64.0)</f>
        <v>64</v>
      </c>
      <c r="F8786" s="19" t="str">
        <f>IFERROR(__xludf.DUMMYFUNCTION("""COMPUTED_VALUE"""),"BLUE")</f>
        <v>BLUE</v>
      </c>
      <c r="G8786" s="20" t="str">
        <f>IFERROR(__xludf.DUMMYFUNCTION("""COMPUTED_VALUE"""),"Uncle Sams Cider (11/12/2021) (Blue)")</f>
        <v>Uncle Sams Cider (11/12/2021) (Blue)</v>
      </c>
      <c r="H8786" s="19"/>
    </row>
    <row r="8787">
      <c r="A8787" s="9"/>
      <c r="B8787" s="15"/>
      <c r="C8787" s="9">
        <f>IFERROR(__xludf.DUMMYFUNCTION("""COMPUTED_VALUE"""),44513.0847779629)</f>
        <v>44513.08478</v>
      </c>
      <c r="D8787" s="15">
        <f>IFERROR(__xludf.DUMMYFUNCTION("""COMPUTED_VALUE"""),1.11)</f>
        <v>1.11</v>
      </c>
      <c r="E8787" s="16">
        <f>IFERROR(__xludf.DUMMYFUNCTION("""COMPUTED_VALUE"""),64.0)</f>
        <v>64</v>
      </c>
      <c r="F8787" s="19" t="str">
        <f>IFERROR(__xludf.DUMMYFUNCTION("""COMPUTED_VALUE"""),"BLUE")</f>
        <v>BLUE</v>
      </c>
      <c r="G8787" s="20" t="str">
        <f>IFERROR(__xludf.DUMMYFUNCTION("""COMPUTED_VALUE"""),"Uncle Sams Cider (11/12/2021) (Blue)")</f>
        <v>Uncle Sams Cider (11/12/2021) (Blue)</v>
      </c>
      <c r="H8787" s="19"/>
    </row>
    <row r="8788">
      <c r="A8788" s="9"/>
      <c r="B8788" s="15"/>
      <c r="C8788" s="9">
        <f>IFERROR(__xludf.DUMMYFUNCTION("""COMPUTED_VALUE"""),44513.0743572222)</f>
        <v>44513.07436</v>
      </c>
      <c r="D8788" s="15">
        <f>IFERROR(__xludf.DUMMYFUNCTION("""COMPUTED_VALUE"""),1.11)</f>
        <v>1.11</v>
      </c>
      <c r="E8788" s="16">
        <f>IFERROR(__xludf.DUMMYFUNCTION("""COMPUTED_VALUE"""),64.0)</f>
        <v>64</v>
      </c>
      <c r="F8788" s="19" t="str">
        <f>IFERROR(__xludf.DUMMYFUNCTION("""COMPUTED_VALUE"""),"BLUE")</f>
        <v>BLUE</v>
      </c>
      <c r="G8788" s="20" t="str">
        <f>IFERROR(__xludf.DUMMYFUNCTION("""COMPUTED_VALUE"""),"Uncle Sams Cider (11/12/2021) (Blue)")</f>
        <v>Uncle Sams Cider (11/12/2021) (Blue)</v>
      </c>
      <c r="H8788" s="19"/>
    </row>
    <row r="8789">
      <c r="A8789" s="9"/>
      <c r="B8789" s="15"/>
      <c r="C8789" s="9">
        <f>IFERROR(__xludf.DUMMYFUNCTION("""COMPUTED_VALUE"""),44513.0639365046)</f>
        <v>44513.06394</v>
      </c>
      <c r="D8789" s="15">
        <f>IFERROR(__xludf.DUMMYFUNCTION("""COMPUTED_VALUE"""),1.11)</f>
        <v>1.11</v>
      </c>
      <c r="E8789" s="16">
        <f>IFERROR(__xludf.DUMMYFUNCTION("""COMPUTED_VALUE"""),64.0)</f>
        <v>64</v>
      </c>
      <c r="F8789" s="19" t="str">
        <f>IFERROR(__xludf.DUMMYFUNCTION("""COMPUTED_VALUE"""),"BLUE")</f>
        <v>BLUE</v>
      </c>
      <c r="G8789" s="20" t="str">
        <f>IFERROR(__xludf.DUMMYFUNCTION("""COMPUTED_VALUE"""),"Uncle Sams Cider (11/12/2021) (Blue)")</f>
        <v>Uncle Sams Cider (11/12/2021) (Blue)</v>
      </c>
      <c r="H8789" s="19"/>
    </row>
    <row r="8790">
      <c r="A8790" s="9"/>
      <c r="B8790" s="15"/>
      <c r="C8790" s="9">
        <f>IFERROR(__xludf.DUMMYFUNCTION("""COMPUTED_VALUE"""),44513.053517037)</f>
        <v>44513.05352</v>
      </c>
      <c r="D8790" s="15">
        <f>IFERROR(__xludf.DUMMYFUNCTION("""COMPUTED_VALUE"""),1.111)</f>
        <v>1.111</v>
      </c>
      <c r="E8790" s="16">
        <f>IFERROR(__xludf.DUMMYFUNCTION("""COMPUTED_VALUE"""),64.0)</f>
        <v>64</v>
      </c>
      <c r="F8790" s="19" t="str">
        <f>IFERROR(__xludf.DUMMYFUNCTION("""COMPUTED_VALUE"""),"BLUE")</f>
        <v>BLUE</v>
      </c>
      <c r="G8790" s="20" t="str">
        <f>IFERROR(__xludf.DUMMYFUNCTION("""COMPUTED_VALUE"""),"Uncle Sams Cider (11/12/2021) (Blue)")</f>
        <v>Uncle Sams Cider (11/12/2021) (Blue)</v>
      </c>
      <c r="H8790" s="19"/>
    </row>
    <row r="8791">
      <c r="A8791" s="9"/>
      <c r="B8791" s="15"/>
      <c r="C8791" s="9">
        <f>IFERROR(__xludf.DUMMYFUNCTION("""COMPUTED_VALUE"""),44513.0430965277)</f>
        <v>44513.0431</v>
      </c>
      <c r="D8791" s="15">
        <f>IFERROR(__xludf.DUMMYFUNCTION("""COMPUTED_VALUE"""),1.11)</f>
        <v>1.11</v>
      </c>
      <c r="E8791" s="16">
        <f>IFERROR(__xludf.DUMMYFUNCTION("""COMPUTED_VALUE"""),64.0)</f>
        <v>64</v>
      </c>
      <c r="F8791" s="19" t="str">
        <f>IFERROR(__xludf.DUMMYFUNCTION("""COMPUTED_VALUE"""),"BLUE")</f>
        <v>BLUE</v>
      </c>
      <c r="G8791" s="20" t="str">
        <f>IFERROR(__xludf.DUMMYFUNCTION("""COMPUTED_VALUE"""),"Uncle Sams Cider (11/12/2021) (Blue)")</f>
        <v>Uncle Sams Cider (11/12/2021) (Blue)</v>
      </c>
      <c r="H8791" s="19"/>
    </row>
    <row r="8792">
      <c r="A8792" s="9"/>
      <c r="B8792" s="15"/>
      <c r="C8792" s="9">
        <f>IFERROR(__xludf.DUMMYFUNCTION("""COMPUTED_VALUE"""),44513.0326757523)</f>
        <v>44513.03268</v>
      </c>
      <c r="D8792" s="15">
        <f>IFERROR(__xludf.DUMMYFUNCTION("""COMPUTED_VALUE"""),1.11)</f>
        <v>1.11</v>
      </c>
      <c r="E8792" s="16">
        <f>IFERROR(__xludf.DUMMYFUNCTION("""COMPUTED_VALUE"""),65.0)</f>
        <v>65</v>
      </c>
      <c r="F8792" s="19" t="str">
        <f>IFERROR(__xludf.DUMMYFUNCTION("""COMPUTED_VALUE"""),"BLUE")</f>
        <v>BLUE</v>
      </c>
      <c r="G8792" s="20" t="str">
        <f>IFERROR(__xludf.DUMMYFUNCTION("""COMPUTED_VALUE"""),"Uncle Sams Cider (11/12/2021) (Blue)")</f>
        <v>Uncle Sams Cider (11/12/2021) (Blue)</v>
      </c>
      <c r="H8792" s="19"/>
    </row>
    <row r="8793">
      <c r="A8793" s="9"/>
      <c r="B8793" s="15"/>
      <c r="C8793" s="9">
        <f>IFERROR(__xludf.DUMMYFUNCTION("""COMPUTED_VALUE"""),44513.0222533912)</f>
        <v>44513.02225</v>
      </c>
      <c r="D8793" s="15">
        <f>IFERROR(__xludf.DUMMYFUNCTION("""COMPUTED_VALUE"""),1.11)</f>
        <v>1.11</v>
      </c>
      <c r="E8793" s="16">
        <f>IFERROR(__xludf.DUMMYFUNCTION("""COMPUTED_VALUE"""),64.0)</f>
        <v>64</v>
      </c>
      <c r="F8793" s="19" t="str">
        <f>IFERROR(__xludf.DUMMYFUNCTION("""COMPUTED_VALUE"""),"BLUE")</f>
        <v>BLUE</v>
      </c>
      <c r="G8793" s="20" t="str">
        <f>IFERROR(__xludf.DUMMYFUNCTION("""COMPUTED_VALUE"""),"Uncle Sams Cider (11/12/2021) (Blue)")</f>
        <v>Uncle Sams Cider (11/12/2021) (Blue)</v>
      </c>
      <c r="H8793" s="19"/>
    </row>
    <row r="8794">
      <c r="A8794" s="9"/>
      <c r="B8794" s="15"/>
      <c r="C8794" s="9">
        <f>IFERROR(__xludf.DUMMYFUNCTION("""COMPUTED_VALUE"""),44513.011831956)</f>
        <v>44513.01183</v>
      </c>
      <c r="D8794" s="15">
        <f>IFERROR(__xludf.DUMMYFUNCTION("""COMPUTED_VALUE"""),1.11)</f>
        <v>1.11</v>
      </c>
      <c r="E8794" s="16">
        <f>IFERROR(__xludf.DUMMYFUNCTION("""COMPUTED_VALUE"""),64.0)</f>
        <v>64</v>
      </c>
      <c r="F8794" s="19" t="str">
        <f>IFERROR(__xludf.DUMMYFUNCTION("""COMPUTED_VALUE"""),"BLUE")</f>
        <v>BLUE</v>
      </c>
      <c r="G8794" s="20" t="str">
        <f>IFERROR(__xludf.DUMMYFUNCTION("""COMPUTED_VALUE"""),"Uncle Sams Cider (11/12/2021) (Blue)")</f>
        <v>Uncle Sams Cider (11/12/2021) (Blue)</v>
      </c>
      <c r="H8794" s="19"/>
    </row>
    <row r="8795">
      <c r="A8795" s="9"/>
      <c r="B8795" s="15"/>
      <c r="C8795" s="9">
        <f>IFERROR(__xludf.DUMMYFUNCTION("""COMPUTED_VALUE"""),44513.0014121759)</f>
        <v>44513.00141</v>
      </c>
      <c r="D8795" s="15">
        <f>IFERROR(__xludf.DUMMYFUNCTION("""COMPUTED_VALUE"""),1.11)</f>
        <v>1.11</v>
      </c>
      <c r="E8795" s="16">
        <f>IFERROR(__xludf.DUMMYFUNCTION("""COMPUTED_VALUE"""),64.0)</f>
        <v>64</v>
      </c>
      <c r="F8795" s="19" t="str">
        <f>IFERROR(__xludf.DUMMYFUNCTION("""COMPUTED_VALUE"""),"BLUE")</f>
        <v>BLUE</v>
      </c>
      <c r="G8795" s="20" t="str">
        <f>IFERROR(__xludf.DUMMYFUNCTION("""COMPUTED_VALUE"""),"Uncle Sams Cider (11/12/2021) (Blue)")</f>
        <v>Uncle Sams Cider (11/12/2021) (Blue)</v>
      </c>
      <c r="H8795" s="19"/>
    </row>
    <row r="8796">
      <c r="A8796" s="9"/>
      <c r="B8796" s="15"/>
      <c r="C8796" s="9">
        <f>IFERROR(__xludf.DUMMYFUNCTION("""COMPUTED_VALUE"""),44512.9909783217)</f>
        <v>44512.99098</v>
      </c>
      <c r="D8796" s="15">
        <f>IFERROR(__xludf.DUMMYFUNCTION("""COMPUTED_VALUE"""),1.11)</f>
        <v>1.11</v>
      </c>
      <c r="E8796" s="16">
        <f>IFERROR(__xludf.DUMMYFUNCTION("""COMPUTED_VALUE"""),65.0)</f>
        <v>65</v>
      </c>
      <c r="F8796" s="19" t="str">
        <f>IFERROR(__xludf.DUMMYFUNCTION("""COMPUTED_VALUE"""),"BLUE")</f>
        <v>BLUE</v>
      </c>
      <c r="G8796" s="20" t="str">
        <f>IFERROR(__xludf.DUMMYFUNCTION("""COMPUTED_VALUE"""),"Uncle Sams Cider (11/12/2021) (Blue)")</f>
        <v>Uncle Sams Cider (11/12/2021) (Blue)</v>
      </c>
      <c r="H8796" s="19"/>
    </row>
    <row r="8797">
      <c r="A8797" s="9"/>
      <c r="B8797" s="15"/>
      <c r="C8797" s="9">
        <f>IFERROR(__xludf.DUMMYFUNCTION("""COMPUTED_VALUE"""),44512.9805558101)</f>
        <v>44512.98056</v>
      </c>
      <c r="D8797" s="15">
        <f>IFERROR(__xludf.DUMMYFUNCTION("""COMPUTED_VALUE"""),1.11)</f>
        <v>1.11</v>
      </c>
      <c r="E8797" s="16">
        <f>IFERROR(__xludf.DUMMYFUNCTION("""COMPUTED_VALUE"""),64.0)</f>
        <v>64</v>
      </c>
      <c r="F8797" s="19" t="str">
        <f>IFERROR(__xludf.DUMMYFUNCTION("""COMPUTED_VALUE"""),"BLUE")</f>
        <v>BLUE</v>
      </c>
      <c r="G8797" s="20" t="str">
        <f>IFERROR(__xludf.DUMMYFUNCTION("""COMPUTED_VALUE"""),"Uncle Sams Cider (11/12/2021) (Blue)")</f>
        <v>Uncle Sams Cider (11/12/2021) (Blue)</v>
      </c>
      <c r="H8797" s="19"/>
    </row>
    <row r="8798">
      <c r="A8798" s="9"/>
      <c r="B8798" s="15"/>
      <c r="C8798" s="9">
        <f>IFERROR(__xludf.DUMMYFUNCTION("""COMPUTED_VALUE"""),44512.9701344328)</f>
        <v>44512.97013</v>
      </c>
      <c r="D8798" s="15">
        <f>IFERROR(__xludf.DUMMYFUNCTION("""COMPUTED_VALUE"""),1.111)</f>
        <v>1.111</v>
      </c>
      <c r="E8798" s="16">
        <f>IFERROR(__xludf.DUMMYFUNCTION("""COMPUTED_VALUE"""),64.0)</f>
        <v>64</v>
      </c>
      <c r="F8798" s="19" t="str">
        <f>IFERROR(__xludf.DUMMYFUNCTION("""COMPUTED_VALUE"""),"BLUE")</f>
        <v>BLUE</v>
      </c>
      <c r="G8798" s="20" t="str">
        <f>IFERROR(__xludf.DUMMYFUNCTION("""COMPUTED_VALUE"""),"Uncle Sams Cider (11/12/2021) (Blue)")</f>
        <v>Uncle Sams Cider (11/12/2021) (Blue)</v>
      </c>
      <c r="H8798" s="19"/>
    </row>
    <row r="8799">
      <c r="A8799" s="9"/>
      <c r="B8799" s="15"/>
      <c r="C8799" s="9">
        <f>IFERROR(__xludf.DUMMYFUNCTION("""COMPUTED_VALUE"""),44512.9597140509)</f>
        <v>44512.95971</v>
      </c>
      <c r="D8799" s="15">
        <f>IFERROR(__xludf.DUMMYFUNCTION("""COMPUTED_VALUE"""),1.111)</f>
        <v>1.111</v>
      </c>
      <c r="E8799" s="16">
        <f>IFERROR(__xludf.DUMMYFUNCTION("""COMPUTED_VALUE"""),64.0)</f>
        <v>64</v>
      </c>
      <c r="F8799" s="19" t="str">
        <f>IFERROR(__xludf.DUMMYFUNCTION("""COMPUTED_VALUE"""),"BLUE")</f>
        <v>BLUE</v>
      </c>
      <c r="G8799" s="20" t="str">
        <f>IFERROR(__xludf.DUMMYFUNCTION("""COMPUTED_VALUE"""),"Uncle Sams Cider (11/12/2021) (Blue)")</f>
        <v>Uncle Sams Cider (11/12/2021) (Blue)</v>
      </c>
      <c r="H8799" s="19"/>
    </row>
    <row r="8800">
      <c r="A8800" s="9"/>
      <c r="B8800" s="15"/>
      <c r="C8800" s="9">
        <f>IFERROR(__xludf.DUMMYFUNCTION("""COMPUTED_VALUE"""),44512.949291875)</f>
        <v>44512.94929</v>
      </c>
      <c r="D8800" s="15">
        <f>IFERROR(__xludf.DUMMYFUNCTION("""COMPUTED_VALUE"""),1.111)</f>
        <v>1.111</v>
      </c>
      <c r="E8800" s="16">
        <f>IFERROR(__xludf.DUMMYFUNCTION("""COMPUTED_VALUE"""),64.0)</f>
        <v>64</v>
      </c>
      <c r="F8800" s="19" t="str">
        <f>IFERROR(__xludf.DUMMYFUNCTION("""COMPUTED_VALUE"""),"BLUE")</f>
        <v>BLUE</v>
      </c>
      <c r="G8800" s="20" t="str">
        <f>IFERROR(__xludf.DUMMYFUNCTION("""COMPUTED_VALUE"""),"Uncle Sams Cider (11/12/2021) (Blue)")</f>
        <v>Uncle Sams Cider (11/12/2021) (Blue)</v>
      </c>
      <c r="H8800" s="19"/>
    </row>
    <row r="8801">
      <c r="A8801" s="9"/>
      <c r="B8801" s="15"/>
      <c r="C8801" s="9">
        <f>IFERROR(__xludf.DUMMYFUNCTION("""COMPUTED_VALUE"""),44512.9388721874)</f>
        <v>44512.93887</v>
      </c>
      <c r="D8801" s="15">
        <f>IFERROR(__xludf.DUMMYFUNCTION("""COMPUTED_VALUE"""),1.111)</f>
        <v>1.111</v>
      </c>
      <c r="E8801" s="16">
        <f>IFERROR(__xludf.DUMMYFUNCTION("""COMPUTED_VALUE"""),64.0)</f>
        <v>64</v>
      </c>
      <c r="F8801" s="19" t="str">
        <f>IFERROR(__xludf.DUMMYFUNCTION("""COMPUTED_VALUE"""),"BLUE")</f>
        <v>BLUE</v>
      </c>
      <c r="G8801" s="20" t="str">
        <f>IFERROR(__xludf.DUMMYFUNCTION("""COMPUTED_VALUE"""),"Uncle Sams Cider (11/12/2021) (Blue)")</f>
        <v>Uncle Sams Cider (11/12/2021) (Blue)</v>
      </c>
      <c r="H8801" s="19"/>
    </row>
    <row r="8802">
      <c r="A8802" s="9"/>
      <c r="B8802" s="15"/>
      <c r="C8802" s="9">
        <f>IFERROR(__xludf.DUMMYFUNCTION("""COMPUTED_VALUE"""),44512.9284395138)</f>
        <v>44512.92844</v>
      </c>
      <c r="D8802" s="15">
        <f>IFERROR(__xludf.DUMMYFUNCTION("""COMPUTED_VALUE"""),1.111)</f>
        <v>1.111</v>
      </c>
      <c r="E8802" s="16">
        <f>IFERROR(__xludf.DUMMYFUNCTION("""COMPUTED_VALUE"""),64.0)</f>
        <v>64</v>
      </c>
      <c r="F8802" s="19" t="str">
        <f>IFERROR(__xludf.DUMMYFUNCTION("""COMPUTED_VALUE"""),"BLUE")</f>
        <v>BLUE</v>
      </c>
      <c r="G8802" s="20" t="str">
        <f>IFERROR(__xludf.DUMMYFUNCTION("""COMPUTED_VALUE"""),"Uncle Sams Cider (11/12/2021) (Blue)")</f>
        <v>Uncle Sams Cider (11/12/2021) (Blue)</v>
      </c>
      <c r="H8802" s="19"/>
    </row>
    <row r="8803">
      <c r="A8803" s="9"/>
      <c r="B8803" s="15"/>
      <c r="C8803" s="9">
        <f>IFERROR(__xludf.DUMMYFUNCTION("""COMPUTED_VALUE"""),44512.9180078935)</f>
        <v>44512.91801</v>
      </c>
      <c r="D8803" s="15">
        <f>IFERROR(__xludf.DUMMYFUNCTION("""COMPUTED_VALUE"""),1.11)</f>
        <v>1.11</v>
      </c>
      <c r="E8803" s="16">
        <f>IFERROR(__xludf.DUMMYFUNCTION("""COMPUTED_VALUE"""),64.0)</f>
        <v>64</v>
      </c>
      <c r="F8803" s="19" t="str">
        <f>IFERROR(__xludf.DUMMYFUNCTION("""COMPUTED_VALUE"""),"BLUE")</f>
        <v>BLUE</v>
      </c>
      <c r="G8803" s="20" t="str">
        <f>IFERROR(__xludf.DUMMYFUNCTION("""COMPUTED_VALUE"""),"Uncle Sams Cider (11/12/2021) (Blue)")</f>
        <v>Uncle Sams Cider (11/12/2021) (Blue)</v>
      </c>
      <c r="H8803" s="19"/>
    </row>
    <row r="8804">
      <c r="A8804" s="9"/>
      <c r="B8804" s="15"/>
      <c r="C8804" s="9">
        <f>IFERROR(__xludf.DUMMYFUNCTION("""COMPUTED_VALUE"""),44512.9075865856)</f>
        <v>44512.90759</v>
      </c>
      <c r="D8804" s="15">
        <f>IFERROR(__xludf.DUMMYFUNCTION("""COMPUTED_VALUE"""),1.11)</f>
        <v>1.11</v>
      </c>
      <c r="E8804" s="16">
        <f>IFERROR(__xludf.DUMMYFUNCTION("""COMPUTED_VALUE"""),64.0)</f>
        <v>64</v>
      </c>
      <c r="F8804" s="19" t="str">
        <f>IFERROR(__xludf.DUMMYFUNCTION("""COMPUTED_VALUE"""),"BLUE")</f>
        <v>BLUE</v>
      </c>
      <c r="G8804" s="20" t="str">
        <f>IFERROR(__xludf.DUMMYFUNCTION("""COMPUTED_VALUE"""),"Uncle Sams Cider (11/12/2021) (Blue)")</f>
        <v>Uncle Sams Cider (11/12/2021) (Blue)</v>
      </c>
      <c r="H8804" s="19"/>
    </row>
    <row r="8805">
      <c r="A8805" s="9"/>
      <c r="B8805" s="15"/>
      <c r="C8805" s="9">
        <f>IFERROR(__xludf.DUMMYFUNCTION("""COMPUTED_VALUE"""),44512.897153368)</f>
        <v>44512.89715</v>
      </c>
      <c r="D8805" s="15">
        <f>IFERROR(__xludf.DUMMYFUNCTION("""COMPUTED_VALUE"""),1.11)</f>
        <v>1.11</v>
      </c>
      <c r="E8805" s="16">
        <f>IFERROR(__xludf.DUMMYFUNCTION("""COMPUTED_VALUE"""),65.0)</f>
        <v>65</v>
      </c>
      <c r="F8805" s="19" t="str">
        <f>IFERROR(__xludf.DUMMYFUNCTION("""COMPUTED_VALUE"""),"BLUE")</f>
        <v>BLUE</v>
      </c>
      <c r="G8805" s="20" t="str">
        <f>IFERROR(__xludf.DUMMYFUNCTION("""COMPUTED_VALUE"""),"Uncle Sams Cider (11/12/2021) (Blue)")</f>
        <v>Uncle Sams Cider (11/12/2021) (Blue)</v>
      </c>
      <c r="H8805" s="19"/>
    </row>
    <row r="8806">
      <c r="A8806" s="9"/>
      <c r="B8806" s="15"/>
      <c r="C8806" s="9">
        <f>IFERROR(__xludf.DUMMYFUNCTION("""COMPUTED_VALUE"""),44512.8867335879)</f>
        <v>44512.88673</v>
      </c>
      <c r="D8806" s="15">
        <f>IFERROR(__xludf.DUMMYFUNCTION("""COMPUTED_VALUE"""),1.11)</f>
        <v>1.11</v>
      </c>
      <c r="E8806" s="16">
        <f>IFERROR(__xludf.DUMMYFUNCTION("""COMPUTED_VALUE"""),66.0)</f>
        <v>66</v>
      </c>
      <c r="F8806" s="19" t="str">
        <f>IFERROR(__xludf.DUMMYFUNCTION("""COMPUTED_VALUE"""),"BLUE")</f>
        <v>BLUE</v>
      </c>
      <c r="G8806" s="20" t="str">
        <f>IFERROR(__xludf.DUMMYFUNCTION("""COMPUTED_VALUE"""),"Uncle Sams Cider (11/12/2021) (Blue)")</f>
        <v>Uncle Sams Cider (11/12/2021) (Blue)</v>
      </c>
      <c r="H8806" s="19"/>
    </row>
    <row r="8807">
      <c r="A8807" s="9"/>
      <c r="B8807" s="15"/>
      <c r="C8807" s="9">
        <f>IFERROR(__xludf.DUMMYFUNCTION("""COMPUTED_VALUE"""),44512.8763016435)</f>
        <v>44512.8763</v>
      </c>
      <c r="D8807" s="15">
        <f>IFERROR(__xludf.DUMMYFUNCTION("""COMPUTED_VALUE"""),1.109)</f>
        <v>1.109</v>
      </c>
      <c r="E8807" s="16">
        <f>IFERROR(__xludf.DUMMYFUNCTION("""COMPUTED_VALUE"""),67.0)</f>
        <v>67</v>
      </c>
      <c r="F8807" s="19" t="str">
        <f>IFERROR(__xludf.DUMMYFUNCTION("""COMPUTED_VALUE"""),"BLUE")</f>
        <v>BLUE</v>
      </c>
      <c r="G8807" s="20" t="str">
        <f>IFERROR(__xludf.DUMMYFUNCTION("""COMPUTED_VALUE"""),"Uncle Sams Cider (11/12/2021) (Blue)")</f>
        <v>Uncle Sams Cider (11/12/2021) (Blue)</v>
      </c>
      <c r="H8807" s="19"/>
    </row>
    <row r="8808">
      <c r="A8808" s="9"/>
      <c r="B8808" s="15"/>
      <c r="C8808" s="9">
        <f>IFERROR(__xludf.DUMMYFUNCTION("""COMPUTED_VALUE"""),44512.8658801388)</f>
        <v>44512.86588</v>
      </c>
      <c r="D8808" s="15">
        <f>IFERROR(__xludf.DUMMYFUNCTION("""COMPUTED_VALUE"""),1.109)</f>
        <v>1.109</v>
      </c>
      <c r="E8808" s="16">
        <f>IFERROR(__xludf.DUMMYFUNCTION("""COMPUTED_VALUE"""),68.0)</f>
        <v>68</v>
      </c>
      <c r="F8808" s="19" t="str">
        <f>IFERROR(__xludf.DUMMYFUNCTION("""COMPUTED_VALUE"""),"BLUE")</f>
        <v>BLUE</v>
      </c>
      <c r="G8808" s="20" t="str">
        <f>IFERROR(__xludf.DUMMYFUNCTION("""COMPUTED_VALUE"""),"Uncle Sams Cider (11/12/2021) (Blue)")</f>
        <v>Uncle Sams Cider (11/12/2021) (Blue)</v>
      </c>
      <c r="H8808" s="19"/>
    </row>
    <row r="8809">
      <c r="A8809" s="9"/>
      <c r="B8809" s="15"/>
      <c r="C8809" s="9">
        <f>IFERROR(__xludf.DUMMYFUNCTION("""COMPUTED_VALUE"""),44512.8554582175)</f>
        <v>44512.85546</v>
      </c>
      <c r="D8809" s="15">
        <f>IFERROR(__xludf.DUMMYFUNCTION("""COMPUTED_VALUE"""),1.109)</f>
        <v>1.109</v>
      </c>
      <c r="E8809" s="16">
        <f>IFERROR(__xludf.DUMMYFUNCTION("""COMPUTED_VALUE"""),69.0)</f>
        <v>69</v>
      </c>
      <c r="F8809" s="19" t="str">
        <f>IFERROR(__xludf.DUMMYFUNCTION("""COMPUTED_VALUE"""),"BLUE")</f>
        <v>BLUE</v>
      </c>
      <c r="G8809" s="20" t="str">
        <f>IFERROR(__xludf.DUMMYFUNCTION("""COMPUTED_VALUE"""),"Uncle Sams Cider (11/12/2021) (Blue)")</f>
        <v>Uncle Sams Cider (11/12/2021) (Blue)</v>
      </c>
      <c r="H8809" s="19"/>
    </row>
    <row r="8810">
      <c r="A8810" s="9"/>
      <c r="B8810" s="15"/>
      <c r="C8810" s="9">
        <f>IFERROR(__xludf.DUMMYFUNCTION("""COMPUTED_VALUE"""),44512.8450358912)</f>
        <v>44512.84504</v>
      </c>
      <c r="D8810" s="15">
        <f>IFERROR(__xludf.DUMMYFUNCTION("""COMPUTED_VALUE"""),1.109)</f>
        <v>1.109</v>
      </c>
      <c r="E8810" s="16">
        <f>IFERROR(__xludf.DUMMYFUNCTION("""COMPUTED_VALUE"""),70.0)</f>
        <v>70</v>
      </c>
      <c r="F8810" s="19" t="str">
        <f>IFERROR(__xludf.DUMMYFUNCTION("""COMPUTED_VALUE"""),"BLUE")</f>
        <v>BLUE</v>
      </c>
      <c r="G8810" s="20" t="str">
        <f>IFERROR(__xludf.DUMMYFUNCTION("""COMPUTED_VALUE"""),"Uncle Sams Cider (11/12/2021) (Blue)")</f>
        <v>Uncle Sams Cider (11/12/2021) (Blue)</v>
      </c>
      <c r="H8810" s="19"/>
    </row>
    <row r="8811">
      <c r="A8811" s="9"/>
      <c r="B8811" s="15"/>
      <c r="C8811" s="9">
        <f>IFERROR(__xludf.DUMMYFUNCTION("""COMPUTED_VALUE"""),44512.8346158564)</f>
        <v>44512.83462</v>
      </c>
      <c r="D8811" s="15">
        <f>IFERROR(__xludf.DUMMYFUNCTION("""COMPUTED_VALUE"""),1.109)</f>
        <v>1.109</v>
      </c>
      <c r="E8811" s="16">
        <f>IFERROR(__xludf.DUMMYFUNCTION("""COMPUTED_VALUE"""),72.0)</f>
        <v>72</v>
      </c>
      <c r="F8811" s="19" t="str">
        <f>IFERROR(__xludf.DUMMYFUNCTION("""COMPUTED_VALUE"""),"BLUE")</f>
        <v>BLUE</v>
      </c>
      <c r="G8811" s="20" t="str">
        <f>IFERROR(__xludf.DUMMYFUNCTION("""COMPUTED_VALUE"""),"Uncle Sams Cider (11/12/2021) (Blue)")</f>
        <v>Uncle Sams Cider (11/12/2021) (Blue)</v>
      </c>
      <c r="H8811" s="19"/>
    </row>
    <row r="8812">
      <c r="A8812" s="9"/>
      <c r="B8812" s="15"/>
      <c r="C8812" s="9">
        <f>IFERROR(__xludf.DUMMYFUNCTION("""COMPUTED_VALUE"""),44512.824194699)</f>
        <v>44512.82419</v>
      </c>
      <c r="D8812" s="15">
        <f>IFERROR(__xludf.DUMMYFUNCTION("""COMPUTED_VALUE"""),1.109)</f>
        <v>1.109</v>
      </c>
      <c r="E8812" s="16">
        <f>IFERROR(__xludf.DUMMYFUNCTION("""COMPUTED_VALUE"""),73.0)</f>
        <v>73</v>
      </c>
      <c r="F8812" s="19" t="str">
        <f>IFERROR(__xludf.DUMMYFUNCTION("""COMPUTED_VALUE"""),"BLUE")</f>
        <v>BLUE</v>
      </c>
      <c r="G8812" s="20" t="str">
        <f>IFERROR(__xludf.DUMMYFUNCTION("""COMPUTED_VALUE"""),"Uncle Sams Cider (11/12/2021) (Blue)")</f>
        <v>Uncle Sams Cider (11/12/2021) (Blue)</v>
      </c>
      <c r="H8812" s="19"/>
    </row>
    <row r="8813">
      <c r="A8813" s="9"/>
      <c r="B8813" s="15"/>
      <c r="C8813" s="9">
        <f>IFERROR(__xludf.DUMMYFUNCTION("""COMPUTED_VALUE"""),44512.8137625)</f>
        <v>44512.81376</v>
      </c>
      <c r="D8813" s="15">
        <f>IFERROR(__xludf.DUMMYFUNCTION("""COMPUTED_VALUE"""),1.109)</f>
        <v>1.109</v>
      </c>
      <c r="E8813" s="16">
        <f>IFERROR(__xludf.DUMMYFUNCTION("""COMPUTED_VALUE"""),75.0)</f>
        <v>75</v>
      </c>
      <c r="F8813" s="19" t="str">
        <f>IFERROR(__xludf.DUMMYFUNCTION("""COMPUTED_VALUE"""),"BLUE")</f>
        <v>BLUE</v>
      </c>
      <c r="G8813" s="20" t="str">
        <f>IFERROR(__xludf.DUMMYFUNCTION("""COMPUTED_VALUE"""),"Uncle Sams Cider (11/12/2021) (Blue)")</f>
        <v>Uncle Sams Cider (11/12/2021) (Blue)</v>
      </c>
      <c r="H8813" s="19"/>
    </row>
    <row r="8814">
      <c r="A8814" s="9"/>
      <c r="B8814" s="15"/>
      <c r="C8814" s="9">
        <f>IFERROR(__xludf.DUMMYFUNCTION("""COMPUTED_VALUE"""),44512.7698111689)</f>
        <v>44512.76981</v>
      </c>
      <c r="D8814" s="15">
        <f>IFERROR(__xludf.DUMMYFUNCTION("""COMPUTED_VALUE"""),1.106)</f>
        <v>1.106</v>
      </c>
      <c r="E8814" s="16">
        <f>IFERROR(__xludf.DUMMYFUNCTION("""COMPUTED_VALUE"""),71.0)</f>
        <v>71</v>
      </c>
      <c r="F8814" s="19" t="str">
        <f>IFERROR(__xludf.DUMMYFUNCTION("""COMPUTED_VALUE"""),"BLUE")</f>
        <v>BLUE</v>
      </c>
      <c r="G8814" s="20" t="str">
        <f>IFERROR(__xludf.DUMMYFUNCTION("""COMPUTED_VALUE"""),"Uncle Sams Cider (11/12/2021) (Blue)")</f>
        <v>Uncle Sams Cider (11/12/2021) (Blue)</v>
      </c>
      <c r="H8814" s="19"/>
    </row>
    <row r="8815">
      <c r="A8815" s="9"/>
      <c r="B8815" s="15"/>
      <c r="C8815" s="9">
        <f>IFERROR(__xludf.DUMMYFUNCTION("""COMPUTED_VALUE"""),44512.7696249652)</f>
        <v>44512.76962</v>
      </c>
      <c r="D8815" s="15">
        <f>IFERROR(__xludf.DUMMYFUNCTION("""COMPUTED_VALUE"""),1.105)</f>
        <v>1.105</v>
      </c>
      <c r="E8815" s="16">
        <f>IFERROR(__xludf.DUMMYFUNCTION("""COMPUTED_VALUE"""),70.0)</f>
        <v>70</v>
      </c>
      <c r="F8815" s="19" t="str">
        <f>IFERROR(__xludf.DUMMYFUNCTION("""COMPUTED_VALUE"""),"BLUE")</f>
        <v>BLUE</v>
      </c>
      <c r="G8815" s="20" t="str">
        <f>IFERROR(__xludf.DUMMYFUNCTION("""COMPUTED_VALUE"""),"Uncle Sams Cider (11/12/2021) (Blue)")</f>
        <v>Uncle Sams Cider (11/12/2021) (Blue)</v>
      </c>
      <c r="H8815" s="19"/>
    </row>
    <row r="8816">
      <c r="A8816" s="9"/>
      <c r="B8816" s="15"/>
      <c r="C8816" s="9">
        <f>IFERROR(__xludf.DUMMYFUNCTION("""COMPUTED_VALUE"""),44512.7686278703)</f>
        <v>44512.76863</v>
      </c>
      <c r="D8816" s="15">
        <f>IFERROR(__xludf.DUMMYFUNCTION("""COMPUTED_VALUE"""),1.109)</f>
        <v>1.109</v>
      </c>
      <c r="E8816" s="16">
        <f>IFERROR(__xludf.DUMMYFUNCTION("""COMPUTED_VALUE"""),75.0)</f>
        <v>75</v>
      </c>
      <c r="F8816" s="19" t="str">
        <f>IFERROR(__xludf.DUMMYFUNCTION("""COMPUTED_VALUE"""),"BLUE")</f>
        <v>BLUE</v>
      </c>
      <c r="G8816" s="20" t="str">
        <f>IFERROR(__xludf.DUMMYFUNCTION("""COMPUTED_VALUE"""),"Uncle Sams Cider (11/12/2021) (Blue)")</f>
        <v>Uncle Sams Cider (11/12/2021) (Blue)</v>
      </c>
      <c r="H8816" s="19"/>
    </row>
    <row r="8817">
      <c r="A8817" s="9"/>
      <c r="B8817" s="15"/>
      <c r="C8817" s="9"/>
      <c r="D8817" s="15"/>
      <c r="E8817" s="16"/>
      <c r="F8817" s="19"/>
      <c r="G8817" s="20"/>
      <c r="H8817" s="19"/>
    </row>
    <row r="8818">
      <c r="A8818" s="9"/>
      <c r="B8818" s="15"/>
      <c r="C8818" s="9"/>
      <c r="D8818" s="15"/>
      <c r="E8818" s="16"/>
      <c r="F8818" s="19"/>
      <c r="G8818" s="20"/>
      <c r="H8818" s="19"/>
    </row>
    <row r="8819">
      <c r="A8819" s="9"/>
      <c r="B8819" s="15"/>
      <c r="C8819" s="9"/>
      <c r="D8819" s="15"/>
      <c r="E8819" s="16"/>
      <c r="F8819" s="19"/>
      <c r="G8819" s="20"/>
      <c r="H8819" s="19"/>
    </row>
    <row r="8820">
      <c r="A8820" s="9"/>
      <c r="B8820" s="15"/>
      <c r="C8820" s="9"/>
      <c r="D8820" s="15"/>
      <c r="E8820" s="16"/>
      <c r="F8820" s="19"/>
      <c r="G8820" s="20"/>
      <c r="H8820" s="19"/>
    </row>
    <row r="8821">
      <c r="A8821" s="9"/>
      <c r="B8821" s="15"/>
      <c r="C8821" s="9"/>
      <c r="D8821" s="15"/>
      <c r="E8821" s="16"/>
      <c r="F8821" s="19"/>
      <c r="G8821" s="20"/>
      <c r="H8821" s="19"/>
    </row>
    <row r="8822">
      <c r="A8822" s="9"/>
      <c r="B8822" s="15"/>
      <c r="C8822" s="9"/>
      <c r="D8822" s="15"/>
      <c r="E8822" s="16"/>
      <c r="F8822" s="19"/>
      <c r="G8822" s="20"/>
      <c r="H8822" s="19"/>
    </row>
    <row r="8823">
      <c r="A8823" s="9"/>
      <c r="B8823" s="15"/>
      <c r="C8823" s="9"/>
      <c r="D8823" s="15"/>
      <c r="E8823" s="16"/>
      <c r="F8823" s="19"/>
      <c r="G8823" s="20"/>
      <c r="H8823" s="19"/>
    </row>
    <row r="8824">
      <c r="A8824" s="9"/>
      <c r="B8824" s="15"/>
      <c r="C8824" s="9"/>
      <c r="D8824" s="15"/>
      <c r="E8824" s="16"/>
      <c r="F8824" s="19"/>
      <c r="G8824" s="20"/>
      <c r="H8824" s="19"/>
    </row>
    <row r="8825">
      <c r="A8825" s="9"/>
      <c r="B8825" s="15"/>
      <c r="C8825" s="9"/>
      <c r="D8825" s="15"/>
      <c r="E8825" s="16"/>
      <c r="F8825" s="19"/>
      <c r="G8825" s="20"/>
      <c r="H8825" s="19"/>
    </row>
    <row r="8826">
      <c r="A8826" s="9"/>
      <c r="B8826" s="15"/>
      <c r="C8826" s="9"/>
      <c r="D8826" s="15"/>
      <c r="E8826" s="16"/>
      <c r="F8826" s="19"/>
      <c r="G8826" s="20"/>
      <c r="H8826" s="19"/>
    </row>
    <row r="8827">
      <c r="A8827" s="9"/>
      <c r="B8827" s="15"/>
      <c r="C8827" s="9"/>
      <c r="D8827" s="15"/>
      <c r="E8827" s="16"/>
      <c r="F8827" s="19"/>
      <c r="G8827" s="20"/>
      <c r="H8827" s="19"/>
    </row>
    <row r="8828">
      <c r="A8828" s="9"/>
      <c r="B8828" s="15"/>
      <c r="C8828" s="9"/>
      <c r="D8828" s="15"/>
      <c r="E8828" s="16"/>
      <c r="F8828" s="19"/>
      <c r="G8828" s="20"/>
      <c r="H8828" s="19"/>
    </row>
    <row r="8829">
      <c r="A8829" s="9"/>
      <c r="B8829" s="15"/>
      <c r="C8829" s="9"/>
      <c r="D8829" s="15"/>
      <c r="E8829" s="16"/>
      <c r="F8829" s="19"/>
      <c r="G8829" s="20"/>
      <c r="H8829" s="19"/>
    </row>
    <row r="8830">
      <c r="A8830" s="9"/>
      <c r="B8830" s="15"/>
      <c r="C8830" s="9"/>
      <c r="D8830" s="15"/>
      <c r="E8830" s="16"/>
      <c r="F8830" s="19"/>
      <c r="G8830" s="20"/>
      <c r="H8830" s="19"/>
    </row>
    <row r="8831">
      <c r="A8831" s="9"/>
      <c r="B8831" s="15"/>
      <c r="C8831" s="9"/>
      <c r="D8831" s="15"/>
      <c r="E8831" s="16"/>
      <c r="F8831" s="19"/>
      <c r="G8831" s="20"/>
      <c r="H8831" s="19"/>
    </row>
    <row r="8832">
      <c r="A8832" s="9"/>
      <c r="B8832" s="15"/>
      <c r="C8832" s="9"/>
      <c r="D8832" s="15"/>
      <c r="E8832" s="16"/>
      <c r="F8832" s="19"/>
      <c r="G8832" s="20"/>
      <c r="H8832" s="19"/>
    </row>
    <row r="8833">
      <c r="A8833" s="9"/>
      <c r="B8833" s="15"/>
      <c r="C8833" s="9"/>
      <c r="D8833" s="15"/>
      <c r="E8833" s="16"/>
      <c r="F8833" s="19"/>
      <c r="G8833" s="20"/>
      <c r="H8833" s="19"/>
    </row>
    <row r="8834">
      <c r="A8834" s="9"/>
      <c r="B8834" s="15"/>
      <c r="C8834" s="9"/>
      <c r="D8834" s="15"/>
      <c r="E8834" s="16"/>
      <c r="F8834" s="19"/>
      <c r="G8834" s="20"/>
      <c r="H8834" s="19"/>
    </row>
    <row r="8835">
      <c r="A8835" s="9"/>
      <c r="B8835" s="15"/>
      <c r="C8835" s="9"/>
      <c r="D8835" s="15"/>
      <c r="E8835" s="16"/>
      <c r="F8835" s="19"/>
      <c r="G8835" s="20"/>
      <c r="H8835" s="19"/>
    </row>
    <row r="8836">
      <c r="A8836" s="9"/>
      <c r="B8836" s="15"/>
      <c r="C8836" s="9"/>
      <c r="D8836" s="15"/>
      <c r="E8836" s="16"/>
      <c r="F8836" s="19"/>
      <c r="G8836" s="20"/>
      <c r="H8836" s="19"/>
    </row>
    <row r="8837">
      <c r="A8837" s="9"/>
      <c r="B8837" s="15"/>
      <c r="C8837" s="9"/>
      <c r="D8837" s="15"/>
      <c r="E8837" s="16"/>
      <c r="F8837" s="19"/>
      <c r="G8837" s="20"/>
      <c r="H8837" s="19"/>
    </row>
    <row r="8838">
      <c r="A8838" s="9"/>
      <c r="B8838" s="15"/>
      <c r="C8838" s="9"/>
      <c r="D8838" s="15"/>
      <c r="E8838" s="16"/>
      <c r="F8838" s="19"/>
      <c r="G8838" s="20"/>
      <c r="H8838" s="19"/>
    </row>
    <row r="8839">
      <c r="A8839" s="9"/>
      <c r="B8839" s="15"/>
      <c r="C8839" s="9"/>
      <c r="D8839" s="15"/>
      <c r="E8839" s="16"/>
      <c r="F8839" s="19"/>
      <c r="G8839" s="20"/>
      <c r="H8839" s="19"/>
    </row>
    <row r="8840">
      <c r="A8840" s="9"/>
      <c r="B8840" s="15"/>
      <c r="C8840" s="9"/>
      <c r="D8840" s="15"/>
      <c r="E8840" s="16"/>
      <c r="F8840" s="19"/>
      <c r="G8840" s="20"/>
      <c r="H8840" s="19"/>
    </row>
    <row r="8841">
      <c r="A8841" s="9"/>
      <c r="B8841" s="15"/>
      <c r="C8841" s="9"/>
      <c r="D8841" s="15"/>
      <c r="E8841" s="16"/>
      <c r="F8841" s="19"/>
      <c r="G8841" s="20"/>
      <c r="H8841" s="19"/>
    </row>
    <row r="8842">
      <c r="A8842" s="9"/>
      <c r="B8842" s="15"/>
      <c r="C8842" s="9"/>
      <c r="D8842" s="15"/>
      <c r="E8842" s="16"/>
      <c r="F8842" s="19"/>
      <c r="G8842" s="20"/>
      <c r="H8842" s="19"/>
    </row>
    <row r="8843">
      <c r="A8843" s="9"/>
      <c r="B8843" s="15"/>
      <c r="C8843" s="9"/>
      <c r="D8843" s="15"/>
      <c r="E8843" s="16"/>
      <c r="F8843" s="19"/>
      <c r="G8843" s="20"/>
      <c r="H8843" s="19"/>
    </row>
    <row r="8844">
      <c r="A8844" s="9"/>
      <c r="B8844" s="15"/>
      <c r="C8844" s="9"/>
      <c r="D8844" s="15"/>
      <c r="E8844" s="16"/>
      <c r="F8844" s="19"/>
      <c r="G8844" s="20"/>
      <c r="H8844" s="19"/>
    </row>
    <row r="8845">
      <c r="A8845" s="9"/>
      <c r="B8845" s="15"/>
      <c r="C8845" s="9"/>
      <c r="D8845" s="15"/>
      <c r="E8845" s="16"/>
      <c r="F8845" s="19"/>
      <c r="G8845" s="20"/>
      <c r="H8845" s="19"/>
    </row>
    <row r="8846">
      <c r="A8846" s="9"/>
      <c r="B8846" s="15"/>
      <c r="C8846" s="9"/>
      <c r="D8846" s="15"/>
      <c r="E8846" s="16"/>
      <c r="F8846" s="19"/>
      <c r="G8846" s="20"/>
      <c r="H8846" s="19"/>
    </row>
    <row r="8847">
      <c r="A8847" s="9"/>
      <c r="B8847" s="15"/>
      <c r="C8847" s="9"/>
      <c r="D8847" s="15"/>
      <c r="E8847" s="16"/>
      <c r="F8847" s="19"/>
      <c r="G8847" s="20"/>
      <c r="H8847" s="19"/>
    </row>
    <row r="8848">
      <c r="A8848" s="9"/>
      <c r="B8848" s="15"/>
      <c r="C8848" s="9"/>
      <c r="D8848" s="15"/>
      <c r="E8848" s="16"/>
      <c r="F8848" s="19"/>
      <c r="G8848" s="20"/>
      <c r="H8848" s="19"/>
    </row>
    <row r="8849">
      <c r="A8849" s="9"/>
      <c r="B8849" s="15"/>
      <c r="C8849" s="9"/>
      <c r="D8849" s="15"/>
      <c r="E8849" s="16"/>
      <c r="F8849" s="19"/>
      <c r="G8849" s="20"/>
      <c r="H8849" s="19"/>
    </row>
    <row r="8850">
      <c r="A8850" s="9"/>
      <c r="B8850" s="15"/>
      <c r="C8850" s="9"/>
      <c r="D8850" s="15"/>
      <c r="E8850" s="16"/>
      <c r="F8850" s="19"/>
      <c r="G8850" s="20"/>
      <c r="H8850" s="19"/>
    </row>
    <row r="8851">
      <c r="A8851" s="9"/>
      <c r="B8851" s="15"/>
      <c r="C8851" s="9"/>
      <c r="D8851" s="15"/>
      <c r="E8851" s="16"/>
      <c r="F8851" s="19"/>
      <c r="G8851" s="20"/>
      <c r="H8851" s="19"/>
    </row>
    <row r="8852">
      <c r="A8852" s="9"/>
      <c r="B8852" s="15"/>
      <c r="C8852" s="9"/>
      <c r="D8852" s="15"/>
      <c r="E8852" s="16"/>
      <c r="F8852" s="19"/>
      <c r="G8852" s="20"/>
      <c r="H8852" s="19"/>
    </row>
    <row r="8853">
      <c r="A8853" s="9"/>
      <c r="B8853" s="15"/>
      <c r="C8853" s="9"/>
      <c r="D8853" s="15"/>
      <c r="E8853" s="16"/>
      <c r="F8853" s="19"/>
      <c r="G8853" s="20"/>
      <c r="H8853" s="19"/>
    </row>
    <row r="8854">
      <c r="A8854" s="9"/>
      <c r="B8854" s="15"/>
      <c r="C8854" s="9"/>
      <c r="D8854" s="15"/>
      <c r="E8854" s="16"/>
      <c r="F8854" s="19"/>
      <c r="G8854" s="20"/>
      <c r="H8854" s="19"/>
    </row>
    <row r="8855">
      <c r="A8855" s="9"/>
      <c r="B8855" s="15"/>
      <c r="C8855" s="9"/>
      <c r="D8855" s="15"/>
      <c r="E8855" s="16"/>
      <c r="F8855" s="19"/>
      <c r="G8855" s="20"/>
      <c r="H8855" s="19"/>
    </row>
    <row r="8856">
      <c r="A8856" s="9"/>
      <c r="B8856" s="15"/>
      <c r="C8856" s="9"/>
      <c r="D8856" s="15"/>
      <c r="E8856" s="16"/>
      <c r="F8856" s="19"/>
      <c r="G8856" s="20"/>
      <c r="H8856" s="19"/>
    </row>
    <row r="8857">
      <c r="A8857" s="9"/>
      <c r="B8857" s="15"/>
      <c r="C8857" s="9"/>
      <c r="D8857" s="15"/>
      <c r="E8857" s="16"/>
      <c r="F8857" s="19"/>
      <c r="G8857" s="20"/>
      <c r="H8857" s="19"/>
    </row>
    <row r="8858">
      <c r="A8858" s="9"/>
      <c r="B8858" s="15"/>
      <c r="C8858" s="9"/>
      <c r="D8858" s="15"/>
      <c r="E8858" s="16"/>
      <c r="F8858" s="19"/>
      <c r="G8858" s="20"/>
      <c r="H8858" s="19"/>
    </row>
    <row r="8859">
      <c r="A8859" s="9"/>
      <c r="B8859" s="15"/>
      <c r="C8859" s="9"/>
      <c r="D8859" s="15"/>
      <c r="E8859" s="16"/>
      <c r="F8859" s="19"/>
      <c r="G8859" s="20"/>
      <c r="H8859" s="19"/>
    </row>
    <row r="8860">
      <c r="A8860" s="9"/>
      <c r="B8860" s="15"/>
      <c r="C8860" s="9"/>
      <c r="D8860" s="15"/>
      <c r="E8860" s="16"/>
      <c r="F8860" s="19"/>
      <c r="G8860" s="20"/>
      <c r="H8860" s="19"/>
    </row>
    <row r="8861">
      <c r="A8861" s="9"/>
      <c r="B8861" s="15"/>
      <c r="C8861" s="9"/>
      <c r="D8861" s="15"/>
      <c r="E8861" s="16"/>
      <c r="F8861" s="19"/>
      <c r="G8861" s="20"/>
      <c r="H8861" s="19"/>
    </row>
    <row r="8862">
      <c r="A8862" s="9"/>
      <c r="B8862" s="15"/>
      <c r="C8862" s="9"/>
      <c r="D8862" s="15"/>
      <c r="E8862" s="16"/>
      <c r="F8862" s="19"/>
      <c r="G8862" s="20"/>
      <c r="H8862" s="19"/>
    </row>
    <row r="8863">
      <c r="A8863" s="9"/>
      <c r="B8863" s="15"/>
      <c r="C8863" s="9"/>
      <c r="D8863" s="15"/>
      <c r="E8863" s="16"/>
      <c r="F8863" s="19"/>
      <c r="G8863" s="20"/>
      <c r="H8863" s="19"/>
    </row>
    <row r="8864">
      <c r="A8864" s="9"/>
      <c r="B8864" s="15"/>
      <c r="C8864" s="9"/>
      <c r="D8864" s="15"/>
      <c r="E8864" s="16"/>
      <c r="F8864" s="19"/>
      <c r="G8864" s="20"/>
      <c r="H8864" s="19"/>
    </row>
    <row r="8865">
      <c r="A8865" s="9"/>
      <c r="B8865" s="15"/>
      <c r="C8865" s="9"/>
      <c r="D8865" s="15"/>
      <c r="E8865" s="16"/>
      <c r="F8865" s="19"/>
      <c r="G8865" s="20"/>
      <c r="H8865" s="19"/>
    </row>
    <row r="8866">
      <c r="A8866" s="9"/>
      <c r="B8866" s="15"/>
      <c r="C8866" s="9"/>
      <c r="D8866" s="15"/>
      <c r="E8866" s="16"/>
      <c r="F8866" s="19"/>
      <c r="G8866" s="20"/>
      <c r="H8866" s="19"/>
    </row>
    <row r="8867">
      <c r="A8867" s="9"/>
      <c r="B8867" s="15"/>
      <c r="C8867" s="9"/>
      <c r="D8867" s="15"/>
      <c r="E8867" s="16"/>
      <c r="F8867" s="19"/>
      <c r="G8867" s="20"/>
      <c r="H8867" s="19"/>
    </row>
    <row r="8868">
      <c r="A8868" s="9"/>
      <c r="B8868" s="15"/>
      <c r="C8868" s="9"/>
      <c r="D8868" s="15"/>
      <c r="E8868" s="16"/>
      <c r="F8868" s="19"/>
      <c r="G8868" s="20"/>
      <c r="H8868" s="19"/>
    </row>
    <row r="8869">
      <c r="A8869" s="9"/>
      <c r="B8869" s="15"/>
      <c r="C8869" s="9"/>
      <c r="D8869" s="15"/>
      <c r="E8869" s="16"/>
      <c r="F8869" s="19"/>
      <c r="G8869" s="20"/>
      <c r="H8869" s="19"/>
    </row>
    <row r="8870">
      <c r="A8870" s="9"/>
      <c r="B8870" s="15"/>
      <c r="C8870" s="9"/>
      <c r="D8870" s="15"/>
      <c r="E8870" s="16"/>
      <c r="F8870" s="19"/>
      <c r="G8870" s="20"/>
      <c r="H8870" s="19"/>
    </row>
    <row r="8871">
      <c r="A8871" s="9"/>
      <c r="B8871" s="15"/>
      <c r="C8871" s="9"/>
      <c r="D8871" s="15"/>
      <c r="E8871" s="16"/>
      <c r="F8871" s="19"/>
      <c r="G8871" s="20"/>
      <c r="H8871" s="19"/>
    </row>
    <row r="8872">
      <c r="A8872" s="9"/>
      <c r="B8872" s="15"/>
      <c r="C8872" s="9"/>
      <c r="D8872" s="15"/>
      <c r="E8872" s="16"/>
      <c r="F8872" s="19"/>
      <c r="G8872" s="20"/>
      <c r="H8872" s="19"/>
    </row>
    <row r="8873">
      <c r="A8873" s="9"/>
      <c r="B8873" s="15"/>
      <c r="C8873" s="9"/>
      <c r="D8873" s="15"/>
      <c r="E8873" s="16"/>
      <c r="F8873" s="19"/>
      <c r="G8873" s="20"/>
      <c r="H8873" s="19"/>
    </row>
    <row r="8874">
      <c r="A8874" s="9"/>
      <c r="B8874" s="15"/>
      <c r="C8874" s="9"/>
      <c r="D8874" s="15"/>
      <c r="E8874" s="16"/>
      <c r="F8874" s="19"/>
      <c r="G8874" s="20"/>
      <c r="H8874" s="19"/>
    </row>
    <row r="8875">
      <c r="A8875" s="9"/>
      <c r="B8875" s="15"/>
      <c r="C8875" s="9"/>
      <c r="D8875" s="15"/>
      <c r="E8875" s="16"/>
      <c r="F8875" s="19"/>
      <c r="G8875" s="20"/>
      <c r="H8875" s="19"/>
    </row>
    <row r="8876">
      <c r="A8876" s="9"/>
      <c r="B8876" s="15"/>
      <c r="C8876" s="9"/>
      <c r="D8876" s="15"/>
      <c r="E8876" s="16"/>
      <c r="F8876" s="19"/>
      <c r="G8876" s="20"/>
      <c r="H8876" s="19"/>
    </row>
    <row r="8877">
      <c r="A8877" s="9"/>
      <c r="B8877" s="15"/>
      <c r="C8877" s="9"/>
      <c r="D8877" s="15"/>
      <c r="E8877" s="16"/>
      <c r="F8877" s="19"/>
      <c r="G8877" s="20"/>
      <c r="H8877" s="19"/>
    </row>
    <row r="8878">
      <c r="A8878" s="9"/>
      <c r="B8878" s="15"/>
      <c r="C8878" s="9"/>
      <c r="D8878" s="15"/>
      <c r="E8878" s="16"/>
      <c r="F8878" s="19"/>
      <c r="G8878" s="20"/>
      <c r="H8878" s="19"/>
    </row>
    <row r="8879">
      <c r="A8879" s="9"/>
      <c r="B8879" s="15"/>
      <c r="C8879" s="9"/>
      <c r="D8879" s="15"/>
      <c r="E8879" s="16"/>
      <c r="F8879" s="19"/>
      <c r="G8879" s="20"/>
      <c r="H8879" s="19"/>
    </row>
    <row r="8880">
      <c r="A8880" s="9"/>
      <c r="B8880" s="15"/>
      <c r="C8880" s="9"/>
      <c r="D8880" s="15"/>
      <c r="E8880" s="16"/>
      <c r="F8880" s="19"/>
      <c r="G8880" s="20"/>
      <c r="H8880" s="19"/>
    </row>
    <row r="8881">
      <c r="A8881" s="9"/>
      <c r="B8881" s="15"/>
      <c r="C8881" s="9"/>
      <c r="D8881" s="15"/>
      <c r="E8881" s="16"/>
      <c r="F8881" s="19"/>
      <c r="G8881" s="20"/>
      <c r="H8881" s="19"/>
    </row>
    <row r="8882">
      <c r="A8882" s="9"/>
      <c r="B8882" s="15"/>
      <c r="C8882" s="9"/>
      <c r="D8882" s="15"/>
      <c r="E8882" s="16"/>
      <c r="F8882" s="19"/>
      <c r="G8882" s="20"/>
      <c r="H8882" s="19"/>
    </row>
    <row r="8883">
      <c r="A8883" s="9"/>
      <c r="B8883" s="15"/>
      <c r="C8883" s="9"/>
      <c r="D8883" s="15"/>
      <c r="E8883" s="16"/>
      <c r="F8883" s="19"/>
      <c r="G8883" s="20"/>
      <c r="H8883" s="19"/>
    </row>
    <row r="8884">
      <c r="A8884" s="9"/>
      <c r="B8884" s="15"/>
      <c r="C8884" s="9"/>
      <c r="D8884" s="15"/>
      <c r="E8884" s="16"/>
      <c r="F8884" s="19"/>
      <c r="G8884" s="20"/>
      <c r="H8884" s="19"/>
    </row>
    <row r="8885">
      <c r="A8885" s="9"/>
      <c r="B8885" s="15"/>
      <c r="C8885" s="9"/>
      <c r="D8885" s="15"/>
      <c r="E8885" s="16"/>
      <c r="F8885" s="19"/>
      <c r="G8885" s="20"/>
      <c r="H8885" s="19"/>
    </row>
    <row r="8886">
      <c r="A8886" s="9"/>
      <c r="B8886" s="15"/>
      <c r="C8886" s="9"/>
      <c r="D8886" s="15"/>
      <c r="E8886" s="16"/>
      <c r="F8886" s="19"/>
      <c r="G8886" s="20"/>
      <c r="H8886" s="19"/>
    </row>
    <row r="8887">
      <c r="A8887" s="9"/>
      <c r="B8887" s="15"/>
      <c r="C8887" s="9"/>
      <c r="D8887" s="15"/>
      <c r="E8887" s="16"/>
      <c r="F8887" s="19"/>
      <c r="G8887" s="20"/>
      <c r="H8887" s="19"/>
    </row>
    <row r="8888">
      <c r="A8888" s="9"/>
      <c r="B8888" s="15"/>
      <c r="C8888" s="9"/>
      <c r="D8888" s="15"/>
      <c r="E8888" s="16"/>
      <c r="F8888" s="19"/>
      <c r="G8888" s="20"/>
      <c r="H8888" s="19"/>
    </row>
    <row r="8889">
      <c r="A8889" s="9"/>
      <c r="B8889" s="15"/>
      <c r="C8889" s="9"/>
      <c r="D8889" s="15"/>
      <c r="E8889" s="16"/>
      <c r="F8889" s="19"/>
      <c r="G8889" s="20"/>
      <c r="H8889" s="19"/>
    </row>
    <row r="8890">
      <c r="A8890" s="9"/>
      <c r="B8890" s="15"/>
      <c r="C8890" s="9"/>
      <c r="D8890" s="15"/>
      <c r="E8890" s="16"/>
      <c r="F8890" s="19"/>
      <c r="G8890" s="20"/>
      <c r="H8890" s="19"/>
    </row>
    <row r="8891">
      <c r="A8891" s="9"/>
      <c r="B8891" s="15"/>
      <c r="C8891" s="9"/>
      <c r="D8891" s="15"/>
      <c r="E8891" s="16"/>
      <c r="F8891" s="19"/>
      <c r="G8891" s="20"/>
      <c r="H8891" s="19"/>
    </row>
    <row r="8892">
      <c r="A8892" s="9"/>
      <c r="B8892" s="15"/>
      <c r="C8892" s="9"/>
      <c r="D8892" s="15"/>
      <c r="E8892" s="16"/>
      <c r="F8892" s="19"/>
      <c r="G8892" s="20"/>
      <c r="H8892" s="19"/>
    </row>
    <row r="8893">
      <c r="A8893" s="9"/>
      <c r="B8893" s="15"/>
      <c r="C8893" s="9"/>
      <c r="D8893" s="15"/>
      <c r="E8893" s="16"/>
      <c r="F8893" s="19"/>
      <c r="G8893" s="20"/>
      <c r="H8893" s="19"/>
    </row>
    <row r="8894">
      <c r="A8894" s="9"/>
      <c r="B8894" s="15"/>
      <c r="C8894" s="9"/>
      <c r="D8894" s="15"/>
      <c r="E8894" s="16"/>
      <c r="F8894" s="19"/>
      <c r="G8894" s="20"/>
      <c r="H8894" s="19"/>
    </row>
    <row r="8895">
      <c r="A8895" s="9"/>
      <c r="B8895" s="15"/>
      <c r="C8895" s="9"/>
      <c r="D8895" s="15"/>
      <c r="E8895" s="16"/>
      <c r="F8895" s="19"/>
      <c r="G8895" s="20"/>
      <c r="H8895" s="19"/>
    </row>
    <row r="8896">
      <c r="A8896" s="9"/>
      <c r="B8896" s="15"/>
      <c r="C8896" s="9"/>
      <c r="D8896" s="15"/>
      <c r="E8896" s="16"/>
      <c r="F8896" s="19"/>
      <c r="G8896" s="20"/>
      <c r="H8896" s="19"/>
    </row>
    <row r="8897">
      <c r="A8897" s="9"/>
      <c r="B8897" s="15"/>
      <c r="C8897" s="9"/>
      <c r="D8897" s="15"/>
      <c r="E8897" s="16"/>
      <c r="F8897" s="19"/>
      <c r="G8897" s="20"/>
      <c r="H8897" s="19"/>
    </row>
    <row r="8898">
      <c r="A8898" s="9"/>
      <c r="B8898" s="15"/>
      <c r="C8898" s="9"/>
      <c r="D8898" s="15"/>
      <c r="E8898" s="16"/>
      <c r="F8898" s="19"/>
      <c r="G8898" s="20"/>
      <c r="H8898" s="19"/>
    </row>
    <row r="8899">
      <c r="A8899" s="9"/>
      <c r="B8899" s="15"/>
      <c r="C8899" s="9"/>
      <c r="D8899" s="15"/>
      <c r="E8899" s="16"/>
      <c r="F8899" s="19"/>
      <c r="G8899" s="20"/>
      <c r="H8899" s="19"/>
    </row>
    <row r="8900">
      <c r="A8900" s="9"/>
      <c r="B8900" s="15"/>
      <c r="C8900" s="9"/>
      <c r="D8900" s="15"/>
      <c r="E8900" s="16"/>
      <c r="F8900" s="19"/>
      <c r="G8900" s="20"/>
      <c r="H8900" s="19"/>
    </row>
    <row r="8901">
      <c r="A8901" s="9"/>
      <c r="B8901" s="15"/>
      <c r="C8901" s="9"/>
      <c r="D8901" s="15"/>
      <c r="E8901" s="16"/>
      <c r="F8901" s="19"/>
      <c r="G8901" s="20"/>
      <c r="H8901" s="19"/>
    </row>
    <row r="8902">
      <c r="A8902" s="9"/>
      <c r="B8902" s="15"/>
      <c r="C8902" s="9"/>
      <c r="D8902" s="15"/>
      <c r="E8902" s="16"/>
      <c r="F8902" s="19"/>
      <c r="G8902" s="20"/>
      <c r="H8902" s="19"/>
    </row>
    <row r="8903">
      <c r="A8903" s="9"/>
      <c r="B8903" s="15"/>
      <c r="C8903" s="9"/>
      <c r="D8903" s="15"/>
      <c r="E8903" s="16"/>
      <c r="F8903" s="19"/>
      <c r="G8903" s="20"/>
      <c r="H8903" s="19"/>
    </row>
    <row r="8904">
      <c r="A8904" s="9"/>
      <c r="B8904" s="15"/>
      <c r="C8904" s="9"/>
      <c r="D8904" s="15"/>
      <c r="E8904" s="16"/>
      <c r="F8904" s="19"/>
      <c r="G8904" s="20"/>
      <c r="H8904" s="19"/>
    </row>
    <row r="8905">
      <c r="A8905" s="9"/>
      <c r="B8905" s="15"/>
      <c r="C8905" s="9"/>
      <c r="D8905" s="15"/>
      <c r="E8905" s="16"/>
      <c r="F8905" s="19"/>
      <c r="G8905" s="20"/>
      <c r="H8905" s="19"/>
    </row>
    <row r="8906">
      <c r="A8906" s="9"/>
      <c r="B8906" s="15"/>
      <c r="C8906" s="9"/>
      <c r="D8906" s="15"/>
      <c r="E8906" s="16"/>
      <c r="F8906" s="19"/>
      <c r="G8906" s="20"/>
      <c r="H8906" s="19"/>
    </row>
    <row r="8907">
      <c r="A8907" s="9"/>
      <c r="B8907" s="15"/>
      <c r="C8907" s="9"/>
      <c r="D8907" s="15"/>
      <c r="E8907" s="16"/>
      <c r="F8907" s="19"/>
      <c r="G8907" s="20"/>
      <c r="H8907" s="19"/>
    </row>
    <row r="8908">
      <c r="A8908" s="9"/>
      <c r="B8908" s="15"/>
      <c r="C8908" s="9"/>
      <c r="D8908" s="15"/>
      <c r="E8908" s="16"/>
      <c r="F8908" s="19"/>
      <c r="G8908" s="20"/>
      <c r="H8908" s="19"/>
    </row>
    <row r="8909">
      <c r="A8909" s="9"/>
      <c r="B8909" s="15"/>
      <c r="C8909" s="9"/>
      <c r="D8909" s="15"/>
      <c r="E8909" s="16"/>
      <c r="F8909" s="19"/>
      <c r="G8909" s="20"/>
      <c r="H8909" s="19"/>
    </row>
    <row r="8910">
      <c r="A8910" s="9"/>
      <c r="B8910" s="15"/>
      <c r="C8910" s="9"/>
      <c r="D8910" s="15"/>
      <c r="E8910" s="16"/>
      <c r="F8910" s="19"/>
      <c r="G8910" s="20"/>
      <c r="H8910" s="19"/>
    </row>
    <row r="8911">
      <c r="A8911" s="9"/>
      <c r="B8911" s="15"/>
      <c r="C8911" s="9"/>
      <c r="D8911" s="15"/>
      <c r="E8911" s="16"/>
      <c r="F8911" s="19"/>
      <c r="G8911" s="20"/>
      <c r="H8911" s="19"/>
    </row>
    <row r="8912">
      <c r="A8912" s="9"/>
      <c r="B8912" s="15"/>
      <c r="C8912" s="9"/>
      <c r="D8912" s="15"/>
      <c r="E8912" s="16"/>
      <c r="F8912" s="19"/>
      <c r="G8912" s="20"/>
      <c r="H8912" s="19"/>
    </row>
    <row r="8913">
      <c r="A8913" s="9"/>
      <c r="B8913" s="15"/>
      <c r="C8913" s="9"/>
      <c r="D8913" s="15"/>
      <c r="E8913" s="16"/>
      <c r="F8913" s="19"/>
      <c r="G8913" s="20"/>
      <c r="H8913" s="19"/>
    </row>
    <row r="8914">
      <c r="A8914" s="9"/>
      <c r="B8914" s="15"/>
      <c r="C8914" s="9"/>
      <c r="D8914" s="15"/>
      <c r="E8914" s="16"/>
      <c r="F8914" s="19"/>
      <c r="G8914" s="20"/>
      <c r="H8914" s="19"/>
    </row>
    <row r="8915">
      <c r="A8915" s="9"/>
      <c r="B8915" s="15"/>
      <c r="C8915" s="9"/>
      <c r="D8915" s="15"/>
      <c r="E8915" s="16"/>
      <c r="F8915" s="19"/>
      <c r="G8915" s="20"/>
      <c r="H8915" s="19"/>
    </row>
    <row r="8916">
      <c r="A8916" s="9"/>
      <c r="B8916" s="15"/>
      <c r="C8916" s="9"/>
      <c r="D8916" s="15"/>
      <c r="E8916" s="16"/>
      <c r="F8916" s="19"/>
      <c r="G8916" s="20"/>
      <c r="H8916" s="19"/>
    </row>
    <row r="8917">
      <c r="A8917" s="9"/>
      <c r="B8917" s="15"/>
      <c r="C8917" s="9"/>
      <c r="D8917" s="15"/>
      <c r="E8917" s="16"/>
      <c r="F8917" s="19"/>
      <c r="G8917" s="20"/>
      <c r="H8917" s="19"/>
    </row>
    <row r="8918">
      <c r="A8918" s="9"/>
      <c r="B8918" s="15"/>
      <c r="C8918" s="9"/>
      <c r="D8918" s="15"/>
      <c r="E8918" s="16"/>
      <c r="F8918" s="19"/>
      <c r="G8918" s="20"/>
      <c r="H8918" s="19"/>
    </row>
    <row r="8919">
      <c r="A8919" s="9"/>
      <c r="B8919" s="15"/>
      <c r="C8919" s="9"/>
      <c r="D8919" s="15"/>
      <c r="E8919" s="16"/>
      <c r="F8919" s="19"/>
      <c r="G8919" s="20"/>
      <c r="H8919" s="19"/>
    </row>
    <row r="8920">
      <c r="A8920" s="9"/>
      <c r="B8920" s="15"/>
      <c r="C8920" s="9"/>
      <c r="D8920" s="15"/>
      <c r="E8920" s="16"/>
      <c r="F8920" s="19"/>
      <c r="G8920" s="20"/>
      <c r="H8920" s="19"/>
    </row>
    <row r="8921">
      <c r="A8921" s="9"/>
      <c r="B8921" s="15"/>
      <c r="C8921" s="9"/>
      <c r="D8921" s="15"/>
      <c r="E8921" s="16"/>
      <c r="F8921" s="19"/>
      <c r="G8921" s="20"/>
      <c r="H8921" s="19"/>
    </row>
    <row r="8922">
      <c r="A8922" s="9"/>
      <c r="B8922" s="15"/>
      <c r="C8922" s="9"/>
      <c r="D8922" s="15"/>
      <c r="E8922" s="16"/>
      <c r="F8922" s="19"/>
      <c r="G8922" s="20"/>
      <c r="H8922" s="19"/>
    </row>
    <row r="8923">
      <c r="A8923" s="9"/>
      <c r="B8923" s="15"/>
      <c r="C8923" s="9"/>
      <c r="D8923" s="15"/>
      <c r="E8923" s="16"/>
      <c r="F8923" s="19"/>
      <c r="G8923" s="20"/>
      <c r="H8923" s="19"/>
    </row>
    <row r="8924">
      <c r="A8924" s="9"/>
      <c r="B8924" s="15"/>
      <c r="C8924" s="9"/>
      <c r="D8924" s="15"/>
      <c r="E8924" s="16"/>
      <c r="F8924" s="19"/>
      <c r="G8924" s="20"/>
      <c r="H8924" s="19"/>
    </row>
    <row r="8925">
      <c r="A8925" s="9"/>
      <c r="B8925" s="15"/>
      <c r="C8925" s="9"/>
      <c r="D8925" s="15"/>
      <c r="E8925" s="16"/>
      <c r="F8925" s="19"/>
      <c r="G8925" s="20"/>
      <c r="H8925" s="19"/>
    </row>
    <row r="8926">
      <c r="A8926" s="9"/>
      <c r="B8926" s="15"/>
      <c r="C8926" s="9"/>
      <c r="D8926" s="15"/>
      <c r="E8926" s="16"/>
      <c r="F8926" s="19"/>
      <c r="G8926" s="20"/>
      <c r="H8926" s="19"/>
    </row>
    <row r="8927">
      <c r="A8927" s="9"/>
      <c r="B8927" s="15"/>
      <c r="C8927" s="9"/>
      <c r="D8927" s="15"/>
      <c r="E8927" s="16"/>
      <c r="F8927" s="19"/>
      <c r="G8927" s="20"/>
      <c r="H8927" s="19"/>
    </row>
    <row r="8928">
      <c r="A8928" s="9"/>
      <c r="B8928" s="15"/>
      <c r="C8928" s="9"/>
      <c r="D8928" s="15"/>
      <c r="E8928" s="16"/>
      <c r="F8928" s="19"/>
      <c r="G8928" s="20"/>
      <c r="H8928" s="19"/>
    </row>
    <row r="8929">
      <c r="A8929" s="9"/>
      <c r="B8929" s="15"/>
      <c r="C8929" s="9"/>
      <c r="D8929" s="15"/>
      <c r="E8929" s="16"/>
      <c r="F8929" s="19"/>
      <c r="G8929" s="20"/>
      <c r="H8929" s="19"/>
    </row>
    <row r="8930">
      <c r="A8930" s="9"/>
      <c r="B8930" s="15"/>
      <c r="C8930" s="9"/>
      <c r="D8930" s="15"/>
      <c r="E8930" s="16"/>
      <c r="F8930" s="19"/>
      <c r="G8930" s="20"/>
      <c r="H8930" s="19"/>
    </row>
    <row r="8931">
      <c r="A8931" s="9"/>
      <c r="B8931" s="15"/>
      <c r="C8931" s="9"/>
      <c r="D8931" s="15"/>
      <c r="E8931" s="16"/>
      <c r="F8931" s="19"/>
      <c r="G8931" s="20"/>
      <c r="H8931" s="19"/>
    </row>
    <row r="8932">
      <c r="A8932" s="9"/>
      <c r="B8932" s="15"/>
      <c r="C8932" s="9"/>
      <c r="D8932" s="15"/>
      <c r="E8932" s="16"/>
      <c r="F8932" s="19"/>
      <c r="G8932" s="20"/>
      <c r="H8932" s="19"/>
    </row>
    <row r="8933">
      <c r="A8933" s="9"/>
      <c r="B8933" s="15"/>
      <c r="C8933" s="9"/>
      <c r="D8933" s="15"/>
      <c r="E8933" s="16"/>
      <c r="F8933" s="19"/>
      <c r="G8933" s="20"/>
      <c r="H8933" s="19"/>
    </row>
    <row r="8934">
      <c r="A8934" s="9"/>
      <c r="B8934" s="15"/>
      <c r="C8934" s="9"/>
      <c r="D8934" s="15"/>
      <c r="E8934" s="16"/>
      <c r="F8934" s="19"/>
      <c r="G8934" s="20"/>
      <c r="H8934" s="19"/>
    </row>
    <row r="8935">
      <c r="A8935" s="9"/>
      <c r="B8935" s="15"/>
      <c r="C8935" s="9"/>
      <c r="D8935" s="15"/>
      <c r="E8935" s="16"/>
      <c r="F8935" s="19"/>
      <c r="G8935" s="20"/>
      <c r="H8935" s="19"/>
    </row>
    <row r="8936">
      <c r="A8936" s="9"/>
      <c r="B8936" s="15"/>
      <c r="C8936" s="9"/>
      <c r="D8936" s="15"/>
      <c r="E8936" s="16"/>
      <c r="F8936" s="19"/>
      <c r="G8936" s="20"/>
      <c r="H8936" s="19"/>
    </row>
    <row r="8937">
      <c r="A8937" s="9"/>
      <c r="B8937" s="15"/>
      <c r="C8937" s="9"/>
      <c r="D8937" s="15"/>
      <c r="E8937" s="16"/>
      <c r="F8937" s="19"/>
      <c r="G8937" s="20"/>
      <c r="H8937" s="19"/>
    </row>
    <row r="8938">
      <c r="A8938" s="9"/>
      <c r="B8938" s="15"/>
      <c r="C8938" s="9"/>
      <c r="D8938" s="15"/>
      <c r="E8938" s="16"/>
      <c r="F8938" s="19"/>
      <c r="G8938" s="20"/>
      <c r="H8938" s="19"/>
    </row>
    <row r="8939">
      <c r="A8939" s="9"/>
      <c r="B8939" s="15"/>
      <c r="C8939" s="9"/>
      <c r="D8939" s="15"/>
      <c r="E8939" s="16"/>
      <c r="F8939" s="19"/>
      <c r="G8939" s="20"/>
      <c r="H8939" s="19"/>
    </row>
    <row r="8940">
      <c r="A8940" s="9"/>
      <c r="B8940" s="15"/>
      <c r="C8940" s="9"/>
      <c r="D8940" s="15"/>
      <c r="E8940" s="16"/>
      <c r="F8940" s="19"/>
      <c r="G8940" s="20"/>
      <c r="H8940" s="19"/>
    </row>
    <row r="8941">
      <c r="A8941" s="9"/>
      <c r="B8941" s="15"/>
      <c r="C8941" s="9"/>
      <c r="D8941" s="15"/>
      <c r="E8941" s="16"/>
      <c r="F8941" s="19"/>
      <c r="G8941" s="20"/>
      <c r="H8941" s="19"/>
    </row>
    <row r="8942">
      <c r="A8942" s="9"/>
      <c r="B8942" s="15"/>
      <c r="C8942" s="9"/>
      <c r="D8942" s="15"/>
      <c r="E8942" s="16"/>
      <c r="F8942" s="19"/>
      <c r="G8942" s="20"/>
      <c r="H8942" s="19"/>
    </row>
    <row r="8943">
      <c r="A8943" s="9"/>
      <c r="B8943" s="15"/>
      <c r="C8943" s="9"/>
      <c r="D8943" s="15"/>
      <c r="E8943" s="16"/>
      <c r="F8943" s="19"/>
      <c r="G8943" s="20"/>
      <c r="H8943" s="19"/>
    </row>
    <row r="8944">
      <c r="A8944" s="9"/>
      <c r="B8944" s="15"/>
      <c r="C8944" s="9"/>
      <c r="D8944" s="15"/>
      <c r="E8944" s="16"/>
      <c r="F8944" s="19"/>
      <c r="G8944" s="20"/>
      <c r="H8944" s="19"/>
    </row>
    <row r="8945">
      <c r="A8945" s="9"/>
      <c r="B8945" s="15"/>
      <c r="C8945" s="9"/>
      <c r="D8945" s="15"/>
      <c r="E8945" s="16"/>
      <c r="F8945" s="19"/>
      <c r="G8945" s="20"/>
      <c r="H8945" s="19"/>
    </row>
    <row r="8946">
      <c r="A8946" s="9"/>
      <c r="B8946" s="15"/>
      <c r="C8946" s="9"/>
      <c r="D8946" s="15"/>
      <c r="E8946" s="16"/>
      <c r="F8946" s="19"/>
      <c r="G8946" s="20"/>
      <c r="H8946" s="19"/>
    </row>
    <row r="8947">
      <c r="A8947" s="9"/>
      <c r="B8947" s="15"/>
      <c r="C8947" s="9"/>
      <c r="D8947" s="15"/>
      <c r="E8947" s="16"/>
      <c r="F8947" s="19"/>
      <c r="G8947" s="20"/>
      <c r="H8947" s="19"/>
    </row>
    <row r="8948">
      <c r="A8948" s="9"/>
      <c r="B8948" s="15"/>
      <c r="C8948" s="9"/>
      <c r="D8948" s="15"/>
      <c r="E8948" s="16"/>
      <c r="F8948" s="19"/>
      <c r="G8948" s="20"/>
      <c r="H8948" s="19"/>
    </row>
    <row r="8949">
      <c r="A8949" s="9"/>
      <c r="B8949" s="15"/>
      <c r="C8949" s="9"/>
      <c r="D8949" s="15"/>
      <c r="E8949" s="16"/>
      <c r="F8949" s="19"/>
      <c r="G8949" s="20"/>
      <c r="H8949" s="19"/>
    </row>
    <row r="8950">
      <c r="A8950" s="9"/>
      <c r="B8950" s="15"/>
      <c r="C8950" s="9"/>
      <c r="D8950" s="15"/>
      <c r="E8950" s="16"/>
      <c r="F8950" s="19"/>
      <c r="G8950" s="20"/>
      <c r="H8950" s="19"/>
    </row>
    <row r="8951">
      <c r="A8951" s="9"/>
      <c r="B8951" s="15"/>
      <c r="C8951" s="9"/>
      <c r="D8951" s="15"/>
      <c r="E8951" s="16"/>
      <c r="F8951" s="19"/>
      <c r="G8951" s="20"/>
      <c r="H8951" s="19"/>
    </row>
    <row r="8952">
      <c r="A8952" s="9"/>
      <c r="B8952" s="15"/>
      <c r="C8952" s="9"/>
      <c r="D8952" s="15"/>
      <c r="E8952" s="16"/>
      <c r="F8952" s="19"/>
      <c r="G8952" s="20"/>
      <c r="H8952" s="19"/>
    </row>
    <row r="8953">
      <c r="A8953" s="9"/>
      <c r="B8953" s="15"/>
      <c r="C8953" s="9"/>
      <c r="D8953" s="15"/>
      <c r="E8953" s="16"/>
      <c r="F8953" s="19"/>
      <c r="G8953" s="20"/>
      <c r="H8953" s="19"/>
    </row>
    <row r="8954">
      <c r="A8954" s="9"/>
      <c r="B8954" s="15"/>
      <c r="C8954" s="9"/>
      <c r="D8954" s="15"/>
      <c r="E8954" s="16"/>
      <c r="F8954" s="19"/>
      <c r="G8954" s="20"/>
      <c r="H8954" s="19"/>
    </row>
    <row r="8955">
      <c r="A8955" s="9"/>
      <c r="B8955" s="15"/>
      <c r="C8955" s="9"/>
      <c r="D8955" s="15"/>
      <c r="E8955" s="16"/>
      <c r="F8955" s="19"/>
      <c r="G8955" s="20"/>
      <c r="H8955" s="19"/>
    </row>
    <row r="8956">
      <c r="A8956" s="9"/>
      <c r="B8956" s="15"/>
      <c r="C8956" s="9"/>
      <c r="D8956" s="15"/>
      <c r="E8956" s="16"/>
      <c r="F8956" s="19"/>
      <c r="G8956" s="20"/>
      <c r="H8956" s="19"/>
    </row>
    <row r="8957">
      <c r="A8957" s="9"/>
      <c r="B8957" s="15"/>
      <c r="C8957" s="9"/>
      <c r="D8957" s="15"/>
      <c r="E8957" s="16"/>
      <c r="F8957" s="19"/>
      <c r="G8957" s="20"/>
      <c r="H8957" s="19"/>
    </row>
    <row r="8958">
      <c r="A8958" s="9"/>
      <c r="B8958" s="15"/>
      <c r="C8958" s="9"/>
      <c r="D8958" s="15"/>
      <c r="E8958" s="16"/>
      <c r="F8958" s="19"/>
      <c r="G8958" s="20"/>
      <c r="H8958" s="19"/>
    </row>
    <row r="8959">
      <c r="A8959" s="9"/>
      <c r="B8959" s="15"/>
      <c r="C8959" s="9"/>
      <c r="D8959" s="15"/>
      <c r="E8959" s="16"/>
      <c r="F8959" s="19"/>
      <c r="G8959" s="20"/>
      <c r="H8959" s="19"/>
    </row>
    <row r="8960">
      <c r="A8960" s="9"/>
      <c r="B8960" s="15"/>
      <c r="C8960" s="9"/>
      <c r="D8960" s="15"/>
      <c r="E8960" s="16"/>
      <c r="F8960" s="19"/>
      <c r="G8960" s="20"/>
      <c r="H8960" s="19"/>
    </row>
    <row r="8961">
      <c r="A8961" s="9"/>
      <c r="B8961" s="15"/>
      <c r="C8961" s="9"/>
      <c r="D8961" s="15"/>
      <c r="E8961" s="16"/>
      <c r="F8961" s="19"/>
      <c r="G8961" s="20"/>
      <c r="H8961" s="19"/>
    </row>
    <row r="8962">
      <c r="A8962" s="9"/>
      <c r="B8962" s="15"/>
      <c r="C8962" s="9"/>
      <c r="D8962" s="15"/>
      <c r="E8962" s="16"/>
      <c r="F8962" s="19"/>
      <c r="G8962" s="20"/>
      <c r="H8962" s="19"/>
    </row>
    <row r="8963">
      <c r="A8963" s="9"/>
      <c r="B8963" s="15"/>
      <c r="C8963" s="9"/>
      <c r="D8963" s="15"/>
      <c r="E8963" s="16"/>
      <c r="F8963" s="19"/>
      <c r="G8963" s="20"/>
      <c r="H8963" s="19"/>
    </row>
    <row r="8964">
      <c r="A8964" s="9"/>
      <c r="B8964" s="15"/>
      <c r="C8964" s="9"/>
      <c r="D8964" s="15"/>
      <c r="E8964" s="16"/>
      <c r="F8964" s="19"/>
      <c r="G8964" s="20"/>
      <c r="H8964" s="19"/>
    </row>
    <row r="8965">
      <c r="A8965" s="9"/>
      <c r="B8965" s="15"/>
      <c r="C8965" s="9"/>
      <c r="D8965" s="15"/>
      <c r="E8965" s="16"/>
      <c r="F8965" s="19"/>
      <c r="G8965" s="20"/>
      <c r="H8965" s="19"/>
    </row>
    <row r="8966">
      <c r="A8966" s="9"/>
      <c r="B8966" s="15"/>
      <c r="C8966" s="9"/>
      <c r="D8966" s="15"/>
      <c r="E8966" s="16"/>
      <c r="F8966" s="19"/>
      <c r="G8966" s="20"/>
      <c r="H8966" s="19"/>
    </row>
    <row r="8967">
      <c r="A8967" s="9"/>
      <c r="B8967" s="15"/>
      <c r="C8967" s="9"/>
      <c r="D8967" s="15"/>
      <c r="E8967" s="16"/>
      <c r="F8967" s="19"/>
      <c r="G8967" s="20"/>
      <c r="H8967" s="19"/>
    </row>
    <row r="8968">
      <c r="A8968" s="9"/>
      <c r="B8968" s="15"/>
      <c r="C8968" s="9"/>
      <c r="D8968" s="15"/>
      <c r="E8968" s="16"/>
      <c r="F8968" s="19"/>
      <c r="G8968" s="20"/>
      <c r="H8968" s="19"/>
    </row>
    <row r="8969">
      <c r="A8969" s="9"/>
      <c r="B8969" s="15"/>
      <c r="C8969" s="9"/>
      <c r="D8969" s="15"/>
      <c r="E8969" s="16"/>
      <c r="F8969" s="19"/>
      <c r="G8969" s="20"/>
      <c r="H8969" s="19"/>
    </row>
    <row r="8970">
      <c r="A8970" s="9"/>
      <c r="B8970" s="15"/>
      <c r="C8970" s="9"/>
      <c r="D8970" s="15"/>
      <c r="E8970" s="16"/>
      <c r="F8970" s="19"/>
      <c r="G8970" s="20"/>
      <c r="H8970" s="19"/>
    </row>
    <row r="8971">
      <c r="A8971" s="9"/>
      <c r="B8971" s="15"/>
      <c r="C8971" s="9"/>
      <c r="D8971" s="15"/>
      <c r="E8971" s="16"/>
      <c r="F8971" s="19"/>
      <c r="G8971" s="20"/>
      <c r="H8971" s="19"/>
    </row>
    <row r="8972">
      <c r="A8972" s="9"/>
      <c r="B8972" s="15"/>
      <c r="C8972" s="9"/>
      <c r="D8972" s="15"/>
      <c r="E8972" s="16"/>
      <c r="F8972" s="19"/>
      <c r="G8972" s="20"/>
      <c r="H8972" s="19"/>
    </row>
    <row r="8973">
      <c r="A8973" s="9"/>
      <c r="B8973" s="15"/>
      <c r="C8973" s="9"/>
      <c r="D8973" s="15"/>
      <c r="E8973" s="16"/>
      <c r="F8973" s="19"/>
      <c r="G8973" s="20"/>
      <c r="H8973" s="19"/>
    </row>
    <row r="8974">
      <c r="A8974" s="9"/>
      <c r="B8974" s="15"/>
      <c r="C8974" s="9"/>
      <c r="D8974" s="15"/>
      <c r="E8974" s="16"/>
      <c r="F8974" s="19"/>
      <c r="G8974" s="20"/>
      <c r="H8974" s="19"/>
    </row>
    <row r="8975">
      <c r="A8975" s="9"/>
      <c r="B8975" s="15"/>
      <c r="C8975" s="9"/>
      <c r="D8975" s="15"/>
      <c r="E8975" s="16"/>
      <c r="F8975" s="19"/>
      <c r="G8975" s="20"/>
      <c r="H8975" s="19"/>
    </row>
    <row r="8976">
      <c r="A8976" s="9"/>
      <c r="B8976" s="15"/>
      <c r="C8976" s="9"/>
      <c r="D8976" s="15"/>
      <c r="E8976" s="16"/>
      <c r="F8976" s="19"/>
      <c r="G8976" s="20"/>
      <c r="H8976" s="19"/>
    </row>
    <row r="8977">
      <c r="A8977" s="9"/>
      <c r="B8977" s="15"/>
      <c r="C8977" s="9"/>
      <c r="D8977" s="15"/>
      <c r="E8977" s="16"/>
      <c r="F8977" s="19"/>
      <c r="G8977" s="20"/>
      <c r="H8977" s="19"/>
    </row>
    <row r="8978">
      <c r="A8978" s="9"/>
      <c r="B8978" s="15"/>
      <c r="C8978" s="9"/>
      <c r="D8978" s="15"/>
      <c r="E8978" s="16"/>
      <c r="F8978" s="19"/>
      <c r="G8978" s="20"/>
      <c r="H8978" s="19"/>
    </row>
    <row r="8979">
      <c r="A8979" s="9"/>
      <c r="B8979" s="15"/>
      <c r="C8979" s="9"/>
      <c r="D8979" s="15"/>
      <c r="E8979" s="16"/>
      <c r="F8979" s="19"/>
      <c r="G8979" s="20"/>
      <c r="H8979" s="19"/>
    </row>
    <row r="8980">
      <c r="A8980" s="9"/>
      <c r="B8980" s="15"/>
      <c r="C8980" s="9"/>
      <c r="D8980" s="15"/>
      <c r="E8980" s="16"/>
      <c r="F8980" s="19"/>
      <c r="G8980" s="20"/>
      <c r="H8980" s="19"/>
    </row>
    <row r="8981">
      <c r="A8981" s="9"/>
      <c r="B8981" s="15"/>
      <c r="C8981" s="9"/>
      <c r="D8981" s="15"/>
      <c r="E8981" s="16"/>
      <c r="F8981" s="19"/>
      <c r="G8981" s="20"/>
      <c r="H8981" s="19"/>
    </row>
    <row r="8982">
      <c r="A8982" s="9"/>
      <c r="B8982" s="15"/>
      <c r="C8982" s="9"/>
      <c r="D8982" s="15"/>
      <c r="E8982" s="16"/>
      <c r="F8982" s="19"/>
      <c r="G8982" s="20"/>
      <c r="H8982" s="19"/>
    </row>
    <row r="8983">
      <c r="A8983" s="9"/>
      <c r="B8983" s="15"/>
      <c r="C8983" s="9"/>
      <c r="D8983" s="15"/>
      <c r="E8983" s="16"/>
      <c r="F8983" s="19"/>
      <c r="G8983" s="20"/>
      <c r="H8983" s="19"/>
    </row>
    <row r="8984">
      <c r="A8984" s="9"/>
      <c r="B8984" s="15"/>
      <c r="C8984" s="9"/>
      <c r="D8984" s="15"/>
      <c r="E8984" s="16"/>
      <c r="F8984" s="19"/>
      <c r="G8984" s="20"/>
      <c r="H8984" s="19"/>
    </row>
    <row r="8985">
      <c r="A8985" s="9"/>
      <c r="B8985" s="15"/>
      <c r="C8985" s="9"/>
      <c r="D8985" s="15"/>
      <c r="E8985" s="16"/>
      <c r="F8985" s="19"/>
      <c r="G8985" s="20"/>
      <c r="H8985" s="19"/>
    </row>
    <row r="8986">
      <c r="A8986" s="9"/>
      <c r="B8986" s="15"/>
      <c r="C8986" s="9"/>
      <c r="D8986" s="15"/>
      <c r="E8986" s="16"/>
      <c r="F8986" s="19"/>
      <c r="G8986" s="20"/>
      <c r="H8986" s="19"/>
    </row>
    <row r="8987">
      <c r="A8987" s="9"/>
      <c r="B8987" s="15"/>
      <c r="C8987" s="9"/>
      <c r="D8987" s="15"/>
      <c r="E8987" s="16"/>
      <c r="F8987" s="19"/>
      <c r="G8987" s="20"/>
      <c r="H8987" s="19"/>
    </row>
    <row r="8988">
      <c r="A8988" s="9"/>
      <c r="B8988" s="15"/>
      <c r="C8988" s="9"/>
      <c r="D8988" s="15"/>
      <c r="E8988" s="16"/>
      <c r="F8988" s="19"/>
      <c r="G8988" s="20"/>
      <c r="H8988" s="19"/>
    </row>
    <row r="8989">
      <c r="A8989" s="9"/>
      <c r="B8989" s="15"/>
      <c r="C8989" s="9"/>
      <c r="D8989" s="15"/>
      <c r="E8989" s="16"/>
      <c r="F8989" s="19"/>
      <c r="G8989" s="20"/>
      <c r="H8989" s="19"/>
    </row>
    <row r="8990">
      <c r="A8990" s="9"/>
      <c r="B8990" s="15"/>
      <c r="C8990" s="9"/>
      <c r="D8990" s="15"/>
      <c r="E8990" s="16"/>
      <c r="F8990" s="19"/>
      <c r="G8990" s="20"/>
      <c r="H8990" s="19"/>
    </row>
    <row r="8991">
      <c r="A8991" s="9"/>
      <c r="B8991" s="15"/>
      <c r="C8991" s="9"/>
      <c r="D8991" s="15"/>
      <c r="E8991" s="16"/>
      <c r="F8991" s="19"/>
      <c r="G8991" s="20"/>
      <c r="H8991" s="19"/>
    </row>
    <row r="8992">
      <c r="A8992" s="9"/>
      <c r="B8992" s="15"/>
      <c r="C8992" s="9"/>
      <c r="D8992" s="15"/>
      <c r="E8992" s="16"/>
      <c r="F8992" s="19"/>
      <c r="G8992" s="20"/>
      <c r="H8992" s="19"/>
    </row>
    <row r="8993">
      <c r="A8993" s="9"/>
      <c r="B8993" s="15"/>
      <c r="C8993" s="9"/>
      <c r="D8993" s="15"/>
      <c r="E8993" s="16"/>
      <c r="F8993" s="19"/>
      <c r="G8993" s="20"/>
      <c r="H8993" s="19"/>
    </row>
    <row r="8994">
      <c r="A8994" s="9"/>
      <c r="B8994" s="15"/>
      <c r="C8994" s="9"/>
      <c r="D8994" s="15"/>
      <c r="E8994" s="16"/>
      <c r="F8994" s="19"/>
      <c r="G8994" s="20"/>
      <c r="H8994" s="19"/>
    </row>
    <row r="8995">
      <c r="A8995" s="9"/>
      <c r="B8995" s="15"/>
      <c r="C8995" s="9"/>
      <c r="D8995" s="15"/>
      <c r="E8995" s="16"/>
      <c r="F8995" s="19"/>
      <c r="G8995" s="20"/>
      <c r="H8995" s="19"/>
    </row>
    <row r="8996">
      <c r="A8996" s="9"/>
      <c r="B8996" s="15"/>
      <c r="C8996" s="9"/>
      <c r="D8996" s="15"/>
      <c r="E8996" s="16"/>
      <c r="F8996" s="19"/>
      <c r="G8996" s="20"/>
      <c r="H8996" s="19"/>
    </row>
    <row r="8997">
      <c r="A8997" s="9"/>
      <c r="B8997" s="15"/>
      <c r="C8997" s="9"/>
      <c r="D8997" s="15"/>
      <c r="E8997" s="16"/>
      <c r="F8997" s="19"/>
      <c r="G8997" s="20"/>
      <c r="H8997" s="19"/>
    </row>
    <row r="8998">
      <c r="A8998" s="9"/>
      <c r="B8998" s="15"/>
      <c r="C8998" s="9"/>
      <c r="D8998" s="15"/>
      <c r="E8998" s="16"/>
      <c r="F8998" s="19"/>
      <c r="G8998" s="20"/>
      <c r="H8998" s="19"/>
    </row>
    <row r="8999">
      <c r="A8999" s="9"/>
      <c r="B8999" s="15"/>
      <c r="C8999" s="9"/>
      <c r="D8999" s="15"/>
      <c r="E8999" s="16"/>
      <c r="F8999" s="19"/>
      <c r="G8999" s="20"/>
      <c r="H8999" s="19"/>
    </row>
    <row r="9000">
      <c r="A9000" s="9"/>
      <c r="B9000" s="15"/>
      <c r="C9000" s="9"/>
      <c r="D9000" s="15"/>
      <c r="E9000" s="16"/>
      <c r="F9000" s="19"/>
      <c r="G9000" s="20"/>
      <c r="H9000" s="19"/>
    </row>
    <row r="9001">
      <c r="A9001" s="9"/>
      <c r="B9001" s="15"/>
      <c r="C9001" s="9"/>
      <c r="D9001" s="15"/>
      <c r="E9001" s="16"/>
      <c r="F9001" s="19"/>
      <c r="G9001" s="20"/>
      <c r="H9001" s="19"/>
    </row>
    <row r="9002">
      <c r="A9002" s="9"/>
      <c r="B9002" s="15"/>
      <c r="C9002" s="9"/>
      <c r="D9002" s="15"/>
      <c r="E9002" s="16"/>
      <c r="F9002" s="19"/>
      <c r="G9002" s="20"/>
      <c r="H9002" s="19"/>
    </row>
    <row r="9003">
      <c r="A9003" s="9"/>
      <c r="B9003" s="15"/>
      <c r="C9003" s="9"/>
      <c r="D9003" s="15"/>
      <c r="E9003" s="16"/>
      <c r="F9003" s="19"/>
      <c r="G9003" s="20"/>
      <c r="H9003" s="19"/>
    </row>
    <row r="9004">
      <c r="A9004" s="9"/>
      <c r="B9004" s="15"/>
      <c r="C9004" s="9"/>
      <c r="D9004" s="15"/>
      <c r="E9004" s="16"/>
      <c r="F9004" s="19"/>
      <c r="G9004" s="20"/>
      <c r="H9004" s="19"/>
    </row>
    <row r="9005">
      <c r="A9005" s="9"/>
      <c r="B9005" s="15"/>
      <c r="C9005" s="9"/>
      <c r="D9005" s="15"/>
      <c r="E9005" s="16"/>
      <c r="F9005" s="19"/>
      <c r="G9005" s="20"/>
      <c r="H9005" s="19"/>
    </row>
    <row r="9006">
      <c r="A9006" s="9"/>
      <c r="B9006" s="15"/>
      <c r="C9006" s="9"/>
      <c r="D9006" s="15"/>
      <c r="E9006" s="16"/>
      <c r="F9006" s="19"/>
      <c r="G9006" s="20"/>
      <c r="H9006" s="19"/>
    </row>
    <row r="9007">
      <c r="A9007" s="9"/>
      <c r="B9007" s="15"/>
      <c r="C9007" s="9"/>
      <c r="D9007" s="15"/>
      <c r="E9007" s="16"/>
      <c r="F9007" s="19"/>
      <c r="G9007" s="20"/>
      <c r="H9007" s="19"/>
    </row>
    <row r="9008">
      <c r="A9008" s="9"/>
      <c r="B9008" s="15"/>
      <c r="C9008" s="9"/>
      <c r="D9008" s="15"/>
      <c r="E9008" s="16"/>
      <c r="F9008" s="19"/>
      <c r="G9008" s="20"/>
      <c r="H9008" s="19"/>
    </row>
    <row r="9009">
      <c r="A9009" s="9"/>
      <c r="B9009" s="15"/>
      <c r="C9009" s="9"/>
      <c r="D9009" s="15"/>
      <c r="E9009" s="16"/>
      <c r="F9009" s="19"/>
      <c r="G9009" s="20"/>
      <c r="H9009" s="19"/>
    </row>
    <row r="9010">
      <c r="A9010" s="9"/>
      <c r="B9010" s="15"/>
      <c r="C9010" s="9"/>
      <c r="D9010" s="15"/>
      <c r="E9010" s="16"/>
      <c r="F9010" s="19"/>
      <c r="G9010" s="20"/>
      <c r="H9010" s="19"/>
    </row>
    <row r="9011">
      <c r="A9011" s="9"/>
      <c r="B9011" s="15"/>
      <c r="C9011" s="9"/>
      <c r="D9011" s="15"/>
      <c r="E9011" s="16"/>
      <c r="F9011" s="19"/>
      <c r="G9011" s="20"/>
      <c r="H9011" s="19"/>
    </row>
    <row r="9012">
      <c r="A9012" s="9"/>
      <c r="B9012" s="15"/>
      <c r="C9012" s="9"/>
      <c r="D9012" s="15"/>
      <c r="E9012" s="16"/>
      <c r="F9012" s="19"/>
      <c r="G9012" s="20"/>
      <c r="H9012" s="19"/>
    </row>
    <row r="9013">
      <c r="A9013" s="9"/>
      <c r="B9013" s="15"/>
      <c r="C9013" s="9"/>
      <c r="D9013" s="15"/>
      <c r="E9013" s="16"/>
      <c r="F9013" s="19"/>
      <c r="G9013" s="20"/>
      <c r="H9013" s="19"/>
    </row>
    <row r="9014">
      <c r="A9014" s="9"/>
      <c r="B9014" s="15"/>
      <c r="C9014" s="9"/>
      <c r="D9014" s="15"/>
      <c r="E9014" s="16"/>
      <c r="F9014" s="19"/>
      <c r="G9014" s="20"/>
      <c r="H9014" s="19"/>
    </row>
    <row r="9015">
      <c r="A9015" s="9"/>
      <c r="B9015" s="15"/>
      <c r="C9015" s="9"/>
      <c r="D9015" s="15"/>
      <c r="E9015" s="16"/>
      <c r="F9015" s="19"/>
      <c r="G9015" s="20"/>
      <c r="H9015" s="19"/>
    </row>
    <row r="9016">
      <c r="A9016" s="9"/>
      <c r="B9016" s="15"/>
      <c r="C9016" s="9"/>
      <c r="D9016" s="15"/>
      <c r="E9016" s="16"/>
      <c r="F9016" s="19"/>
      <c r="G9016" s="20"/>
      <c r="H9016" s="19"/>
    </row>
    <row r="9017">
      <c r="A9017" s="9"/>
      <c r="B9017" s="15"/>
      <c r="C9017" s="9"/>
      <c r="D9017" s="15"/>
      <c r="E9017" s="16"/>
      <c r="F9017" s="19"/>
      <c r="G9017" s="20"/>
      <c r="H9017" s="19"/>
    </row>
    <row r="9018">
      <c r="A9018" s="9"/>
      <c r="B9018" s="15"/>
      <c r="C9018" s="9"/>
      <c r="D9018" s="15"/>
      <c r="E9018" s="16"/>
      <c r="F9018" s="19"/>
      <c r="G9018" s="20"/>
      <c r="H9018" s="19"/>
    </row>
    <row r="9019">
      <c r="A9019" s="9"/>
      <c r="B9019" s="15"/>
      <c r="C9019" s="9"/>
      <c r="D9019" s="15"/>
      <c r="E9019" s="16"/>
      <c r="F9019" s="19"/>
      <c r="G9019" s="20"/>
      <c r="H9019" s="19"/>
    </row>
    <row r="9020">
      <c r="A9020" s="9"/>
      <c r="B9020" s="15"/>
      <c r="C9020" s="9"/>
      <c r="D9020" s="15"/>
      <c r="E9020" s="16"/>
      <c r="F9020" s="19"/>
      <c r="G9020" s="20"/>
      <c r="H9020" s="19"/>
    </row>
    <row r="9021">
      <c r="A9021" s="9"/>
      <c r="B9021" s="15"/>
      <c r="C9021" s="9"/>
      <c r="D9021" s="15"/>
      <c r="E9021" s="16"/>
      <c r="F9021" s="19"/>
      <c r="G9021" s="20"/>
      <c r="H9021" s="19"/>
    </row>
    <row r="9022">
      <c r="A9022" s="9"/>
      <c r="B9022" s="15"/>
      <c r="C9022" s="9"/>
      <c r="D9022" s="15"/>
      <c r="E9022" s="16"/>
      <c r="F9022" s="19"/>
      <c r="G9022" s="20"/>
      <c r="H9022" s="19"/>
    </row>
    <row r="9023">
      <c r="A9023" s="9"/>
      <c r="B9023" s="15"/>
      <c r="C9023" s="9"/>
      <c r="D9023" s="15"/>
      <c r="E9023" s="16"/>
      <c r="F9023" s="19"/>
      <c r="G9023" s="20"/>
      <c r="H9023" s="19"/>
    </row>
    <row r="9024">
      <c r="A9024" s="9"/>
      <c r="B9024" s="15"/>
      <c r="C9024" s="9"/>
      <c r="D9024" s="15"/>
      <c r="E9024" s="16"/>
      <c r="F9024" s="19"/>
      <c r="G9024" s="20"/>
      <c r="H9024" s="19"/>
    </row>
    <row r="9025">
      <c r="A9025" s="9"/>
      <c r="B9025" s="15"/>
      <c r="C9025" s="9"/>
      <c r="D9025" s="15"/>
      <c r="E9025" s="16"/>
      <c r="F9025" s="19"/>
      <c r="G9025" s="20"/>
      <c r="H9025" s="19"/>
    </row>
    <row r="9026">
      <c r="A9026" s="9"/>
      <c r="B9026" s="15"/>
      <c r="C9026" s="9"/>
      <c r="D9026" s="15"/>
      <c r="E9026" s="16"/>
      <c r="F9026" s="19"/>
      <c r="G9026" s="20"/>
      <c r="H9026" s="19"/>
    </row>
    <row r="9027">
      <c r="A9027" s="9"/>
      <c r="B9027" s="15"/>
      <c r="C9027" s="9"/>
      <c r="D9027" s="15"/>
      <c r="E9027" s="16"/>
      <c r="F9027" s="19"/>
      <c r="G9027" s="20"/>
      <c r="H9027" s="19"/>
    </row>
    <row r="9028">
      <c r="A9028" s="9"/>
      <c r="B9028" s="15"/>
      <c r="C9028" s="9"/>
      <c r="D9028" s="15"/>
      <c r="E9028" s="16"/>
      <c r="F9028" s="19"/>
      <c r="G9028" s="20"/>
      <c r="H9028" s="19"/>
    </row>
    <row r="9029">
      <c r="A9029" s="9"/>
      <c r="B9029" s="15"/>
      <c r="C9029" s="9"/>
      <c r="D9029" s="15"/>
      <c r="E9029" s="16"/>
      <c r="F9029" s="19"/>
      <c r="G9029" s="20"/>
      <c r="H9029" s="19"/>
    </row>
    <row r="9030">
      <c r="A9030" s="9"/>
      <c r="B9030" s="15"/>
      <c r="C9030" s="9"/>
      <c r="D9030" s="15"/>
      <c r="E9030" s="16"/>
      <c r="F9030" s="19"/>
      <c r="G9030" s="20"/>
      <c r="H9030" s="19"/>
    </row>
    <row r="9031">
      <c r="A9031" s="9"/>
      <c r="B9031" s="15"/>
      <c r="C9031" s="9"/>
      <c r="D9031" s="15"/>
      <c r="E9031" s="16"/>
      <c r="F9031" s="19"/>
      <c r="G9031" s="20"/>
      <c r="H9031" s="19"/>
    </row>
    <row r="9032">
      <c r="A9032" s="9"/>
      <c r="B9032" s="15"/>
      <c r="C9032" s="9"/>
      <c r="D9032" s="15"/>
      <c r="E9032" s="16"/>
      <c r="F9032" s="19"/>
      <c r="G9032" s="20"/>
      <c r="H9032" s="19"/>
    </row>
    <row r="9033">
      <c r="A9033" s="9"/>
      <c r="B9033" s="15"/>
      <c r="C9033" s="9"/>
      <c r="D9033" s="15"/>
      <c r="E9033" s="16"/>
      <c r="F9033" s="19"/>
      <c r="G9033" s="20"/>
      <c r="H9033" s="19"/>
    </row>
    <row r="9034">
      <c r="A9034" s="9"/>
      <c r="B9034" s="15"/>
      <c r="C9034" s="9"/>
      <c r="D9034" s="15"/>
      <c r="E9034" s="16"/>
      <c r="F9034" s="19"/>
      <c r="G9034" s="20"/>
      <c r="H9034" s="19"/>
    </row>
    <row r="9035">
      <c r="A9035" s="9"/>
      <c r="B9035" s="15"/>
      <c r="C9035" s="9"/>
      <c r="D9035" s="15"/>
      <c r="E9035" s="16"/>
      <c r="F9035" s="19"/>
      <c r="G9035" s="20"/>
      <c r="H9035" s="19"/>
    </row>
    <row r="9036">
      <c r="A9036" s="9"/>
      <c r="B9036" s="15"/>
      <c r="C9036" s="9"/>
      <c r="D9036" s="15"/>
      <c r="E9036" s="16"/>
      <c r="F9036" s="19"/>
      <c r="G9036" s="20"/>
      <c r="H9036" s="19"/>
    </row>
    <row r="9037">
      <c r="A9037" s="9"/>
      <c r="B9037" s="15"/>
      <c r="C9037" s="9"/>
      <c r="D9037" s="15"/>
      <c r="E9037" s="16"/>
      <c r="F9037" s="19"/>
      <c r="G9037" s="20"/>
      <c r="H9037" s="19"/>
    </row>
    <row r="9038">
      <c r="A9038" s="9"/>
      <c r="B9038" s="15"/>
      <c r="C9038" s="9"/>
      <c r="D9038" s="15"/>
      <c r="E9038" s="16"/>
      <c r="F9038" s="19"/>
      <c r="G9038" s="20"/>
      <c r="H9038" s="19"/>
    </row>
    <row r="9039">
      <c r="A9039" s="9"/>
      <c r="B9039" s="15"/>
      <c r="C9039" s="9"/>
      <c r="D9039" s="15"/>
      <c r="E9039" s="16"/>
      <c r="F9039" s="19"/>
      <c r="G9039" s="20"/>
      <c r="H9039" s="19"/>
    </row>
    <row r="9040">
      <c r="A9040" s="9"/>
      <c r="B9040" s="15"/>
      <c r="C9040" s="9"/>
      <c r="D9040" s="15"/>
      <c r="E9040" s="16"/>
      <c r="F9040" s="19"/>
      <c r="G9040" s="20"/>
      <c r="H9040" s="19"/>
    </row>
    <row r="9041">
      <c r="A9041" s="9"/>
      <c r="B9041" s="15"/>
      <c r="C9041" s="9"/>
      <c r="D9041" s="15"/>
      <c r="E9041" s="16"/>
      <c r="F9041" s="19"/>
      <c r="G9041" s="20"/>
      <c r="H9041" s="19"/>
    </row>
    <row r="9042">
      <c r="A9042" s="9"/>
      <c r="B9042" s="15"/>
      <c r="C9042" s="9"/>
      <c r="D9042" s="15"/>
      <c r="E9042" s="16"/>
      <c r="F9042" s="19"/>
      <c r="G9042" s="20"/>
      <c r="H9042" s="19"/>
    </row>
    <row r="9043">
      <c r="A9043" s="9"/>
      <c r="B9043" s="15"/>
      <c r="C9043" s="9"/>
      <c r="D9043" s="15"/>
      <c r="E9043" s="16"/>
      <c r="F9043" s="19"/>
      <c r="G9043" s="20"/>
      <c r="H9043" s="19"/>
    </row>
    <row r="9044">
      <c r="A9044" s="9"/>
      <c r="B9044" s="15"/>
      <c r="C9044" s="9"/>
      <c r="D9044" s="15"/>
      <c r="E9044" s="16"/>
      <c r="F9044" s="19"/>
      <c r="G9044" s="20"/>
      <c r="H9044" s="19"/>
    </row>
    <row r="9045">
      <c r="A9045" s="9"/>
      <c r="B9045" s="15"/>
      <c r="C9045" s="9"/>
      <c r="D9045" s="15"/>
      <c r="E9045" s="16"/>
      <c r="F9045" s="19"/>
      <c r="G9045" s="20"/>
      <c r="H9045" s="19"/>
    </row>
    <row r="9046">
      <c r="A9046" s="9"/>
      <c r="B9046" s="15"/>
      <c r="C9046" s="9"/>
      <c r="D9046" s="15"/>
      <c r="E9046" s="16"/>
      <c r="F9046" s="19"/>
      <c r="G9046" s="20"/>
      <c r="H9046" s="19"/>
    </row>
    <row r="9047">
      <c r="A9047" s="9"/>
      <c r="B9047" s="15"/>
      <c r="C9047" s="9"/>
      <c r="D9047" s="15"/>
      <c r="E9047" s="16"/>
      <c r="F9047" s="19"/>
      <c r="G9047" s="20"/>
      <c r="H9047" s="19"/>
    </row>
    <row r="9048">
      <c r="A9048" s="9"/>
      <c r="B9048" s="15"/>
      <c r="C9048" s="9"/>
      <c r="D9048" s="15"/>
      <c r="E9048" s="16"/>
      <c r="F9048" s="19"/>
      <c r="G9048" s="20"/>
      <c r="H9048" s="19"/>
    </row>
    <row r="9049">
      <c r="A9049" s="9"/>
      <c r="B9049" s="15"/>
      <c r="C9049" s="9"/>
      <c r="D9049" s="15"/>
      <c r="E9049" s="16"/>
      <c r="F9049" s="19"/>
      <c r="G9049" s="20"/>
      <c r="H9049" s="19"/>
    </row>
    <row r="9050">
      <c r="A9050" s="9"/>
      <c r="B9050" s="15"/>
      <c r="C9050" s="9"/>
      <c r="D9050" s="15"/>
      <c r="E9050" s="16"/>
      <c r="F9050" s="19"/>
      <c r="G9050" s="20"/>
      <c r="H9050" s="19"/>
    </row>
    <row r="9051">
      <c r="A9051" s="9"/>
      <c r="B9051" s="15"/>
      <c r="C9051" s="9"/>
      <c r="D9051" s="15"/>
      <c r="E9051" s="16"/>
      <c r="F9051" s="19"/>
      <c r="G9051" s="20"/>
      <c r="H9051" s="19"/>
    </row>
    <row r="9052">
      <c r="A9052" s="9"/>
      <c r="B9052" s="15"/>
      <c r="C9052" s="9"/>
      <c r="D9052" s="15"/>
      <c r="E9052" s="16"/>
      <c r="F9052" s="19"/>
      <c r="G9052" s="20"/>
      <c r="H9052" s="19"/>
    </row>
    <row r="9053">
      <c r="A9053" s="9"/>
      <c r="B9053" s="15"/>
      <c r="C9053" s="9"/>
      <c r="D9053" s="15"/>
      <c r="E9053" s="16"/>
      <c r="F9053" s="19"/>
      <c r="G9053" s="20"/>
      <c r="H9053" s="19"/>
    </row>
    <row r="9054">
      <c r="A9054" s="9"/>
      <c r="B9054" s="15"/>
      <c r="C9054" s="9"/>
      <c r="D9054" s="15"/>
      <c r="E9054" s="16"/>
      <c r="F9054" s="19"/>
      <c r="G9054" s="20"/>
      <c r="H9054" s="19"/>
    </row>
    <row r="9055">
      <c r="A9055" s="9"/>
      <c r="B9055" s="15"/>
      <c r="C9055" s="9"/>
      <c r="D9055" s="15"/>
      <c r="E9055" s="16"/>
      <c r="F9055" s="19"/>
      <c r="G9055" s="20"/>
      <c r="H9055" s="19"/>
    </row>
    <row r="9056">
      <c r="A9056" s="9"/>
      <c r="B9056" s="15"/>
      <c r="C9056" s="9"/>
      <c r="D9056" s="15"/>
      <c r="E9056" s="16"/>
      <c r="F9056" s="19"/>
      <c r="G9056" s="20"/>
      <c r="H9056" s="19"/>
    </row>
    <row r="9057">
      <c r="A9057" s="9"/>
      <c r="B9057" s="15"/>
      <c r="C9057" s="9"/>
      <c r="D9057" s="15"/>
      <c r="E9057" s="16"/>
      <c r="F9057" s="19"/>
      <c r="G9057" s="20"/>
      <c r="H9057" s="19"/>
    </row>
    <row r="9058">
      <c r="A9058" s="9"/>
      <c r="B9058" s="15"/>
      <c r="C9058" s="9"/>
      <c r="D9058" s="15"/>
      <c r="E9058" s="16"/>
      <c r="F9058" s="19"/>
      <c r="G9058" s="20"/>
      <c r="H9058" s="19"/>
    </row>
    <row r="9059">
      <c r="A9059" s="9"/>
      <c r="B9059" s="15"/>
      <c r="C9059" s="9"/>
      <c r="D9059" s="15"/>
      <c r="E9059" s="16"/>
      <c r="F9059" s="19"/>
      <c r="G9059" s="20"/>
      <c r="H9059" s="19"/>
    </row>
    <row r="9060">
      <c r="A9060" s="9"/>
      <c r="B9060" s="15"/>
      <c r="C9060" s="9"/>
      <c r="D9060" s="15"/>
      <c r="E9060" s="16"/>
      <c r="F9060" s="19"/>
      <c r="G9060" s="20"/>
      <c r="H9060" s="19"/>
    </row>
    <row r="9061">
      <c r="A9061" s="9"/>
      <c r="B9061" s="15"/>
      <c r="C9061" s="9"/>
      <c r="D9061" s="15"/>
      <c r="E9061" s="16"/>
      <c r="F9061" s="19"/>
      <c r="G9061" s="20"/>
      <c r="H9061" s="19"/>
    </row>
    <row r="9062">
      <c r="A9062" s="9"/>
      <c r="B9062" s="15"/>
      <c r="C9062" s="9"/>
      <c r="D9062" s="15"/>
      <c r="E9062" s="16"/>
      <c r="F9062" s="19"/>
      <c r="G9062" s="20"/>
      <c r="H9062" s="19"/>
    </row>
    <row r="9063">
      <c r="A9063" s="9"/>
      <c r="B9063" s="15"/>
      <c r="C9063" s="9"/>
      <c r="D9063" s="15"/>
      <c r="E9063" s="16"/>
      <c r="F9063" s="19"/>
      <c r="G9063" s="20"/>
      <c r="H9063" s="19"/>
    </row>
    <row r="9064">
      <c r="A9064" s="9"/>
      <c r="B9064" s="15"/>
      <c r="C9064" s="9"/>
      <c r="D9064" s="15"/>
      <c r="E9064" s="16"/>
      <c r="F9064" s="19"/>
      <c r="G9064" s="20"/>
      <c r="H9064" s="19"/>
    </row>
    <row r="9065">
      <c r="A9065" s="9"/>
      <c r="B9065" s="15"/>
      <c r="C9065" s="9"/>
      <c r="D9065" s="15"/>
      <c r="E9065" s="16"/>
      <c r="F9065" s="19"/>
      <c r="G9065" s="20"/>
      <c r="H9065" s="19"/>
    </row>
    <row r="9066">
      <c r="A9066" s="9"/>
      <c r="B9066" s="15"/>
      <c r="C9066" s="9"/>
      <c r="D9066" s="15"/>
      <c r="E9066" s="16"/>
      <c r="F9066" s="19"/>
      <c r="G9066" s="20"/>
      <c r="H9066" s="19"/>
    </row>
    <row r="9067">
      <c r="A9067" s="9"/>
      <c r="B9067" s="15"/>
      <c r="C9067" s="9"/>
      <c r="D9067" s="15"/>
      <c r="E9067" s="16"/>
      <c r="F9067" s="19"/>
      <c r="G9067" s="20"/>
      <c r="H9067" s="19"/>
    </row>
    <row r="9068">
      <c r="A9068" s="9"/>
      <c r="B9068" s="15"/>
      <c r="C9068" s="9"/>
      <c r="D9068" s="15"/>
      <c r="E9068" s="16"/>
      <c r="F9068" s="19"/>
      <c r="G9068" s="20"/>
      <c r="H9068" s="19"/>
    </row>
    <row r="9069">
      <c r="A9069" s="9"/>
      <c r="B9069" s="15"/>
      <c r="C9069" s="9"/>
      <c r="D9069" s="15"/>
      <c r="E9069" s="16"/>
      <c r="F9069" s="19"/>
      <c r="G9069" s="20"/>
      <c r="H9069" s="19"/>
    </row>
    <row r="9070">
      <c r="A9070" s="9"/>
      <c r="B9070" s="15"/>
      <c r="C9070" s="9"/>
      <c r="D9070" s="15"/>
      <c r="E9070" s="16"/>
      <c r="F9070" s="19"/>
      <c r="G9070" s="20"/>
      <c r="H9070" s="19"/>
    </row>
    <row r="9071">
      <c r="A9071" s="9"/>
      <c r="B9071" s="15"/>
      <c r="C9071" s="9"/>
      <c r="D9071" s="15"/>
      <c r="E9071" s="16"/>
      <c r="F9071" s="19"/>
      <c r="G9071" s="20"/>
      <c r="H9071" s="19"/>
    </row>
    <row r="9072">
      <c r="A9072" s="9"/>
      <c r="B9072" s="15"/>
      <c r="C9072" s="9"/>
      <c r="D9072" s="15"/>
      <c r="E9072" s="16"/>
      <c r="F9072" s="19"/>
      <c r="G9072" s="20"/>
      <c r="H9072" s="19"/>
    </row>
    <row r="9073">
      <c r="A9073" s="9"/>
      <c r="B9073" s="15"/>
      <c r="C9073" s="9"/>
      <c r="D9073" s="15"/>
      <c r="E9073" s="16"/>
      <c r="F9073" s="19"/>
      <c r="G9073" s="20"/>
      <c r="H9073" s="19"/>
    </row>
    <row r="9074">
      <c r="A9074" s="9"/>
      <c r="B9074" s="15"/>
      <c r="C9074" s="9"/>
      <c r="D9074" s="15"/>
      <c r="E9074" s="16"/>
      <c r="F9074" s="19"/>
      <c r="G9074" s="20"/>
      <c r="H9074" s="19"/>
    </row>
    <row r="9075">
      <c r="A9075" s="9"/>
      <c r="B9075" s="15"/>
      <c r="C9075" s="9"/>
      <c r="D9075" s="15"/>
      <c r="E9075" s="16"/>
      <c r="F9075" s="19"/>
      <c r="G9075" s="20"/>
      <c r="H9075" s="19"/>
    </row>
    <row r="9076">
      <c r="A9076" s="9"/>
      <c r="B9076" s="15"/>
      <c r="C9076" s="9"/>
      <c r="D9076" s="15"/>
      <c r="E9076" s="16"/>
      <c r="F9076" s="19"/>
      <c r="G9076" s="20"/>
      <c r="H9076" s="19"/>
    </row>
    <row r="9077">
      <c r="A9077" s="9"/>
      <c r="B9077" s="15"/>
      <c r="C9077" s="9"/>
      <c r="D9077" s="15"/>
      <c r="E9077" s="16"/>
      <c r="F9077" s="19"/>
      <c r="G9077" s="20"/>
      <c r="H9077" s="19"/>
    </row>
    <row r="9078">
      <c r="A9078" s="9"/>
      <c r="B9078" s="15"/>
      <c r="C9078" s="9"/>
      <c r="D9078" s="15"/>
      <c r="E9078" s="16"/>
      <c r="F9078" s="19"/>
      <c r="G9078" s="20"/>
      <c r="H9078" s="19"/>
    </row>
    <row r="9079">
      <c r="A9079" s="9"/>
      <c r="B9079" s="15"/>
      <c r="C9079" s="9"/>
      <c r="D9079" s="15"/>
      <c r="E9079" s="16"/>
      <c r="F9079" s="19"/>
      <c r="G9079" s="20"/>
      <c r="H9079" s="19"/>
    </row>
    <row r="9080">
      <c r="A9080" s="9"/>
      <c r="B9080" s="15"/>
      <c r="C9080" s="9"/>
      <c r="D9080" s="15"/>
      <c r="E9080" s="16"/>
      <c r="F9080" s="19"/>
      <c r="G9080" s="20"/>
      <c r="H9080" s="19"/>
    </row>
    <row r="9081">
      <c r="A9081" s="9"/>
      <c r="B9081" s="15"/>
      <c r="C9081" s="9"/>
      <c r="D9081" s="15"/>
      <c r="E9081" s="16"/>
      <c r="F9081" s="19"/>
      <c r="G9081" s="20"/>
      <c r="H9081" s="19"/>
    </row>
    <row r="9082">
      <c r="A9082" s="9"/>
      <c r="B9082" s="15"/>
      <c r="C9082" s="9"/>
      <c r="D9082" s="15"/>
      <c r="E9082" s="16"/>
      <c r="F9082" s="19"/>
      <c r="G9082" s="20"/>
      <c r="H9082" s="19"/>
    </row>
    <row r="9083">
      <c r="A9083" s="9"/>
      <c r="B9083" s="15"/>
      <c r="C9083" s="9"/>
      <c r="D9083" s="15"/>
      <c r="E9083" s="16"/>
      <c r="F9083" s="19"/>
      <c r="G9083" s="20"/>
      <c r="H9083" s="19"/>
    </row>
    <row r="9084">
      <c r="A9084" s="9"/>
      <c r="B9084" s="15"/>
      <c r="C9084" s="9"/>
      <c r="D9084" s="15"/>
      <c r="E9084" s="16"/>
      <c r="F9084" s="19"/>
      <c r="G9084" s="20"/>
      <c r="H9084" s="19"/>
    </row>
    <row r="9085">
      <c r="A9085" s="9"/>
      <c r="B9085" s="15"/>
      <c r="C9085" s="9"/>
      <c r="D9085" s="15"/>
      <c r="E9085" s="16"/>
      <c r="F9085" s="19"/>
      <c r="G9085" s="20"/>
      <c r="H9085" s="19"/>
    </row>
    <row r="9086">
      <c r="A9086" s="9"/>
      <c r="B9086" s="15"/>
      <c r="C9086" s="9"/>
      <c r="D9086" s="15"/>
      <c r="E9086" s="16"/>
      <c r="F9086" s="19"/>
      <c r="G9086" s="20"/>
      <c r="H9086" s="19"/>
    </row>
    <row r="9087">
      <c r="A9087" s="9"/>
      <c r="B9087" s="15"/>
      <c r="C9087" s="9"/>
      <c r="D9087" s="15"/>
      <c r="E9087" s="16"/>
      <c r="F9087" s="19"/>
      <c r="G9087" s="20"/>
      <c r="H9087" s="19"/>
    </row>
    <row r="9088">
      <c r="A9088" s="9"/>
      <c r="B9088" s="15"/>
      <c r="C9088" s="9"/>
      <c r="D9088" s="15"/>
      <c r="E9088" s="16"/>
      <c r="F9088" s="19"/>
      <c r="G9088" s="20"/>
      <c r="H9088" s="19"/>
    </row>
    <row r="9089">
      <c r="A9089" s="9"/>
      <c r="B9089" s="15"/>
      <c r="C9089" s="9"/>
      <c r="D9089" s="15"/>
      <c r="E9089" s="16"/>
      <c r="F9089" s="19"/>
      <c r="G9089" s="20"/>
      <c r="H9089" s="19"/>
    </row>
    <row r="9090">
      <c r="A9090" s="9"/>
      <c r="B9090" s="15"/>
      <c r="C9090" s="9"/>
      <c r="D9090" s="15"/>
      <c r="E9090" s="16"/>
      <c r="F9090" s="19"/>
      <c r="G9090" s="20"/>
      <c r="H9090" s="19"/>
    </row>
    <row r="9091">
      <c r="A9091" s="9"/>
      <c r="B9091" s="15"/>
      <c r="C9091" s="9"/>
      <c r="D9091" s="15"/>
      <c r="E9091" s="16"/>
      <c r="F9091" s="19"/>
      <c r="G9091" s="20"/>
      <c r="H9091" s="19"/>
    </row>
    <row r="9092">
      <c r="A9092" s="9"/>
      <c r="B9092" s="15"/>
      <c r="C9092" s="9"/>
      <c r="D9092" s="15"/>
      <c r="E9092" s="16"/>
      <c r="F9092" s="19"/>
      <c r="G9092" s="20"/>
      <c r="H9092" s="19"/>
    </row>
    <row r="9093">
      <c r="A9093" s="9"/>
      <c r="B9093" s="15"/>
      <c r="C9093" s="9"/>
      <c r="D9093" s="15"/>
      <c r="E9093" s="16"/>
      <c r="F9093" s="19"/>
      <c r="G9093" s="20"/>
      <c r="H9093" s="19"/>
    </row>
    <row r="9094">
      <c r="A9094" s="9"/>
      <c r="B9094" s="15"/>
      <c r="C9094" s="9"/>
      <c r="D9094" s="15"/>
      <c r="E9094" s="16"/>
      <c r="F9094" s="19"/>
      <c r="G9094" s="20"/>
      <c r="H9094" s="19"/>
    </row>
    <row r="9095">
      <c r="A9095" s="9"/>
      <c r="B9095" s="15"/>
      <c r="C9095" s="9"/>
      <c r="D9095" s="15"/>
      <c r="E9095" s="16"/>
      <c r="F9095" s="19"/>
      <c r="G9095" s="20"/>
      <c r="H9095" s="19"/>
    </row>
    <row r="9096">
      <c r="A9096" s="9"/>
      <c r="B9096" s="15"/>
      <c r="C9096" s="9"/>
      <c r="D9096" s="15"/>
      <c r="E9096" s="16"/>
      <c r="F9096" s="19"/>
      <c r="G9096" s="20"/>
      <c r="H9096" s="19"/>
    </row>
    <row r="9097">
      <c r="A9097" s="9"/>
      <c r="B9097" s="15"/>
      <c r="C9097" s="9"/>
      <c r="D9097" s="15"/>
      <c r="E9097" s="16"/>
      <c r="F9097" s="19"/>
      <c r="G9097" s="20"/>
      <c r="H9097" s="19"/>
    </row>
    <row r="9098">
      <c r="A9098" s="9"/>
      <c r="B9098" s="15"/>
      <c r="C9098" s="9"/>
      <c r="D9098" s="15"/>
      <c r="E9098" s="16"/>
      <c r="F9098" s="19"/>
      <c r="G9098" s="20"/>
      <c r="H9098" s="19"/>
    </row>
    <row r="9099">
      <c r="A9099" s="9"/>
      <c r="B9099" s="15"/>
      <c r="C9099" s="9"/>
      <c r="D9099" s="15"/>
      <c r="E9099" s="16"/>
      <c r="F9099" s="19"/>
      <c r="G9099" s="20"/>
      <c r="H9099" s="19"/>
    </row>
    <row r="9100">
      <c r="A9100" s="9"/>
      <c r="B9100" s="15"/>
      <c r="C9100" s="9"/>
      <c r="D9100" s="15"/>
      <c r="E9100" s="16"/>
      <c r="F9100" s="19"/>
      <c r="G9100" s="20"/>
      <c r="H9100" s="19"/>
    </row>
    <row r="9101">
      <c r="A9101" s="9"/>
      <c r="B9101" s="15"/>
      <c r="C9101" s="9"/>
      <c r="D9101" s="15"/>
      <c r="E9101" s="16"/>
      <c r="F9101" s="19"/>
      <c r="G9101" s="20"/>
      <c r="H9101" s="19"/>
    </row>
    <row r="9102">
      <c r="A9102" s="9"/>
      <c r="B9102" s="15"/>
      <c r="C9102" s="9"/>
      <c r="D9102" s="15"/>
      <c r="E9102" s="16"/>
      <c r="F9102" s="19"/>
      <c r="G9102" s="20"/>
      <c r="H9102" s="19"/>
    </row>
    <row r="9103">
      <c r="A9103" s="9"/>
      <c r="B9103" s="15"/>
      <c r="C9103" s="9"/>
      <c r="D9103" s="15"/>
      <c r="E9103" s="16"/>
      <c r="F9103" s="19"/>
      <c r="G9103" s="20"/>
      <c r="H9103" s="19"/>
    </row>
    <row r="9104">
      <c r="A9104" s="9"/>
      <c r="B9104" s="15"/>
      <c r="C9104" s="9"/>
      <c r="D9104" s="15"/>
      <c r="E9104" s="16"/>
      <c r="F9104" s="19"/>
      <c r="G9104" s="20"/>
      <c r="H9104" s="19"/>
    </row>
    <row r="9105">
      <c r="A9105" s="9"/>
      <c r="B9105" s="15"/>
      <c r="C9105" s="9"/>
      <c r="D9105" s="15"/>
      <c r="E9105" s="16"/>
      <c r="F9105" s="19"/>
      <c r="G9105" s="20"/>
      <c r="H9105" s="19"/>
    </row>
    <row r="9106">
      <c r="A9106" s="9"/>
      <c r="B9106" s="15"/>
      <c r="C9106" s="9"/>
      <c r="D9106" s="15"/>
      <c r="E9106" s="16"/>
      <c r="F9106" s="19"/>
      <c r="G9106" s="20"/>
      <c r="H9106" s="19"/>
    </row>
    <row r="9107">
      <c r="A9107" s="9"/>
      <c r="B9107" s="15"/>
      <c r="C9107" s="9"/>
      <c r="D9107" s="15"/>
      <c r="E9107" s="16"/>
      <c r="F9107" s="19"/>
      <c r="G9107" s="20"/>
      <c r="H9107" s="19"/>
    </row>
    <row r="9108">
      <c r="A9108" s="9"/>
      <c r="B9108" s="15"/>
      <c r="C9108" s="9"/>
      <c r="D9108" s="15"/>
      <c r="E9108" s="16"/>
      <c r="F9108" s="19"/>
      <c r="G9108" s="20"/>
      <c r="H9108" s="19"/>
    </row>
    <row r="9109">
      <c r="A9109" s="9"/>
      <c r="B9109" s="15"/>
      <c r="C9109" s="9"/>
      <c r="D9109" s="15"/>
      <c r="E9109" s="16"/>
      <c r="F9109" s="19"/>
      <c r="G9109" s="20"/>
      <c r="H9109" s="19"/>
    </row>
    <row r="9110">
      <c r="A9110" s="9"/>
      <c r="B9110" s="15"/>
      <c r="C9110" s="9"/>
      <c r="D9110" s="15"/>
      <c r="E9110" s="16"/>
      <c r="F9110" s="19"/>
      <c r="G9110" s="20"/>
      <c r="H9110" s="19"/>
    </row>
    <row r="9111">
      <c r="A9111" s="9"/>
      <c r="B9111" s="15"/>
      <c r="C9111" s="9"/>
      <c r="D9111" s="15"/>
      <c r="E9111" s="16"/>
      <c r="F9111" s="19"/>
      <c r="G9111" s="20"/>
      <c r="H9111" s="19"/>
    </row>
    <row r="9112">
      <c r="A9112" s="9"/>
      <c r="B9112" s="15"/>
      <c r="C9112" s="9"/>
      <c r="D9112" s="15"/>
      <c r="E9112" s="16"/>
      <c r="F9112" s="19"/>
      <c r="G9112" s="20"/>
      <c r="H9112" s="19"/>
    </row>
    <row r="9113">
      <c r="A9113" s="9"/>
      <c r="B9113" s="15"/>
      <c r="C9113" s="9"/>
      <c r="D9113" s="15"/>
      <c r="E9113" s="16"/>
      <c r="F9113" s="19"/>
      <c r="G9113" s="20"/>
      <c r="H9113" s="19"/>
    </row>
    <row r="9114">
      <c r="A9114" s="9"/>
      <c r="B9114" s="15"/>
      <c r="C9114" s="9"/>
      <c r="D9114" s="15"/>
      <c r="E9114" s="16"/>
      <c r="F9114" s="19"/>
      <c r="G9114" s="20"/>
      <c r="H9114" s="19"/>
    </row>
    <row r="9115">
      <c r="A9115" s="9"/>
      <c r="B9115" s="15"/>
      <c r="C9115" s="9"/>
      <c r="D9115" s="15"/>
      <c r="E9115" s="16"/>
      <c r="F9115" s="19"/>
      <c r="G9115" s="20"/>
      <c r="H9115" s="19"/>
    </row>
    <row r="9116">
      <c r="A9116" s="9"/>
      <c r="B9116" s="15"/>
      <c r="C9116" s="9"/>
      <c r="D9116" s="15"/>
      <c r="E9116" s="16"/>
      <c r="F9116" s="19"/>
      <c r="G9116" s="20"/>
      <c r="H9116" s="19"/>
    </row>
    <row r="9117">
      <c r="A9117" s="9"/>
      <c r="B9117" s="15"/>
      <c r="C9117" s="9"/>
      <c r="D9117" s="15"/>
      <c r="E9117" s="16"/>
      <c r="F9117" s="19"/>
      <c r="G9117" s="20"/>
      <c r="H9117" s="19"/>
    </row>
    <row r="9118">
      <c r="A9118" s="9"/>
      <c r="B9118" s="15"/>
      <c r="C9118" s="9"/>
      <c r="D9118" s="15"/>
      <c r="E9118" s="16"/>
      <c r="F9118" s="19"/>
      <c r="G9118" s="20"/>
      <c r="H9118" s="19"/>
    </row>
    <row r="9119">
      <c r="A9119" s="9"/>
      <c r="B9119" s="15"/>
      <c r="C9119" s="9"/>
      <c r="D9119" s="15"/>
      <c r="E9119" s="16"/>
      <c r="F9119" s="19"/>
      <c r="G9119" s="20"/>
      <c r="H9119" s="19"/>
    </row>
    <row r="9120">
      <c r="A9120" s="9"/>
      <c r="B9120" s="15"/>
      <c r="C9120" s="9"/>
      <c r="D9120" s="15"/>
      <c r="E9120" s="16"/>
      <c r="F9120" s="19"/>
      <c r="G9120" s="20"/>
      <c r="H9120" s="19"/>
    </row>
    <row r="9121">
      <c r="A9121" s="9"/>
      <c r="B9121" s="15"/>
      <c r="C9121" s="9"/>
      <c r="D9121" s="15"/>
      <c r="E9121" s="16"/>
      <c r="F9121" s="19"/>
      <c r="G9121" s="20"/>
      <c r="H9121" s="19"/>
    </row>
    <row r="9122">
      <c r="A9122" s="9"/>
      <c r="B9122" s="15"/>
      <c r="C9122" s="9"/>
      <c r="D9122" s="15"/>
      <c r="E9122" s="16"/>
      <c r="F9122" s="19"/>
      <c r="G9122" s="20"/>
      <c r="H9122" s="19"/>
    </row>
    <row r="9123">
      <c r="A9123" s="9"/>
      <c r="B9123" s="15"/>
      <c r="C9123" s="9"/>
      <c r="D9123" s="15"/>
      <c r="E9123" s="16"/>
      <c r="F9123" s="19"/>
      <c r="G9123" s="20"/>
      <c r="H9123" s="19"/>
    </row>
    <row r="9124">
      <c r="A9124" s="9"/>
      <c r="B9124" s="15"/>
      <c r="C9124" s="9"/>
      <c r="D9124" s="15"/>
      <c r="E9124" s="16"/>
      <c r="F9124" s="19"/>
      <c r="G9124" s="20"/>
      <c r="H9124" s="19"/>
    </row>
    <row r="9125">
      <c r="A9125" s="9"/>
      <c r="B9125" s="15"/>
      <c r="C9125" s="9"/>
      <c r="D9125" s="15"/>
      <c r="E9125" s="16"/>
      <c r="F9125" s="19"/>
      <c r="G9125" s="20"/>
      <c r="H9125" s="19"/>
    </row>
    <row r="9126">
      <c r="A9126" s="9"/>
      <c r="B9126" s="15"/>
      <c r="C9126" s="9"/>
      <c r="D9126" s="15"/>
      <c r="E9126" s="16"/>
      <c r="F9126" s="19"/>
      <c r="G9126" s="20"/>
      <c r="H9126" s="19"/>
    </row>
    <row r="9127">
      <c r="A9127" s="9"/>
      <c r="B9127" s="15"/>
      <c r="C9127" s="9"/>
      <c r="D9127" s="15"/>
      <c r="E9127" s="16"/>
      <c r="F9127" s="19"/>
      <c r="G9127" s="20"/>
      <c r="H9127" s="19"/>
    </row>
    <row r="9128">
      <c r="A9128" s="9"/>
      <c r="B9128" s="15"/>
      <c r="C9128" s="9"/>
      <c r="D9128" s="15"/>
      <c r="E9128" s="16"/>
      <c r="F9128" s="19"/>
      <c r="G9128" s="20"/>
      <c r="H9128" s="19"/>
    </row>
    <row r="9129">
      <c r="A9129" s="9"/>
      <c r="B9129" s="15"/>
      <c r="C9129" s="9"/>
      <c r="D9129" s="15"/>
      <c r="E9129" s="16"/>
      <c r="F9129" s="19"/>
      <c r="G9129" s="20"/>
      <c r="H9129" s="19"/>
    </row>
    <row r="9130">
      <c r="A9130" s="9"/>
      <c r="B9130" s="15"/>
      <c r="C9130" s="9"/>
      <c r="D9130" s="15"/>
      <c r="E9130" s="16"/>
      <c r="F9130" s="19"/>
      <c r="G9130" s="20"/>
      <c r="H9130" s="19"/>
    </row>
    <row r="9131">
      <c r="A9131" s="9"/>
      <c r="B9131" s="15"/>
      <c r="C9131" s="9"/>
      <c r="D9131" s="15"/>
      <c r="E9131" s="16"/>
      <c r="F9131" s="19"/>
      <c r="G9131" s="20"/>
      <c r="H9131" s="19"/>
    </row>
    <row r="9132">
      <c r="A9132" s="9"/>
      <c r="B9132" s="15"/>
      <c r="C9132" s="9"/>
      <c r="D9132" s="15"/>
      <c r="E9132" s="16"/>
      <c r="F9132" s="19"/>
      <c r="G9132" s="20"/>
      <c r="H9132" s="19"/>
    </row>
    <row r="9133">
      <c r="A9133" s="9"/>
      <c r="B9133" s="15"/>
      <c r="C9133" s="9"/>
      <c r="D9133" s="15"/>
      <c r="E9133" s="16"/>
      <c r="F9133" s="19"/>
      <c r="G9133" s="20"/>
      <c r="H9133" s="19"/>
    </row>
    <row r="9134">
      <c r="A9134" s="9"/>
      <c r="B9134" s="15"/>
      <c r="C9134" s="9"/>
      <c r="D9134" s="15"/>
      <c r="E9134" s="16"/>
      <c r="F9134" s="19"/>
      <c r="G9134" s="20"/>
      <c r="H9134" s="19"/>
    </row>
    <row r="9135">
      <c r="A9135" s="9"/>
      <c r="B9135" s="15"/>
      <c r="C9135" s="9"/>
      <c r="D9135" s="15"/>
      <c r="E9135" s="16"/>
      <c r="F9135" s="19"/>
      <c r="G9135" s="20"/>
      <c r="H9135" s="19"/>
    </row>
    <row r="9136">
      <c r="A9136" s="9"/>
      <c r="B9136" s="15"/>
      <c r="C9136" s="9"/>
      <c r="D9136" s="15"/>
      <c r="E9136" s="16"/>
      <c r="F9136" s="19"/>
      <c r="G9136" s="20"/>
      <c r="H9136" s="19"/>
    </row>
    <row r="9137">
      <c r="A9137" s="9"/>
      <c r="B9137" s="15"/>
      <c r="C9137" s="9"/>
      <c r="D9137" s="15"/>
      <c r="E9137" s="16"/>
      <c r="F9137" s="19"/>
      <c r="G9137" s="20"/>
      <c r="H9137" s="19"/>
    </row>
    <row r="9138">
      <c r="A9138" s="9"/>
      <c r="B9138" s="15"/>
      <c r="C9138" s="9"/>
      <c r="D9138" s="15"/>
      <c r="E9138" s="16"/>
      <c r="F9138" s="19"/>
      <c r="G9138" s="20"/>
      <c r="H9138" s="19"/>
    </row>
    <row r="9139">
      <c r="A9139" s="9"/>
      <c r="B9139" s="15"/>
      <c r="C9139" s="9"/>
      <c r="D9139" s="15"/>
      <c r="E9139" s="16"/>
      <c r="F9139" s="19"/>
      <c r="G9139" s="20"/>
      <c r="H9139" s="19"/>
    </row>
    <row r="9140">
      <c r="A9140" s="9"/>
      <c r="B9140" s="15"/>
      <c r="C9140" s="9"/>
      <c r="D9140" s="15"/>
      <c r="E9140" s="16"/>
      <c r="F9140" s="19"/>
      <c r="G9140" s="20"/>
      <c r="H9140" s="19"/>
    </row>
    <row r="9141">
      <c r="A9141" s="9"/>
      <c r="B9141" s="15"/>
      <c r="C9141" s="9"/>
      <c r="D9141" s="15"/>
      <c r="E9141" s="16"/>
      <c r="F9141" s="19"/>
      <c r="G9141" s="20"/>
      <c r="H9141" s="19"/>
    </row>
    <row r="9142">
      <c r="A9142" s="9"/>
      <c r="B9142" s="15"/>
      <c r="C9142" s="9"/>
      <c r="D9142" s="15"/>
      <c r="E9142" s="16"/>
      <c r="F9142" s="19"/>
      <c r="G9142" s="20"/>
      <c r="H9142" s="19"/>
    </row>
    <row r="9143">
      <c r="A9143" s="9"/>
      <c r="B9143" s="15"/>
      <c r="C9143" s="9"/>
      <c r="D9143" s="15"/>
      <c r="E9143" s="16"/>
      <c r="F9143" s="19"/>
      <c r="G9143" s="20"/>
      <c r="H9143" s="19"/>
    </row>
    <row r="9144">
      <c r="A9144" s="9"/>
      <c r="B9144" s="15"/>
      <c r="C9144" s="9"/>
      <c r="D9144" s="15"/>
      <c r="E9144" s="16"/>
      <c r="F9144" s="19"/>
      <c r="G9144" s="20"/>
      <c r="H9144" s="19"/>
    </row>
    <row r="9145">
      <c r="A9145" s="9"/>
      <c r="B9145" s="15"/>
      <c r="C9145" s="9"/>
      <c r="D9145" s="15"/>
      <c r="E9145" s="16"/>
      <c r="F9145" s="19"/>
      <c r="G9145" s="20"/>
      <c r="H9145" s="19"/>
    </row>
    <row r="9146">
      <c r="A9146" s="9"/>
      <c r="B9146" s="15"/>
      <c r="C9146" s="9"/>
      <c r="D9146" s="15"/>
      <c r="E9146" s="16"/>
      <c r="F9146" s="19"/>
      <c r="G9146" s="20"/>
      <c r="H9146" s="19"/>
    </row>
    <row r="9147">
      <c r="A9147" s="9"/>
      <c r="B9147" s="15"/>
      <c r="C9147" s="9"/>
      <c r="D9147" s="15"/>
      <c r="E9147" s="16"/>
      <c r="F9147" s="19"/>
      <c r="G9147" s="20"/>
      <c r="H9147" s="19"/>
    </row>
    <row r="9148">
      <c r="A9148" s="9"/>
      <c r="B9148" s="15"/>
      <c r="C9148" s="9"/>
      <c r="D9148" s="15"/>
      <c r="E9148" s="16"/>
      <c r="F9148" s="19"/>
      <c r="G9148" s="20"/>
      <c r="H9148" s="19"/>
    </row>
    <row r="9149">
      <c r="A9149" s="9"/>
      <c r="B9149" s="15"/>
      <c r="C9149" s="9"/>
      <c r="D9149" s="15"/>
      <c r="E9149" s="16"/>
      <c r="F9149" s="19"/>
      <c r="G9149" s="20"/>
      <c r="H9149" s="19"/>
    </row>
    <row r="9150">
      <c r="A9150" s="9"/>
      <c r="B9150" s="15"/>
      <c r="C9150" s="9"/>
      <c r="D9150" s="15"/>
      <c r="E9150" s="16"/>
      <c r="F9150" s="19"/>
      <c r="G9150" s="20"/>
      <c r="H9150" s="19"/>
    </row>
    <row r="9151">
      <c r="A9151" s="9"/>
      <c r="B9151" s="15"/>
      <c r="C9151" s="9"/>
      <c r="D9151" s="15"/>
      <c r="E9151" s="16"/>
      <c r="F9151" s="19"/>
      <c r="G9151" s="20"/>
      <c r="H9151" s="19"/>
    </row>
    <row r="9152">
      <c r="A9152" s="9"/>
      <c r="B9152" s="15"/>
      <c r="C9152" s="9"/>
      <c r="D9152" s="15"/>
      <c r="E9152" s="16"/>
      <c r="F9152" s="19"/>
      <c r="G9152" s="20"/>
      <c r="H9152" s="19"/>
    </row>
    <row r="9153">
      <c r="A9153" s="9"/>
      <c r="B9153" s="15"/>
      <c r="C9153" s="9"/>
      <c r="D9153" s="15"/>
      <c r="E9153" s="16"/>
      <c r="F9153" s="19"/>
      <c r="G9153" s="20"/>
      <c r="H9153" s="19"/>
    </row>
    <row r="9154">
      <c r="A9154" s="9"/>
      <c r="B9154" s="15"/>
      <c r="C9154" s="9"/>
      <c r="D9154" s="15"/>
      <c r="E9154" s="16"/>
      <c r="F9154" s="19"/>
      <c r="G9154" s="20"/>
      <c r="H9154" s="19"/>
    </row>
    <row r="9155">
      <c r="A9155" s="9"/>
      <c r="B9155" s="15"/>
      <c r="C9155" s="9"/>
      <c r="D9155" s="15"/>
      <c r="E9155" s="16"/>
      <c r="F9155" s="19"/>
      <c r="G9155" s="20"/>
      <c r="H9155" s="19"/>
    </row>
    <row r="9156">
      <c r="A9156" s="9"/>
      <c r="B9156" s="15"/>
      <c r="C9156" s="9"/>
      <c r="D9156" s="15"/>
      <c r="E9156" s="16"/>
      <c r="F9156" s="19"/>
      <c r="G9156" s="20"/>
      <c r="H9156" s="19"/>
    </row>
    <row r="9157">
      <c r="A9157" s="9"/>
      <c r="B9157" s="15"/>
      <c r="C9157" s="9"/>
      <c r="D9157" s="15"/>
      <c r="E9157" s="16"/>
      <c r="F9157" s="19"/>
      <c r="G9157" s="20"/>
      <c r="H9157" s="19"/>
    </row>
    <row r="9158">
      <c r="A9158" s="9"/>
      <c r="B9158" s="15"/>
      <c r="C9158" s="9"/>
      <c r="D9158" s="15"/>
      <c r="E9158" s="16"/>
      <c r="F9158" s="19"/>
      <c r="G9158" s="20"/>
      <c r="H9158" s="19"/>
    </row>
    <row r="9159">
      <c r="A9159" s="9"/>
      <c r="B9159" s="15"/>
      <c r="C9159" s="9"/>
      <c r="D9159" s="15"/>
      <c r="E9159" s="16"/>
      <c r="F9159" s="19"/>
      <c r="G9159" s="20"/>
      <c r="H9159" s="19"/>
    </row>
    <row r="9160">
      <c r="A9160" s="9"/>
      <c r="B9160" s="15"/>
      <c r="C9160" s="9"/>
      <c r="D9160" s="15"/>
      <c r="E9160" s="16"/>
      <c r="F9160" s="19"/>
      <c r="G9160" s="20"/>
      <c r="H9160" s="19"/>
    </row>
    <row r="9161">
      <c r="A9161" s="9"/>
      <c r="B9161" s="15"/>
      <c r="C9161" s="9"/>
      <c r="D9161" s="15"/>
      <c r="E9161" s="16"/>
      <c r="F9161" s="19"/>
      <c r="G9161" s="20"/>
      <c r="H9161" s="19"/>
    </row>
    <row r="9162">
      <c r="A9162" s="9"/>
      <c r="B9162" s="15"/>
      <c r="C9162" s="9"/>
      <c r="D9162" s="15"/>
      <c r="E9162" s="16"/>
      <c r="F9162" s="19"/>
      <c r="G9162" s="20"/>
      <c r="H9162" s="19"/>
    </row>
    <row r="9163">
      <c r="A9163" s="9"/>
      <c r="B9163" s="15"/>
      <c r="C9163" s="9"/>
      <c r="D9163" s="15"/>
      <c r="E9163" s="16"/>
      <c r="F9163" s="19"/>
      <c r="G9163" s="20"/>
      <c r="H9163" s="19"/>
    </row>
    <row r="9164">
      <c r="A9164" s="9"/>
      <c r="B9164" s="15"/>
      <c r="C9164" s="9"/>
      <c r="D9164" s="15"/>
      <c r="E9164" s="16"/>
      <c r="F9164" s="19"/>
      <c r="G9164" s="20"/>
      <c r="H9164" s="19"/>
    </row>
    <row r="9165">
      <c r="A9165" s="9"/>
      <c r="B9165" s="15"/>
      <c r="C9165" s="9"/>
      <c r="D9165" s="15"/>
      <c r="E9165" s="16"/>
      <c r="F9165" s="19"/>
      <c r="G9165" s="20"/>
      <c r="H9165" s="19"/>
    </row>
    <row r="9166">
      <c r="A9166" s="9"/>
      <c r="B9166" s="15"/>
      <c r="C9166" s="9"/>
      <c r="D9166" s="15"/>
      <c r="E9166" s="16"/>
      <c r="F9166" s="19"/>
      <c r="G9166" s="20"/>
      <c r="H9166" s="19"/>
    </row>
    <row r="9167">
      <c r="A9167" s="9"/>
      <c r="B9167" s="15"/>
      <c r="C9167" s="9"/>
      <c r="D9167" s="15"/>
      <c r="E9167" s="16"/>
      <c r="F9167" s="19"/>
      <c r="G9167" s="20"/>
      <c r="H9167" s="19"/>
    </row>
    <row r="9168">
      <c r="A9168" s="9"/>
      <c r="B9168" s="15"/>
      <c r="C9168" s="9"/>
      <c r="D9168" s="15"/>
      <c r="E9168" s="16"/>
      <c r="F9168" s="19"/>
      <c r="G9168" s="20"/>
      <c r="H9168" s="19"/>
    </row>
    <row r="9169">
      <c r="A9169" s="9"/>
      <c r="B9169" s="15"/>
      <c r="C9169" s="9"/>
      <c r="D9169" s="15"/>
      <c r="E9169" s="16"/>
      <c r="F9169" s="19"/>
      <c r="G9169" s="20"/>
      <c r="H9169" s="19"/>
    </row>
    <row r="9170">
      <c r="A9170" s="9"/>
      <c r="B9170" s="15"/>
      <c r="C9170" s="9"/>
      <c r="D9170" s="15"/>
      <c r="E9170" s="16"/>
      <c r="F9170" s="19"/>
      <c r="G9170" s="20"/>
      <c r="H9170" s="19"/>
    </row>
    <row r="9171">
      <c r="A9171" s="9"/>
      <c r="B9171" s="15"/>
      <c r="C9171" s="9"/>
      <c r="D9171" s="15"/>
      <c r="E9171" s="16"/>
      <c r="F9171" s="19"/>
      <c r="G9171" s="20"/>
      <c r="H9171" s="19"/>
    </row>
    <row r="9172">
      <c r="A9172" s="9"/>
      <c r="B9172" s="15"/>
      <c r="C9172" s="9"/>
      <c r="D9172" s="15"/>
      <c r="E9172" s="16"/>
      <c r="F9172" s="19"/>
      <c r="G9172" s="20"/>
      <c r="H9172" s="19"/>
    </row>
    <row r="9173">
      <c r="A9173" s="9"/>
      <c r="B9173" s="15"/>
      <c r="C9173" s="9"/>
      <c r="D9173" s="15"/>
      <c r="E9173" s="16"/>
      <c r="F9173" s="19"/>
      <c r="G9173" s="20"/>
      <c r="H9173" s="19"/>
    </row>
    <row r="9174">
      <c r="A9174" s="9"/>
      <c r="B9174" s="15"/>
      <c r="C9174" s="9"/>
      <c r="D9174" s="15"/>
      <c r="E9174" s="16"/>
      <c r="F9174" s="19"/>
      <c r="G9174" s="20"/>
      <c r="H9174" s="19"/>
    </row>
    <row r="9175">
      <c r="A9175" s="9"/>
      <c r="B9175" s="15"/>
      <c r="C9175" s="9"/>
      <c r="D9175" s="15"/>
      <c r="E9175" s="16"/>
      <c r="F9175" s="19"/>
      <c r="G9175" s="20"/>
      <c r="H9175" s="19"/>
    </row>
    <row r="9176">
      <c r="A9176" s="9"/>
      <c r="B9176" s="15"/>
      <c r="C9176" s="9"/>
      <c r="D9176" s="15"/>
      <c r="E9176" s="16"/>
      <c r="F9176" s="19"/>
      <c r="G9176" s="20"/>
      <c r="H9176" s="19"/>
    </row>
    <row r="9177">
      <c r="A9177" s="9"/>
      <c r="B9177" s="15"/>
      <c r="C9177" s="9"/>
      <c r="D9177" s="15"/>
      <c r="E9177" s="16"/>
      <c r="F9177" s="19"/>
      <c r="G9177" s="20"/>
      <c r="H9177" s="19"/>
    </row>
    <row r="9178">
      <c r="A9178" s="9"/>
      <c r="B9178" s="15"/>
      <c r="C9178" s="9"/>
      <c r="D9178" s="15"/>
      <c r="E9178" s="16"/>
      <c r="F9178" s="19"/>
      <c r="G9178" s="20"/>
      <c r="H9178" s="19"/>
    </row>
    <row r="9179">
      <c r="A9179" s="9"/>
      <c r="B9179" s="15"/>
      <c r="C9179" s="9"/>
      <c r="D9179" s="15"/>
      <c r="E9179" s="16"/>
      <c r="F9179" s="19"/>
      <c r="G9179" s="20"/>
      <c r="H9179" s="19"/>
    </row>
    <row r="9180">
      <c r="A9180" s="9"/>
      <c r="B9180" s="15"/>
      <c r="C9180" s="9"/>
      <c r="D9180" s="15"/>
      <c r="E9180" s="16"/>
      <c r="F9180" s="19"/>
      <c r="G9180" s="20"/>
      <c r="H9180" s="19"/>
    </row>
    <row r="9181">
      <c r="A9181" s="9"/>
      <c r="B9181" s="15"/>
      <c r="C9181" s="9"/>
      <c r="D9181" s="15"/>
      <c r="E9181" s="16"/>
      <c r="F9181" s="19"/>
      <c r="G9181" s="20"/>
      <c r="H9181" s="19"/>
    </row>
    <row r="9182">
      <c r="A9182" s="9"/>
      <c r="B9182" s="15"/>
      <c r="C9182" s="9"/>
      <c r="D9182" s="15"/>
      <c r="E9182" s="16"/>
      <c r="F9182" s="19"/>
      <c r="G9182" s="20"/>
      <c r="H9182" s="19"/>
    </row>
    <row r="9183">
      <c r="A9183" s="9"/>
      <c r="B9183" s="15"/>
      <c r="C9183" s="9"/>
      <c r="D9183" s="15"/>
      <c r="E9183" s="16"/>
      <c r="F9183" s="19"/>
      <c r="G9183" s="20"/>
      <c r="H9183" s="19"/>
    </row>
    <row r="9184">
      <c r="A9184" s="9"/>
      <c r="B9184" s="15"/>
      <c r="C9184" s="9"/>
      <c r="D9184" s="15"/>
      <c r="E9184" s="16"/>
      <c r="F9184" s="19"/>
      <c r="G9184" s="20"/>
      <c r="H9184" s="19"/>
    </row>
    <row r="9185">
      <c r="A9185" s="9"/>
      <c r="B9185" s="15"/>
      <c r="C9185" s="9"/>
      <c r="D9185" s="15"/>
      <c r="E9185" s="16"/>
      <c r="F9185" s="19"/>
      <c r="G9185" s="20"/>
      <c r="H9185" s="19"/>
    </row>
    <row r="9186">
      <c r="A9186" s="9"/>
      <c r="B9186" s="15"/>
      <c r="C9186" s="9"/>
      <c r="D9186" s="15"/>
      <c r="E9186" s="16"/>
      <c r="F9186" s="19"/>
      <c r="G9186" s="20"/>
      <c r="H9186" s="19"/>
    </row>
    <row r="9187">
      <c r="A9187" s="9"/>
      <c r="B9187" s="15"/>
      <c r="C9187" s="9"/>
      <c r="D9187" s="15"/>
      <c r="E9187" s="16"/>
      <c r="F9187" s="19"/>
      <c r="G9187" s="20"/>
      <c r="H9187" s="19"/>
    </row>
    <row r="9188">
      <c r="A9188" s="9"/>
      <c r="B9188" s="15"/>
      <c r="C9188" s="9"/>
      <c r="D9188" s="15"/>
      <c r="E9188" s="16"/>
      <c r="F9188" s="19"/>
      <c r="G9188" s="20"/>
      <c r="H9188" s="19"/>
    </row>
    <row r="9189">
      <c r="A9189" s="9"/>
      <c r="B9189" s="15"/>
      <c r="C9189" s="9"/>
      <c r="D9189" s="15"/>
      <c r="E9189" s="16"/>
      <c r="F9189" s="19"/>
      <c r="G9189" s="20"/>
      <c r="H9189" s="19"/>
    </row>
    <row r="9190">
      <c r="A9190" s="9"/>
      <c r="B9190" s="15"/>
      <c r="C9190" s="9"/>
      <c r="D9190" s="15"/>
      <c r="E9190" s="16"/>
      <c r="F9190" s="19"/>
      <c r="G9190" s="20"/>
      <c r="H9190" s="19"/>
    </row>
    <row r="9191">
      <c r="A9191" s="9"/>
      <c r="B9191" s="15"/>
      <c r="C9191" s="9"/>
      <c r="D9191" s="15"/>
      <c r="E9191" s="16"/>
      <c r="F9191" s="19"/>
      <c r="G9191" s="20"/>
      <c r="H9191" s="19"/>
    </row>
    <row r="9192">
      <c r="A9192" s="9"/>
      <c r="B9192" s="15"/>
      <c r="C9192" s="9"/>
      <c r="D9192" s="15"/>
      <c r="E9192" s="16"/>
      <c r="F9192" s="19"/>
      <c r="G9192" s="20"/>
      <c r="H9192" s="19"/>
    </row>
    <row r="9193">
      <c r="A9193" s="9"/>
      <c r="B9193" s="15"/>
      <c r="C9193" s="9"/>
      <c r="D9193" s="15"/>
      <c r="E9193" s="16"/>
      <c r="F9193" s="19"/>
      <c r="G9193" s="20"/>
      <c r="H9193" s="19"/>
    </row>
    <row r="9194">
      <c r="A9194" s="9"/>
      <c r="B9194" s="15"/>
      <c r="C9194" s="9"/>
      <c r="D9194" s="15"/>
      <c r="E9194" s="16"/>
      <c r="F9194" s="19"/>
      <c r="G9194" s="20"/>
      <c r="H9194" s="19"/>
    </row>
    <row r="9195">
      <c r="A9195" s="9"/>
      <c r="B9195" s="15"/>
      <c r="C9195" s="9"/>
      <c r="D9195" s="15"/>
      <c r="E9195" s="16"/>
      <c r="F9195" s="19"/>
      <c r="G9195" s="20"/>
      <c r="H9195" s="19"/>
    </row>
    <row r="9196">
      <c r="A9196" s="9"/>
      <c r="B9196" s="15"/>
      <c r="C9196" s="9"/>
      <c r="D9196" s="15"/>
      <c r="E9196" s="16"/>
      <c r="F9196" s="19"/>
      <c r="G9196" s="20"/>
      <c r="H9196" s="19"/>
    </row>
    <row r="9197">
      <c r="A9197" s="9"/>
      <c r="B9197" s="15"/>
      <c r="C9197" s="9"/>
      <c r="D9197" s="15"/>
      <c r="E9197" s="16"/>
      <c r="F9197" s="19"/>
      <c r="G9197" s="20"/>
      <c r="H9197" s="19"/>
    </row>
    <row r="9198">
      <c r="A9198" s="9"/>
      <c r="B9198" s="15"/>
      <c r="C9198" s="9"/>
      <c r="D9198" s="15"/>
      <c r="E9198" s="16"/>
      <c r="F9198" s="19"/>
      <c r="G9198" s="20"/>
      <c r="H9198" s="19"/>
    </row>
    <row r="9199">
      <c r="A9199" s="9"/>
      <c r="B9199" s="15"/>
      <c r="C9199" s="9"/>
      <c r="D9199" s="15"/>
      <c r="E9199" s="16"/>
      <c r="F9199" s="19"/>
      <c r="G9199" s="20"/>
      <c r="H9199" s="19"/>
    </row>
    <row r="9200">
      <c r="A9200" s="9"/>
      <c r="B9200" s="15"/>
      <c r="C9200" s="9"/>
      <c r="D9200" s="15"/>
      <c r="E9200" s="16"/>
      <c r="F9200" s="19"/>
      <c r="G9200" s="20"/>
      <c r="H9200" s="19"/>
    </row>
    <row r="9201">
      <c r="A9201" s="9"/>
      <c r="B9201" s="15"/>
      <c r="C9201" s="9"/>
      <c r="D9201" s="15"/>
      <c r="E9201" s="16"/>
      <c r="F9201" s="19"/>
      <c r="G9201" s="20"/>
      <c r="H9201" s="19"/>
    </row>
    <row r="9202">
      <c r="A9202" s="9"/>
      <c r="B9202" s="15"/>
      <c r="C9202" s="9"/>
      <c r="D9202" s="15"/>
      <c r="E9202" s="16"/>
      <c r="F9202" s="19"/>
      <c r="G9202" s="20"/>
      <c r="H9202" s="19"/>
    </row>
    <row r="9203">
      <c r="A9203" s="9"/>
      <c r="B9203" s="15"/>
      <c r="C9203" s="9"/>
      <c r="D9203" s="15"/>
      <c r="E9203" s="16"/>
      <c r="F9203" s="19"/>
      <c r="G9203" s="20"/>
      <c r="H9203" s="19"/>
    </row>
    <row r="9204">
      <c r="A9204" s="9"/>
      <c r="B9204" s="15"/>
      <c r="C9204" s="9"/>
      <c r="D9204" s="15"/>
      <c r="E9204" s="16"/>
      <c r="F9204" s="19"/>
      <c r="G9204" s="20"/>
      <c r="H9204" s="19"/>
    </row>
    <row r="9205">
      <c r="A9205" s="9"/>
      <c r="B9205" s="15"/>
      <c r="C9205" s="9"/>
      <c r="D9205" s="15"/>
      <c r="E9205" s="16"/>
      <c r="F9205" s="19"/>
      <c r="G9205" s="20"/>
      <c r="H9205" s="19"/>
    </row>
    <row r="9206">
      <c r="A9206" s="9"/>
      <c r="B9206" s="15"/>
      <c r="C9206" s="9"/>
      <c r="D9206" s="15"/>
      <c r="E9206" s="16"/>
      <c r="F9206" s="19"/>
      <c r="G9206" s="20"/>
      <c r="H9206" s="19"/>
    </row>
    <row r="9207">
      <c r="A9207" s="9"/>
      <c r="B9207" s="15"/>
      <c r="C9207" s="9"/>
      <c r="D9207" s="15"/>
      <c r="E9207" s="16"/>
      <c r="F9207" s="19"/>
      <c r="G9207" s="20"/>
      <c r="H9207" s="19"/>
    </row>
    <row r="9208">
      <c r="A9208" s="9"/>
      <c r="B9208" s="15"/>
      <c r="C9208" s="9"/>
      <c r="D9208" s="15"/>
      <c r="E9208" s="16"/>
      <c r="F9208" s="19"/>
      <c r="G9208" s="20"/>
      <c r="H9208" s="19"/>
    </row>
    <row r="9209">
      <c r="A9209" s="9"/>
      <c r="B9209" s="15"/>
      <c r="C9209" s="9"/>
      <c r="D9209" s="15"/>
      <c r="E9209" s="16"/>
      <c r="F9209" s="19"/>
      <c r="G9209" s="20"/>
      <c r="H9209" s="19"/>
    </row>
    <row r="9210">
      <c r="A9210" s="9"/>
      <c r="B9210" s="15"/>
      <c r="C9210" s="9"/>
      <c r="D9210" s="15"/>
      <c r="E9210" s="16"/>
      <c r="F9210" s="19"/>
      <c r="G9210" s="20"/>
      <c r="H9210" s="19"/>
    </row>
    <row r="9211">
      <c r="A9211" s="9"/>
      <c r="B9211" s="15"/>
      <c r="C9211" s="9"/>
      <c r="D9211" s="15"/>
      <c r="E9211" s="16"/>
      <c r="F9211" s="19"/>
      <c r="G9211" s="20"/>
      <c r="H9211" s="19"/>
    </row>
    <row r="9212">
      <c r="A9212" s="9"/>
      <c r="B9212" s="15"/>
      <c r="C9212" s="9"/>
      <c r="D9212" s="15"/>
      <c r="E9212" s="16"/>
      <c r="F9212" s="19"/>
      <c r="G9212" s="20"/>
      <c r="H9212" s="19"/>
    </row>
    <row r="9213">
      <c r="A9213" s="9"/>
      <c r="B9213" s="15"/>
      <c r="C9213" s="9"/>
      <c r="D9213" s="15"/>
      <c r="E9213" s="16"/>
      <c r="F9213" s="19"/>
      <c r="G9213" s="20"/>
      <c r="H9213" s="19"/>
    </row>
    <row r="9214">
      <c r="A9214" s="9"/>
      <c r="B9214" s="15"/>
      <c r="C9214" s="9"/>
      <c r="D9214" s="15"/>
      <c r="E9214" s="16"/>
      <c r="F9214" s="19"/>
      <c r="G9214" s="20"/>
      <c r="H9214" s="19"/>
    </row>
    <row r="9215">
      <c r="A9215" s="9"/>
      <c r="B9215" s="15"/>
      <c r="C9215" s="9"/>
      <c r="D9215" s="15"/>
      <c r="E9215" s="16"/>
      <c r="F9215" s="19"/>
      <c r="G9215" s="20"/>
      <c r="H9215" s="19"/>
    </row>
    <row r="9216">
      <c r="A9216" s="9"/>
      <c r="B9216" s="15"/>
      <c r="C9216" s="9"/>
      <c r="D9216" s="15"/>
      <c r="E9216" s="16"/>
      <c r="F9216" s="19"/>
      <c r="G9216" s="20"/>
      <c r="H9216" s="19"/>
    </row>
    <row r="9217">
      <c r="A9217" s="9"/>
      <c r="B9217" s="15"/>
      <c r="C9217" s="9"/>
      <c r="D9217" s="15"/>
      <c r="E9217" s="16"/>
      <c r="F9217" s="19"/>
      <c r="G9217" s="20"/>
      <c r="H9217" s="19"/>
    </row>
    <row r="9218">
      <c r="A9218" s="9"/>
      <c r="B9218" s="15"/>
      <c r="C9218" s="9"/>
      <c r="D9218" s="15"/>
      <c r="E9218" s="16"/>
      <c r="F9218" s="19"/>
      <c r="G9218" s="20"/>
      <c r="H9218" s="19"/>
    </row>
    <row r="9219">
      <c r="A9219" s="9"/>
      <c r="B9219" s="15"/>
      <c r="C9219" s="9"/>
      <c r="D9219" s="15"/>
      <c r="E9219" s="16"/>
      <c r="F9219" s="19"/>
      <c r="G9219" s="20"/>
      <c r="H9219" s="19"/>
    </row>
    <row r="9220">
      <c r="A9220" s="9"/>
      <c r="B9220" s="15"/>
      <c r="C9220" s="9"/>
      <c r="D9220" s="15"/>
      <c r="E9220" s="16"/>
      <c r="F9220" s="19"/>
      <c r="G9220" s="20"/>
      <c r="H9220" s="19"/>
    </row>
    <row r="9221">
      <c r="A9221" s="9"/>
      <c r="B9221" s="15"/>
      <c r="C9221" s="9"/>
      <c r="D9221" s="15"/>
      <c r="E9221" s="16"/>
      <c r="F9221" s="19"/>
      <c r="G9221" s="20"/>
      <c r="H9221" s="19"/>
    </row>
    <row r="9222">
      <c r="A9222" s="9"/>
      <c r="B9222" s="15"/>
      <c r="C9222" s="9"/>
      <c r="D9222" s="15"/>
      <c r="E9222" s="16"/>
      <c r="F9222" s="19"/>
      <c r="G9222" s="20"/>
      <c r="H9222" s="19"/>
    </row>
    <row r="9223">
      <c r="A9223" s="9"/>
      <c r="B9223" s="15"/>
      <c r="C9223" s="9"/>
      <c r="D9223" s="15"/>
      <c r="E9223" s="16"/>
      <c r="F9223" s="19"/>
      <c r="G9223" s="20"/>
      <c r="H9223" s="19"/>
    </row>
    <row r="9224">
      <c r="A9224" s="9"/>
      <c r="B9224" s="15"/>
      <c r="C9224" s="9"/>
      <c r="D9224" s="15"/>
      <c r="E9224" s="16"/>
      <c r="F9224" s="19"/>
      <c r="G9224" s="20"/>
      <c r="H9224" s="19"/>
    </row>
    <row r="9225">
      <c r="A9225" s="9"/>
      <c r="B9225" s="15"/>
      <c r="C9225" s="9"/>
      <c r="D9225" s="15"/>
      <c r="E9225" s="16"/>
      <c r="F9225" s="19"/>
      <c r="G9225" s="20"/>
      <c r="H9225" s="19"/>
    </row>
    <row r="9226">
      <c r="A9226" s="9"/>
      <c r="B9226" s="15"/>
      <c r="C9226" s="9"/>
      <c r="D9226" s="15"/>
      <c r="E9226" s="16"/>
      <c r="F9226" s="19"/>
      <c r="G9226" s="20"/>
      <c r="H9226" s="19"/>
    </row>
    <row r="9227">
      <c r="A9227" s="9"/>
      <c r="B9227" s="15"/>
      <c r="C9227" s="9"/>
      <c r="D9227" s="15"/>
      <c r="E9227" s="16"/>
      <c r="F9227" s="19"/>
      <c r="G9227" s="20"/>
      <c r="H9227" s="19"/>
    </row>
    <row r="9228">
      <c r="A9228" s="9"/>
      <c r="B9228" s="15"/>
      <c r="C9228" s="9"/>
      <c r="D9228" s="15"/>
      <c r="E9228" s="16"/>
      <c r="F9228" s="19"/>
      <c r="G9228" s="20"/>
      <c r="H9228" s="19"/>
    </row>
    <row r="9229">
      <c r="A9229" s="9"/>
      <c r="B9229" s="15"/>
      <c r="C9229" s="9"/>
      <c r="D9229" s="15"/>
      <c r="E9229" s="16"/>
      <c r="F9229" s="19"/>
      <c r="G9229" s="20"/>
      <c r="H9229" s="19"/>
    </row>
    <row r="9230">
      <c r="A9230" s="9"/>
      <c r="B9230" s="15"/>
      <c r="C9230" s="9"/>
      <c r="D9230" s="15"/>
      <c r="E9230" s="16"/>
      <c r="F9230" s="19"/>
      <c r="G9230" s="20"/>
      <c r="H9230" s="19"/>
    </row>
    <row r="9231">
      <c r="A9231" s="9"/>
      <c r="B9231" s="15"/>
      <c r="C9231" s="9"/>
      <c r="D9231" s="15"/>
      <c r="E9231" s="16"/>
      <c r="F9231" s="19"/>
      <c r="G9231" s="20"/>
      <c r="H9231" s="19"/>
    </row>
    <row r="9232">
      <c r="A9232" s="9"/>
      <c r="B9232" s="15"/>
      <c r="C9232" s="9"/>
      <c r="D9232" s="15"/>
      <c r="E9232" s="16"/>
      <c r="F9232" s="19"/>
      <c r="G9232" s="20"/>
      <c r="H9232" s="19"/>
    </row>
    <row r="9233">
      <c r="A9233" s="9"/>
      <c r="B9233" s="15"/>
      <c r="C9233" s="9"/>
      <c r="D9233" s="15"/>
      <c r="E9233" s="16"/>
      <c r="F9233" s="19"/>
      <c r="G9233" s="20"/>
      <c r="H9233" s="19"/>
    </row>
    <row r="9234">
      <c r="A9234" s="9"/>
      <c r="B9234" s="15"/>
      <c r="C9234" s="9"/>
      <c r="D9234" s="15"/>
      <c r="E9234" s="16"/>
      <c r="F9234" s="19"/>
      <c r="G9234" s="20"/>
      <c r="H9234" s="19"/>
    </row>
    <row r="9235">
      <c r="A9235" s="9"/>
      <c r="B9235" s="15"/>
      <c r="C9235" s="9"/>
      <c r="D9235" s="15"/>
      <c r="E9235" s="16"/>
      <c r="F9235" s="19"/>
      <c r="G9235" s="20"/>
      <c r="H9235" s="19"/>
    </row>
    <row r="9236">
      <c r="A9236" s="9"/>
      <c r="B9236" s="15"/>
      <c r="C9236" s="9"/>
      <c r="D9236" s="15"/>
      <c r="E9236" s="16"/>
      <c r="F9236" s="19"/>
      <c r="G9236" s="20"/>
      <c r="H9236" s="19"/>
    </row>
    <row r="9237">
      <c r="A9237" s="9"/>
      <c r="B9237" s="15"/>
      <c r="C9237" s="9"/>
      <c r="D9237" s="15"/>
      <c r="E9237" s="16"/>
      <c r="F9237" s="19"/>
      <c r="G9237" s="20"/>
      <c r="H9237" s="19"/>
    </row>
    <row r="9238">
      <c r="A9238" s="9"/>
      <c r="B9238" s="15"/>
      <c r="C9238" s="9"/>
      <c r="D9238" s="15"/>
      <c r="E9238" s="16"/>
      <c r="F9238" s="19"/>
      <c r="G9238" s="20"/>
      <c r="H9238" s="19"/>
    </row>
    <row r="9239">
      <c r="A9239" s="9"/>
      <c r="B9239" s="15"/>
      <c r="C9239" s="9"/>
      <c r="D9239" s="15"/>
      <c r="E9239" s="16"/>
      <c r="F9239" s="19"/>
      <c r="G9239" s="20"/>
      <c r="H9239" s="19"/>
    </row>
    <row r="9240">
      <c r="A9240" s="9"/>
      <c r="B9240" s="15"/>
      <c r="C9240" s="9"/>
      <c r="D9240" s="15"/>
      <c r="E9240" s="16"/>
      <c r="F9240" s="19"/>
      <c r="G9240" s="20"/>
      <c r="H9240" s="19"/>
    </row>
    <row r="9241">
      <c r="A9241" s="9"/>
      <c r="B9241" s="15"/>
      <c r="C9241" s="9"/>
      <c r="D9241" s="15"/>
      <c r="E9241" s="16"/>
      <c r="F9241" s="19"/>
      <c r="G9241" s="20"/>
      <c r="H9241" s="19"/>
    </row>
    <row r="9242">
      <c r="A9242" s="9"/>
      <c r="B9242" s="15"/>
      <c r="C9242" s="9"/>
      <c r="D9242" s="15"/>
      <c r="E9242" s="16"/>
      <c r="F9242" s="19"/>
      <c r="G9242" s="20"/>
      <c r="H9242" s="19"/>
    </row>
    <row r="9243">
      <c r="A9243" s="9"/>
      <c r="B9243" s="15"/>
      <c r="C9243" s="9"/>
      <c r="D9243" s="15"/>
      <c r="E9243" s="16"/>
      <c r="F9243" s="19"/>
      <c r="G9243" s="20"/>
      <c r="H9243" s="19"/>
    </row>
    <row r="9244">
      <c r="A9244" s="9"/>
      <c r="B9244" s="15"/>
      <c r="C9244" s="9"/>
      <c r="D9244" s="15"/>
      <c r="E9244" s="16"/>
      <c r="F9244" s="19"/>
      <c r="G9244" s="20"/>
      <c r="H9244" s="19"/>
    </row>
    <row r="9245">
      <c r="A9245" s="9"/>
      <c r="B9245" s="15"/>
      <c r="C9245" s="9"/>
      <c r="D9245" s="15"/>
      <c r="E9245" s="16"/>
      <c r="F9245" s="19"/>
      <c r="G9245" s="20"/>
      <c r="H9245" s="19"/>
    </row>
    <row r="9246">
      <c r="A9246" s="9"/>
      <c r="B9246" s="15"/>
      <c r="C9246" s="9"/>
      <c r="D9246" s="15"/>
      <c r="E9246" s="16"/>
      <c r="F9246" s="19"/>
      <c r="G9246" s="20"/>
      <c r="H9246" s="19"/>
    </row>
    <row r="9247">
      <c r="A9247" s="9"/>
      <c r="B9247" s="15"/>
      <c r="C9247" s="9"/>
      <c r="D9247" s="15"/>
      <c r="E9247" s="16"/>
      <c r="F9247" s="19"/>
      <c r="G9247" s="20"/>
      <c r="H9247" s="19"/>
    </row>
    <row r="9248">
      <c r="A9248" s="9"/>
      <c r="B9248" s="15"/>
      <c r="C9248" s="9"/>
      <c r="D9248" s="15"/>
      <c r="E9248" s="16"/>
      <c r="F9248" s="19"/>
      <c r="G9248" s="20"/>
      <c r="H9248" s="19"/>
    </row>
    <row r="9249">
      <c r="A9249" s="9"/>
      <c r="B9249" s="15"/>
      <c r="C9249" s="9"/>
      <c r="D9249" s="15"/>
      <c r="E9249" s="16"/>
      <c r="F9249" s="19"/>
      <c r="G9249" s="20"/>
      <c r="H9249" s="19"/>
    </row>
    <row r="9250">
      <c r="A9250" s="9"/>
      <c r="B9250" s="15"/>
      <c r="C9250" s="9"/>
      <c r="D9250" s="15"/>
      <c r="E9250" s="16"/>
      <c r="F9250" s="19"/>
      <c r="G9250" s="20"/>
      <c r="H9250" s="19"/>
    </row>
    <row r="9251">
      <c r="A9251" s="9"/>
      <c r="B9251" s="15"/>
      <c r="C9251" s="9"/>
      <c r="D9251" s="15"/>
      <c r="E9251" s="16"/>
      <c r="F9251" s="19"/>
      <c r="G9251" s="20"/>
      <c r="H9251" s="19"/>
    </row>
    <row r="9252">
      <c r="A9252" s="9"/>
      <c r="B9252" s="15"/>
      <c r="C9252" s="9"/>
      <c r="D9252" s="15"/>
      <c r="E9252" s="16"/>
      <c r="F9252" s="19"/>
      <c r="G9252" s="20"/>
      <c r="H9252" s="19"/>
    </row>
    <row r="9253">
      <c r="A9253" s="9"/>
      <c r="B9253" s="15"/>
      <c r="C9253" s="9"/>
      <c r="D9253" s="15"/>
      <c r="E9253" s="16"/>
      <c r="F9253" s="19"/>
      <c r="G9253" s="20"/>
      <c r="H9253" s="19"/>
    </row>
    <row r="9254">
      <c r="A9254" s="9"/>
      <c r="B9254" s="15"/>
      <c r="C9254" s="9"/>
      <c r="D9254" s="15"/>
      <c r="E9254" s="16"/>
      <c r="F9254" s="19"/>
      <c r="G9254" s="20"/>
      <c r="H9254" s="19"/>
    </row>
    <row r="9255">
      <c r="A9255" s="9"/>
      <c r="B9255" s="15"/>
      <c r="C9255" s="9"/>
      <c r="D9255" s="15"/>
      <c r="E9255" s="16"/>
      <c r="F9255" s="19"/>
      <c r="G9255" s="20"/>
      <c r="H9255" s="19"/>
    </row>
    <row r="9256">
      <c r="A9256" s="9"/>
      <c r="B9256" s="15"/>
      <c r="C9256" s="9"/>
      <c r="D9256" s="15"/>
      <c r="E9256" s="16"/>
      <c r="F9256" s="19"/>
      <c r="G9256" s="20"/>
      <c r="H9256" s="19"/>
    </row>
    <row r="9257">
      <c r="A9257" s="9"/>
      <c r="B9257" s="15"/>
      <c r="C9257" s="9"/>
      <c r="D9257" s="15"/>
      <c r="E9257" s="16"/>
      <c r="F9257" s="19"/>
      <c r="G9257" s="20"/>
      <c r="H9257" s="19"/>
    </row>
    <row r="9258">
      <c r="A9258" s="9"/>
      <c r="B9258" s="15"/>
      <c r="C9258" s="9"/>
      <c r="D9258" s="15"/>
      <c r="E9258" s="16"/>
      <c r="F9258" s="19"/>
      <c r="G9258" s="20"/>
      <c r="H9258" s="19"/>
    </row>
    <row r="9259">
      <c r="A9259" s="9"/>
      <c r="B9259" s="15"/>
      <c r="C9259" s="9"/>
      <c r="D9259" s="15"/>
      <c r="E9259" s="16"/>
      <c r="F9259" s="19"/>
      <c r="G9259" s="20"/>
      <c r="H9259" s="19"/>
    </row>
    <row r="9260">
      <c r="A9260" s="9"/>
      <c r="B9260" s="15"/>
      <c r="C9260" s="9"/>
      <c r="D9260" s="15"/>
      <c r="E9260" s="16"/>
      <c r="F9260" s="19"/>
      <c r="G9260" s="20"/>
      <c r="H9260" s="19"/>
    </row>
    <row r="9261">
      <c r="A9261" s="9"/>
      <c r="B9261" s="15"/>
      <c r="C9261" s="9"/>
      <c r="D9261" s="15"/>
      <c r="E9261" s="16"/>
      <c r="F9261" s="19"/>
      <c r="G9261" s="20"/>
      <c r="H9261" s="19"/>
    </row>
    <row r="9262">
      <c r="A9262" s="9"/>
      <c r="B9262" s="15"/>
      <c r="C9262" s="9"/>
      <c r="D9262" s="15"/>
      <c r="E9262" s="16"/>
      <c r="F9262" s="19"/>
      <c r="G9262" s="20"/>
      <c r="H9262" s="19"/>
    </row>
    <row r="9263">
      <c r="A9263" s="9"/>
      <c r="B9263" s="15"/>
      <c r="C9263" s="9"/>
      <c r="D9263" s="15"/>
      <c r="E9263" s="16"/>
      <c r="F9263" s="19"/>
      <c r="G9263" s="20"/>
      <c r="H9263" s="19"/>
    </row>
    <row r="9264">
      <c r="A9264" s="9"/>
      <c r="B9264" s="15"/>
      <c r="C9264" s="9"/>
      <c r="D9264" s="15"/>
      <c r="E9264" s="16"/>
      <c r="F9264" s="19"/>
      <c r="G9264" s="20"/>
      <c r="H9264" s="19"/>
    </row>
    <row r="9265">
      <c r="A9265" s="9"/>
      <c r="B9265" s="15"/>
      <c r="C9265" s="9"/>
      <c r="D9265" s="15"/>
      <c r="E9265" s="16"/>
      <c r="F9265" s="19"/>
      <c r="G9265" s="20"/>
      <c r="H9265" s="19"/>
    </row>
    <row r="9266">
      <c r="A9266" s="9"/>
      <c r="B9266" s="15"/>
      <c r="C9266" s="9"/>
      <c r="D9266" s="15"/>
      <c r="E9266" s="16"/>
      <c r="F9266" s="19"/>
      <c r="G9266" s="20"/>
      <c r="H9266" s="19"/>
    </row>
    <row r="9267">
      <c r="A9267" s="9"/>
      <c r="B9267" s="15"/>
      <c r="C9267" s="9"/>
      <c r="D9267" s="15"/>
      <c r="E9267" s="16"/>
      <c r="F9267" s="19"/>
      <c r="G9267" s="20"/>
      <c r="H9267" s="19"/>
    </row>
    <row r="9268">
      <c r="A9268" s="9"/>
      <c r="B9268" s="15"/>
      <c r="C9268" s="9"/>
      <c r="D9268" s="15"/>
      <c r="E9268" s="16"/>
      <c r="F9268" s="19"/>
      <c r="G9268" s="20"/>
      <c r="H9268" s="19"/>
    </row>
    <row r="9269">
      <c r="A9269" s="9"/>
      <c r="B9269" s="15"/>
      <c r="C9269" s="9"/>
      <c r="D9269" s="15"/>
      <c r="E9269" s="16"/>
      <c r="F9269" s="19"/>
      <c r="G9269" s="20"/>
      <c r="H9269" s="19"/>
    </row>
    <row r="9270">
      <c r="A9270" s="9"/>
      <c r="B9270" s="15"/>
      <c r="C9270" s="9"/>
      <c r="D9270" s="15"/>
      <c r="E9270" s="16"/>
      <c r="F9270" s="19"/>
      <c r="G9270" s="20"/>
      <c r="H9270" s="19"/>
    </row>
    <row r="9271">
      <c r="A9271" s="9"/>
      <c r="B9271" s="15"/>
      <c r="C9271" s="9"/>
      <c r="D9271" s="15"/>
      <c r="E9271" s="16"/>
      <c r="F9271" s="19"/>
      <c r="G9271" s="20"/>
      <c r="H9271" s="19"/>
    </row>
    <row r="9272">
      <c r="A9272" s="9"/>
      <c r="B9272" s="15"/>
      <c r="C9272" s="9"/>
      <c r="D9272" s="15"/>
      <c r="E9272" s="16"/>
      <c r="F9272" s="19"/>
      <c r="G9272" s="20"/>
      <c r="H9272" s="19"/>
    </row>
    <row r="9273">
      <c r="A9273" s="9"/>
      <c r="B9273" s="15"/>
      <c r="C9273" s="9"/>
      <c r="D9273" s="15"/>
      <c r="E9273" s="16"/>
      <c r="F9273" s="19"/>
      <c r="G9273" s="20"/>
      <c r="H9273" s="19"/>
    </row>
    <row r="9274">
      <c r="A9274" s="9"/>
      <c r="B9274" s="15"/>
      <c r="C9274" s="9"/>
      <c r="D9274" s="15"/>
      <c r="E9274" s="16"/>
      <c r="F9274" s="19"/>
      <c r="G9274" s="20"/>
      <c r="H9274" s="19"/>
    </row>
    <row r="9275">
      <c r="A9275" s="9"/>
      <c r="B9275" s="15"/>
      <c r="C9275" s="9"/>
      <c r="D9275" s="15"/>
      <c r="E9275" s="16"/>
      <c r="F9275" s="19"/>
      <c r="G9275" s="20"/>
      <c r="H9275" s="19"/>
    </row>
    <row r="9276">
      <c r="A9276" s="9"/>
      <c r="B9276" s="15"/>
      <c r="C9276" s="9"/>
      <c r="D9276" s="15"/>
      <c r="E9276" s="16"/>
      <c r="F9276" s="19"/>
      <c r="G9276" s="20"/>
      <c r="H9276" s="19"/>
    </row>
    <row r="9277">
      <c r="A9277" s="9"/>
      <c r="B9277" s="15"/>
      <c r="C9277" s="9"/>
      <c r="D9277" s="15"/>
      <c r="E9277" s="16"/>
      <c r="F9277" s="19"/>
      <c r="G9277" s="20"/>
      <c r="H9277" s="19"/>
    </row>
    <row r="9278">
      <c r="A9278" s="9"/>
      <c r="B9278" s="15"/>
      <c r="C9278" s="9"/>
      <c r="D9278" s="15"/>
      <c r="E9278" s="16"/>
      <c r="F9278" s="19"/>
      <c r="G9278" s="20"/>
      <c r="H9278" s="19"/>
    </row>
    <row r="9279">
      <c r="A9279" s="9"/>
      <c r="B9279" s="15"/>
      <c r="C9279" s="9"/>
      <c r="D9279" s="15"/>
      <c r="E9279" s="16"/>
      <c r="F9279" s="19"/>
      <c r="G9279" s="20"/>
      <c r="H9279" s="19"/>
    </row>
    <row r="9280">
      <c r="A9280" s="9"/>
      <c r="B9280" s="15"/>
      <c r="C9280" s="9"/>
      <c r="D9280" s="15"/>
      <c r="E9280" s="16"/>
      <c r="F9280" s="19"/>
      <c r="G9280" s="20"/>
      <c r="H9280" s="19"/>
    </row>
    <row r="9281">
      <c r="A9281" s="9"/>
      <c r="B9281" s="15"/>
      <c r="C9281" s="9"/>
      <c r="D9281" s="15"/>
      <c r="E9281" s="16"/>
      <c r="F9281" s="19"/>
      <c r="G9281" s="20"/>
      <c r="H9281" s="19"/>
    </row>
    <row r="9282">
      <c r="A9282" s="9"/>
      <c r="B9282" s="15"/>
      <c r="C9282" s="9"/>
      <c r="D9282" s="15"/>
      <c r="E9282" s="16"/>
      <c r="F9282" s="19"/>
      <c r="G9282" s="20"/>
      <c r="H9282" s="19"/>
    </row>
    <row r="9283">
      <c r="A9283" s="9"/>
      <c r="B9283" s="15"/>
      <c r="C9283" s="9"/>
      <c r="D9283" s="15"/>
      <c r="E9283" s="16"/>
      <c r="F9283" s="19"/>
      <c r="G9283" s="20"/>
      <c r="H9283" s="19"/>
    </row>
    <row r="9284">
      <c r="A9284" s="9"/>
      <c r="B9284" s="15"/>
      <c r="C9284" s="9"/>
      <c r="D9284" s="15"/>
      <c r="E9284" s="16"/>
      <c r="F9284" s="19"/>
      <c r="G9284" s="20"/>
      <c r="H9284" s="19"/>
    </row>
    <row r="9285">
      <c r="A9285" s="9"/>
      <c r="B9285" s="15"/>
      <c r="C9285" s="9"/>
      <c r="D9285" s="15"/>
      <c r="E9285" s="16"/>
      <c r="F9285" s="19"/>
      <c r="G9285" s="20"/>
      <c r="H9285" s="19"/>
    </row>
    <row r="9286">
      <c r="A9286" s="9"/>
      <c r="B9286" s="15"/>
      <c r="C9286" s="9"/>
      <c r="D9286" s="15"/>
      <c r="E9286" s="16"/>
      <c r="F9286" s="19"/>
      <c r="G9286" s="20"/>
      <c r="H9286" s="19"/>
    </row>
    <row r="9287">
      <c r="A9287" s="9"/>
      <c r="B9287" s="15"/>
      <c r="C9287" s="9"/>
      <c r="D9287" s="15"/>
      <c r="E9287" s="16"/>
      <c r="F9287" s="19"/>
      <c r="G9287" s="20"/>
      <c r="H9287" s="19"/>
    </row>
    <row r="9288">
      <c r="A9288" s="9"/>
      <c r="B9288" s="15"/>
      <c r="C9288" s="9"/>
      <c r="D9288" s="15"/>
      <c r="E9288" s="16"/>
      <c r="F9288" s="19"/>
      <c r="G9288" s="20"/>
      <c r="H9288" s="19"/>
    </row>
    <row r="9289">
      <c r="A9289" s="9"/>
      <c r="B9289" s="15"/>
      <c r="C9289" s="9"/>
      <c r="D9289" s="15"/>
      <c r="E9289" s="16"/>
      <c r="F9289" s="19"/>
      <c r="G9289" s="20"/>
      <c r="H9289" s="19"/>
    </row>
    <row r="9290">
      <c r="A9290" s="9"/>
      <c r="B9290" s="15"/>
      <c r="C9290" s="9"/>
      <c r="D9290" s="15"/>
      <c r="E9290" s="16"/>
      <c r="F9290" s="19"/>
      <c r="G9290" s="20"/>
      <c r="H9290" s="19"/>
    </row>
    <row r="9291">
      <c r="A9291" s="9"/>
      <c r="B9291" s="15"/>
      <c r="C9291" s="9"/>
      <c r="D9291" s="15"/>
      <c r="E9291" s="16"/>
      <c r="F9291" s="19"/>
      <c r="G9291" s="20"/>
      <c r="H9291" s="19"/>
    </row>
    <row r="9292">
      <c r="A9292" s="9"/>
      <c r="B9292" s="15"/>
      <c r="C9292" s="9"/>
      <c r="D9292" s="15"/>
      <c r="E9292" s="16"/>
      <c r="F9292" s="19"/>
      <c r="G9292" s="20"/>
      <c r="H9292" s="19"/>
    </row>
    <row r="9293">
      <c r="A9293" s="9"/>
      <c r="B9293" s="15"/>
      <c r="C9293" s="9"/>
      <c r="D9293" s="15"/>
      <c r="E9293" s="16"/>
      <c r="F9293" s="19"/>
      <c r="G9293" s="20"/>
      <c r="H9293" s="19"/>
    </row>
    <row r="9294">
      <c r="A9294" s="9"/>
      <c r="B9294" s="15"/>
      <c r="C9294" s="9"/>
      <c r="D9294" s="15"/>
      <c r="E9294" s="16"/>
      <c r="F9294" s="19"/>
      <c r="G9294" s="20"/>
      <c r="H9294" s="19"/>
    </row>
    <row r="9295">
      <c r="A9295" s="9"/>
      <c r="B9295" s="15"/>
      <c r="C9295" s="9"/>
      <c r="D9295" s="15"/>
      <c r="E9295" s="16"/>
      <c r="F9295" s="19"/>
      <c r="G9295" s="20"/>
      <c r="H9295" s="19"/>
    </row>
    <row r="9296">
      <c r="A9296" s="9"/>
      <c r="B9296" s="15"/>
      <c r="C9296" s="9"/>
      <c r="D9296" s="15"/>
      <c r="E9296" s="16"/>
      <c r="F9296" s="19"/>
      <c r="G9296" s="20"/>
      <c r="H9296" s="19"/>
    </row>
    <row r="9297">
      <c r="A9297" s="9"/>
      <c r="B9297" s="15"/>
      <c r="C9297" s="9"/>
      <c r="D9297" s="15"/>
      <c r="E9297" s="16"/>
      <c r="F9297" s="19"/>
      <c r="G9297" s="20"/>
      <c r="H9297" s="19"/>
    </row>
    <row r="9298">
      <c r="A9298" s="9"/>
      <c r="B9298" s="15"/>
      <c r="C9298" s="9"/>
      <c r="D9298" s="15"/>
      <c r="E9298" s="16"/>
      <c r="F9298" s="19"/>
      <c r="G9298" s="20"/>
      <c r="H9298" s="19"/>
    </row>
    <row r="9299">
      <c r="A9299" s="9"/>
      <c r="B9299" s="15"/>
      <c r="C9299" s="9"/>
      <c r="D9299" s="15"/>
      <c r="E9299" s="16"/>
      <c r="F9299" s="19"/>
      <c r="G9299" s="20"/>
      <c r="H9299" s="19"/>
    </row>
    <row r="9300">
      <c r="A9300" s="9"/>
      <c r="B9300" s="15"/>
      <c r="C9300" s="9"/>
      <c r="D9300" s="15"/>
      <c r="E9300" s="16"/>
      <c r="F9300" s="19"/>
      <c r="G9300" s="20"/>
      <c r="H9300" s="19"/>
    </row>
    <row r="9301">
      <c r="A9301" s="9"/>
      <c r="B9301" s="15"/>
      <c r="C9301" s="9"/>
      <c r="D9301" s="15"/>
      <c r="E9301" s="16"/>
      <c r="F9301" s="19"/>
      <c r="G9301" s="20"/>
      <c r="H9301" s="19"/>
    </row>
    <row r="9302">
      <c r="A9302" s="9"/>
      <c r="B9302" s="15"/>
      <c r="C9302" s="9"/>
      <c r="D9302" s="15"/>
      <c r="E9302" s="16"/>
      <c r="F9302" s="19"/>
      <c r="G9302" s="20"/>
      <c r="H9302" s="19"/>
    </row>
    <row r="9303">
      <c r="A9303" s="9"/>
      <c r="B9303" s="15"/>
      <c r="C9303" s="9"/>
      <c r="D9303" s="15"/>
      <c r="E9303" s="16"/>
      <c r="F9303" s="19"/>
      <c r="G9303" s="20"/>
      <c r="H9303" s="19"/>
    </row>
    <row r="9304">
      <c r="A9304" s="9"/>
      <c r="B9304" s="15"/>
      <c r="C9304" s="9"/>
      <c r="D9304" s="15"/>
      <c r="E9304" s="16"/>
      <c r="F9304" s="19"/>
      <c r="G9304" s="20"/>
      <c r="H9304" s="19"/>
    </row>
    <row r="9305">
      <c r="A9305" s="9"/>
      <c r="B9305" s="15"/>
      <c r="C9305" s="9"/>
      <c r="D9305" s="15"/>
      <c r="E9305" s="16"/>
      <c r="F9305" s="19"/>
      <c r="G9305" s="20"/>
      <c r="H9305" s="19"/>
    </row>
    <row r="9306">
      <c r="A9306" s="9"/>
      <c r="B9306" s="15"/>
      <c r="C9306" s="9"/>
      <c r="D9306" s="15"/>
      <c r="E9306" s="16"/>
      <c r="F9306" s="19"/>
      <c r="G9306" s="20"/>
      <c r="H9306" s="19"/>
    </row>
    <row r="9307">
      <c r="A9307" s="9"/>
      <c r="B9307" s="15"/>
      <c r="C9307" s="9"/>
      <c r="D9307" s="15"/>
      <c r="E9307" s="16"/>
      <c r="F9307" s="19"/>
      <c r="G9307" s="20"/>
      <c r="H9307" s="19"/>
    </row>
    <row r="9308">
      <c r="A9308" s="9"/>
      <c r="B9308" s="15"/>
      <c r="C9308" s="9"/>
      <c r="D9308" s="15"/>
      <c r="E9308" s="16"/>
      <c r="F9308" s="19"/>
      <c r="G9308" s="20"/>
      <c r="H9308" s="19"/>
    </row>
    <row r="9309">
      <c r="A9309" s="9"/>
      <c r="B9309" s="15"/>
      <c r="C9309" s="9"/>
      <c r="D9309" s="15"/>
      <c r="E9309" s="16"/>
      <c r="F9309" s="19"/>
      <c r="G9309" s="20"/>
      <c r="H9309" s="19"/>
    </row>
    <row r="9310">
      <c r="A9310" s="9"/>
      <c r="B9310" s="15"/>
      <c r="C9310" s="9"/>
      <c r="D9310" s="15"/>
      <c r="E9310" s="16"/>
      <c r="F9310" s="19"/>
      <c r="G9310" s="20"/>
      <c r="H9310" s="19"/>
    </row>
    <row r="9311">
      <c r="A9311" s="9"/>
      <c r="B9311" s="15"/>
      <c r="C9311" s="9"/>
      <c r="D9311" s="15"/>
      <c r="E9311" s="16"/>
      <c r="F9311" s="19"/>
      <c r="G9311" s="20"/>
      <c r="H9311" s="19"/>
    </row>
    <row r="9312">
      <c r="A9312" s="9"/>
      <c r="B9312" s="15"/>
      <c r="C9312" s="9"/>
      <c r="D9312" s="15"/>
      <c r="E9312" s="16"/>
      <c r="F9312" s="19"/>
      <c r="G9312" s="20"/>
      <c r="H9312" s="19"/>
    </row>
    <row r="9313">
      <c r="A9313" s="9"/>
      <c r="B9313" s="15"/>
      <c r="C9313" s="9"/>
      <c r="D9313" s="15"/>
      <c r="E9313" s="16"/>
      <c r="F9313" s="19"/>
      <c r="G9313" s="20"/>
      <c r="H9313" s="19"/>
    </row>
    <row r="9314">
      <c r="A9314" s="9"/>
      <c r="B9314" s="15"/>
      <c r="C9314" s="9"/>
      <c r="D9314" s="15"/>
      <c r="E9314" s="16"/>
      <c r="F9314" s="19"/>
      <c r="G9314" s="20"/>
      <c r="H9314" s="19"/>
    </row>
    <row r="9315">
      <c r="A9315" s="9"/>
      <c r="B9315" s="15"/>
      <c r="C9315" s="9"/>
      <c r="D9315" s="15"/>
      <c r="E9315" s="16"/>
      <c r="F9315" s="19"/>
      <c r="G9315" s="20"/>
      <c r="H9315" s="19"/>
    </row>
    <row r="9316">
      <c r="A9316" s="9"/>
      <c r="B9316" s="15"/>
      <c r="C9316" s="9"/>
      <c r="D9316" s="15"/>
      <c r="E9316" s="16"/>
      <c r="F9316" s="19"/>
      <c r="G9316" s="20"/>
      <c r="H9316" s="19"/>
    </row>
    <row r="9317">
      <c r="A9317" s="9"/>
      <c r="B9317" s="15"/>
      <c r="C9317" s="9"/>
      <c r="D9317" s="15"/>
      <c r="E9317" s="16"/>
      <c r="F9317" s="19"/>
      <c r="G9317" s="20"/>
      <c r="H9317" s="19"/>
    </row>
    <row r="9318">
      <c r="A9318" s="9"/>
      <c r="B9318" s="15"/>
      <c r="C9318" s="9"/>
      <c r="D9318" s="15"/>
      <c r="E9318" s="16"/>
      <c r="F9318" s="19"/>
      <c r="G9318" s="20"/>
      <c r="H9318" s="19"/>
    </row>
    <row r="9319">
      <c r="A9319" s="9"/>
      <c r="B9319" s="15"/>
      <c r="C9319" s="9"/>
      <c r="D9319" s="15"/>
      <c r="E9319" s="16"/>
      <c r="F9319" s="19"/>
      <c r="G9319" s="20"/>
      <c r="H9319" s="19"/>
    </row>
    <row r="9320">
      <c r="A9320" s="9"/>
      <c r="B9320" s="15"/>
      <c r="C9320" s="9"/>
      <c r="D9320" s="15"/>
      <c r="E9320" s="16"/>
      <c r="F9320" s="19"/>
      <c r="G9320" s="20"/>
      <c r="H9320" s="19"/>
    </row>
    <row r="9321">
      <c r="A9321" s="9"/>
      <c r="B9321" s="15"/>
      <c r="C9321" s="9"/>
      <c r="D9321" s="15"/>
      <c r="E9321" s="16"/>
      <c r="F9321" s="19"/>
      <c r="G9321" s="20"/>
      <c r="H9321" s="19"/>
    </row>
    <row r="9322">
      <c r="A9322" s="9"/>
      <c r="B9322" s="15"/>
      <c r="C9322" s="9"/>
      <c r="D9322" s="15"/>
      <c r="E9322" s="16"/>
      <c r="F9322" s="19"/>
      <c r="G9322" s="20"/>
      <c r="H9322" s="19"/>
    </row>
    <row r="9323">
      <c r="A9323" s="9"/>
      <c r="B9323" s="15"/>
      <c r="C9323" s="9"/>
      <c r="D9323" s="15"/>
      <c r="E9323" s="16"/>
      <c r="F9323" s="19"/>
      <c r="G9323" s="20"/>
      <c r="H9323" s="19"/>
    </row>
    <row r="9324">
      <c r="A9324" s="9"/>
      <c r="B9324" s="15"/>
      <c r="C9324" s="9"/>
      <c r="D9324" s="15"/>
      <c r="E9324" s="16"/>
      <c r="F9324" s="19"/>
      <c r="G9324" s="20"/>
      <c r="H9324" s="19"/>
    </row>
    <row r="9325">
      <c r="A9325" s="9"/>
      <c r="B9325" s="15"/>
      <c r="C9325" s="9"/>
      <c r="D9325" s="15"/>
      <c r="E9325" s="16"/>
      <c r="F9325" s="19"/>
      <c r="G9325" s="20"/>
      <c r="H9325" s="19"/>
    </row>
    <row r="9326">
      <c r="A9326" s="9"/>
      <c r="B9326" s="15"/>
      <c r="C9326" s="9"/>
      <c r="D9326" s="15"/>
      <c r="E9326" s="16"/>
      <c r="F9326" s="19"/>
      <c r="G9326" s="20"/>
      <c r="H9326" s="19"/>
    </row>
    <row r="9327">
      <c r="A9327" s="9"/>
      <c r="B9327" s="15"/>
      <c r="C9327" s="9"/>
      <c r="D9327" s="15"/>
      <c r="E9327" s="16"/>
      <c r="F9327" s="19"/>
      <c r="G9327" s="20"/>
      <c r="H9327" s="19"/>
    </row>
    <row r="9328">
      <c r="A9328" s="9"/>
      <c r="B9328" s="15"/>
      <c r="C9328" s="9"/>
      <c r="D9328" s="15"/>
      <c r="E9328" s="16"/>
      <c r="F9328" s="19"/>
      <c r="G9328" s="20"/>
      <c r="H9328" s="19"/>
    </row>
    <row r="9329">
      <c r="A9329" s="9"/>
      <c r="B9329" s="15"/>
      <c r="C9329" s="9"/>
      <c r="D9329" s="15"/>
      <c r="E9329" s="16"/>
      <c r="F9329" s="19"/>
      <c r="G9329" s="20"/>
      <c r="H9329" s="19"/>
    </row>
    <row r="9330">
      <c r="A9330" s="9"/>
      <c r="B9330" s="15"/>
      <c r="C9330" s="9"/>
      <c r="D9330" s="15"/>
      <c r="E9330" s="16"/>
      <c r="F9330" s="19"/>
      <c r="G9330" s="20"/>
      <c r="H9330" s="19"/>
    </row>
    <row r="9331">
      <c r="A9331" s="9"/>
      <c r="B9331" s="15"/>
      <c r="C9331" s="9"/>
      <c r="D9331" s="15"/>
      <c r="E9331" s="16"/>
      <c r="F9331" s="19"/>
      <c r="G9331" s="20"/>
      <c r="H9331" s="19"/>
    </row>
    <row r="9332">
      <c r="A9332" s="9"/>
      <c r="B9332" s="15"/>
      <c r="C9332" s="9"/>
      <c r="D9332" s="15"/>
      <c r="E9332" s="16"/>
      <c r="F9332" s="19"/>
      <c r="G9332" s="20"/>
      <c r="H9332" s="19"/>
    </row>
    <row r="9333">
      <c r="A9333" s="9"/>
      <c r="B9333" s="15"/>
      <c r="C9333" s="9"/>
      <c r="D9333" s="15"/>
      <c r="E9333" s="16"/>
      <c r="F9333" s="19"/>
      <c r="G9333" s="20"/>
      <c r="H9333" s="19"/>
    </row>
    <row r="9334">
      <c r="A9334" s="9"/>
      <c r="B9334" s="15"/>
      <c r="C9334" s="9"/>
      <c r="D9334" s="15"/>
      <c r="E9334" s="16"/>
      <c r="F9334" s="19"/>
      <c r="G9334" s="20"/>
      <c r="H9334" s="19"/>
    </row>
    <row r="9335">
      <c r="A9335" s="9"/>
      <c r="B9335" s="15"/>
      <c r="C9335" s="9"/>
      <c r="D9335" s="15"/>
      <c r="E9335" s="16"/>
      <c r="F9335" s="19"/>
      <c r="G9335" s="20"/>
      <c r="H9335" s="19"/>
    </row>
    <row r="9336">
      <c r="A9336" s="9"/>
      <c r="B9336" s="15"/>
      <c r="C9336" s="9"/>
      <c r="D9336" s="15"/>
      <c r="E9336" s="16"/>
      <c r="F9336" s="19"/>
      <c r="G9336" s="20"/>
      <c r="H9336" s="19"/>
    </row>
    <row r="9337">
      <c r="A9337" s="9"/>
      <c r="B9337" s="15"/>
      <c r="C9337" s="9"/>
      <c r="D9337" s="15"/>
      <c r="E9337" s="16"/>
      <c r="F9337" s="19"/>
      <c r="G9337" s="20"/>
      <c r="H9337" s="19"/>
    </row>
    <row r="9338">
      <c r="A9338" s="9"/>
      <c r="B9338" s="15"/>
      <c r="C9338" s="9"/>
      <c r="D9338" s="15"/>
      <c r="E9338" s="16"/>
      <c r="F9338" s="19"/>
      <c r="G9338" s="20"/>
      <c r="H9338" s="19"/>
    </row>
    <row r="9339">
      <c r="A9339" s="9"/>
      <c r="B9339" s="15"/>
      <c r="C9339" s="9"/>
      <c r="D9339" s="15"/>
      <c r="E9339" s="16"/>
      <c r="F9339" s="19"/>
      <c r="G9339" s="20"/>
      <c r="H9339" s="19"/>
    </row>
    <row r="9340">
      <c r="A9340" s="9"/>
      <c r="B9340" s="15"/>
      <c r="C9340" s="9"/>
      <c r="D9340" s="15"/>
      <c r="E9340" s="16"/>
      <c r="F9340" s="19"/>
      <c r="G9340" s="20"/>
      <c r="H9340" s="19"/>
    </row>
    <row r="9341">
      <c r="A9341" s="9"/>
      <c r="B9341" s="15"/>
      <c r="C9341" s="9"/>
      <c r="D9341" s="15"/>
      <c r="E9341" s="16"/>
      <c r="F9341" s="19"/>
      <c r="G9341" s="20"/>
      <c r="H9341" s="19"/>
    </row>
    <row r="9342">
      <c r="A9342" s="9"/>
      <c r="B9342" s="15"/>
      <c r="C9342" s="9"/>
      <c r="D9342" s="15"/>
      <c r="E9342" s="16"/>
      <c r="F9342" s="19"/>
      <c r="G9342" s="20"/>
      <c r="H9342" s="19"/>
    </row>
    <row r="9343">
      <c r="A9343" s="9"/>
      <c r="B9343" s="15"/>
      <c r="C9343" s="9"/>
      <c r="D9343" s="15"/>
      <c r="E9343" s="16"/>
      <c r="F9343" s="19"/>
      <c r="G9343" s="20"/>
      <c r="H9343" s="19"/>
    </row>
    <row r="9344">
      <c r="A9344" s="9"/>
      <c r="B9344" s="15"/>
      <c r="C9344" s="9"/>
      <c r="D9344" s="15"/>
      <c r="E9344" s="16"/>
      <c r="F9344" s="19"/>
      <c r="G9344" s="20"/>
      <c r="H9344" s="19"/>
    </row>
    <row r="9345">
      <c r="A9345" s="9"/>
      <c r="B9345" s="15"/>
      <c r="C9345" s="9"/>
      <c r="D9345" s="15"/>
      <c r="E9345" s="16"/>
      <c r="F9345" s="19"/>
      <c r="G9345" s="20"/>
      <c r="H9345" s="19"/>
    </row>
    <row r="9346">
      <c r="A9346" s="9"/>
      <c r="B9346" s="15"/>
      <c r="C9346" s="9"/>
      <c r="D9346" s="15"/>
      <c r="E9346" s="16"/>
      <c r="F9346" s="19"/>
      <c r="G9346" s="20"/>
      <c r="H9346" s="19"/>
    </row>
    <row r="9347">
      <c r="A9347" s="9"/>
      <c r="B9347" s="15"/>
      <c r="C9347" s="9"/>
      <c r="D9347" s="15"/>
      <c r="E9347" s="16"/>
      <c r="F9347" s="19"/>
      <c r="G9347" s="20"/>
      <c r="H9347" s="19"/>
    </row>
    <row r="9348">
      <c r="A9348" s="9"/>
      <c r="B9348" s="15"/>
      <c r="C9348" s="9"/>
      <c r="D9348" s="15"/>
      <c r="E9348" s="16"/>
      <c r="F9348" s="19"/>
      <c r="G9348" s="20"/>
      <c r="H9348" s="19"/>
    </row>
    <row r="9349">
      <c r="A9349" s="9"/>
      <c r="B9349" s="15"/>
      <c r="C9349" s="9"/>
      <c r="D9349" s="15"/>
      <c r="E9349" s="16"/>
      <c r="F9349" s="19"/>
      <c r="G9349" s="20"/>
      <c r="H9349" s="19"/>
    </row>
    <row r="9350">
      <c r="A9350" s="9"/>
      <c r="B9350" s="15"/>
      <c r="C9350" s="9"/>
      <c r="D9350" s="15"/>
      <c r="E9350" s="16"/>
      <c r="F9350" s="19"/>
      <c r="G9350" s="20"/>
      <c r="H9350" s="19"/>
    </row>
    <row r="9351">
      <c r="A9351" s="9"/>
      <c r="B9351" s="15"/>
      <c r="C9351" s="9"/>
      <c r="D9351" s="15"/>
      <c r="E9351" s="16"/>
      <c r="F9351" s="19"/>
      <c r="G9351" s="20"/>
      <c r="H9351" s="19"/>
    </row>
    <row r="9352">
      <c r="A9352" s="9"/>
      <c r="B9352" s="15"/>
      <c r="C9352" s="9"/>
      <c r="D9352" s="15"/>
      <c r="E9352" s="16"/>
      <c r="F9352" s="19"/>
      <c r="G9352" s="20"/>
      <c r="H9352" s="19"/>
    </row>
    <row r="9353">
      <c r="A9353" s="9"/>
      <c r="B9353" s="15"/>
      <c r="C9353" s="9"/>
      <c r="D9353" s="15"/>
      <c r="E9353" s="16"/>
      <c r="F9353" s="19"/>
      <c r="G9353" s="20"/>
      <c r="H9353" s="19"/>
    </row>
    <row r="9354">
      <c r="A9354" s="9"/>
      <c r="B9354" s="15"/>
      <c r="C9354" s="9"/>
      <c r="D9354" s="15"/>
      <c r="E9354" s="16"/>
      <c r="F9354" s="19"/>
      <c r="G9354" s="20"/>
      <c r="H9354" s="19"/>
    </row>
    <row r="9355">
      <c r="A9355" s="9"/>
      <c r="B9355" s="15"/>
      <c r="C9355" s="9"/>
      <c r="D9355" s="15"/>
      <c r="E9355" s="16"/>
      <c r="F9355" s="19"/>
      <c r="G9355" s="20"/>
      <c r="H9355" s="19"/>
    </row>
    <row r="9356">
      <c r="A9356" s="9"/>
      <c r="B9356" s="15"/>
      <c r="C9356" s="9"/>
      <c r="D9356" s="15"/>
      <c r="E9356" s="16"/>
      <c r="F9356" s="19"/>
      <c r="G9356" s="20"/>
      <c r="H9356" s="19"/>
    </row>
    <row r="9357">
      <c r="A9357" s="9"/>
      <c r="B9357" s="15"/>
      <c r="C9357" s="9"/>
      <c r="D9357" s="15"/>
      <c r="E9357" s="16"/>
      <c r="F9357" s="19"/>
      <c r="G9357" s="20"/>
      <c r="H9357" s="19"/>
    </row>
    <row r="9358">
      <c r="A9358" s="9"/>
      <c r="B9358" s="15"/>
      <c r="C9358" s="9"/>
      <c r="D9358" s="15"/>
      <c r="E9358" s="16"/>
      <c r="F9358" s="19"/>
      <c r="G9358" s="20"/>
      <c r="H9358" s="19"/>
    </row>
    <row r="9359">
      <c r="A9359" s="9"/>
      <c r="B9359" s="15"/>
      <c r="C9359" s="9"/>
      <c r="D9359" s="15"/>
      <c r="E9359" s="16"/>
      <c r="F9359" s="19"/>
      <c r="G9359" s="20"/>
      <c r="H9359" s="19"/>
    </row>
    <row r="9360">
      <c r="A9360" s="9"/>
      <c r="B9360" s="15"/>
      <c r="C9360" s="9"/>
      <c r="D9360" s="15"/>
      <c r="E9360" s="16"/>
      <c r="F9360" s="19"/>
      <c r="G9360" s="20"/>
      <c r="H9360" s="19"/>
    </row>
    <row r="9361">
      <c r="A9361" s="9"/>
      <c r="B9361" s="15"/>
      <c r="C9361" s="9"/>
      <c r="D9361" s="15"/>
      <c r="E9361" s="16"/>
      <c r="F9361" s="19"/>
      <c r="G9361" s="20"/>
      <c r="H9361" s="19"/>
    </row>
    <row r="9362">
      <c r="A9362" s="9"/>
      <c r="B9362" s="15"/>
      <c r="C9362" s="9"/>
      <c r="D9362" s="15"/>
      <c r="E9362" s="16"/>
      <c r="F9362" s="19"/>
      <c r="G9362" s="20"/>
      <c r="H9362" s="19"/>
    </row>
    <row r="9363">
      <c r="A9363" s="9"/>
      <c r="B9363" s="15"/>
      <c r="C9363" s="9"/>
      <c r="D9363" s="15"/>
      <c r="E9363" s="16"/>
      <c r="F9363" s="19"/>
      <c r="G9363" s="20"/>
      <c r="H9363" s="19"/>
    </row>
    <row r="9364">
      <c r="A9364" s="9"/>
      <c r="B9364" s="15"/>
      <c r="C9364" s="9"/>
      <c r="D9364" s="15"/>
      <c r="E9364" s="16"/>
      <c r="F9364" s="19"/>
      <c r="G9364" s="20"/>
      <c r="H9364" s="19"/>
    </row>
    <row r="9365">
      <c r="A9365" s="9"/>
      <c r="B9365" s="15"/>
      <c r="C9365" s="9"/>
      <c r="D9365" s="15"/>
      <c r="E9365" s="16"/>
      <c r="F9365" s="19"/>
      <c r="G9365" s="20"/>
      <c r="H9365" s="19"/>
    </row>
    <row r="9366">
      <c r="A9366" s="9"/>
      <c r="B9366" s="15"/>
      <c r="C9366" s="9"/>
      <c r="D9366" s="15"/>
      <c r="E9366" s="16"/>
      <c r="F9366" s="19"/>
      <c r="G9366" s="20"/>
      <c r="H9366" s="19"/>
    </row>
    <row r="9367">
      <c r="A9367" s="9"/>
      <c r="B9367" s="15"/>
      <c r="C9367" s="9"/>
      <c r="D9367" s="15"/>
      <c r="E9367" s="16"/>
      <c r="F9367" s="19"/>
      <c r="G9367" s="20"/>
      <c r="H9367" s="19"/>
    </row>
    <row r="9368">
      <c r="A9368" s="9"/>
      <c r="B9368" s="15"/>
      <c r="C9368" s="9"/>
      <c r="D9368" s="15"/>
      <c r="E9368" s="16"/>
      <c r="F9368" s="19"/>
      <c r="G9368" s="20"/>
      <c r="H9368" s="19"/>
    </row>
    <row r="9369">
      <c r="A9369" s="9"/>
      <c r="B9369" s="15"/>
      <c r="C9369" s="9"/>
      <c r="D9369" s="15"/>
      <c r="E9369" s="16"/>
      <c r="F9369" s="19"/>
      <c r="G9369" s="20"/>
      <c r="H9369" s="19"/>
    </row>
    <row r="9370">
      <c r="A9370" s="9"/>
      <c r="B9370" s="15"/>
      <c r="C9370" s="9"/>
      <c r="D9370" s="15"/>
      <c r="E9370" s="16"/>
      <c r="F9370" s="19"/>
      <c r="G9370" s="20"/>
      <c r="H9370" s="19"/>
    </row>
    <row r="9371">
      <c r="A9371" s="9"/>
      <c r="B9371" s="15"/>
      <c r="C9371" s="9"/>
      <c r="D9371" s="15"/>
      <c r="E9371" s="16"/>
      <c r="F9371" s="19"/>
      <c r="G9371" s="20"/>
      <c r="H9371" s="19"/>
    </row>
    <row r="9372">
      <c r="A9372" s="9"/>
      <c r="B9372" s="15"/>
      <c r="C9372" s="9"/>
      <c r="D9372" s="15"/>
      <c r="E9372" s="16"/>
      <c r="F9372" s="19"/>
      <c r="G9372" s="20"/>
      <c r="H9372" s="19"/>
    </row>
    <row r="9373">
      <c r="A9373" s="9"/>
      <c r="B9373" s="15"/>
      <c r="C9373" s="9"/>
      <c r="D9373" s="15"/>
      <c r="E9373" s="16"/>
      <c r="F9373" s="19"/>
      <c r="G9373" s="20"/>
      <c r="H9373" s="19"/>
    </row>
    <row r="9374">
      <c r="A9374" s="9"/>
      <c r="B9374" s="15"/>
      <c r="C9374" s="9"/>
      <c r="D9374" s="15"/>
      <c r="E9374" s="16"/>
      <c r="F9374" s="19"/>
      <c r="G9374" s="20"/>
      <c r="H9374" s="19"/>
    </row>
    <row r="9375">
      <c r="A9375" s="9"/>
      <c r="B9375" s="15"/>
      <c r="C9375" s="9"/>
      <c r="D9375" s="15"/>
      <c r="E9375" s="16"/>
      <c r="F9375" s="19"/>
      <c r="G9375" s="20"/>
      <c r="H9375" s="19"/>
    </row>
    <row r="9376">
      <c r="A9376" s="9"/>
      <c r="B9376" s="15"/>
      <c r="C9376" s="9"/>
      <c r="D9376" s="15"/>
      <c r="E9376" s="16"/>
      <c r="F9376" s="19"/>
      <c r="G9376" s="20"/>
      <c r="H9376" s="19"/>
    </row>
    <row r="9377">
      <c r="A9377" s="9"/>
      <c r="B9377" s="15"/>
      <c r="C9377" s="9"/>
      <c r="D9377" s="15"/>
      <c r="E9377" s="16"/>
      <c r="F9377" s="19"/>
      <c r="G9377" s="20"/>
      <c r="H9377" s="19"/>
    </row>
    <row r="9378">
      <c r="A9378" s="9"/>
      <c r="B9378" s="15"/>
      <c r="C9378" s="9"/>
      <c r="D9378" s="15"/>
      <c r="E9378" s="16"/>
      <c r="F9378" s="19"/>
      <c r="G9378" s="20"/>
      <c r="H9378" s="19"/>
    </row>
    <row r="9379">
      <c r="A9379" s="9"/>
      <c r="B9379" s="15"/>
      <c r="C9379" s="9"/>
      <c r="D9379" s="15"/>
      <c r="E9379" s="16"/>
      <c r="F9379" s="19"/>
      <c r="G9379" s="20"/>
      <c r="H9379" s="19"/>
    </row>
    <row r="9380">
      <c r="A9380" s="9"/>
      <c r="B9380" s="15"/>
      <c r="C9380" s="9"/>
      <c r="D9380" s="15"/>
      <c r="E9380" s="16"/>
      <c r="F9380" s="19"/>
      <c r="G9380" s="20"/>
      <c r="H9380" s="19"/>
    </row>
    <row r="9381">
      <c r="A9381" s="9"/>
      <c r="B9381" s="15"/>
      <c r="C9381" s="9"/>
      <c r="D9381" s="15"/>
      <c r="E9381" s="16"/>
      <c r="F9381" s="19"/>
      <c r="G9381" s="20"/>
      <c r="H9381" s="19"/>
    </row>
    <row r="9382">
      <c r="A9382" s="9"/>
      <c r="B9382" s="15"/>
      <c r="C9382" s="9"/>
      <c r="D9382" s="15"/>
      <c r="E9382" s="16"/>
      <c r="F9382" s="19"/>
      <c r="G9382" s="20"/>
      <c r="H9382" s="19"/>
    </row>
    <row r="9383">
      <c r="A9383" s="9"/>
      <c r="B9383" s="15"/>
      <c r="C9383" s="9"/>
      <c r="D9383" s="15"/>
      <c r="E9383" s="16"/>
      <c r="F9383" s="19"/>
      <c r="G9383" s="20"/>
      <c r="H9383" s="19"/>
    </row>
    <row r="9384">
      <c r="A9384" s="9"/>
      <c r="B9384" s="15"/>
      <c r="C9384" s="9"/>
      <c r="D9384" s="15"/>
      <c r="E9384" s="16"/>
      <c r="F9384" s="19"/>
      <c r="G9384" s="20"/>
      <c r="H9384" s="19"/>
    </row>
    <row r="9385">
      <c r="A9385" s="9"/>
      <c r="B9385" s="15"/>
      <c r="C9385" s="9"/>
      <c r="D9385" s="15"/>
      <c r="E9385" s="16"/>
      <c r="F9385" s="19"/>
      <c r="G9385" s="20"/>
      <c r="H9385" s="19"/>
    </row>
    <row r="9386">
      <c r="A9386" s="9"/>
      <c r="B9386" s="15"/>
      <c r="C9386" s="9"/>
      <c r="D9386" s="15"/>
      <c r="E9386" s="16"/>
      <c r="F9386" s="19"/>
      <c r="G9386" s="20"/>
      <c r="H9386" s="19"/>
    </row>
    <row r="9387">
      <c r="A9387" s="9"/>
      <c r="B9387" s="15"/>
      <c r="C9387" s="9"/>
      <c r="D9387" s="15"/>
      <c r="E9387" s="16"/>
      <c r="F9387" s="19"/>
      <c r="G9387" s="20"/>
      <c r="H9387" s="19"/>
    </row>
    <row r="9388">
      <c r="A9388" s="9"/>
      <c r="B9388" s="15"/>
      <c r="C9388" s="9"/>
      <c r="D9388" s="15"/>
      <c r="E9388" s="16"/>
      <c r="F9388" s="19"/>
      <c r="G9388" s="20"/>
      <c r="H9388" s="19"/>
    </row>
    <row r="9389">
      <c r="A9389" s="9"/>
      <c r="B9389" s="15"/>
      <c r="C9389" s="9"/>
      <c r="D9389" s="15"/>
      <c r="E9389" s="16"/>
      <c r="F9389" s="19"/>
      <c r="G9389" s="20"/>
      <c r="H9389" s="19"/>
    </row>
    <row r="9390">
      <c r="A9390" s="9"/>
      <c r="B9390" s="15"/>
      <c r="C9390" s="9"/>
      <c r="D9390" s="15"/>
      <c r="E9390" s="16"/>
      <c r="F9390" s="19"/>
      <c r="G9390" s="20"/>
      <c r="H9390" s="19"/>
    </row>
    <row r="9391">
      <c r="A9391" s="9"/>
      <c r="B9391" s="15"/>
      <c r="C9391" s="9"/>
      <c r="D9391" s="15"/>
      <c r="E9391" s="16"/>
      <c r="F9391" s="19"/>
      <c r="G9391" s="20"/>
      <c r="H9391" s="19"/>
    </row>
    <row r="9392">
      <c r="A9392" s="9"/>
      <c r="B9392" s="15"/>
      <c r="C9392" s="9"/>
      <c r="D9392" s="15"/>
      <c r="E9392" s="16"/>
      <c r="F9392" s="19"/>
      <c r="G9392" s="20"/>
      <c r="H9392" s="19"/>
    </row>
    <row r="9393">
      <c r="A9393" s="9"/>
      <c r="B9393" s="15"/>
      <c r="C9393" s="9"/>
      <c r="D9393" s="15"/>
      <c r="E9393" s="16"/>
      <c r="F9393" s="19"/>
      <c r="G9393" s="20"/>
      <c r="H9393" s="19"/>
    </row>
    <row r="9394">
      <c r="A9394" s="9"/>
      <c r="B9394" s="15"/>
      <c r="C9394" s="9"/>
      <c r="D9394" s="15"/>
      <c r="E9394" s="16"/>
      <c r="F9394" s="19"/>
      <c r="G9394" s="20"/>
      <c r="H9394" s="19"/>
    </row>
    <row r="9395">
      <c r="A9395" s="9"/>
      <c r="B9395" s="15"/>
      <c r="C9395" s="9"/>
      <c r="D9395" s="15"/>
      <c r="E9395" s="16"/>
      <c r="F9395" s="19"/>
      <c r="G9395" s="20"/>
      <c r="H9395" s="19"/>
    </row>
    <row r="9396">
      <c r="A9396" s="9"/>
      <c r="B9396" s="15"/>
      <c r="C9396" s="9"/>
      <c r="D9396" s="15"/>
      <c r="E9396" s="16"/>
      <c r="F9396" s="19"/>
      <c r="G9396" s="20"/>
      <c r="H9396" s="19"/>
    </row>
    <row r="9397">
      <c r="A9397" s="9"/>
      <c r="B9397" s="15"/>
      <c r="C9397" s="9"/>
      <c r="D9397" s="15"/>
      <c r="E9397" s="16"/>
      <c r="F9397" s="19"/>
      <c r="G9397" s="20"/>
      <c r="H9397" s="19"/>
    </row>
    <row r="9398">
      <c r="A9398" s="9"/>
      <c r="B9398" s="15"/>
      <c r="C9398" s="9"/>
      <c r="D9398" s="15"/>
      <c r="E9398" s="16"/>
      <c r="F9398" s="19"/>
      <c r="G9398" s="20"/>
      <c r="H9398" s="19"/>
    </row>
    <row r="9399">
      <c r="A9399" s="9"/>
      <c r="B9399" s="15"/>
      <c r="C9399" s="9"/>
      <c r="D9399" s="15"/>
      <c r="E9399" s="16"/>
      <c r="F9399" s="19"/>
      <c r="G9399" s="20"/>
      <c r="H9399" s="19"/>
    </row>
    <row r="9400">
      <c r="A9400" s="9"/>
      <c r="B9400" s="15"/>
      <c r="C9400" s="9"/>
      <c r="D9400" s="15"/>
      <c r="E9400" s="16"/>
      <c r="F9400" s="19"/>
      <c r="G9400" s="20"/>
      <c r="H9400" s="19"/>
    </row>
    <row r="9401">
      <c r="A9401" s="9"/>
      <c r="B9401" s="15"/>
      <c r="C9401" s="9"/>
      <c r="D9401" s="15"/>
      <c r="E9401" s="16"/>
      <c r="F9401" s="19"/>
      <c r="G9401" s="20"/>
      <c r="H9401" s="19"/>
    </row>
    <row r="9402">
      <c r="A9402" s="9"/>
      <c r="B9402" s="15"/>
      <c r="C9402" s="9"/>
      <c r="D9402" s="15"/>
      <c r="E9402" s="16"/>
      <c r="F9402" s="19"/>
      <c r="G9402" s="20"/>
      <c r="H9402" s="19"/>
    </row>
    <row r="9403">
      <c r="A9403" s="9"/>
      <c r="B9403" s="15"/>
      <c r="C9403" s="9"/>
      <c r="D9403" s="15"/>
      <c r="E9403" s="16"/>
      <c r="F9403" s="19"/>
      <c r="G9403" s="20"/>
      <c r="H9403" s="19"/>
    </row>
    <row r="9404">
      <c r="A9404" s="9"/>
      <c r="B9404" s="15"/>
      <c r="C9404" s="9"/>
      <c r="D9404" s="15"/>
      <c r="E9404" s="16"/>
      <c r="F9404" s="19"/>
      <c r="G9404" s="20"/>
      <c r="H9404" s="19"/>
    </row>
    <row r="9405">
      <c r="A9405" s="9"/>
      <c r="B9405" s="15"/>
      <c r="C9405" s="9"/>
      <c r="D9405" s="15"/>
      <c r="E9405" s="16"/>
      <c r="F9405" s="19"/>
      <c r="G9405" s="20"/>
      <c r="H9405" s="19"/>
    </row>
    <row r="9406">
      <c r="A9406" s="9"/>
      <c r="B9406" s="15"/>
      <c r="C9406" s="9"/>
      <c r="D9406" s="15"/>
      <c r="E9406" s="16"/>
      <c r="F9406" s="19"/>
      <c r="G9406" s="20"/>
      <c r="H9406" s="19"/>
    </row>
    <row r="9407">
      <c r="A9407" s="9"/>
      <c r="B9407" s="15"/>
      <c r="C9407" s="9"/>
      <c r="D9407" s="15"/>
      <c r="E9407" s="16"/>
      <c r="F9407" s="19"/>
      <c r="G9407" s="20"/>
      <c r="H9407" s="19"/>
    </row>
    <row r="9408">
      <c r="A9408" s="9"/>
      <c r="B9408" s="15"/>
      <c r="C9408" s="9"/>
      <c r="D9408" s="15"/>
      <c r="E9408" s="16"/>
      <c r="F9408" s="19"/>
      <c r="G9408" s="20"/>
      <c r="H9408" s="19"/>
    </row>
    <row r="9409">
      <c r="A9409" s="9"/>
      <c r="B9409" s="15"/>
      <c r="C9409" s="9"/>
      <c r="D9409" s="15"/>
      <c r="E9409" s="16"/>
      <c r="F9409" s="19"/>
      <c r="G9409" s="20"/>
      <c r="H9409" s="19"/>
    </row>
    <row r="9410">
      <c r="A9410" s="9"/>
      <c r="B9410" s="15"/>
      <c r="C9410" s="9"/>
      <c r="D9410" s="15"/>
      <c r="E9410" s="16"/>
      <c r="F9410" s="19"/>
      <c r="G9410" s="20"/>
      <c r="H9410" s="19"/>
    </row>
    <row r="9411">
      <c r="A9411" s="9"/>
      <c r="B9411" s="15"/>
      <c r="C9411" s="9"/>
      <c r="D9411" s="15"/>
      <c r="E9411" s="16"/>
      <c r="F9411" s="19"/>
      <c r="G9411" s="20"/>
      <c r="H9411" s="19"/>
    </row>
    <row r="9412">
      <c r="A9412" s="9"/>
      <c r="B9412" s="15"/>
      <c r="C9412" s="9"/>
      <c r="D9412" s="15"/>
      <c r="E9412" s="16"/>
      <c r="F9412" s="19"/>
      <c r="G9412" s="20"/>
      <c r="H9412" s="19"/>
    </row>
    <row r="9413">
      <c r="A9413" s="9"/>
      <c r="B9413" s="15"/>
      <c r="C9413" s="9"/>
      <c r="D9413" s="15"/>
      <c r="E9413" s="16"/>
      <c r="F9413" s="19"/>
      <c r="G9413" s="20"/>
      <c r="H9413" s="19"/>
    </row>
    <row r="9414">
      <c r="A9414" s="9"/>
      <c r="B9414" s="15"/>
      <c r="C9414" s="9"/>
      <c r="D9414" s="15"/>
      <c r="E9414" s="16"/>
      <c r="F9414" s="19"/>
      <c r="G9414" s="20"/>
      <c r="H9414" s="19"/>
    </row>
    <row r="9415">
      <c r="A9415" s="9"/>
      <c r="B9415" s="15"/>
      <c r="C9415" s="9"/>
      <c r="D9415" s="15"/>
      <c r="E9415" s="16"/>
      <c r="F9415" s="19"/>
      <c r="G9415" s="20"/>
      <c r="H9415" s="19"/>
    </row>
    <row r="9416">
      <c r="A9416" s="9"/>
      <c r="B9416" s="15"/>
      <c r="C9416" s="9"/>
      <c r="D9416" s="15"/>
      <c r="E9416" s="16"/>
      <c r="F9416" s="19"/>
      <c r="G9416" s="20"/>
      <c r="H9416" s="19"/>
    </row>
    <row r="9417">
      <c r="A9417" s="9"/>
      <c r="B9417" s="15"/>
      <c r="C9417" s="9"/>
      <c r="D9417" s="15"/>
      <c r="E9417" s="16"/>
      <c r="F9417" s="19"/>
      <c r="G9417" s="20"/>
      <c r="H9417" s="19"/>
    </row>
    <row r="9418">
      <c r="A9418" s="9"/>
      <c r="B9418" s="15"/>
      <c r="C9418" s="9"/>
      <c r="D9418" s="15"/>
      <c r="E9418" s="16"/>
      <c r="F9418" s="19"/>
      <c r="G9418" s="20"/>
      <c r="H9418" s="19"/>
    </row>
    <row r="9419">
      <c r="A9419" s="9"/>
      <c r="B9419" s="15"/>
      <c r="C9419" s="9"/>
      <c r="D9419" s="15"/>
      <c r="E9419" s="16"/>
      <c r="F9419" s="19"/>
      <c r="G9419" s="20"/>
      <c r="H9419" s="19"/>
    </row>
    <row r="9420">
      <c r="A9420" s="9"/>
      <c r="B9420" s="15"/>
      <c r="C9420" s="9"/>
      <c r="D9420" s="15"/>
      <c r="E9420" s="16"/>
      <c r="F9420" s="19"/>
      <c r="G9420" s="20"/>
      <c r="H9420" s="19"/>
    </row>
    <row r="9421">
      <c r="A9421" s="9"/>
      <c r="B9421" s="15"/>
      <c r="C9421" s="9"/>
      <c r="D9421" s="15"/>
      <c r="E9421" s="16"/>
      <c r="F9421" s="19"/>
      <c r="G9421" s="20"/>
      <c r="H9421" s="19"/>
    </row>
    <row r="9422">
      <c r="A9422" s="9"/>
      <c r="B9422" s="15"/>
      <c r="C9422" s="9"/>
      <c r="D9422" s="15"/>
      <c r="E9422" s="16"/>
      <c r="F9422" s="19"/>
      <c r="G9422" s="20"/>
      <c r="H9422" s="19"/>
    </row>
    <row r="9423">
      <c r="A9423" s="9"/>
      <c r="B9423" s="15"/>
      <c r="C9423" s="9"/>
      <c r="D9423" s="15"/>
      <c r="E9423" s="16"/>
      <c r="F9423" s="19"/>
      <c r="G9423" s="20"/>
      <c r="H9423" s="19"/>
    </row>
    <row r="9424">
      <c r="A9424" s="9"/>
      <c r="B9424" s="15"/>
      <c r="C9424" s="9"/>
      <c r="D9424" s="15"/>
      <c r="E9424" s="16"/>
      <c r="F9424" s="19"/>
      <c r="G9424" s="20"/>
      <c r="H9424" s="19"/>
    </row>
    <row r="9425">
      <c r="A9425" s="9"/>
      <c r="B9425" s="15"/>
      <c r="C9425" s="9"/>
      <c r="D9425" s="15"/>
      <c r="E9425" s="16"/>
      <c r="F9425" s="19"/>
      <c r="G9425" s="20"/>
      <c r="H9425" s="19"/>
    </row>
    <row r="9426">
      <c r="A9426" s="9"/>
      <c r="B9426" s="15"/>
      <c r="C9426" s="9"/>
      <c r="D9426" s="15"/>
      <c r="E9426" s="16"/>
      <c r="F9426" s="19"/>
      <c r="G9426" s="20"/>
      <c r="H9426" s="19"/>
    </row>
    <row r="9427">
      <c r="A9427" s="9"/>
      <c r="B9427" s="15"/>
      <c r="C9427" s="9"/>
      <c r="D9427" s="15"/>
      <c r="E9427" s="16"/>
      <c r="F9427" s="19"/>
      <c r="G9427" s="20"/>
      <c r="H9427" s="19"/>
    </row>
    <row r="9428">
      <c r="A9428" s="9"/>
      <c r="B9428" s="15"/>
      <c r="C9428" s="9"/>
      <c r="D9428" s="15"/>
      <c r="E9428" s="16"/>
      <c r="F9428" s="19"/>
      <c r="G9428" s="20"/>
      <c r="H9428" s="19"/>
    </row>
    <row r="9429">
      <c r="A9429" s="9"/>
      <c r="B9429" s="15"/>
      <c r="C9429" s="9"/>
      <c r="D9429" s="15"/>
      <c r="E9429" s="16"/>
      <c r="F9429" s="19"/>
      <c r="G9429" s="20"/>
      <c r="H9429" s="19"/>
    </row>
    <row r="9430">
      <c r="A9430" s="9"/>
      <c r="B9430" s="15"/>
      <c r="C9430" s="9"/>
      <c r="D9430" s="15"/>
      <c r="E9430" s="16"/>
      <c r="F9430" s="19"/>
      <c r="G9430" s="20"/>
      <c r="H9430" s="19"/>
    </row>
    <row r="9431">
      <c r="A9431" s="9"/>
      <c r="B9431" s="15"/>
      <c r="C9431" s="9"/>
      <c r="D9431" s="15"/>
      <c r="E9431" s="16"/>
      <c r="F9431" s="19"/>
      <c r="G9431" s="20"/>
      <c r="H9431" s="19"/>
    </row>
    <row r="9432">
      <c r="A9432" s="9"/>
      <c r="B9432" s="15"/>
      <c r="C9432" s="9"/>
      <c r="D9432" s="15"/>
      <c r="E9432" s="16"/>
      <c r="F9432" s="19"/>
      <c r="G9432" s="20"/>
      <c r="H9432" s="19"/>
    </row>
    <row r="9433">
      <c r="A9433" s="9"/>
      <c r="B9433" s="15"/>
      <c r="C9433" s="9"/>
      <c r="D9433" s="15"/>
      <c r="E9433" s="16"/>
      <c r="F9433" s="19"/>
      <c r="G9433" s="20"/>
      <c r="H9433" s="19"/>
    </row>
    <row r="9434">
      <c r="A9434" s="9"/>
      <c r="B9434" s="15"/>
      <c r="C9434" s="9"/>
      <c r="D9434" s="15"/>
      <c r="E9434" s="16"/>
      <c r="F9434" s="19"/>
      <c r="G9434" s="20"/>
      <c r="H9434" s="19"/>
    </row>
    <row r="9435">
      <c r="A9435" s="9"/>
      <c r="B9435" s="15"/>
      <c r="C9435" s="9"/>
      <c r="D9435" s="15"/>
      <c r="E9435" s="16"/>
      <c r="F9435" s="19"/>
      <c r="G9435" s="20"/>
      <c r="H9435" s="19"/>
    </row>
    <row r="9436">
      <c r="A9436" s="9"/>
      <c r="B9436" s="15"/>
      <c r="C9436" s="9"/>
      <c r="D9436" s="15"/>
      <c r="E9436" s="16"/>
      <c r="F9436" s="19"/>
      <c r="G9436" s="20"/>
      <c r="H9436" s="19"/>
    </row>
    <row r="9437">
      <c r="A9437" s="9"/>
      <c r="B9437" s="15"/>
      <c r="C9437" s="9"/>
      <c r="D9437" s="15"/>
      <c r="E9437" s="16"/>
      <c r="F9437" s="19"/>
      <c r="G9437" s="20"/>
      <c r="H9437" s="19"/>
    </row>
    <row r="9438">
      <c r="A9438" s="9"/>
      <c r="B9438" s="15"/>
      <c r="C9438" s="9"/>
      <c r="D9438" s="15"/>
      <c r="E9438" s="16"/>
      <c r="F9438" s="19"/>
      <c r="G9438" s="20"/>
      <c r="H9438" s="19"/>
    </row>
    <row r="9439">
      <c r="A9439" s="9"/>
      <c r="B9439" s="15"/>
      <c r="C9439" s="9"/>
      <c r="D9439" s="15"/>
      <c r="E9439" s="16"/>
      <c r="F9439" s="19"/>
      <c r="G9439" s="20"/>
      <c r="H9439" s="19"/>
    </row>
    <row r="9440">
      <c r="A9440" s="9"/>
      <c r="B9440" s="15"/>
      <c r="C9440" s="9"/>
      <c r="D9440" s="15"/>
      <c r="E9440" s="16"/>
      <c r="F9440" s="19"/>
      <c r="G9440" s="20"/>
      <c r="H9440" s="19"/>
    </row>
    <row r="9441">
      <c r="A9441" s="9"/>
      <c r="B9441" s="15"/>
      <c r="C9441" s="9"/>
      <c r="D9441" s="15"/>
      <c r="E9441" s="16"/>
      <c r="F9441" s="19"/>
      <c r="G9441" s="20"/>
      <c r="H9441" s="19"/>
    </row>
    <row r="9442">
      <c r="A9442" s="9"/>
      <c r="B9442" s="15"/>
      <c r="C9442" s="9"/>
      <c r="D9442" s="15"/>
      <c r="E9442" s="16"/>
      <c r="F9442" s="19"/>
      <c r="G9442" s="20"/>
      <c r="H9442" s="19"/>
    </row>
    <row r="9443">
      <c r="A9443" s="9"/>
      <c r="B9443" s="15"/>
      <c r="C9443" s="9"/>
      <c r="D9443" s="15"/>
      <c r="E9443" s="16"/>
      <c r="F9443" s="19"/>
      <c r="G9443" s="20"/>
      <c r="H9443" s="19"/>
    </row>
    <row r="9444">
      <c r="A9444" s="9"/>
      <c r="B9444" s="15"/>
      <c r="C9444" s="9"/>
      <c r="D9444" s="15"/>
      <c r="E9444" s="16"/>
      <c r="F9444" s="19"/>
      <c r="G9444" s="20"/>
      <c r="H9444" s="19"/>
    </row>
    <row r="9445">
      <c r="A9445" s="9"/>
      <c r="B9445" s="15"/>
      <c r="C9445" s="9"/>
      <c r="D9445" s="15"/>
      <c r="E9445" s="16"/>
      <c r="F9445" s="19"/>
      <c r="G9445" s="20"/>
      <c r="H9445" s="19"/>
    </row>
    <row r="9446">
      <c r="A9446" s="9"/>
      <c r="B9446" s="15"/>
      <c r="C9446" s="9"/>
      <c r="D9446" s="15"/>
      <c r="E9446" s="16"/>
      <c r="F9446" s="19"/>
      <c r="G9446" s="20"/>
      <c r="H9446" s="19"/>
    </row>
    <row r="9447">
      <c r="A9447" s="9"/>
      <c r="B9447" s="15"/>
      <c r="C9447" s="9"/>
      <c r="D9447" s="15"/>
      <c r="E9447" s="16"/>
      <c r="F9447" s="19"/>
      <c r="G9447" s="20"/>
      <c r="H9447" s="19"/>
    </row>
    <row r="9448">
      <c r="A9448" s="9"/>
      <c r="B9448" s="15"/>
      <c r="C9448" s="9"/>
      <c r="D9448" s="15"/>
      <c r="E9448" s="16"/>
      <c r="F9448" s="19"/>
      <c r="G9448" s="20"/>
      <c r="H9448" s="19"/>
    </row>
    <row r="9449">
      <c r="A9449" s="9"/>
      <c r="B9449" s="15"/>
      <c r="C9449" s="9"/>
      <c r="D9449" s="15"/>
      <c r="E9449" s="16"/>
      <c r="F9449" s="19"/>
      <c r="G9449" s="20"/>
      <c r="H9449" s="19"/>
    </row>
    <row r="9450">
      <c r="A9450" s="9"/>
      <c r="B9450" s="15"/>
      <c r="C9450" s="9"/>
      <c r="D9450" s="15"/>
      <c r="E9450" s="16"/>
      <c r="F9450" s="19"/>
      <c r="G9450" s="20"/>
      <c r="H9450" s="19"/>
    </row>
    <row r="9451">
      <c r="A9451" s="9"/>
      <c r="B9451" s="15"/>
      <c r="C9451" s="9"/>
      <c r="D9451" s="15"/>
      <c r="E9451" s="16"/>
      <c r="F9451" s="19"/>
      <c r="G9451" s="20"/>
      <c r="H9451" s="19"/>
    </row>
    <row r="9452">
      <c r="A9452" s="9"/>
      <c r="B9452" s="15"/>
      <c r="C9452" s="9"/>
      <c r="D9452" s="15"/>
      <c r="E9452" s="16"/>
      <c r="F9452" s="19"/>
      <c r="G9452" s="20"/>
      <c r="H9452" s="19"/>
    </row>
    <row r="9453">
      <c r="A9453" s="9"/>
      <c r="B9453" s="15"/>
      <c r="C9453" s="9"/>
      <c r="D9453" s="15"/>
      <c r="E9453" s="16"/>
      <c r="F9453" s="19"/>
      <c r="G9453" s="20"/>
      <c r="H9453" s="19"/>
    </row>
    <row r="9454">
      <c r="A9454" s="9"/>
      <c r="B9454" s="15"/>
      <c r="C9454" s="9"/>
      <c r="D9454" s="15"/>
      <c r="E9454" s="16"/>
      <c r="F9454" s="19"/>
      <c r="G9454" s="20"/>
      <c r="H9454" s="19"/>
    </row>
    <row r="9455">
      <c r="A9455" s="9"/>
      <c r="B9455" s="15"/>
      <c r="C9455" s="9"/>
      <c r="D9455" s="15"/>
      <c r="E9455" s="16"/>
      <c r="F9455" s="19"/>
      <c r="G9455" s="20"/>
      <c r="H9455" s="19"/>
    </row>
    <row r="9456">
      <c r="A9456" s="9"/>
      <c r="B9456" s="15"/>
      <c r="C9456" s="9"/>
      <c r="D9456" s="15"/>
      <c r="E9456" s="16"/>
      <c r="F9456" s="19"/>
      <c r="G9456" s="20"/>
      <c r="H9456" s="19"/>
    </row>
    <row r="9457">
      <c r="A9457" s="9"/>
      <c r="B9457" s="15"/>
      <c r="C9457" s="9"/>
      <c r="D9457" s="15"/>
      <c r="E9457" s="16"/>
      <c r="F9457" s="19"/>
      <c r="G9457" s="20"/>
      <c r="H9457" s="19"/>
    </row>
    <row r="9458">
      <c r="A9458" s="9"/>
      <c r="B9458" s="15"/>
      <c r="C9458" s="9"/>
      <c r="D9458" s="15"/>
      <c r="E9458" s="16"/>
      <c r="F9458" s="19"/>
      <c r="G9458" s="20"/>
      <c r="H9458" s="19"/>
    </row>
    <row r="9459">
      <c r="A9459" s="9"/>
      <c r="B9459" s="15"/>
      <c r="C9459" s="9"/>
      <c r="D9459" s="15"/>
      <c r="E9459" s="16"/>
      <c r="F9459" s="19"/>
      <c r="G9459" s="20"/>
      <c r="H9459" s="19"/>
    </row>
    <row r="9460">
      <c r="A9460" s="9"/>
      <c r="B9460" s="15"/>
      <c r="C9460" s="9"/>
      <c r="D9460" s="15"/>
      <c r="E9460" s="16"/>
      <c r="F9460" s="19"/>
      <c r="G9460" s="20"/>
      <c r="H9460" s="19"/>
    </row>
    <row r="9461">
      <c r="A9461" s="9"/>
      <c r="B9461" s="15"/>
      <c r="C9461" s="9"/>
      <c r="D9461" s="15"/>
      <c r="E9461" s="16"/>
      <c r="F9461" s="19"/>
      <c r="G9461" s="20"/>
      <c r="H9461" s="19"/>
    </row>
    <row r="9462">
      <c r="A9462" s="9"/>
      <c r="B9462" s="15"/>
      <c r="C9462" s="9"/>
      <c r="D9462" s="15"/>
      <c r="E9462" s="16"/>
      <c r="F9462" s="19"/>
      <c r="G9462" s="20"/>
      <c r="H9462" s="19"/>
    </row>
    <row r="9463">
      <c r="A9463" s="9"/>
      <c r="B9463" s="15"/>
      <c r="C9463" s="9"/>
      <c r="D9463" s="15"/>
      <c r="E9463" s="16"/>
      <c r="F9463" s="19"/>
      <c r="G9463" s="20"/>
      <c r="H9463" s="19"/>
    </row>
    <row r="9464">
      <c r="A9464" s="9"/>
      <c r="B9464" s="15"/>
      <c r="C9464" s="9"/>
      <c r="D9464" s="15"/>
      <c r="E9464" s="16"/>
      <c r="F9464" s="19"/>
      <c r="G9464" s="20"/>
      <c r="H9464" s="19"/>
    </row>
    <row r="9465">
      <c r="A9465" s="9"/>
      <c r="B9465" s="15"/>
      <c r="C9465" s="9"/>
      <c r="D9465" s="15"/>
      <c r="E9465" s="16"/>
      <c r="F9465" s="19"/>
      <c r="G9465" s="20"/>
      <c r="H9465" s="19"/>
    </row>
    <row r="9466">
      <c r="A9466" s="9"/>
      <c r="B9466" s="15"/>
      <c r="C9466" s="9"/>
      <c r="D9466" s="15"/>
      <c r="E9466" s="16"/>
      <c r="F9466" s="19"/>
      <c r="G9466" s="20"/>
      <c r="H9466" s="19"/>
    </row>
    <row r="9467">
      <c r="A9467" s="9"/>
      <c r="B9467" s="15"/>
      <c r="C9467" s="9"/>
      <c r="D9467" s="15"/>
      <c r="E9467" s="16"/>
      <c r="F9467" s="19"/>
      <c r="G9467" s="20"/>
      <c r="H9467" s="19"/>
    </row>
    <row r="9468">
      <c r="A9468" s="9"/>
      <c r="B9468" s="15"/>
      <c r="C9468" s="9"/>
      <c r="D9468" s="15"/>
      <c r="E9468" s="16"/>
      <c r="F9468" s="19"/>
      <c r="G9468" s="20"/>
      <c r="H9468" s="19"/>
    </row>
    <row r="9469">
      <c r="A9469" s="9"/>
      <c r="B9469" s="15"/>
      <c r="C9469" s="9"/>
      <c r="D9469" s="15"/>
      <c r="E9469" s="16"/>
      <c r="F9469" s="19"/>
      <c r="G9469" s="20"/>
      <c r="H9469" s="19"/>
    </row>
    <row r="9470">
      <c r="A9470" s="9"/>
      <c r="B9470" s="15"/>
      <c r="C9470" s="9"/>
      <c r="D9470" s="15"/>
      <c r="E9470" s="16"/>
      <c r="F9470" s="19"/>
      <c r="G9470" s="20"/>
      <c r="H9470" s="19"/>
    </row>
    <row r="9471">
      <c r="A9471" s="9"/>
      <c r="B9471" s="15"/>
      <c r="C9471" s="9"/>
      <c r="D9471" s="15"/>
      <c r="E9471" s="16"/>
      <c r="F9471" s="19"/>
      <c r="G9471" s="20"/>
      <c r="H9471" s="19"/>
    </row>
    <row r="9472">
      <c r="A9472" s="9"/>
      <c r="B9472" s="15"/>
      <c r="C9472" s="9"/>
      <c r="D9472" s="15"/>
      <c r="E9472" s="16"/>
      <c r="F9472" s="19"/>
      <c r="G9472" s="20"/>
      <c r="H9472" s="19"/>
    </row>
    <row r="9473">
      <c r="A9473" s="9"/>
      <c r="B9473" s="15"/>
      <c r="C9473" s="9"/>
      <c r="D9473" s="15"/>
      <c r="E9473" s="16"/>
      <c r="F9473" s="19"/>
      <c r="G9473" s="20"/>
      <c r="H9473" s="19"/>
    </row>
    <row r="9474">
      <c r="A9474" s="9"/>
      <c r="B9474" s="15"/>
      <c r="C9474" s="9"/>
      <c r="D9474" s="15"/>
      <c r="E9474" s="16"/>
      <c r="F9474" s="19"/>
      <c r="G9474" s="20"/>
      <c r="H9474" s="19"/>
    </row>
    <row r="9475">
      <c r="A9475" s="9"/>
      <c r="B9475" s="15"/>
      <c r="C9475" s="9"/>
      <c r="D9475" s="15"/>
      <c r="E9475" s="16"/>
      <c r="F9475" s="19"/>
      <c r="G9475" s="20"/>
      <c r="H9475" s="19"/>
    </row>
    <row r="9476">
      <c r="A9476" s="9"/>
      <c r="B9476" s="15"/>
      <c r="C9476" s="9"/>
      <c r="D9476" s="15"/>
      <c r="E9476" s="16"/>
      <c r="F9476" s="19"/>
      <c r="G9476" s="20"/>
      <c r="H9476" s="19"/>
    </row>
    <row r="9477">
      <c r="A9477" s="9"/>
      <c r="B9477" s="15"/>
      <c r="C9477" s="9"/>
      <c r="D9477" s="15"/>
      <c r="E9477" s="16"/>
      <c r="F9477" s="19"/>
      <c r="G9477" s="20"/>
      <c r="H9477" s="19"/>
    </row>
    <row r="9478">
      <c r="A9478" s="9"/>
      <c r="B9478" s="15"/>
      <c r="C9478" s="9"/>
      <c r="D9478" s="15"/>
      <c r="E9478" s="16"/>
      <c r="F9478" s="19"/>
      <c r="G9478" s="20"/>
      <c r="H9478" s="19"/>
    </row>
    <row r="9479">
      <c r="A9479" s="9"/>
      <c r="B9479" s="15"/>
      <c r="C9479" s="9"/>
      <c r="D9479" s="15"/>
      <c r="E9479" s="16"/>
      <c r="F9479" s="19"/>
      <c r="G9479" s="20"/>
      <c r="H9479" s="19"/>
    </row>
    <row r="9480">
      <c r="A9480" s="9"/>
      <c r="B9480" s="15"/>
      <c r="C9480" s="9"/>
      <c r="D9480" s="15"/>
      <c r="E9480" s="16"/>
      <c r="F9480" s="19"/>
      <c r="G9480" s="20"/>
      <c r="H9480" s="19"/>
    </row>
    <row r="9481">
      <c r="A9481" s="9"/>
      <c r="B9481" s="15"/>
      <c r="C9481" s="9"/>
      <c r="D9481" s="15"/>
      <c r="E9481" s="16"/>
      <c r="F9481" s="19"/>
      <c r="G9481" s="20"/>
      <c r="H9481" s="19"/>
    </row>
    <row r="9482">
      <c r="A9482" s="9"/>
      <c r="B9482" s="15"/>
      <c r="C9482" s="9"/>
      <c r="D9482" s="15"/>
      <c r="E9482" s="16"/>
      <c r="F9482" s="19"/>
      <c r="G9482" s="20"/>
      <c r="H9482" s="19"/>
    </row>
    <row r="9483">
      <c r="A9483" s="9"/>
      <c r="B9483" s="15"/>
      <c r="C9483" s="9"/>
      <c r="D9483" s="15"/>
      <c r="E9483" s="16"/>
      <c r="F9483" s="19"/>
      <c r="G9483" s="20"/>
      <c r="H9483" s="19"/>
    </row>
    <row r="9484">
      <c r="A9484" s="9"/>
      <c r="B9484" s="15"/>
      <c r="C9484" s="9"/>
      <c r="D9484" s="15"/>
      <c r="E9484" s="16"/>
      <c r="F9484" s="19"/>
      <c r="G9484" s="20"/>
      <c r="H9484" s="19"/>
    </row>
    <row r="9485">
      <c r="A9485" s="9"/>
      <c r="B9485" s="15"/>
      <c r="C9485" s="9"/>
      <c r="D9485" s="15"/>
      <c r="E9485" s="16"/>
      <c r="F9485" s="19"/>
      <c r="G9485" s="20"/>
      <c r="H9485" s="19"/>
    </row>
    <row r="9486">
      <c r="A9486" s="9"/>
      <c r="B9486" s="15"/>
      <c r="C9486" s="9"/>
      <c r="D9486" s="15"/>
      <c r="E9486" s="16"/>
      <c r="F9486" s="19"/>
      <c r="G9486" s="20"/>
      <c r="H9486" s="19"/>
    </row>
    <row r="9487">
      <c r="A9487" s="9"/>
      <c r="B9487" s="15"/>
      <c r="C9487" s="9"/>
      <c r="D9487" s="15"/>
      <c r="E9487" s="16"/>
      <c r="F9487" s="19"/>
      <c r="G9487" s="20"/>
      <c r="H9487" s="19"/>
    </row>
    <row r="9488">
      <c r="A9488" s="9"/>
      <c r="B9488" s="15"/>
      <c r="C9488" s="9"/>
      <c r="D9488" s="15"/>
      <c r="E9488" s="16"/>
      <c r="F9488" s="19"/>
      <c r="G9488" s="20"/>
      <c r="H9488" s="19"/>
    </row>
    <row r="9489">
      <c r="A9489" s="9"/>
      <c r="B9489" s="15"/>
      <c r="C9489" s="9"/>
      <c r="D9489" s="15"/>
      <c r="E9489" s="16"/>
      <c r="F9489" s="19"/>
      <c r="G9489" s="20"/>
      <c r="H9489" s="19"/>
    </row>
    <row r="9490">
      <c r="A9490" s="9"/>
      <c r="B9490" s="15"/>
      <c r="C9490" s="9"/>
      <c r="D9490" s="15"/>
      <c r="E9490" s="16"/>
      <c r="F9490" s="19"/>
      <c r="G9490" s="20"/>
      <c r="H9490" s="19"/>
    </row>
    <row r="9491">
      <c r="A9491" s="9"/>
      <c r="B9491" s="15"/>
      <c r="C9491" s="9"/>
      <c r="D9491" s="15"/>
      <c r="E9491" s="16"/>
      <c r="F9491" s="19"/>
      <c r="G9491" s="20"/>
      <c r="H9491" s="19"/>
    </row>
    <row r="9492">
      <c r="A9492" s="9"/>
      <c r="B9492" s="15"/>
      <c r="C9492" s="9"/>
      <c r="D9492" s="15"/>
      <c r="E9492" s="16"/>
      <c r="F9492" s="19"/>
      <c r="G9492" s="20"/>
      <c r="H9492" s="19"/>
    </row>
    <row r="9493">
      <c r="A9493" s="9"/>
      <c r="B9493" s="15"/>
      <c r="C9493" s="9"/>
      <c r="D9493" s="15"/>
      <c r="E9493" s="16"/>
      <c r="F9493" s="19"/>
      <c r="G9493" s="20"/>
      <c r="H9493" s="19"/>
    </row>
    <row r="9494">
      <c r="A9494" s="9"/>
      <c r="B9494" s="15"/>
      <c r="C9494" s="9"/>
      <c r="D9494" s="15"/>
      <c r="E9494" s="16"/>
      <c r="F9494" s="19"/>
      <c r="G9494" s="20"/>
      <c r="H9494" s="19"/>
    </row>
    <row r="9495">
      <c r="A9495" s="9"/>
      <c r="B9495" s="15"/>
      <c r="C9495" s="9"/>
      <c r="D9495" s="15"/>
      <c r="E9495" s="16"/>
      <c r="F9495" s="19"/>
      <c r="G9495" s="20"/>
      <c r="H9495" s="19"/>
    </row>
    <row r="9496">
      <c r="A9496" s="9"/>
      <c r="B9496" s="15"/>
      <c r="C9496" s="9"/>
      <c r="D9496" s="15"/>
      <c r="E9496" s="16"/>
      <c r="F9496" s="19"/>
      <c r="G9496" s="20"/>
      <c r="H9496" s="19"/>
    </row>
    <row r="9497">
      <c r="A9497" s="9"/>
      <c r="B9497" s="15"/>
      <c r="C9497" s="9"/>
      <c r="D9497" s="15"/>
      <c r="E9497" s="16"/>
      <c r="F9497" s="19"/>
      <c r="G9497" s="20"/>
      <c r="H9497" s="19"/>
    </row>
    <row r="9498">
      <c r="A9498" s="9"/>
      <c r="B9498" s="15"/>
      <c r="C9498" s="9"/>
      <c r="D9498" s="15"/>
      <c r="E9498" s="16"/>
      <c r="F9498" s="19"/>
      <c r="G9498" s="20"/>
      <c r="H9498" s="19"/>
    </row>
    <row r="9499">
      <c r="A9499" s="9"/>
      <c r="B9499" s="15"/>
      <c r="C9499" s="9"/>
      <c r="D9499" s="15"/>
      <c r="E9499" s="16"/>
      <c r="F9499" s="19"/>
      <c r="G9499" s="20"/>
      <c r="H9499" s="19"/>
    </row>
    <row r="9500">
      <c r="A9500" s="9"/>
      <c r="B9500" s="15"/>
      <c r="C9500" s="9"/>
      <c r="D9500" s="15"/>
      <c r="E9500" s="16"/>
      <c r="F9500" s="19"/>
      <c r="G9500" s="20"/>
      <c r="H9500" s="19"/>
    </row>
    <row r="9501">
      <c r="A9501" s="9"/>
      <c r="B9501" s="15"/>
      <c r="C9501" s="9"/>
      <c r="D9501" s="15"/>
      <c r="E9501" s="16"/>
      <c r="F9501" s="19"/>
      <c r="G9501" s="20"/>
      <c r="H9501" s="19"/>
    </row>
    <row r="9502">
      <c r="A9502" s="9"/>
      <c r="B9502" s="15"/>
      <c r="C9502" s="9"/>
      <c r="D9502" s="15"/>
      <c r="E9502" s="16"/>
      <c r="F9502" s="19"/>
      <c r="G9502" s="20"/>
      <c r="H9502" s="19"/>
    </row>
    <row r="9503">
      <c r="A9503" s="9"/>
      <c r="B9503" s="15"/>
      <c r="C9503" s="9"/>
      <c r="D9503" s="15"/>
      <c r="E9503" s="16"/>
      <c r="F9503" s="19"/>
      <c r="G9503" s="20"/>
      <c r="H9503" s="19"/>
    </row>
    <row r="9504">
      <c r="A9504" s="9"/>
      <c r="B9504" s="15"/>
      <c r="C9504" s="9"/>
      <c r="D9504" s="15"/>
      <c r="E9504" s="16"/>
      <c r="F9504" s="19"/>
      <c r="G9504" s="20"/>
      <c r="H9504" s="19"/>
    </row>
    <row r="9505">
      <c r="A9505" s="9"/>
      <c r="B9505" s="15"/>
      <c r="C9505" s="9"/>
      <c r="D9505" s="15"/>
      <c r="E9505" s="16"/>
      <c r="F9505" s="19"/>
      <c r="G9505" s="20"/>
      <c r="H9505" s="19"/>
    </row>
    <row r="9506">
      <c r="A9506" s="9"/>
      <c r="B9506" s="15"/>
      <c r="C9506" s="9"/>
      <c r="D9506" s="15"/>
      <c r="E9506" s="16"/>
      <c r="F9506" s="19"/>
      <c r="G9506" s="20"/>
      <c r="H9506" s="19"/>
    </row>
    <row r="9507">
      <c r="A9507" s="9"/>
      <c r="B9507" s="15"/>
      <c r="C9507" s="9"/>
      <c r="D9507" s="15"/>
      <c r="E9507" s="16"/>
      <c r="F9507" s="19"/>
      <c r="G9507" s="20"/>
      <c r="H9507" s="19"/>
    </row>
    <row r="9508">
      <c r="A9508" s="9"/>
      <c r="B9508" s="15"/>
      <c r="C9508" s="9"/>
      <c r="D9508" s="15"/>
      <c r="E9508" s="16"/>
      <c r="F9508" s="19"/>
      <c r="G9508" s="20"/>
      <c r="H9508" s="19"/>
    </row>
    <row r="9509">
      <c r="A9509" s="9"/>
      <c r="B9509" s="15"/>
      <c r="C9509" s="9"/>
      <c r="D9509" s="15"/>
      <c r="E9509" s="16"/>
      <c r="F9509" s="19"/>
      <c r="G9509" s="20"/>
      <c r="H9509" s="19"/>
    </row>
    <row r="9510">
      <c r="A9510" s="9"/>
      <c r="B9510" s="15"/>
      <c r="C9510" s="9"/>
      <c r="D9510" s="15"/>
      <c r="E9510" s="16"/>
      <c r="F9510" s="19"/>
      <c r="G9510" s="20"/>
      <c r="H9510" s="19"/>
    </row>
    <row r="9511">
      <c r="A9511" s="9"/>
      <c r="B9511" s="15"/>
      <c r="C9511" s="9"/>
      <c r="D9511" s="15"/>
      <c r="E9511" s="16"/>
      <c r="F9511" s="19"/>
      <c r="G9511" s="20"/>
      <c r="H9511" s="19"/>
    </row>
    <row r="9512">
      <c r="A9512" s="9"/>
      <c r="B9512" s="15"/>
      <c r="C9512" s="9"/>
      <c r="D9512" s="15"/>
      <c r="E9512" s="16"/>
      <c r="F9512" s="19"/>
      <c r="G9512" s="20"/>
      <c r="H9512" s="19"/>
    </row>
    <row r="9513">
      <c r="A9513" s="9"/>
      <c r="B9513" s="15"/>
      <c r="C9513" s="9"/>
      <c r="D9513" s="15"/>
      <c r="E9513" s="16"/>
      <c r="F9513" s="19"/>
      <c r="G9513" s="20"/>
      <c r="H9513" s="19"/>
    </row>
    <row r="9514">
      <c r="A9514" s="9"/>
      <c r="B9514" s="15"/>
      <c r="C9514" s="9"/>
      <c r="D9514" s="15"/>
      <c r="E9514" s="16"/>
      <c r="F9514" s="19"/>
      <c r="G9514" s="20"/>
      <c r="H9514" s="19"/>
    </row>
    <row r="9515">
      <c r="A9515" s="9"/>
      <c r="B9515" s="15"/>
      <c r="C9515" s="9"/>
      <c r="D9515" s="15"/>
      <c r="E9515" s="16"/>
      <c r="F9515" s="19"/>
      <c r="G9515" s="20"/>
      <c r="H9515" s="19"/>
    </row>
    <row r="9516">
      <c r="A9516" s="9"/>
      <c r="B9516" s="15"/>
      <c r="C9516" s="9"/>
      <c r="D9516" s="15"/>
      <c r="E9516" s="16"/>
      <c r="F9516" s="19"/>
      <c r="G9516" s="20"/>
      <c r="H9516" s="19"/>
    </row>
    <row r="9517">
      <c r="A9517" s="9"/>
      <c r="B9517" s="15"/>
      <c r="C9517" s="9"/>
      <c r="D9517" s="15"/>
      <c r="E9517" s="16"/>
      <c r="F9517" s="19"/>
      <c r="G9517" s="20"/>
      <c r="H9517" s="19"/>
    </row>
    <row r="9518">
      <c r="A9518" s="9"/>
      <c r="B9518" s="15"/>
      <c r="C9518" s="9"/>
      <c r="D9518" s="15"/>
      <c r="E9518" s="16"/>
      <c r="F9518" s="19"/>
      <c r="G9518" s="20"/>
      <c r="H9518" s="19"/>
    </row>
    <row r="9519">
      <c r="A9519" s="9"/>
      <c r="B9519" s="15"/>
      <c r="C9519" s="9"/>
      <c r="D9519" s="15"/>
      <c r="E9519" s="16"/>
      <c r="F9519" s="19"/>
      <c r="G9519" s="20"/>
      <c r="H9519" s="19"/>
    </row>
    <row r="9520">
      <c r="A9520" s="9"/>
      <c r="B9520" s="15"/>
      <c r="C9520" s="9"/>
      <c r="D9520" s="15"/>
      <c r="E9520" s="16"/>
      <c r="F9520" s="19"/>
      <c r="G9520" s="20"/>
      <c r="H9520" s="19"/>
    </row>
    <row r="9521">
      <c r="A9521" s="9"/>
      <c r="B9521" s="15"/>
      <c r="C9521" s="9"/>
      <c r="D9521" s="15"/>
      <c r="E9521" s="16"/>
      <c r="F9521" s="19"/>
      <c r="G9521" s="20"/>
      <c r="H9521" s="19"/>
    </row>
    <row r="9522">
      <c r="A9522" s="9"/>
      <c r="B9522" s="15"/>
      <c r="C9522" s="9"/>
      <c r="D9522" s="15"/>
      <c r="E9522" s="16"/>
      <c r="F9522" s="19"/>
      <c r="G9522" s="20"/>
      <c r="H9522" s="19"/>
    </row>
    <row r="9523">
      <c r="A9523" s="9"/>
      <c r="B9523" s="15"/>
      <c r="C9523" s="9"/>
      <c r="D9523" s="15"/>
      <c r="E9523" s="16"/>
      <c r="F9523" s="19"/>
      <c r="G9523" s="20"/>
      <c r="H9523" s="19"/>
    </row>
    <row r="9524">
      <c r="A9524" s="9"/>
      <c r="B9524" s="15"/>
      <c r="C9524" s="9"/>
      <c r="D9524" s="15"/>
      <c r="E9524" s="16"/>
      <c r="F9524" s="19"/>
      <c r="G9524" s="20"/>
      <c r="H9524" s="19"/>
    </row>
    <row r="9525">
      <c r="A9525" s="9"/>
      <c r="B9525" s="15"/>
      <c r="C9525" s="9"/>
      <c r="D9525" s="15"/>
      <c r="E9525" s="16"/>
      <c r="F9525" s="19"/>
      <c r="G9525" s="20"/>
      <c r="H9525" s="19"/>
    </row>
    <row r="9526">
      <c r="A9526" s="9"/>
      <c r="B9526" s="15"/>
      <c r="C9526" s="9"/>
      <c r="D9526" s="15"/>
      <c r="E9526" s="16"/>
      <c r="F9526" s="19"/>
      <c r="G9526" s="20"/>
      <c r="H9526" s="19"/>
    </row>
    <row r="9527">
      <c r="A9527" s="9"/>
      <c r="B9527" s="15"/>
      <c r="C9527" s="9"/>
      <c r="D9527" s="15"/>
      <c r="E9527" s="16"/>
      <c r="F9527" s="19"/>
      <c r="G9527" s="20"/>
      <c r="H9527" s="19"/>
    </row>
    <row r="9528">
      <c r="A9528" s="9"/>
      <c r="B9528" s="15"/>
      <c r="C9528" s="9"/>
      <c r="D9528" s="15"/>
      <c r="E9528" s="16"/>
      <c r="F9528" s="19"/>
      <c r="G9528" s="20"/>
      <c r="H9528" s="19"/>
    </row>
    <row r="9529">
      <c r="A9529" s="9"/>
      <c r="B9529" s="15"/>
      <c r="C9529" s="9"/>
      <c r="D9529" s="15"/>
      <c r="E9529" s="16"/>
      <c r="F9529" s="19"/>
      <c r="G9529" s="20"/>
      <c r="H9529" s="19"/>
    </row>
    <row r="9530">
      <c r="A9530" s="9"/>
      <c r="B9530" s="15"/>
      <c r="C9530" s="9"/>
      <c r="D9530" s="15"/>
      <c r="E9530" s="16"/>
      <c r="F9530" s="19"/>
      <c r="G9530" s="20"/>
      <c r="H9530" s="19"/>
    </row>
    <row r="9531">
      <c r="A9531" s="9"/>
      <c r="B9531" s="15"/>
      <c r="C9531" s="9"/>
      <c r="D9531" s="15"/>
      <c r="E9531" s="16"/>
      <c r="F9531" s="19"/>
      <c r="G9531" s="20"/>
      <c r="H9531" s="19"/>
    </row>
    <row r="9532">
      <c r="A9532" s="9"/>
      <c r="B9532" s="15"/>
      <c r="C9532" s="9"/>
      <c r="D9532" s="15"/>
      <c r="E9532" s="16"/>
      <c r="F9532" s="19"/>
      <c r="G9532" s="20"/>
      <c r="H9532" s="19"/>
    </row>
    <row r="9533">
      <c r="A9533" s="9"/>
      <c r="B9533" s="15"/>
      <c r="C9533" s="9"/>
      <c r="D9533" s="15"/>
      <c r="E9533" s="16"/>
      <c r="F9533" s="19"/>
      <c r="G9533" s="20"/>
      <c r="H9533" s="19"/>
    </row>
    <row r="9534">
      <c r="A9534" s="9"/>
      <c r="B9534" s="15"/>
      <c r="C9534" s="9"/>
      <c r="D9534" s="15"/>
      <c r="E9534" s="16"/>
      <c r="F9534" s="19"/>
      <c r="G9534" s="20"/>
      <c r="H9534" s="19"/>
    </row>
    <row r="9535">
      <c r="A9535" s="9"/>
      <c r="B9535" s="15"/>
      <c r="C9535" s="9"/>
      <c r="D9535" s="15"/>
      <c r="E9535" s="16"/>
      <c r="F9535" s="19"/>
      <c r="G9535" s="20"/>
      <c r="H9535" s="19"/>
    </row>
    <row r="9536">
      <c r="A9536" s="9"/>
      <c r="B9536" s="15"/>
      <c r="C9536" s="9"/>
      <c r="D9536" s="15"/>
      <c r="E9536" s="16"/>
      <c r="F9536" s="19"/>
      <c r="G9536" s="20"/>
      <c r="H9536" s="19"/>
    </row>
    <row r="9537">
      <c r="A9537" s="9"/>
      <c r="B9537" s="15"/>
      <c r="C9537" s="9"/>
      <c r="D9537" s="15"/>
      <c r="E9537" s="16"/>
      <c r="F9537" s="19"/>
      <c r="G9537" s="20"/>
      <c r="H9537" s="19"/>
    </row>
    <row r="9538">
      <c r="A9538" s="9"/>
      <c r="B9538" s="15"/>
      <c r="C9538" s="9"/>
      <c r="D9538" s="15"/>
      <c r="E9538" s="16"/>
      <c r="F9538" s="19"/>
      <c r="G9538" s="20"/>
      <c r="H9538" s="19"/>
    </row>
    <row r="9539">
      <c r="A9539" s="9"/>
      <c r="B9539" s="15"/>
      <c r="C9539" s="9"/>
      <c r="D9539" s="15"/>
      <c r="E9539" s="16"/>
      <c r="F9539" s="19"/>
      <c r="G9539" s="20"/>
      <c r="H9539" s="19"/>
    </row>
    <row r="9540">
      <c r="A9540" s="9"/>
      <c r="B9540" s="15"/>
      <c r="C9540" s="9"/>
      <c r="D9540" s="15"/>
      <c r="E9540" s="16"/>
      <c r="F9540" s="19"/>
      <c r="G9540" s="20"/>
      <c r="H9540" s="19"/>
    </row>
    <row r="9541">
      <c r="A9541" s="9"/>
      <c r="B9541" s="15"/>
      <c r="C9541" s="9"/>
      <c r="D9541" s="15"/>
      <c r="E9541" s="16"/>
      <c r="F9541" s="19"/>
      <c r="G9541" s="20"/>
      <c r="H9541" s="19"/>
    </row>
    <row r="9542">
      <c r="A9542" s="9"/>
      <c r="B9542" s="15"/>
      <c r="C9542" s="9"/>
      <c r="D9542" s="15"/>
      <c r="E9542" s="16"/>
      <c r="F9542" s="19"/>
      <c r="G9542" s="20"/>
      <c r="H9542" s="19"/>
    </row>
    <row r="9543">
      <c r="A9543" s="9"/>
      <c r="B9543" s="15"/>
      <c r="C9543" s="9"/>
      <c r="D9543" s="15"/>
      <c r="E9543" s="16"/>
      <c r="F9543" s="19"/>
      <c r="G9543" s="20"/>
      <c r="H9543" s="19"/>
    </row>
    <row r="9544">
      <c r="A9544" s="9"/>
      <c r="B9544" s="15"/>
      <c r="C9544" s="9"/>
      <c r="D9544" s="15"/>
      <c r="E9544" s="16"/>
      <c r="F9544" s="19"/>
      <c r="G9544" s="20"/>
      <c r="H9544" s="19"/>
    </row>
    <row r="9545">
      <c r="A9545" s="9"/>
      <c r="B9545" s="15"/>
      <c r="C9545" s="9"/>
      <c r="D9545" s="15"/>
      <c r="E9545" s="16"/>
      <c r="F9545" s="19"/>
      <c r="G9545" s="20"/>
      <c r="H9545" s="19"/>
    </row>
    <row r="9546">
      <c r="A9546" s="9"/>
      <c r="B9546" s="15"/>
      <c r="C9546" s="9"/>
      <c r="D9546" s="15"/>
      <c r="E9546" s="16"/>
      <c r="F9546" s="19"/>
      <c r="G9546" s="20"/>
      <c r="H9546" s="19"/>
    </row>
    <row r="9547">
      <c r="A9547" s="9"/>
      <c r="B9547" s="15"/>
      <c r="C9547" s="9"/>
      <c r="D9547" s="15"/>
      <c r="E9547" s="16"/>
      <c r="F9547" s="19"/>
      <c r="G9547" s="20"/>
      <c r="H9547" s="19"/>
    </row>
    <row r="9548">
      <c r="A9548" s="9"/>
      <c r="B9548" s="15"/>
      <c r="C9548" s="9"/>
      <c r="D9548" s="15"/>
      <c r="E9548" s="16"/>
      <c r="F9548" s="19"/>
      <c r="G9548" s="20"/>
      <c r="H9548" s="19"/>
    </row>
    <row r="9549">
      <c r="A9549" s="9"/>
      <c r="B9549" s="15"/>
      <c r="C9549" s="9"/>
      <c r="D9549" s="15"/>
      <c r="E9549" s="16"/>
      <c r="F9549" s="19"/>
      <c r="G9549" s="20"/>
      <c r="H9549" s="19"/>
    </row>
    <row r="9550">
      <c r="A9550" s="9"/>
      <c r="B9550" s="15"/>
      <c r="C9550" s="9"/>
      <c r="D9550" s="15"/>
      <c r="E9550" s="16"/>
      <c r="F9550" s="19"/>
      <c r="G9550" s="20"/>
      <c r="H9550" s="19"/>
    </row>
    <row r="9551">
      <c r="A9551" s="9"/>
      <c r="B9551" s="15"/>
      <c r="C9551" s="9"/>
      <c r="D9551" s="15"/>
      <c r="E9551" s="16"/>
      <c r="F9551" s="19"/>
      <c r="G9551" s="20"/>
      <c r="H9551" s="19"/>
    </row>
    <row r="9552">
      <c r="A9552" s="9"/>
      <c r="B9552" s="15"/>
      <c r="C9552" s="9"/>
      <c r="D9552" s="15"/>
      <c r="E9552" s="16"/>
      <c r="F9552" s="19"/>
      <c r="G9552" s="20"/>
      <c r="H9552" s="19"/>
    </row>
    <row r="9553">
      <c r="A9553" s="9"/>
      <c r="B9553" s="15"/>
      <c r="C9553" s="9"/>
      <c r="D9553" s="15"/>
      <c r="E9553" s="16"/>
      <c r="F9553" s="19"/>
      <c r="G9553" s="20"/>
      <c r="H9553" s="19"/>
    </row>
    <row r="9554">
      <c r="A9554" s="9"/>
      <c r="B9554" s="15"/>
      <c r="C9554" s="9"/>
      <c r="D9554" s="15"/>
      <c r="E9554" s="16"/>
      <c r="F9554" s="19"/>
      <c r="G9554" s="20"/>
      <c r="H9554" s="19"/>
    </row>
    <row r="9555">
      <c r="A9555" s="9"/>
      <c r="B9555" s="15"/>
      <c r="C9555" s="9"/>
      <c r="D9555" s="15"/>
      <c r="E9555" s="16"/>
      <c r="F9555" s="19"/>
      <c r="G9555" s="20"/>
      <c r="H9555" s="19"/>
    </row>
    <row r="9556">
      <c r="A9556" s="9"/>
      <c r="B9556" s="15"/>
      <c r="C9556" s="9"/>
      <c r="D9556" s="15"/>
      <c r="E9556" s="16"/>
      <c r="F9556" s="19"/>
      <c r="G9556" s="20"/>
      <c r="H9556" s="19"/>
    </row>
    <row r="9557">
      <c r="A9557" s="9"/>
      <c r="B9557" s="15"/>
      <c r="C9557" s="9"/>
      <c r="D9557" s="15"/>
      <c r="E9557" s="16"/>
      <c r="F9557" s="19"/>
      <c r="G9557" s="20"/>
      <c r="H9557" s="19"/>
    </row>
    <row r="9558">
      <c r="A9558" s="9"/>
      <c r="B9558" s="15"/>
      <c r="C9558" s="9"/>
      <c r="D9558" s="15"/>
      <c r="E9558" s="16"/>
      <c r="F9558" s="19"/>
      <c r="G9558" s="20"/>
      <c r="H9558" s="19"/>
    </row>
    <row r="9559">
      <c r="A9559" s="9"/>
      <c r="B9559" s="15"/>
      <c r="C9559" s="9"/>
      <c r="D9559" s="15"/>
      <c r="E9559" s="16"/>
      <c r="F9559" s="19"/>
      <c r="G9559" s="20"/>
      <c r="H9559" s="19"/>
    </row>
    <row r="9560">
      <c r="A9560" s="9"/>
      <c r="B9560" s="15"/>
      <c r="C9560" s="9"/>
      <c r="D9560" s="15"/>
      <c r="E9560" s="16"/>
      <c r="F9560" s="19"/>
      <c r="G9560" s="20"/>
      <c r="H9560" s="19"/>
    </row>
    <row r="9561">
      <c r="A9561" s="9"/>
      <c r="B9561" s="15"/>
      <c r="C9561" s="9"/>
      <c r="D9561" s="15"/>
      <c r="E9561" s="16"/>
      <c r="F9561" s="19"/>
      <c r="G9561" s="20"/>
      <c r="H9561" s="19"/>
    </row>
    <row r="9562">
      <c r="A9562" s="9"/>
      <c r="B9562" s="15"/>
      <c r="C9562" s="9"/>
      <c r="D9562" s="15"/>
      <c r="E9562" s="16"/>
      <c r="F9562" s="19"/>
      <c r="G9562" s="20"/>
      <c r="H9562" s="19"/>
    </row>
    <row r="9563">
      <c r="A9563" s="9"/>
      <c r="B9563" s="15"/>
      <c r="C9563" s="9"/>
      <c r="D9563" s="15"/>
      <c r="E9563" s="16"/>
      <c r="F9563" s="19"/>
      <c r="G9563" s="20"/>
      <c r="H9563" s="19"/>
    </row>
    <row r="9564">
      <c r="A9564" s="9"/>
      <c r="B9564" s="15"/>
      <c r="C9564" s="9"/>
      <c r="D9564" s="15"/>
      <c r="E9564" s="16"/>
      <c r="F9564" s="19"/>
      <c r="G9564" s="20"/>
      <c r="H9564" s="19"/>
    </row>
    <row r="9565">
      <c r="A9565" s="9"/>
      <c r="B9565" s="15"/>
      <c r="C9565" s="9"/>
      <c r="D9565" s="15"/>
      <c r="E9565" s="16"/>
      <c r="F9565" s="19"/>
      <c r="G9565" s="20"/>
      <c r="H9565" s="19"/>
    </row>
    <row r="9566">
      <c r="A9566" s="9"/>
      <c r="B9566" s="15"/>
      <c r="C9566" s="9"/>
      <c r="D9566" s="15"/>
      <c r="E9566" s="16"/>
      <c r="F9566" s="19"/>
      <c r="G9566" s="20"/>
      <c r="H9566" s="19"/>
    </row>
    <row r="9567">
      <c r="A9567" s="9"/>
      <c r="B9567" s="15"/>
      <c r="C9567" s="9"/>
      <c r="D9567" s="15"/>
      <c r="E9567" s="16"/>
      <c r="F9567" s="19"/>
      <c r="G9567" s="20"/>
      <c r="H9567" s="19"/>
    </row>
    <row r="9568">
      <c r="A9568" s="9"/>
      <c r="B9568" s="15"/>
      <c r="C9568" s="9"/>
      <c r="D9568" s="15"/>
      <c r="E9568" s="16"/>
      <c r="F9568" s="19"/>
      <c r="G9568" s="20"/>
      <c r="H9568" s="19"/>
    </row>
    <row r="9569">
      <c r="A9569" s="9"/>
      <c r="B9569" s="15"/>
      <c r="C9569" s="9"/>
      <c r="D9569" s="15"/>
      <c r="E9569" s="16"/>
      <c r="F9569" s="19"/>
      <c r="G9569" s="20"/>
      <c r="H9569" s="19"/>
    </row>
    <row r="9570">
      <c r="A9570" s="9"/>
      <c r="B9570" s="15"/>
      <c r="C9570" s="9"/>
      <c r="D9570" s="15"/>
      <c r="E9570" s="16"/>
      <c r="F9570" s="19"/>
      <c r="G9570" s="20"/>
      <c r="H9570" s="19"/>
    </row>
    <row r="9571">
      <c r="A9571" s="9"/>
      <c r="B9571" s="15"/>
      <c r="C9571" s="9"/>
      <c r="D9571" s="15"/>
      <c r="E9571" s="16"/>
      <c r="F9571" s="19"/>
      <c r="G9571" s="20"/>
      <c r="H9571" s="19"/>
    </row>
    <row r="9572">
      <c r="A9572" s="9"/>
      <c r="B9572" s="15"/>
      <c r="C9572" s="9"/>
      <c r="D9572" s="15"/>
      <c r="E9572" s="16"/>
      <c r="F9572" s="19"/>
      <c r="G9572" s="20"/>
      <c r="H9572" s="19"/>
    </row>
    <row r="9573">
      <c r="A9573" s="9"/>
      <c r="B9573" s="15"/>
      <c r="C9573" s="9"/>
      <c r="D9573" s="15"/>
      <c r="E9573" s="16"/>
      <c r="F9573" s="19"/>
      <c r="G9573" s="20"/>
      <c r="H9573" s="19"/>
    </row>
    <row r="9574">
      <c r="A9574" s="9"/>
      <c r="B9574" s="15"/>
      <c r="C9574" s="9"/>
      <c r="D9574" s="15"/>
      <c r="E9574" s="16"/>
      <c r="F9574" s="19"/>
      <c r="G9574" s="20"/>
      <c r="H9574" s="19"/>
    </row>
    <row r="9575">
      <c r="A9575" s="9"/>
      <c r="B9575" s="15"/>
      <c r="C9575" s="9"/>
      <c r="D9575" s="15"/>
      <c r="E9575" s="16"/>
      <c r="F9575" s="19"/>
      <c r="G9575" s="20"/>
      <c r="H9575" s="19"/>
    </row>
    <row r="9576">
      <c r="A9576" s="9"/>
      <c r="B9576" s="15"/>
      <c r="C9576" s="9"/>
      <c r="D9576" s="15"/>
      <c r="E9576" s="16"/>
      <c r="F9576" s="19"/>
      <c r="G9576" s="20"/>
      <c r="H9576" s="19"/>
    </row>
    <row r="9577">
      <c r="A9577" s="9"/>
      <c r="B9577" s="15"/>
      <c r="C9577" s="9"/>
      <c r="D9577" s="15"/>
      <c r="E9577" s="16"/>
      <c r="F9577" s="19"/>
      <c r="G9577" s="20"/>
      <c r="H9577" s="19"/>
    </row>
    <row r="9578">
      <c r="A9578" s="9"/>
      <c r="B9578" s="15"/>
      <c r="C9578" s="9"/>
      <c r="D9578" s="15"/>
      <c r="E9578" s="16"/>
      <c r="F9578" s="19"/>
      <c r="G9578" s="20"/>
      <c r="H9578" s="19"/>
    </row>
    <row r="9579">
      <c r="A9579" s="9"/>
      <c r="B9579" s="15"/>
      <c r="C9579" s="9"/>
      <c r="D9579" s="15"/>
      <c r="E9579" s="16"/>
      <c r="F9579" s="19"/>
      <c r="G9579" s="20"/>
      <c r="H9579" s="19"/>
    </row>
    <row r="9580">
      <c r="A9580" s="9"/>
      <c r="B9580" s="15"/>
      <c r="C9580" s="9"/>
      <c r="D9580" s="15"/>
      <c r="E9580" s="16"/>
      <c r="F9580" s="19"/>
      <c r="G9580" s="20"/>
      <c r="H9580" s="19"/>
    </row>
    <row r="9581">
      <c r="A9581" s="9"/>
      <c r="B9581" s="15"/>
      <c r="C9581" s="9"/>
      <c r="D9581" s="15"/>
      <c r="E9581" s="16"/>
      <c r="F9581" s="19"/>
      <c r="G9581" s="20"/>
      <c r="H9581" s="19"/>
    </row>
    <row r="9582">
      <c r="A9582" s="9"/>
      <c r="B9582" s="15"/>
      <c r="C9582" s="9"/>
      <c r="D9582" s="15"/>
      <c r="E9582" s="16"/>
      <c r="F9582" s="19"/>
      <c r="G9582" s="20"/>
      <c r="H9582" s="19"/>
    </row>
    <row r="9583">
      <c r="A9583" s="9"/>
      <c r="B9583" s="15"/>
      <c r="C9583" s="9"/>
      <c r="D9583" s="15"/>
      <c r="E9583" s="16"/>
      <c r="F9583" s="19"/>
      <c r="G9583" s="20"/>
      <c r="H9583" s="19"/>
    </row>
    <row r="9584">
      <c r="A9584" s="9"/>
      <c r="B9584" s="15"/>
      <c r="C9584" s="9"/>
      <c r="D9584" s="15"/>
      <c r="E9584" s="16"/>
      <c r="F9584" s="19"/>
      <c r="G9584" s="20"/>
      <c r="H9584" s="19"/>
    </row>
    <row r="9585">
      <c r="A9585" s="9"/>
      <c r="B9585" s="15"/>
      <c r="C9585" s="9"/>
      <c r="D9585" s="15"/>
      <c r="E9585" s="16"/>
      <c r="F9585" s="19"/>
      <c r="G9585" s="20"/>
      <c r="H9585" s="19"/>
    </row>
    <row r="9586">
      <c r="A9586" s="9"/>
      <c r="B9586" s="15"/>
      <c r="C9586" s="9"/>
      <c r="D9586" s="15"/>
      <c r="E9586" s="16"/>
      <c r="F9586" s="19"/>
      <c r="G9586" s="20"/>
      <c r="H9586" s="19"/>
    </row>
    <row r="9587">
      <c r="A9587" s="9"/>
      <c r="B9587" s="15"/>
      <c r="C9587" s="9"/>
      <c r="D9587" s="15"/>
      <c r="E9587" s="16"/>
      <c r="F9587" s="19"/>
      <c r="G9587" s="20"/>
      <c r="H9587" s="19"/>
    </row>
    <row r="9588">
      <c r="A9588" s="9"/>
      <c r="B9588" s="15"/>
      <c r="C9588" s="9"/>
      <c r="D9588" s="15"/>
      <c r="E9588" s="16"/>
      <c r="F9588" s="19"/>
      <c r="G9588" s="20"/>
      <c r="H9588" s="19"/>
    </row>
    <row r="9589">
      <c r="A9589" s="9"/>
      <c r="B9589" s="15"/>
      <c r="C9589" s="9"/>
      <c r="D9589" s="15"/>
      <c r="E9589" s="16"/>
      <c r="F9589" s="19"/>
      <c r="G9589" s="20"/>
      <c r="H9589" s="19"/>
    </row>
    <row r="9590">
      <c r="A9590" s="9"/>
      <c r="B9590" s="15"/>
      <c r="C9590" s="9"/>
      <c r="D9590" s="15"/>
      <c r="E9590" s="16"/>
      <c r="F9590" s="19"/>
      <c r="G9590" s="20"/>
      <c r="H9590" s="19"/>
    </row>
    <row r="9591">
      <c r="A9591" s="9"/>
      <c r="B9591" s="15"/>
      <c r="C9591" s="9"/>
      <c r="D9591" s="15"/>
      <c r="E9591" s="16"/>
      <c r="F9591" s="19"/>
      <c r="G9591" s="20"/>
      <c r="H9591" s="19"/>
    </row>
    <row r="9592">
      <c r="A9592" s="9"/>
      <c r="B9592" s="15"/>
      <c r="C9592" s="9"/>
      <c r="D9592" s="15"/>
      <c r="E9592" s="16"/>
      <c r="F9592" s="19"/>
      <c r="G9592" s="20"/>
      <c r="H9592" s="19"/>
    </row>
    <row r="9593">
      <c r="A9593" s="9"/>
      <c r="B9593" s="15"/>
      <c r="C9593" s="9"/>
      <c r="D9593" s="15"/>
      <c r="E9593" s="16"/>
      <c r="F9593" s="19"/>
      <c r="G9593" s="20"/>
      <c r="H9593" s="19"/>
    </row>
    <row r="9594">
      <c r="A9594" s="9"/>
      <c r="B9594" s="15"/>
      <c r="C9594" s="9"/>
      <c r="D9594" s="15"/>
      <c r="E9594" s="16"/>
      <c r="F9594" s="19"/>
      <c r="G9594" s="20"/>
      <c r="H9594" s="19"/>
    </row>
    <row r="9595">
      <c r="A9595" s="9"/>
      <c r="B9595" s="15"/>
      <c r="C9595" s="9"/>
      <c r="D9595" s="15"/>
      <c r="E9595" s="16"/>
      <c r="F9595" s="19"/>
      <c r="G9595" s="20"/>
      <c r="H9595" s="19"/>
    </row>
    <row r="9596">
      <c r="A9596" s="9"/>
      <c r="B9596" s="15"/>
      <c r="C9596" s="9"/>
      <c r="D9596" s="15"/>
      <c r="E9596" s="16"/>
      <c r="F9596" s="19"/>
      <c r="G9596" s="20"/>
      <c r="H9596" s="19"/>
    </row>
    <row r="9597">
      <c r="A9597" s="9"/>
      <c r="B9597" s="15"/>
      <c r="C9597" s="9"/>
      <c r="D9597" s="15"/>
      <c r="E9597" s="16"/>
      <c r="F9597" s="19"/>
      <c r="G9597" s="20"/>
      <c r="H9597" s="19"/>
    </row>
    <row r="9598">
      <c r="A9598" s="9"/>
      <c r="B9598" s="15"/>
      <c r="C9598" s="9"/>
      <c r="D9598" s="15"/>
      <c r="E9598" s="16"/>
      <c r="F9598" s="19"/>
      <c r="G9598" s="20"/>
      <c r="H9598" s="19"/>
    </row>
    <row r="9599">
      <c r="A9599" s="9"/>
      <c r="B9599" s="15"/>
      <c r="C9599" s="9"/>
      <c r="D9599" s="15"/>
      <c r="E9599" s="16"/>
      <c r="F9599" s="19"/>
      <c r="G9599" s="20"/>
      <c r="H9599" s="19"/>
    </row>
    <row r="9600">
      <c r="A9600" s="9"/>
      <c r="B9600" s="15"/>
      <c r="C9600" s="9"/>
      <c r="D9600" s="15"/>
      <c r="E9600" s="16"/>
      <c r="F9600" s="19"/>
      <c r="G9600" s="20"/>
      <c r="H9600" s="19"/>
    </row>
    <row r="9601">
      <c r="A9601" s="9"/>
      <c r="B9601" s="15"/>
      <c r="C9601" s="9"/>
      <c r="D9601" s="15"/>
      <c r="E9601" s="16"/>
      <c r="F9601" s="19"/>
      <c r="G9601" s="20"/>
      <c r="H9601" s="19"/>
    </row>
    <row r="9602">
      <c r="A9602" s="9"/>
      <c r="B9602" s="15"/>
      <c r="C9602" s="9"/>
      <c r="D9602" s="15"/>
      <c r="E9602" s="16"/>
      <c r="F9602" s="19"/>
      <c r="G9602" s="20"/>
      <c r="H9602" s="19"/>
    </row>
    <row r="9603">
      <c r="A9603" s="9"/>
      <c r="B9603" s="15"/>
      <c r="C9603" s="9"/>
      <c r="D9603" s="15"/>
      <c r="E9603" s="16"/>
      <c r="F9603" s="19"/>
      <c r="G9603" s="20"/>
      <c r="H9603" s="19"/>
    </row>
    <row r="9604">
      <c r="A9604" s="9"/>
      <c r="B9604" s="15"/>
      <c r="C9604" s="9"/>
      <c r="D9604" s="15"/>
      <c r="E9604" s="16"/>
      <c r="F9604" s="19"/>
      <c r="G9604" s="20"/>
      <c r="H9604" s="19"/>
    </row>
    <row r="9605">
      <c r="A9605" s="9"/>
      <c r="B9605" s="15"/>
      <c r="C9605" s="9"/>
      <c r="D9605" s="15"/>
      <c r="E9605" s="16"/>
      <c r="F9605" s="19"/>
      <c r="G9605" s="20"/>
      <c r="H9605" s="19"/>
    </row>
    <row r="9606">
      <c r="A9606" s="9"/>
      <c r="B9606" s="15"/>
      <c r="C9606" s="9"/>
      <c r="D9606" s="15"/>
      <c r="E9606" s="16"/>
      <c r="F9606" s="19"/>
      <c r="G9606" s="20"/>
      <c r="H9606" s="19"/>
    </row>
    <row r="9607">
      <c r="A9607" s="9"/>
      <c r="B9607" s="15"/>
      <c r="C9607" s="9"/>
      <c r="D9607" s="15"/>
      <c r="E9607" s="16"/>
      <c r="F9607" s="19"/>
      <c r="G9607" s="20"/>
      <c r="H9607" s="19"/>
    </row>
    <row r="9608">
      <c r="A9608" s="9"/>
      <c r="B9608" s="15"/>
      <c r="C9608" s="9"/>
      <c r="D9608" s="15"/>
      <c r="E9608" s="16"/>
      <c r="F9608" s="19"/>
      <c r="G9608" s="20"/>
      <c r="H9608" s="19"/>
    </row>
    <row r="9609">
      <c r="A9609" s="9"/>
      <c r="B9609" s="15"/>
      <c r="C9609" s="9"/>
      <c r="D9609" s="15"/>
      <c r="E9609" s="16"/>
      <c r="F9609" s="19"/>
      <c r="G9609" s="20"/>
      <c r="H9609" s="19"/>
    </row>
    <row r="9610">
      <c r="A9610" s="9"/>
      <c r="B9610" s="15"/>
      <c r="C9610" s="9"/>
      <c r="D9610" s="15"/>
      <c r="E9610" s="16"/>
      <c r="F9610" s="19"/>
      <c r="G9610" s="20"/>
      <c r="H9610" s="19"/>
    </row>
    <row r="9611">
      <c r="A9611" s="9"/>
      <c r="B9611" s="15"/>
      <c r="C9611" s="9"/>
      <c r="D9611" s="15"/>
      <c r="E9611" s="16"/>
      <c r="F9611" s="19"/>
      <c r="G9611" s="20"/>
      <c r="H9611" s="19"/>
    </row>
    <row r="9612">
      <c r="A9612" s="9"/>
      <c r="B9612" s="15"/>
      <c r="C9612" s="9"/>
      <c r="D9612" s="15"/>
      <c r="E9612" s="16"/>
      <c r="F9612" s="19"/>
      <c r="G9612" s="20"/>
      <c r="H9612" s="19"/>
    </row>
    <row r="9613">
      <c r="A9613" s="9"/>
      <c r="B9613" s="15"/>
      <c r="C9613" s="9"/>
      <c r="D9613" s="15"/>
      <c r="E9613" s="16"/>
      <c r="F9613" s="19"/>
      <c r="G9613" s="20"/>
      <c r="H9613" s="19"/>
    </row>
    <row r="9614">
      <c r="A9614" s="9"/>
      <c r="B9614" s="15"/>
      <c r="C9614" s="9"/>
      <c r="D9614" s="15"/>
      <c r="E9614" s="16"/>
      <c r="F9614" s="19"/>
      <c r="G9614" s="20"/>
      <c r="H9614" s="19"/>
    </row>
    <row r="9615">
      <c r="A9615" s="9"/>
      <c r="B9615" s="15"/>
      <c r="C9615" s="9"/>
      <c r="D9615" s="15"/>
      <c r="E9615" s="16"/>
      <c r="F9615" s="19"/>
      <c r="G9615" s="20"/>
      <c r="H9615" s="19"/>
    </row>
    <row r="9616">
      <c r="A9616" s="9"/>
      <c r="B9616" s="15"/>
      <c r="C9616" s="9"/>
      <c r="D9616" s="15"/>
      <c r="E9616" s="16"/>
      <c r="F9616" s="19"/>
      <c r="G9616" s="20"/>
      <c r="H9616" s="19"/>
    </row>
    <row r="9617">
      <c r="A9617" s="9"/>
      <c r="B9617" s="15"/>
      <c r="C9617" s="9"/>
      <c r="D9617" s="15"/>
      <c r="E9617" s="16"/>
      <c r="F9617" s="19"/>
      <c r="G9617" s="20"/>
      <c r="H9617" s="19"/>
    </row>
    <row r="9618">
      <c r="A9618" s="9"/>
      <c r="B9618" s="15"/>
      <c r="C9618" s="9"/>
      <c r="D9618" s="15"/>
      <c r="E9618" s="16"/>
      <c r="F9618" s="19"/>
      <c r="G9618" s="20"/>
      <c r="H9618" s="19"/>
    </row>
    <row r="9619">
      <c r="A9619" s="9"/>
      <c r="B9619" s="15"/>
      <c r="C9619" s="9"/>
      <c r="D9619" s="15"/>
      <c r="E9619" s="16"/>
      <c r="F9619" s="19"/>
      <c r="G9619" s="20"/>
      <c r="H9619" s="19"/>
    </row>
    <row r="9620">
      <c r="A9620" s="9"/>
      <c r="B9620" s="15"/>
      <c r="C9620" s="9"/>
      <c r="D9620" s="15"/>
      <c r="E9620" s="16"/>
      <c r="F9620" s="19"/>
      <c r="G9620" s="20"/>
      <c r="H9620" s="19"/>
    </row>
    <row r="9621">
      <c r="A9621" s="9"/>
      <c r="B9621" s="15"/>
      <c r="C9621" s="9"/>
      <c r="D9621" s="15"/>
      <c r="E9621" s="16"/>
      <c r="F9621" s="19"/>
      <c r="G9621" s="20"/>
      <c r="H9621" s="19"/>
    </row>
    <row r="9622">
      <c r="A9622" s="9"/>
      <c r="B9622" s="15"/>
      <c r="C9622" s="9"/>
      <c r="D9622" s="15"/>
      <c r="E9622" s="16"/>
      <c r="F9622" s="19"/>
      <c r="G9622" s="20"/>
      <c r="H9622" s="19"/>
    </row>
    <row r="9623">
      <c r="A9623" s="9"/>
      <c r="B9623" s="15"/>
      <c r="C9623" s="9"/>
      <c r="D9623" s="15"/>
      <c r="E9623" s="16"/>
      <c r="F9623" s="19"/>
      <c r="G9623" s="20"/>
      <c r="H9623" s="19"/>
    </row>
    <row r="9624">
      <c r="A9624" s="9"/>
      <c r="B9624" s="15"/>
      <c r="C9624" s="9"/>
      <c r="D9624" s="15"/>
      <c r="E9624" s="16"/>
      <c r="F9624" s="19"/>
      <c r="G9624" s="20"/>
      <c r="H9624" s="19"/>
    </row>
    <row r="9625">
      <c r="A9625" s="9"/>
      <c r="B9625" s="15"/>
      <c r="C9625" s="9"/>
      <c r="D9625" s="15"/>
      <c r="E9625" s="16"/>
      <c r="F9625" s="19"/>
      <c r="G9625" s="20"/>
      <c r="H9625" s="19"/>
    </row>
    <row r="9626">
      <c r="A9626" s="9"/>
      <c r="B9626" s="15"/>
      <c r="C9626" s="9"/>
      <c r="D9626" s="15"/>
      <c r="E9626" s="16"/>
      <c r="F9626" s="19"/>
      <c r="G9626" s="20"/>
      <c r="H9626" s="19"/>
    </row>
    <row r="9627">
      <c r="A9627" s="9"/>
      <c r="B9627" s="15"/>
      <c r="C9627" s="9"/>
      <c r="D9627" s="15"/>
      <c r="E9627" s="16"/>
      <c r="F9627" s="19"/>
      <c r="G9627" s="20"/>
      <c r="H9627" s="19"/>
    </row>
    <row r="9628">
      <c r="A9628" s="9"/>
      <c r="B9628" s="15"/>
      <c r="C9628" s="9"/>
      <c r="D9628" s="15"/>
      <c r="E9628" s="16"/>
      <c r="F9628" s="19"/>
      <c r="G9628" s="20"/>
      <c r="H9628" s="19"/>
    </row>
    <row r="9629">
      <c r="A9629" s="9"/>
      <c r="B9629" s="15"/>
      <c r="C9629" s="9"/>
      <c r="D9629" s="15"/>
      <c r="E9629" s="16"/>
      <c r="F9629" s="19"/>
      <c r="G9629" s="20"/>
      <c r="H9629" s="19"/>
    </row>
    <row r="9630">
      <c r="A9630" s="9"/>
      <c r="B9630" s="15"/>
      <c r="C9630" s="9"/>
      <c r="D9630" s="15"/>
      <c r="E9630" s="16"/>
      <c r="F9630" s="19"/>
      <c r="G9630" s="20"/>
      <c r="H9630" s="19"/>
    </row>
    <row r="9631">
      <c r="A9631" s="9"/>
      <c r="B9631" s="15"/>
      <c r="C9631" s="9"/>
      <c r="D9631" s="15"/>
      <c r="E9631" s="16"/>
      <c r="F9631" s="19"/>
      <c r="G9631" s="20"/>
      <c r="H9631" s="19"/>
    </row>
    <row r="9632">
      <c r="A9632" s="9"/>
      <c r="B9632" s="15"/>
      <c r="C9632" s="9"/>
      <c r="D9632" s="15"/>
      <c r="E9632" s="16"/>
      <c r="F9632" s="19"/>
      <c r="G9632" s="20"/>
      <c r="H9632" s="19"/>
    </row>
    <row r="9633">
      <c r="A9633" s="9"/>
      <c r="B9633" s="15"/>
      <c r="C9633" s="9"/>
      <c r="D9633" s="15"/>
      <c r="E9633" s="16"/>
      <c r="F9633" s="19"/>
      <c r="G9633" s="20"/>
      <c r="H9633" s="19"/>
    </row>
    <row r="9634">
      <c r="A9634" s="9"/>
      <c r="B9634" s="15"/>
      <c r="C9634" s="9"/>
      <c r="D9634" s="15"/>
      <c r="E9634" s="16"/>
      <c r="F9634" s="19"/>
      <c r="G9634" s="20"/>
      <c r="H9634" s="19"/>
    </row>
    <row r="9635">
      <c r="A9635" s="9"/>
      <c r="B9635" s="15"/>
      <c r="C9635" s="9"/>
      <c r="D9635" s="15"/>
      <c r="E9635" s="16"/>
      <c r="F9635" s="19"/>
      <c r="G9635" s="20"/>
      <c r="H9635" s="19"/>
    </row>
    <row r="9636">
      <c r="A9636" s="9"/>
      <c r="B9636" s="15"/>
      <c r="C9636" s="9"/>
      <c r="D9636" s="15"/>
      <c r="E9636" s="16"/>
      <c r="F9636" s="19"/>
      <c r="G9636" s="20"/>
      <c r="H9636" s="19"/>
    </row>
    <row r="9637">
      <c r="A9637" s="9"/>
      <c r="B9637" s="15"/>
      <c r="C9637" s="9"/>
      <c r="D9637" s="15"/>
      <c r="E9637" s="16"/>
      <c r="F9637" s="19"/>
      <c r="G9637" s="20"/>
      <c r="H9637" s="19"/>
    </row>
    <row r="9638">
      <c r="A9638" s="9"/>
      <c r="B9638" s="15"/>
      <c r="C9638" s="9"/>
      <c r="D9638" s="15"/>
      <c r="E9638" s="16"/>
      <c r="F9638" s="19"/>
      <c r="G9638" s="20"/>
      <c r="H9638" s="19"/>
    </row>
    <row r="9639">
      <c r="A9639" s="9"/>
      <c r="B9639" s="15"/>
      <c r="C9639" s="9"/>
      <c r="D9639" s="15"/>
      <c r="E9639" s="16"/>
      <c r="F9639" s="19"/>
      <c r="G9639" s="20"/>
      <c r="H9639" s="19"/>
    </row>
    <row r="9640">
      <c r="A9640" s="9"/>
      <c r="B9640" s="15"/>
      <c r="C9640" s="9"/>
      <c r="D9640" s="15"/>
      <c r="E9640" s="16"/>
      <c r="F9640" s="19"/>
      <c r="G9640" s="20"/>
      <c r="H9640" s="19"/>
    </row>
    <row r="9641">
      <c r="A9641" s="9"/>
      <c r="B9641" s="15"/>
      <c r="C9641" s="9"/>
      <c r="D9641" s="15"/>
      <c r="E9641" s="16"/>
      <c r="F9641" s="19"/>
      <c r="G9641" s="20"/>
      <c r="H9641" s="19"/>
    </row>
    <row r="9642">
      <c r="A9642" s="9"/>
      <c r="B9642" s="15"/>
      <c r="C9642" s="9"/>
      <c r="D9642" s="15"/>
      <c r="E9642" s="16"/>
      <c r="F9642" s="19"/>
      <c r="G9642" s="20"/>
      <c r="H9642" s="19"/>
    </row>
    <row r="9643">
      <c r="A9643" s="9"/>
      <c r="B9643" s="15"/>
      <c r="C9643" s="9"/>
      <c r="D9643" s="15"/>
      <c r="E9643" s="16"/>
      <c r="F9643" s="19"/>
      <c r="G9643" s="20"/>
      <c r="H9643" s="19"/>
    </row>
    <row r="9644">
      <c r="A9644" s="9"/>
      <c r="B9644" s="15"/>
      <c r="C9644" s="9"/>
      <c r="D9644" s="15"/>
      <c r="E9644" s="16"/>
      <c r="F9644" s="19"/>
      <c r="G9644" s="20"/>
      <c r="H9644" s="19"/>
    </row>
    <row r="9645">
      <c r="A9645" s="9"/>
      <c r="B9645" s="15"/>
      <c r="C9645" s="9"/>
      <c r="D9645" s="15"/>
      <c r="E9645" s="16"/>
      <c r="F9645" s="19"/>
      <c r="G9645" s="20"/>
      <c r="H9645" s="19"/>
    </row>
    <row r="9646">
      <c r="A9646" s="9"/>
      <c r="B9646" s="15"/>
      <c r="C9646" s="9"/>
      <c r="D9646" s="15"/>
      <c r="E9646" s="16"/>
      <c r="F9646" s="19"/>
      <c r="G9646" s="20"/>
      <c r="H9646" s="19"/>
    </row>
    <row r="9647">
      <c r="A9647" s="9"/>
      <c r="B9647" s="15"/>
      <c r="C9647" s="9"/>
      <c r="D9647" s="15"/>
      <c r="E9647" s="16"/>
      <c r="F9647" s="19"/>
      <c r="G9647" s="20"/>
      <c r="H9647" s="19"/>
    </row>
    <row r="9648">
      <c r="A9648" s="9"/>
      <c r="B9648" s="15"/>
      <c r="C9648" s="9"/>
      <c r="D9648" s="15"/>
      <c r="E9648" s="16"/>
      <c r="F9648" s="19"/>
      <c r="G9648" s="20"/>
      <c r="H9648" s="19"/>
    </row>
    <row r="9649">
      <c r="A9649" s="9"/>
      <c r="B9649" s="15"/>
      <c r="C9649" s="9"/>
      <c r="D9649" s="15"/>
      <c r="E9649" s="16"/>
      <c r="F9649" s="19"/>
      <c r="G9649" s="20"/>
      <c r="H9649" s="19"/>
    </row>
    <row r="9650">
      <c r="A9650" s="9"/>
      <c r="B9650" s="15"/>
      <c r="C9650" s="9"/>
      <c r="D9650" s="15"/>
      <c r="E9650" s="16"/>
      <c r="F9650" s="19"/>
      <c r="G9650" s="20"/>
      <c r="H9650" s="19"/>
    </row>
    <row r="9651">
      <c r="A9651" s="9"/>
      <c r="B9651" s="15"/>
      <c r="C9651" s="9"/>
      <c r="D9651" s="15"/>
      <c r="E9651" s="16"/>
      <c r="F9651" s="19"/>
      <c r="G9651" s="20"/>
      <c r="H9651" s="19"/>
    </row>
    <row r="9652">
      <c r="A9652" s="9"/>
      <c r="B9652" s="15"/>
      <c r="C9652" s="9"/>
      <c r="D9652" s="15"/>
      <c r="E9652" s="16"/>
      <c r="F9652" s="19"/>
      <c r="G9652" s="20"/>
      <c r="H9652" s="19"/>
    </row>
    <row r="9653">
      <c r="A9653" s="9"/>
      <c r="B9653" s="15"/>
      <c r="C9653" s="9"/>
      <c r="D9653" s="15"/>
      <c r="E9653" s="16"/>
      <c r="F9653" s="19"/>
      <c r="G9653" s="20"/>
      <c r="H9653" s="19"/>
    </row>
    <row r="9654">
      <c r="A9654" s="9"/>
      <c r="B9654" s="15"/>
      <c r="C9654" s="9"/>
      <c r="D9654" s="15"/>
      <c r="E9654" s="16"/>
      <c r="F9654" s="19"/>
      <c r="G9654" s="20"/>
      <c r="H9654" s="19"/>
    </row>
    <row r="9655">
      <c r="A9655" s="9"/>
      <c r="B9655" s="15"/>
      <c r="C9655" s="9"/>
      <c r="D9655" s="15"/>
      <c r="E9655" s="16"/>
      <c r="F9655" s="19"/>
      <c r="G9655" s="20"/>
      <c r="H9655" s="19"/>
    </row>
    <row r="9656">
      <c r="A9656" s="9"/>
      <c r="B9656" s="15"/>
      <c r="C9656" s="9"/>
      <c r="D9656" s="15"/>
      <c r="E9656" s="16"/>
      <c r="F9656" s="19"/>
      <c r="G9656" s="20"/>
      <c r="H9656" s="19"/>
    </row>
    <row r="9657">
      <c r="A9657" s="9"/>
      <c r="B9657" s="15"/>
      <c r="C9657" s="9"/>
      <c r="D9657" s="15"/>
      <c r="E9657" s="16"/>
      <c r="F9657" s="19"/>
      <c r="G9657" s="20"/>
      <c r="H9657" s="19"/>
    </row>
    <row r="9658">
      <c r="A9658" s="9"/>
      <c r="B9658" s="15"/>
      <c r="C9658" s="9"/>
      <c r="D9658" s="15"/>
      <c r="E9658" s="16"/>
      <c r="F9658" s="19"/>
      <c r="G9658" s="20"/>
      <c r="H9658" s="19"/>
    </row>
    <row r="9659">
      <c r="A9659" s="9"/>
      <c r="B9659" s="15"/>
      <c r="C9659" s="9"/>
      <c r="D9659" s="15"/>
      <c r="E9659" s="16"/>
      <c r="F9659" s="19"/>
      <c r="G9659" s="20"/>
      <c r="H9659" s="19"/>
    </row>
    <row r="9660">
      <c r="A9660" s="9"/>
      <c r="B9660" s="15"/>
      <c r="C9660" s="9"/>
      <c r="D9660" s="15"/>
      <c r="E9660" s="16"/>
      <c r="F9660" s="19"/>
      <c r="G9660" s="20"/>
      <c r="H9660" s="19"/>
    </row>
    <row r="9661">
      <c r="A9661" s="9"/>
      <c r="B9661" s="15"/>
      <c r="C9661" s="9"/>
      <c r="D9661" s="15"/>
      <c r="E9661" s="16"/>
      <c r="F9661" s="19"/>
      <c r="G9661" s="20"/>
      <c r="H9661" s="19"/>
    </row>
    <row r="9662">
      <c r="A9662" s="9"/>
      <c r="B9662" s="15"/>
      <c r="C9662" s="9"/>
      <c r="D9662" s="15"/>
      <c r="E9662" s="16"/>
      <c r="F9662" s="19"/>
      <c r="G9662" s="20"/>
      <c r="H9662" s="19"/>
    </row>
    <row r="9663">
      <c r="A9663" s="9"/>
      <c r="B9663" s="15"/>
      <c r="C9663" s="9"/>
      <c r="D9663" s="15"/>
      <c r="E9663" s="16"/>
      <c r="F9663" s="19"/>
      <c r="G9663" s="20"/>
      <c r="H9663" s="19"/>
    </row>
    <row r="9664">
      <c r="A9664" s="9"/>
      <c r="B9664" s="15"/>
      <c r="C9664" s="9"/>
      <c r="D9664" s="15"/>
      <c r="E9664" s="16"/>
      <c r="F9664" s="19"/>
      <c r="G9664" s="20"/>
      <c r="H9664" s="19"/>
    </row>
    <row r="9665">
      <c r="A9665" s="9"/>
      <c r="B9665" s="15"/>
      <c r="C9665" s="9"/>
      <c r="D9665" s="15"/>
      <c r="E9665" s="16"/>
      <c r="F9665" s="19"/>
      <c r="G9665" s="20"/>
      <c r="H9665" s="19"/>
    </row>
    <row r="9666">
      <c r="A9666" s="9"/>
      <c r="B9666" s="15"/>
      <c r="C9666" s="9"/>
      <c r="D9666" s="15"/>
      <c r="E9666" s="16"/>
      <c r="F9666" s="19"/>
      <c r="G9666" s="20"/>
      <c r="H9666" s="19"/>
    </row>
    <row r="9667">
      <c r="A9667" s="9"/>
      <c r="B9667" s="15"/>
      <c r="C9667" s="9"/>
      <c r="D9667" s="15"/>
      <c r="E9667" s="16"/>
      <c r="F9667" s="19"/>
      <c r="G9667" s="20"/>
      <c r="H9667" s="19"/>
    </row>
    <row r="9668">
      <c r="A9668" s="9"/>
      <c r="B9668" s="15"/>
      <c r="C9668" s="9"/>
      <c r="D9668" s="15"/>
      <c r="E9668" s="16"/>
      <c r="F9668" s="19"/>
      <c r="G9668" s="20"/>
      <c r="H9668" s="19"/>
    </row>
    <row r="9669">
      <c r="A9669" s="9"/>
      <c r="B9669" s="15"/>
      <c r="C9669" s="9"/>
      <c r="D9669" s="15"/>
      <c r="E9669" s="16"/>
      <c r="F9669" s="19"/>
      <c r="G9669" s="20"/>
      <c r="H9669" s="19"/>
    </row>
    <row r="9670">
      <c r="A9670" s="9"/>
      <c r="B9670" s="15"/>
      <c r="C9670" s="9"/>
      <c r="D9670" s="15"/>
      <c r="E9670" s="16"/>
      <c r="F9670" s="19"/>
      <c r="G9670" s="20"/>
      <c r="H9670" s="19"/>
    </row>
    <row r="9671">
      <c r="A9671" s="9"/>
      <c r="B9671" s="15"/>
      <c r="C9671" s="9"/>
      <c r="D9671" s="15"/>
      <c r="E9671" s="16"/>
      <c r="F9671" s="19"/>
      <c r="G9671" s="20"/>
      <c r="H9671" s="19"/>
    </row>
    <row r="9672">
      <c r="A9672" s="9"/>
      <c r="B9672" s="15"/>
      <c r="C9672" s="9"/>
      <c r="D9672" s="15"/>
      <c r="E9672" s="16"/>
      <c r="F9672" s="19"/>
      <c r="G9672" s="20"/>
      <c r="H9672" s="19"/>
    </row>
    <row r="9673">
      <c r="A9673" s="9"/>
      <c r="B9673" s="15"/>
      <c r="C9673" s="9"/>
      <c r="D9673" s="15"/>
      <c r="E9673" s="16"/>
      <c r="F9673" s="19"/>
      <c r="G9673" s="20"/>
      <c r="H9673" s="19"/>
    </row>
    <row r="9674">
      <c r="A9674" s="9"/>
      <c r="B9674" s="15"/>
      <c r="C9674" s="9"/>
      <c r="D9674" s="15"/>
      <c r="E9674" s="16"/>
      <c r="F9674" s="19"/>
      <c r="G9674" s="20"/>
      <c r="H9674" s="19"/>
    </row>
    <row r="9675">
      <c r="A9675" s="9"/>
      <c r="B9675" s="15"/>
      <c r="C9675" s="9"/>
      <c r="D9675" s="15"/>
      <c r="E9675" s="16"/>
      <c r="F9675" s="19"/>
      <c r="G9675" s="20"/>
      <c r="H9675" s="19"/>
    </row>
    <row r="9676">
      <c r="A9676" s="9"/>
      <c r="B9676" s="15"/>
      <c r="C9676" s="9"/>
      <c r="D9676" s="15"/>
      <c r="E9676" s="16"/>
      <c r="F9676" s="19"/>
      <c r="G9676" s="20"/>
      <c r="H9676" s="19"/>
    </row>
    <row r="9677">
      <c r="A9677" s="9"/>
      <c r="B9677" s="15"/>
      <c r="C9677" s="9"/>
      <c r="D9677" s="15"/>
      <c r="E9677" s="16"/>
      <c r="F9677" s="19"/>
      <c r="G9677" s="20"/>
      <c r="H9677" s="19"/>
    </row>
    <row r="9678">
      <c r="A9678" s="9"/>
      <c r="B9678" s="15"/>
      <c r="C9678" s="9"/>
      <c r="D9678" s="15"/>
      <c r="E9678" s="16"/>
      <c r="F9678" s="19"/>
      <c r="G9678" s="20"/>
      <c r="H9678" s="19"/>
    </row>
    <row r="9679">
      <c r="A9679" s="9"/>
      <c r="B9679" s="15"/>
      <c r="C9679" s="9"/>
      <c r="D9679" s="15"/>
      <c r="E9679" s="16"/>
      <c r="F9679" s="19"/>
      <c r="G9679" s="20"/>
      <c r="H9679" s="19"/>
    </row>
    <row r="9680">
      <c r="A9680" s="9"/>
      <c r="B9680" s="15"/>
      <c r="C9680" s="9"/>
      <c r="D9680" s="15"/>
      <c r="E9680" s="16"/>
      <c r="F9680" s="19"/>
      <c r="G9680" s="20"/>
      <c r="H9680" s="19"/>
    </row>
    <row r="9681">
      <c r="A9681" s="9"/>
      <c r="B9681" s="15"/>
      <c r="C9681" s="9"/>
      <c r="D9681" s="15"/>
      <c r="E9681" s="16"/>
      <c r="F9681" s="19"/>
      <c r="G9681" s="20"/>
      <c r="H9681" s="19"/>
    </row>
    <row r="9682">
      <c r="A9682" s="9"/>
      <c r="B9682" s="15"/>
      <c r="C9682" s="9"/>
      <c r="D9682" s="15"/>
      <c r="E9682" s="16"/>
      <c r="F9682" s="19"/>
      <c r="G9682" s="20"/>
      <c r="H9682" s="19"/>
    </row>
    <row r="9683">
      <c r="A9683" s="9"/>
      <c r="B9683" s="15"/>
      <c r="C9683" s="9"/>
      <c r="D9683" s="15"/>
      <c r="E9683" s="16"/>
      <c r="F9683" s="19"/>
      <c r="G9683" s="20"/>
      <c r="H9683" s="19"/>
    </row>
    <row r="9684">
      <c r="A9684" s="9"/>
      <c r="B9684" s="15"/>
      <c r="C9684" s="9"/>
      <c r="D9684" s="15"/>
      <c r="E9684" s="16"/>
      <c r="F9684" s="19"/>
      <c r="G9684" s="20"/>
      <c r="H9684" s="19"/>
    </row>
    <row r="9685">
      <c r="A9685" s="9"/>
      <c r="B9685" s="15"/>
      <c r="C9685" s="9"/>
      <c r="D9685" s="15"/>
      <c r="E9685" s="16"/>
      <c r="F9685" s="19"/>
      <c r="G9685" s="20"/>
      <c r="H9685" s="19"/>
    </row>
    <row r="9686">
      <c r="A9686" s="9"/>
      <c r="B9686" s="15"/>
      <c r="C9686" s="9"/>
      <c r="D9686" s="15"/>
      <c r="E9686" s="16"/>
      <c r="F9686" s="19"/>
      <c r="G9686" s="20"/>
      <c r="H9686" s="19"/>
    </row>
    <row r="9687">
      <c r="A9687" s="9"/>
      <c r="B9687" s="15"/>
      <c r="C9687" s="9"/>
      <c r="D9687" s="15"/>
      <c r="E9687" s="16"/>
      <c r="F9687" s="19"/>
      <c r="G9687" s="20"/>
      <c r="H9687" s="19"/>
    </row>
    <row r="9688">
      <c r="A9688" s="9"/>
      <c r="B9688" s="15"/>
      <c r="C9688" s="9"/>
      <c r="D9688" s="15"/>
      <c r="E9688" s="16"/>
      <c r="F9688" s="19"/>
      <c r="G9688" s="20"/>
      <c r="H9688" s="19"/>
    </row>
    <row r="9689">
      <c r="A9689" s="9"/>
      <c r="B9689" s="15"/>
      <c r="C9689" s="9"/>
      <c r="D9689" s="15"/>
      <c r="E9689" s="16"/>
      <c r="F9689" s="19"/>
      <c r="G9689" s="20"/>
      <c r="H9689" s="19"/>
    </row>
    <row r="9690">
      <c r="A9690" s="9"/>
      <c r="B9690" s="15"/>
      <c r="C9690" s="9"/>
      <c r="D9690" s="15"/>
      <c r="E9690" s="16"/>
      <c r="F9690" s="19"/>
      <c r="G9690" s="20"/>
      <c r="H9690" s="19"/>
    </row>
    <row r="9691">
      <c r="A9691" s="9"/>
      <c r="B9691" s="15"/>
      <c r="C9691" s="9"/>
      <c r="D9691" s="15"/>
      <c r="E9691" s="16"/>
      <c r="F9691" s="19"/>
      <c r="G9691" s="20"/>
      <c r="H9691" s="19"/>
    </row>
    <row r="9692">
      <c r="A9692" s="9"/>
      <c r="B9692" s="15"/>
      <c r="C9692" s="9"/>
      <c r="D9692" s="15"/>
      <c r="E9692" s="16"/>
      <c r="F9692" s="19"/>
      <c r="G9692" s="20"/>
      <c r="H9692" s="19"/>
    </row>
    <row r="9693">
      <c r="A9693" s="9"/>
      <c r="B9693" s="15"/>
      <c r="C9693" s="9"/>
      <c r="D9693" s="15"/>
      <c r="E9693" s="16"/>
      <c r="F9693" s="19"/>
      <c r="G9693" s="20"/>
      <c r="H9693" s="19"/>
    </row>
    <row r="9694">
      <c r="A9694" s="9"/>
      <c r="B9694" s="15"/>
      <c r="C9694" s="9"/>
      <c r="D9694" s="15"/>
      <c r="E9694" s="16"/>
      <c r="F9694" s="19"/>
      <c r="G9694" s="20"/>
      <c r="H9694" s="19"/>
    </row>
    <row r="9695">
      <c r="A9695" s="9"/>
      <c r="B9695" s="15"/>
      <c r="C9695" s="9"/>
      <c r="D9695" s="15"/>
      <c r="E9695" s="16"/>
      <c r="F9695" s="19"/>
      <c r="G9695" s="20"/>
      <c r="H9695" s="19"/>
    </row>
    <row r="9696">
      <c r="A9696" s="9"/>
      <c r="B9696" s="15"/>
      <c r="C9696" s="9"/>
      <c r="D9696" s="15"/>
      <c r="E9696" s="16"/>
      <c r="F9696" s="19"/>
      <c r="G9696" s="20"/>
      <c r="H9696" s="19"/>
    </row>
    <row r="9697">
      <c r="A9697" s="9"/>
      <c r="B9697" s="15"/>
      <c r="C9697" s="9"/>
      <c r="D9697" s="15"/>
      <c r="E9697" s="16"/>
      <c r="F9697" s="19"/>
      <c r="G9697" s="20"/>
      <c r="H9697" s="19"/>
    </row>
    <row r="9698">
      <c r="A9698" s="9"/>
      <c r="B9698" s="15"/>
      <c r="C9698" s="9"/>
      <c r="D9698" s="15"/>
      <c r="E9698" s="16"/>
      <c r="F9698" s="19"/>
      <c r="G9698" s="20"/>
      <c r="H9698" s="19"/>
    </row>
    <row r="9699">
      <c r="A9699" s="9"/>
      <c r="B9699" s="15"/>
      <c r="C9699" s="9"/>
      <c r="D9699" s="15"/>
      <c r="E9699" s="16"/>
      <c r="F9699" s="19"/>
      <c r="G9699" s="20"/>
      <c r="H9699" s="19"/>
    </row>
    <row r="9700">
      <c r="A9700" s="9"/>
      <c r="B9700" s="15"/>
      <c r="C9700" s="9"/>
      <c r="D9700" s="15"/>
      <c r="E9700" s="16"/>
      <c r="F9700" s="19"/>
      <c r="G9700" s="20"/>
      <c r="H9700" s="19"/>
    </row>
    <row r="9701">
      <c r="A9701" s="9"/>
      <c r="B9701" s="15"/>
      <c r="C9701" s="9"/>
      <c r="D9701" s="15"/>
      <c r="E9701" s="16"/>
      <c r="F9701" s="19"/>
      <c r="G9701" s="20"/>
      <c r="H9701" s="19"/>
    </row>
    <row r="9702">
      <c r="A9702" s="9"/>
      <c r="B9702" s="15"/>
      <c r="C9702" s="9"/>
      <c r="D9702" s="15"/>
      <c r="E9702" s="16"/>
      <c r="F9702" s="19"/>
      <c r="G9702" s="20"/>
      <c r="H9702" s="19"/>
    </row>
    <row r="9703">
      <c r="A9703" s="9"/>
      <c r="B9703" s="15"/>
      <c r="C9703" s="9"/>
      <c r="D9703" s="15"/>
      <c r="E9703" s="16"/>
      <c r="F9703" s="19"/>
      <c r="G9703" s="20"/>
      <c r="H9703" s="19"/>
    </row>
    <row r="9704">
      <c r="A9704" s="9"/>
      <c r="B9704" s="15"/>
      <c r="C9704" s="9"/>
      <c r="D9704" s="15"/>
      <c r="E9704" s="16"/>
      <c r="F9704" s="19"/>
      <c r="G9704" s="20"/>
      <c r="H9704" s="19"/>
    </row>
    <row r="9705">
      <c r="A9705" s="9"/>
      <c r="B9705" s="15"/>
      <c r="C9705" s="9"/>
      <c r="D9705" s="15"/>
      <c r="E9705" s="16"/>
      <c r="F9705" s="19"/>
      <c r="G9705" s="20"/>
      <c r="H9705" s="19"/>
    </row>
    <row r="9706">
      <c r="A9706" s="9"/>
      <c r="B9706" s="15"/>
      <c r="C9706" s="9"/>
      <c r="D9706" s="15"/>
      <c r="E9706" s="16"/>
      <c r="F9706" s="19"/>
      <c r="G9706" s="20"/>
      <c r="H9706" s="19"/>
    </row>
    <row r="9707">
      <c r="A9707" s="9"/>
      <c r="B9707" s="15"/>
      <c r="C9707" s="9"/>
      <c r="D9707" s="15"/>
      <c r="E9707" s="16"/>
      <c r="F9707" s="19"/>
      <c r="G9707" s="20"/>
      <c r="H9707" s="19"/>
    </row>
    <row r="9708">
      <c r="A9708" s="9"/>
      <c r="B9708" s="15"/>
      <c r="C9708" s="9"/>
      <c r="D9708" s="15"/>
      <c r="E9708" s="16"/>
      <c r="F9708" s="19"/>
      <c r="G9708" s="20"/>
      <c r="H9708" s="19"/>
    </row>
    <row r="9709">
      <c r="A9709" s="9"/>
      <c r="B9709" s="15"/>
      <c r="C9709" s="9"/>
      <c r="D9709" s="15"/>
      <c r="E9709" s="16"/>
      <c r="F9709" s="19"/>
      <c r="G9709" s="20"/>
      <c r="H9709" s="19"/>
    </row>
    <row r="9710">
      <c r="A9710" s="9"/>
      <c r="B9710" s="15"/>
      <c r="C9710" s="9"/>
      <c r="D9710" s="15"/>
      <c r="E9710" s="16"/>
      <c r="F9710" s="19"/>
      <c r="G9710" s="20"/>
      <c r="H9710" s="19"/>
    </row>
    <row r="9711">
      <c r="A9711" s="9"/>
      <c r="B9711" s="15"/>
      <c r="C9711" s="9"/>
      <c r="D9711" s="15"/>
      <c r="E9711" s="16"/>
      <c r="F9711" s="19"/>
      <c r="G9711" s="20"/>
      <c r="H9711" s="19"/>
    </row>
    <row r="9712">
      <c r="A9712" s="9"/>
      <c r="B9712" s="15"/>
      <c r="C9712" s="9"/>
      <c r="D9712" s="15"/>
      <c r="E9712" s="16"/>
      <c r="F9712" s="19"/>
      <c r="G9712" s="20"/>
      <c r="H9712" s="19"/>
    </row>
    <row r="9713">
      <c r="A9713" s="9"/>
      <c r="B9713" s="15"/>
      <c r="C9713" s="9"/>
      <c r="D9713" s="15"/>
      <c r="E9713" s="16"/>
      <c r="F9713" s="19"/>
      <c r="G9713" s="20"/>
      <c r="H9713" s="19"/>
    </row>
    <row r="9714">
      <c r="A9714" s="9"/>
      <c r="B9714" s="15"/>
      <c r="C9714" s="9"/>
      <c r="D9714" s="15"/>
      <c r="E9714" s="16"/>
      <c r="F9714" s="19"/>
      <c r="G9714" s="20"/>
      <c r="H9714" s="19"/>
    </row>
    <row r="9715">
      <c r="A9715" s="9"/>
      <c r="B9715" s="15"/>
      <c r="C9715" s="9"/>
      <c r="D9715" s="15"/>
      <c r="E9715" s="16"/>
      <c r="F9715" s="19"/>
      <c r="G9715" s="20"/>
      <c r="H9715" s="19"/>
    </row>
    <row r="9716">
      <c r="A9716" s="9"/>
      <c r="B9716" s="15"/>
      <c r="C9716" s="9"/>
      <c r="D9716" s="15"/>
      <c r="E9716" s="16"/>
      <c r="F9716" s="19"/>
      <c r="G9716" s="20"/>
      <c r="H9716" s="19"/>
    </row>
    <row r="9717">
      <c r="A9717" s="9"/>
      <c r="B9717" s="15"/>
      <c r="C9717" s="9"/>
      <c r="D9717" s="15"/>
      <c r="E9717" s="16"/>
      <c r="F9717" s="19"/>
      <c r="G9717" s="20"/>
      <c r="H9717" s="19"/>
    </row>
    <row r="9718">
      <c r="A9718" s="9"/>
      <c r="B9718" s="15"/>
      <c r="C9718" s="9"/>
      <c r="D9718" s="15"/>
      <c r="E9718" s="16"/>
      <c r="F9718" s="19"/>
      <c r="G9718" s="20"/>
      <c r="H9718" s="19"/>
    </row>
    <row r="9719">
      <c r="A9719" s="9"/>
      <c r="B9719" s="15"/>
      <c r="C9719" s="9"/>
      <c r="D9719" s="15"/>
      <c r="E9719" s="16"/>
      <c r="F9719" s="19"/>
      <c r="G9719" s="20"/>
      <c r="H9719" s="19"/>
    </row>
    <row r="9720">
      <c r="A9720" s="9"/>
      <c r="B9720" s="15"/>
      <c r="C9720" s="9"/>
      <c r="D9720" s="15"/>
      <c r="E9720" s="16"/>
      <c r="F9720" s="19"/>
      <c r="G9720" s="20"/>
      <c r="H9720" s="19"/>
    </row>
    <row r="9721">
      <c r="A9721" s="9"/>
      <c r="B9721" s="15"/>
      <c r="C9721" s="9"/>
      <c r="D9721" s="15"/>
      <c r="E9721" s="16"/>
      <c r="F9721" s="19"/>
      <c r="G9721" s="20"/>
      <c r="H9721" s="19"/>
    </row>
    <row r="9722">
      <c r="A9722" s="9"/>
      <c r="B9722" s="15"/>
      <c r="C9722" s="9"/>
      <c r="D9722" s="15"/>
      <c r="E9722" s="16"/>
      <c r="F9722" s="19"/>
      <c r="G9722" s="20"/>
      <c r="H9722" s="19"/>
    </row>
    <row r="9723">
      <c r="A9723" s="9"/>
      <c r="B9723" s="15"/>
      <c r="C9723" s="9"/>
      <c r="D9723" s="15"/>
      <c r="E9723" s="16"/>
      <c r="F9723" s="19"/>
      <c r="G9723" s="20"/>
      <c r="H9723" s="19"/>
    </row>
    <row r="9724">
      <c r="A9724" s="9"/>
      <c r="B9724" s="15"/>
      <c r="C9724" s="9"/>
      <c r="D9724" s="15"/>
      <c r="E9724" s="16"/>
      <c r="F9724" s="19"/>
      <c r="G9724" s="20"/>
      <c r="H9724" s="19"/>
    </row>
    <row r="9725">
      <c r="A9725" s="9"/>
      <c r="B9725" s="15"/>
      <c r="C9725" s="9"/>
      <c r="D9725" s="15"/>
      <c r="E9725" s="16"/>
      <c r="F9725" s="19"/>
      <c r="G9725" s="20"/>
      <c r="H9725" s="19"/>
    </row>
    <row r="9726">
      <c r="A9726" s="9"/>
      <c r="B9726" s="15"/>
      <c r="C9726" s="9"/>
      <c r="D9726" s="15"/>
      <c r="E9726" s="16"/>
      <c r="F9726" s="19"/>
      <c r="G9726" s="20"/>
      <c r="H9726" s="19"/>
    </row>
    <row r="9727">
      <c r="A9727" s="9"/>
      <c r="B9727" s="15"/>
      <c r="C9727" s="9"/>
      <c r="D9727" s="15"/>
      <c r="E9727" s="16"/>
      <c r="F9727" s="19"/>
      <c r="G9727" s="20"/>
      <c r="H9727" s="19"/>
    </row>
    <row r="9728">
      <c r="A9728" s="9"/>
      <c r="B9728" s="15"/>
      <c r="C9728" s="9"/>
      <c r="D9728" s="15"/>
      <c r="E9728" s="16"/>
      <c r="F9728" s="19"/>
      <c r="G9728" s="20"/>
      <c r="H9728" s="19"/>
    </row>
    <row r="9729">
      <c r="A9729" s="9"/>
      <c r="B9729" s="15"/>
      <c r="C9729" s="9"/>
      <c r="D9729" s="15"/>
      <c r="E9729" s="16"/>
      <c r="F9729" s="19"/>
      <c r="G9729" s="20"/>
      <c r="H9729" s="19"/>
    </row>
    <row r="9730">
      <c r="A9730" s="9"/>
      <c r="B9730" s="15"/>
      <c r="C9730" s="9"/>
      <c r="D9730" s="15"/>
      <c r="E9730" s="16"/>
      <c r="F9730" s="19"/>
      <c r="G9730" s="20"/>
      <c r="H9730" s="19"/>
    </row>
    <row r="9731">
      <c r="A9731" s="9"/>
      <c r="B9731" s="15"/>
      <c r="C9731" s="9"/>
      <c r="D9731" s="15"/>
      <c r="E9731" s="16"/>
      <c r="F9731" s="19"/>
      <c r="G9731" s="20"/>
      <c r="H9731" s="19"/>
    </row>
    <row r="9732">
      <c r="A9732" s="9"/>
      <c r="B9732" s="15"/>
      <c r="C9732" s="9"/>
      <c r="D9732" s="15"/>
      <c r="E9732" s="16"/>
      <c r="F9732" s="19"/>
      <c r="G9732" s="20"/>
      <c r="H9732" s="19"/>
    </row>
    <row r="9733">
      <c r="A9733" s="9"/>
      <c r="B9733" s="15"/>
      <c r="C9733" s="9"/>
      <c r="D9733" s="15"/>
      <c r="E9733" s="16"/>
      <c r="F9733" s="19"/>
      <c r="G9733" s="20"/>
      <c r="H9733" s="19"/>
    </row>
    <row r="9734">
      <c r="A9734" s="9"/>
      <c r="B9734" s="15"/>
      <c r="C9734" s="9"/>
      <c r="D9734" s="15"/>
      <c r="E9734" s="16"/>
      <c r="F9734" s="19"/>
      <c r="G9734" s="20"/>
      <c r="H9734" s="19"/>
    </row>
    <row r="9735">
      <c r="A9735" s="9"/>
      <c r="B9735" s="15"/>
      <c r="C9735" s="9"/>
      <c r="D9735" s="15"/>
      <c r="E9735" s="16"/>
      <c r="F9735" s="19"/>
      <c r="G9735" s="20"/>
      <c r="H9735" s="19"/>
    </row>
    <row r="9736">
      <c r="A9736" s="9"/>
      <c r="B9736" s="15"/>
      <c r="C9736" s="9"/>
      <c r="D9736" s="15"/>
      <c r="E9736" s="16"/>
      <c r="F9736" s="19"/>
      <c r="G9736" s="20"/>
      <c r="H9736" s="19"/>
    </row>
    <row r="9737">
      <c r="A9737" s="9"/>
      <c r="B9737" s="15"/>
      <c r="C9737" s="9"/>
      <c r="D9737" s="15"/>
      <c r="E9737" s="16"/>
      <c r="F9737" s="19"/>
      <c r="G9737" s="20"/>
      <c r="H9737" s="19"/>
    </row>
    <row r="9738">
      <c r="A9738" s="9"/>
      <c r="B9738" s="15"/>
      <c r="C9738" s="9"/>
      <c r="D9738" s="15"/>
      <c r="E9738" s="16"/>
      <c r="F9738" s="19"/>
      <c r="G9738" s="20"/>
      <c r="H9738" s="19"/>
    </row>
    <row r="9739">
      <c r="A9739" s="9"/>
      <c r="B9739" s="15"/>
      <c r="C9739" s="9"/>
      <c r="D9739" s="15"/>
      <c r="E9739" s="16"/>
      <c r="F9739" s="19"/>
      <c r="G9739" s="20"/>
      <c r="H9739" s="19"/>
    </row>
    <row r="9740">
      <c r="A9740" s="9"/>
      <c r="B9740" s="15"/>
      <c r="C9740" s="9"/>
      <c r="D9740" s="15"/>
      <c r="E9740" s="16"/>
      <c r="F9740" s="19"/>
      <c r="G9740" s="20"/>
      <c r="H9740" s="19"/>
    </row>
    <row r="9741">
      <c r="A9741" s="9"/>
      <c r="B9741" s="15"/>
      <c r="C9741" s="9"/>
      <c r="D9741" s="15"/>
      <c r="E9741" s="16"/>
      <c r="F9741" s="19"/>
      <c r="G9741" s="20"/>
      <c r="H9741" s="19"/>
    </row>
    <row r="9742">
      <c r="A9742" s="9"/>
      <c r="B9742" s="15"/>
      <c r="C9742" s="9"/>
      <c r="D9742" s="15"/>
      <c r="E9742" s="16"/>
      <c r="F9742" s="19"/>
      <c r="G9742" s="20"/>
      <c r="H9742" s="19"/>
    </row>
    <row r="9743">
      <c r="A9743" s="9"/>
      <c r="B9743" s="15"/>
      <c r="C9743" s="9"/>
      <c r="D9743" s="15"/>
      <c r="E9743" s="16"/>
      <c r="F9743" s="19"/>
      <c r="G9743" s="20"/>
      <c r="H9743" s="19"/>
    </row>
    <row r="9744">
      <c r="A9744" s="9"/>
      <c r="B9744" s="15"/>
      <c r="C9744" s="9"/>
      <c r="D9744" s="15"/>
      <c r="E9744" s="16"/>
      <c r="F9744" s="19"/>
      <c r="G9744" s="20"/>
      <c r="H9744" s="19"/>
    </row>
    <row r="9745">
      <c r="A9745" s="9"/>
      <c r="B9745" s="15"/>
      <c r="C9745" s="9"/>
      <c r="D9745" s="15"/>
      <c r="E9745" s="16"/>
      <c r="F9745" s="19"/>
      <c r="G9745" s="20"/>
      <c r="H9745" s="19"/>
    </row>
    <row r="9746">
      <c r="A9746" s="9"/>
      <c r="B9746" s="15"/>
      <c r="C9746" s="9"/>
      <c r="D9746" s="15"/>
      <c r="E9746" s="16"/>
      <c r="F9746" s="19"/>
      <c r="G9746" s="20"/>
      <c r="H9746" s="19"/>
    </row>
    <row r="9747">
      <c r="A9747" s="9"/>
      <c r="B9747" s="15"/>
      <c r="C9747" s="9"/>
      <c r="D9747" s="15"/>
      <c r="E9747" s="16"/>
      <c r="F9747" s="19"/>
      <c r="G9747" s="20"/>
      <c r="H9747" s="19"/>
    </row>
    <row r="9748">
      <c r="A9748" s="9"/>
      <c r="B9748" s="15"/>
      <c r="C9748" s="9"/>
      <c r="D9748" s="15"/>
      <c r="E9748" s="16"/>
      <c r="F9748" s="19"/>
      <c r="G9748" s="20"/>
      <c r="H9748" s="19"/>
    </row>
    <row r="9749">
      <c r="A9749" s="9"/>
      <c r="B9749" s="15"/>
      <c r="C9749" s="9"/>
      <c r="D9749" s="15"/>
      <c r="E9749" s="16"/>
      <c r="F9749" s="19"/>
      <c r="G9749" s="20"/>
      <c r="H9749" s="19"/>
    </row>
    <row r="9750">
      <c r="A9750" s="9"/>
      <c r="B9750" s="15"/>
      <c r="C9750" s="9"/>
      <c r="D9750" s="15"/>
      <c r="E9750" s="16"/>
      <c r="F9750" s="19"/>
      <c r="G9750" s="20"/>
      <c r="H9750" s="19"/>
    </row>
    <row r="9751">
      <c r="A9751" s="9"/>
      <c r="B9751" s="15"/>
      <c r="C9751" s="9"/>
      <c r="D9751" s="15"/>
      <c r="E9751" s="16"/>
      <c r="F9751" s="19"/>
      <c r="G9751" s="20"/>
      <c r="H9751" s="19"/>
    </row>
    <row r="9752">
      <c r="A9752" s="9"/>
      <c r="B9752" s="15"/>
      <c r="C9752" s="9"/>
      <c r="D9752" s="15"/>
      <c r="E9752" s="16"/>
      <c r="F9752" s="19"/>
      <c r="G9752" s="20"/>
      <c r="H9752" s="19"/>
    </row>
    <row r="9753">
      <c r="A9753" s="9"/>
      <c r="B9753" s="15"/>
      <c r="C9753" s="9"/>
      <c r="D9753" s="15"/>
      <c r="E9753" s="16"/>
      <c r="F9753" s="19"/>
      <c r="G9753" s="20"/>
      <c r="H9753" s="19"/>
    </row>
    <row r="9754">
      <c r="A9754" s="9"/>
      <c r="B9754" s="15"/>
      <c r="C9754" s="9"/>
      <c r="D9754" s="15"/>
      <c r="E9754" s="16"/>
      <c r="F9754" s="19"/>
      <c r="G9754" s="20"/>
      <c r="H9754" s="19"/>
    </row>
    <row r="9755">
      <c r="A9755" s="9"/>
      <c r="B9755" s="15"/>
      <c r="C9755" s="9"/>
      <c r="D9755" s="15"/>
      <c r="E9755" s="16"/>
      <c r="F9755" s="19"/>
      <c r="G9755" s="20"/>
      <c r="H9755" s="19"/>
    </row>
    <row r="9756">
      <c r="A9756" s="9"/>
      <c r="B9756" s="15"/>
      <c r="C9756" s="9"/>
      <c r="D9756" s="15"/>
      <c r="E9756" s="16"/>
      <c r="F9756" s="19"/>
      <c r="G9756" s="20"/>
      <c r="H9756" s="19"/>
    </row>
    <row r="9757">
      <c r="A9757" s="9"/>
      <c r="B9757" s="15"/>
      <c r="C9757" s="9"/>
      <c r="D9757" s="15"/>
      <c r="E9757" s="16"/>
      <c r="F9757" s="19"/>
      <c r="G9757" s="20"/>
      <c r="H9757" s="19"/>
    </row>
    <row r="9758">
      <c r="A9758" s="9"/>
      <c r="B9758" s="15"/>
      <c r="C9758" s="9"/>
      <c r="D9758" s="15"/>
      <c r="E9758" s="16"/>
      <c r="F9758" s="19"/>
      <c r="G9758" s="20"/>
      <c r="H9758" s="19"/>
    </row>
    <row r="9759">
      <c r="A9759" s="9"/>
      <c r="B9759" s="15"/>
      <c r="C9759" s="9"/>
      <c r="D9759" s="15"/>
      <c r="E9759" s="16"/>
      <c r="F9759" s="19"/>
      <c r="G9759" s="20"/>
      <c r="H9759" s="19"/>
    </row>
    <row r="9760">
      <c r="A9760" s="9"/>
      <c r="B9760" s="15"/>
      <c r="C9760" s="9"/>
      <c r="D9760" s="15"/>
      <c r="E9760" s="16"/>
      <c r="F9760" s="19"/>
      <c r="G9760" s="20"/>
      <c r="H9760" s="19"/>
    </row>
    <row r="9761">
      <c r="A9761" s="9"/>
      <c r="B9761" s="15"/>
      <c r="C9761" s="9"/>
      <c r="D9761" s="15"/>
      <c r="E9761" s="16"/>
      <c r="F9761" s="19"/>
      <c r="G9761" s="20"/>
      <c r="H9761" s="19"/>
    </row>
    <row r="9762">
      <c r="A9762" s="9"/>
      <c r="B9762" s="15"/>
      <c r="C9762" s="9"/>
      <c r="D9762" s="15"/>
      <c r="E9762" s="16"/>
      <c r="F9762" s="19"/>
      <c r="G9762" s="20"/>
      <c r="H9762" s="19"/>
    </row>
    <row r="9763">
      <c r="A9763" s="9"/>
      <c r="B9763" s="15"/>
      <c r="C9763" s="9"/>
      <c r="D9763" s="15"/>
      <c r="E9763" s="16"/>
      <c r="F9763" s="19"/>
      <c r="G9763" s="20"/>
      <c r="H9763" s="19"/>
    </row>
    <row r="9764">
      <c r="A9764" s="9"/>
      <c r="B9764" s="15"/>
      <c r="C9764" s="9"/>
      <c r="D9764" s="15"/>
      <c r="E9764" s="16"/>
      <c r="F9764" s="19"/>
      <c r="G9764" s="20"/>
      <c r="H9764" s="19"/>
    </row>
    <row r="9765">
      <c r="A9765" s="9"/>
      <c r="B9765" s="15"/>
      <c r="C9765" s="9"/>
      <c r="D9765" s="15"/>
      <c r="E9765" s="16"/>
      <c r="F9765" s="19"/>
      <c r="G9765" s="20"/>
      <c r="H9765" s="19"/>
    </row>
    <row r="9766">
      <c r="A9766" s="9"/>
      <c r="B9766" s="15"/>
      <c r="C9766" s="9"/>
      <c r="D9766" s="15"/>
      <c r="E9766" s="16"/>
      <c r="F9766" s="19"/>
      <c r="G9766" s="20"/>
      <c r="H9766" s="19"/>
    </row>
    <row r="9767">
      <c r="A9767" s="9"/>
      <c r="B9767" s="15"/>
      <c r="C9767" s="9"/>
      <c r="D9767" s="15"/>
      <c r="E9767" s="16"/>
      <c r="F9767" s="19"/>
      <c r="G9767" s="20"/>
      <c r="H9767" s="19"/>
    </row>
    <row r="9768">
      <c r="A9768" s="9"/>
      <c r="B9768" s="15"/>
      <c r="C9768" s="9"/>
      <c r="D9768" s="15"/>
      <c r="E9768" s="16"/>
      <c r="F9768" s="19"/>
      <c r="G9768" s="20"/>
      <c r="H9768" s="19"/>
    </row>
    <row r="9769">
      <c r="A9769" s="9"/>
      <c r="B9769" s="15"/>
      <c r="C9769" s="9"/>
      <c r="D9769" s="15"/>
      <c r="E9769" s="16"/>
      <c r="F9769" s="19"/>
      <c r="G9769" s="20"/>
      <c r="H9769" s="19"/>
    </row>
    <row r="9770">
      <c r="A9770" s="9"/>
      <c r="B9770" s="15"/>
      <c r="C9770" s="9"/>
      <c r="D9770" s="15"/>
      <c r="E9770" s="16"/>
      <c r="F9770" s="19"/>
      <c r="G9770" s="20"/>
      <c r="H9770" s="19"/>
    </row>
    <row r="9771">
      <c r="A9771" s="9"/>
      <c r="B9771" s="15"/>
      <c r="C9771" s="9"/>
      <c r="D9771" s="15"/>
      <c r="E9771" s="16"/>
      <c r="F9771" s="19"/>
      <c r="G9771" s="20"/>
      <c r="H9771" s="19"/>
    </row>
    <row r="9772">
      <c r="A9772" s="9"/>
      <c r="B9772" s="15"/>
      <c r="C9772" s="9"/>
      <c r="D9772" s="15"/>
      <c r="E9772" s="16"/>
      <c r="F9772" s="19"/>
      <c r="G9772" s="20"/>
      <c r="H9772" s="19"/>
    </row>
    <row r="9773">
      <c r="A9773" s="9"/>
      <c r="B9773" s="15"/>
      <c r="C9773" s="9"/>
      <c r="D9773" s="15"/>
      <c r="E9773" s="16"/>
      <c r="F9773" s="19"/>
      <c r="G9773" s="20"/>
      <c r="H9773" s="19"/>
    </row>
    <row r="9774">
      <c r="A9774" s="9"/>
      <c r="B9774" s="15"/>
      <c r="C9774" s="9"/>
      <c r="D9774" s="15"/>
      <c r="E9774" s="16"/>
      <c r="F9774" s="19"/>
      <c r="G9774" s="20"/>
      <c r="H9774" s="19"/>
    </row>
    <row r="9775">
      <c r="A9775" s="9"/>
      <c r="B9775" s="15"/>
      <c r="C9775" s="9"/>
      <c r="D9775" s="15"/>
      <c r="E9775" s="16"/>
      <c r="F9775" s="19"/>
      <c r="G9775" s="20"/>
      <c r="H9775" s="19"/>
    </row>
    <row r="9776">
      <c r="A9776" s="9"/>
      <c r="B9776" s="15"/>
      <c r="C9776" s="9"/>
      <c r="D9776" s="15"/>
      <c r="E9776" s="16"/>
      <c r="F9776" s="19"/>
      <c r="G9776" s="20"/>
      <c r="H9776" s="19"/>
    </row>
    <row r="9777">
      <c r="A9777" s="9"/>
      <c r="B9777" s="15"/>
      <c r="C9777" s="9"/>
      <c r="D9777" s="15"/>
      <c r="E9777" s="16"/>
      <c r="F9777" s="19"/>
      <c r="G9777" s="20"/>
      <c r="H9777" s="19"/>
    </row>
    <row r="9778">
      <c r="A9778" s="9"/>
      <c r="B9778" s="15"/>
      <c r="C9778" s="9"/>
      <c r="D9778" s="15"/>
      <c r="E9778" s="16"/>
      <c r="F9778" s="19"/>
      <c r="G9778" s="20"/>
      <c r="H9778" s="19"/>
    </row>
    <row r="9779">
      <c r="A9779" s="9"/>
      <c r="B9779" s="15"/>
      <c r="C9779" s="9"/>
      <c r="D9779" s="15"/>
      <c r="E9779" s="16"/>
      <c r="F9779" s="19"/>
      <c r="G9779" s="20"/>
      <c r="H9779" s="19"/>
    </row>
    <row r="9780">
      <c r="A9780" s="9"/>
      <c r="B9780" s="15"/>
      <c r="C9780" s="9"/>
      <c r="D9780" s="15"/>
      <c r="E9780" s="16"/>
      <c r="F9780" s="19"/>
      <c r="G9780" s="20"/>
      <c r="H9780" s="19"/>
    </row>
    <row r="9781">
      <c r="A9781" s="9"/>
      <c r="B9781" s="15"/>
      <c r="C9781" s="9"/>
      <c r="D9781" s="15"/>
      <c r="E9781" s="16"/>
      <c r="F9781" s="19"/>
      <c r="G9781" s="20"/>
      <c r="H9781" s="19"/>
    </row>
    <row r="9782">
      <c r="A9782" s="9"/>
      <c r="B9782" s="15"/>
      <c r="C9782" s="9"/>
      <c r="D9782" s="15"/>
      <c r="E9782" s="16"/>
      <c r="F9782" s="19"/>
      <c r="G9782" s="20"/>
      <c r="H9782" s="19"/>
    </row>
    <row r="9783">
      <c r="A9783" s="9"/>
      <c r="B9783" s="15"/>
      <c r="C9783" s="9"/>
      <c r="D9783" s="15"/>
      <c r="E9783" s="16"/>
      <c r="F9783" s="19"/>
      <c r="G9783" s="20"/>
      <c r="H9783" s="19"/>
    </row>
    <row r="9784">
      <c r="A9784" s="9"/>
      <c r="B9784" s="15"/>
      <c r="C9784" s="9"/>
      <c r="D9784" s="15"/>
      <c r="E9784" s="16"/>
      <c r="F9784" s="19"/>
      <c r="G9784" s="20"/>
      <c r="H9784" s="19"/>
    </row>
    <row r="9785">
      <c r="A9785" s="9"/>
      <c r="B9785" s="15"/>
      <c r="C9785" s="9"/>
      <c r="D9785" s="15"/>
      <c r="E9785" s="16"/>
      <c r="F9785" s="19"/>
      <c r="G9785" s="20"/>
      <c r="H9785" s="19"/>
    </row>
    <row r="9786">
      <c r="A9786" s="9"/>
      <c r="B9786" s="15"/>
      <c r="C9786" s="9"/>
      <c r="D9786" s="15"/>
      <c r="E9786" s="16"/>
      <c r="F9786" s="19"/>
      <c r="G9786" s="20"/>
      <c r="H9786" s="19"/>
    </row>
    <row r="9787">
      <c r="A9787" s="9"/>
      <c r="B9787" s="15"/>
      <c r="C9787" s="9"/>
      <c r="D9787" s="15"/>
      <c r="E9787" s="16"/>
      <c r="F9787" s="19"/>
      <c r="G9787" s="20"/>
      <c r="H9787" s="19"/>
    </row>
    <row r="9788">
      <c r="A9788" s="9"/>
      <c r="B9788" s="15"/>
      <c r="C9788" s="9"/>
      <c r="D9788" s="15"/>
      <c r="E9788" s="16"/>
      <c r="F9788" s="19"/>
      <c r="G9788" s="20"/>
      <c r="H9788" s="19"/>
    </row>
    <row r="9789">
      <c r="A9789" s="9"/>
      <c r="B9789" s="15"/>
      <c r="C9789" s="9"/>
      <c r="D9789" s="15"/>
      <c r="E9789" s="16"/>
      <c r="F9789" s="19"/>
      <c r="G9789" s="20"/>
      <c r="H9789" s="19"/>
    </row>
    <row r="9790">
      <c r="A9790" s="9"/>
      <c r="B9790" s="15"/>
      <c r="C9790" s="9"/>
      <c r="D9790" s="15"/>
      <c r="E9790" s="16"/>
      <c r="F9790" s="19"/>
      <c r="G9790" s="20"/>
      <c r="H9790" s="19"/>
    </row>
    <row r="9791">
      <c r="A9791" s="9"/>
      <c r="B9791" s="15"/>
      <c r="C9791" s="9"/>
      <c r="D9791" s="15"/>
      <c r="E9791" s="16"/>
      <c r="F9791" s="19"/>
      <c r="G9791" s="20"/>
      <c r="H9791" s="19"/>
    </row>
    <row r="9792">
      <c r="A9792" s="9"/>
      <c r="B9792" s="15"/>
      <c r="C9792" s="9"/>
      <c r="D9792" s="15"/>
      <c r="E9792" s="16"/>
      <c r="F9792" s="19"/>
      <c r="G9792" s="20"/>
      <c r="H9792" s="19"/>
    </row>
    <row r="9793">
      <c r="A9793" s="9"/>
      <c r="B9793" s="15"/>
      <c r="C9793" s="9"/>
      <c r="D9793" s="15"/>
      <c r="E9793" s="16"/>
      <c r="F9793" s="19"/>
      <c r="G9793" s="20"/>
      <c r="H9793" s="19"/>
    </row>
    <row r="9794">
      <c r="A9794" s="9"/>
      <c r="B9794" s="15"/>
      <c r="C9794" s="9"/>
      <c r="D9794" s="15"/>
      <c r="E9794" s="16"/>
      <c r="F9794" s="19"/>
      <c r="G9794" s="20"/>
      <c r="H9794" s="19"/>
    </row>
    <row r="9795">
      <c r="A9795" s="9"/>
      <c r="B9795" s="15"/>
      <c r="C9795" s="9"/>
      <c r="D9795" s="15"/>
      <c r="E9795" s="16"/>
      <c r="F9795" s="19"/>
      <c r="G9795" s="20"/>
      <c r="H9795" s="19"/>
    </row>
    <row r="9796">
      <c r="A9796" s="9"/>
      <c r="B9796" s="15"/>
      <c r="C9796" s="9"/>
      <c r="D9796" s="15"/>
      <c r="E9796" s="16"/>
      <c r="F9796" s="19"/>
      <c r="G9796" s="20"/>
      <c r="H9796" s="19"/>
    </row>
    <row r="9797">
      <c r="A9797" s="9"/>
      <c r="B9797" s="15"/>
      <c r="C9797" s="9"/>
      <c r="D9797" s="15"/>
      <c r="E9797" s="16"/>
      <c r="F9797" s="19"/>
      <c r="G9797" s="20"/>
      <c r="H9797" s="19"/>
    </row>
    <row r="9798">
      <c r="A9798" s="9"/>
      <c r="B9798" s="15"/>
      <c r="C9798" s="9"/>
      <c r="D9798" s="15"/>
      <c r="E9798" s="16"/>
      <c r="F9798" s="19"/>
      <c r="G9798" s="20"/>
      <c r="H9798" s="19"/>
    </row>
    <row r="9799">
      <c r="A9799" s="9"/>
      <c r="B9799" s="15"/>
      <c r="C9799" s="9"/>
      <c r="D9799" s="15"/>
      <c r="E9799" s="16"/>
      <c r="F9799" s="19"/>
      <c r="G9799" s="20"/>
      <c r="H9799" s="19"/>
    </row>
    <row r="9800">
      <c r="A9800" s="9"/>
      <c r="B9800" s="15"/>
      <c r="C9800" s="9"/>
      <c r="D9800" s="15"/>
      <c r="E9800" s="16"/>
      <c r="F9800" s="19"/>
      <c r="G9800" s="20"/>
      <c r="H9800" s="19"/>
    </row>
    <row r="9801">
      <c r="A9801" s="9"/>
      <c r="B9801" s="15"/>
      <c r="C9801" s="9"/>
      <c r="D9801" s="15"/>
      <c r="E9801" s="16"/>
      <c r="F9801" s="19"/>
      <c r="G9801" s="20"/>
      <c r="H9801" s="19"/>
    </row>
    <row r="9802">
      <c r="A9802" s="9"/>
      <c r="B9802" s="15"/>
      <c r="C9802" s="9"/>
      <c r="D9802" s="15"/>
      <c r="E9802" s="16"/>
      <c r="F9802" s="19"/>
      <c r="G9802" s="20"/>
      <c r="H9802" s="19"/>
    </row>
    <row r="9803">
      <c r="A9803" s="9"/>
      <c r="B9803" s="15"/>
      <c r="C9803" s="9"/>
      <c r="D9803" s="15"/>
      <c r="E9803" s="16"/>
      <c r="F9803" s="19"/>
      <c r="G9803" s="20"/>
      <c r="H9803" s="19"/>
    </row>
    <row r="9804">
      <c r="A9804" s="9"/>
      <c r="B9804" s="15"/>
      <c r="C9804" s="9"/>
      <c r="D9804" s="15"/>
      <c r="E9804" s="16"/>
      <c r="F9804" s="19"/>
      <c r="G9804" s="20"/>
      <c r="H9804" s="19"/>
    </row>
    <row r="9805">
      <c r="A9805" s="9"/>
      <c r="B9805" s="15"/>
      <c r="C9805" s="9"/>
      <c r="D9805" s="15"/>
      <c r="E9805" s="16"/>
      <c r="F9805" s="19"/>
      <c r="G9805" s="20"/>
      <c r="H9805" s="19"/>
    </row>
    <row r="9806">
      <c r="A9806" s="9"/>
      <c r="B9806" s="15"/>
      <c r="C9806" s="9"/>
      <c r="D9806" s="15"/>
      <c r="E9806" s="16"/>
      <c r="F9806" s="19"/>
      <c r="G9806" s="20"/>
      <c r="H9806" s="19"/>
    </row>
    <row r="9807">
      <c r="A9807" s="9"/>
      <c r="B9807" s="15"/>
      <c r="C9807" s="9"/>
      <c r="D9807" s="15"/>
      <c r="E9807" s="16"/>
      <c r="F9807" s="19"/>
      <c r="G9807" s="20"/>
      <c r="H9807" s="19"/>
    </row>
    <row r="9808">
      <c r="A9808" s="9"/>
      <c r="B9808" s="15"/>
      <c r="C9808" s="9"/>
      <c r="D9808" s="15"/>
      <c r="E9808" s="16"/>
      <c r="F9808" s="19"/>
      <c r="G9808" s="20"/>
      <c r="H9808" s="19"/>
    </row>
    <row r="9809">
      <c r="A9809" s="9"/>
      <c r="B9809" s="15"/>
      <c r="C9809" s="9"/>
      <c r="D9809" s="15"/>
      <c r="E9809" s="16"/>
      <c r="F9809" s="19"/>
      <c r="G9809" s="20"/>
      <c r="H9809" s="19"/>
    </row>
    <row r="9810">
      <c r="A9810" s="9"/>
      <c r="B9810" s="15"/>
      <c r="C9810" s="9"/>
      <c r="D9810" s="15"/>
      <c r="E9810" s="16"/>
      <c r="F9810" s="19"/>
      <c r="G9810" s="20"/>
      <c r="H9810" s="19"/>
    </row>
    <row r="9811">
      <c r="A9811" s="9"/>
      <c r="B9811" s="15"/>
      <c r="C9811" s="9"/>
      <c r="D9811" s="15"/>
      <c r="E9811" s="16"/>
      <c r="F9811" s="19"/>
      <c r="G9811" s="20"/>
      <c r="H9811" s="19"/>
    </row>
    <row r="9812">
      <c r="A9812" s="9"/>
      <c r="B9812" s="15"/>
      <c r="C9812" s="9"/>
      <c r="D9812" s="15"/>
      <c r="E9812" s="16"/>
      <c r="F9812" s="19"/>
      <c r="G9812" s="20"/>
      <c r="H9812" s="19"/>
    </row>
    <row r="9813">
      <c r="A9813" s="9"/>
      <c r="B9813" s="15"/>
      <c r="C9813" s="9"/>
      <c r="D9813" s="15"/>
      <c r="E9813" s="16"/>
      <c r="F9813" s="19"/>
      <c r="G9813" s="20"/>
      <c r="H9813" s="19"/>
    </row>
    <row r="9814">
      <c r="A9814" s="9"/>
      <c r="B9814" s="15"/>
      <c r="C9814" s="9"/>
      <c r="D9814" s="15"/>
      <c r="E9814" s="16"/>
      <c r="F9814" s="19"/>
      <c r="G9814" s="20"/>
      <c r="H9814" s="19"/>
    </row>
    <row r="9815">
      <c r="A9815" s="9"/>
      <c r="B9815" s="15"/>
      <c r="C9815" s="9"/>
      <c r="D9815" s="15"/>
      <c r="E9815" s="16"/>
      <c r="F9815" s="19"/>
      <c r="G9815" s="20"/>
      <c r="H9815" s="19"/>
    </row>
    <row r="9816">
      <c r="A9816" s="9"/>
      <c r="B9816" s="15"/>
      <c r="C9816" s="9"/>
      <c r="D9816" s="15"/>
      <c r="E9816" s="16"/>
      <c r="F9816" s="19"/>
      <c r="G9816" s="20"/>
      <c r="H9816" s="19"/>
    </row>
    <row r="9817">
      <c r="A9817" s="9"/>
      <c r="B9817" s="15"/>
      <c r="C9817" s="9"/>
      <c r="D9817" s="15"/>
      <c r="E9817" s="16"/>
      <c r="F9817" s="19"/>
      <c r="G9817" s="20"/>
      <c r="H9817" s="19"/>
    </row>
    <row r="9818">
      <c r="A9818" s="9"/>
      <c r="B9818" s="15"/>
      <c r="C9818" s="9"/>
      <c r="D9818" s="15"/>
      <c r="E9818" s="16"/>
      <c r="F9818" s="19"/>
      <c r="G9818" s="20"/>
      <c r="H9818" s="19"/>
    </row>
    <row r="9819">
      <c r="A9819" s="9"/>
      <c r="B9819" s="15"/>
      <c r="C9819" s="9"/>
      <c r="D9819" s="15"/>
      <c r="E9819" s="16"/>
      <c r="F9819" s="19"/>
      <c r="G9819" s="20"/>
      <c r="H9819" s="19"/>
    </row>
    <row r="9820">
      <c r="A9820" s="9"/>
      <c r="B9820" s="15"/>
      <c r="C9820" s="9"/>
      <c r="D9820" s="15"/>
      <c r="E9820" s="16"/>
      <c r="F9820" s="19"/>
      <c r="G9820" s="20"/>
      <c r="H9820" s="19"/>
    </row>
    <row r="9821">
      <c r="A9821" s="9"/>
      <c r="B9821" s="15"/>
      <c r="C9821" s="9"/>
      <c r="D9821" s="15"/>
      <c r="E9821" s="16"/>
      <c r="F9821" s="19"/>
      <c r="G9821" s="20"/>
      <c r="H9821" s="19"/>
    </row>
    <row r="9822">
      <c r="A9822" s="9"/>
      <c r="B9822" s="15"/>
      <c r="C9822" s="9"/>
      <c r="D9822" s="15"/>
      <c r="E9822" s="16"/>
      <c r="F9822" s="19"/>
      <c r="G9822" s="20"/>
      <c r="H9822" s="19"/>
    </row>
    <row r="9823">
      <c r="A9823" s="9"/>
      <c r="B9823" s="15"/>
      <c r="C9823" s="9"/>
      <c r="D9823" s="15"/>
      <c r="E9823" s="16"/>
      <c r="F9823" s="19"/>
      <c r="G9823" s="20"/>
      <c r="H9823" s="19"/>
    </row>
    <row r="9824">
      <c r="A9824" s="9"/>
      <c r="B9824" s="15"/>
      <c r="C9824" s="9"/>
      <c r="D9824" s="15"/>
      <c r="E9824" s="16"/>
      <c r="F9824" s="19"/>
      <c r="G9824" s="20"/>
      <c r="H9824" s="19"/>
    </row>
    <row r="9825">
      <c r="A9825" s="9"/>
      <c r="B9825" s="15"/>
      <c r="C9825" s="9"/>
      <c r="D9825" s="15"/>
      <c r="E9825" s="16"/>
      <c r="F9825" s="19"/>
      <c r="G9825" s="20"/>
      <c r="H9825" s="19"/>
    </row>
    <row r="9826">
      <c r="A9826" s="9"/>
      <c r="B9826" s="15"/>
      <c r="C9826" s="9"/>
      <c r="D9826" s="15"/>
      <c r="E9826" s="16"/>
      <c r="F9826" s="19"/>
      <c r="G9826" s="20"/>
      <c r="H9826" s="19"/>
    </row>
    <row r="9827">
      <c r="A9827" s="9"/>
      <c r="B9827" s="15"/>
      <c r="C9827" s="9"/>
      <c r="D9827" s="15"/>
      <c r="E9827" s="16"/>
      <c r="F9827" s="19"/>
      <c r="G9827" s="20"/>
      <c r="H9827" s="19"/>
    </row>
    <row r="9828">
      <c r="A9828" s="9"/>
      <c r="B9828" s="15"/>
      <c r="C9828" s="9"/>
      <c r="D9828" s="15"/>
      <c r="E9828" s="16"/>
      <c r="F9828" s="19"/>
      <c r="G9828" s="20"/>
      <c r="H9828" s="19"/>
    </row>
    <row r="9829">
      <c r="A9829" s="9"/>
      <c r="B9829" s="15"/>
      <c r="C9829" s="9"/>
      <c r="D9829" s="15"/>
      <c r="E9829" s="16"/>
      <c r="F9829" s="19"/>
      <c r="G9829" s="20"/>
      <c r="H9829" s="19"/>
    </row>
    <row r="9830">
      <c r="A9830" s="9"/>
      <c r="B9830" s="15"/>
      <c r="C9830" s="9"/>
      <c r="D9830" s="15"/>
      <c r="E9830" s="16"/>
      <c r="F9830" s="19"/>
      <c r="G9830" s="20"/>
      <c r="H9830" s="19"/>
    </row>
    <row r="9831">
      <c r="A9831" s="9"/>
      <c r="B9831" s="15"/>
      <c r="C9831" s="9"/>
      <c r="D9831" s="15"/>
      <c r="E9831" s="16"/>
      <c r="F9831" s="19"/>
      <c r="G9831" s="20"/>
      <c r="H9831" s="19"/>
    </row>
    <row r="9832">
      <c r="A9832" s="9"/>
      <c r="B9832" s="15"/>
      <c r="C9832" s="9"/>
      <c r="D9832" s="15"/>
      <c r="E9832" s="16"/>
      <c r="F9832" s="19"/>
      <c r="G9832" s="20"/>
      <c r="H9832" s="19"/>
    </row>
    <row r="9833">
      <c r="A9833" s="9"/>
      <c r="B9833" s="15"/>
      <c r="C9833" s="9"/>
      <c r="D9833" s="15"/>
      <c r="E9833" s="16"/>
      <c r="F9833" s="19"/>
      <c r="G9833" s="20"/>
      <c r="H9833" s="19"/>
    </row>
    <row r="9834">
      <c r="A9834" s="9"/>
      <c r="B9834" s="15"/>
      <c r="C9834" s="9"/>
      <c r="D9834" s="15"/>
      <c r="E9834" s="16"/>
      <c r="F9834" s="19"/>
      <c r="G9834" s="20"/>
      <c r="H9834" s="19"/>
    </row>
    <row r="9835">
      <c r="A9835" s="9"/>
      <c r="B9835" s="15"/>
      <c r="C9835" s="9"/>
      <c r="D9835" s="15"/>
      <c r="E9835" s="16"/>
      <c r="F9835" s="19"/>
      <c r="G9835" s="20"/>
      <c r="H9835" s="19"/>
    </row>
    <row r="9836">
      <c r="A9836" s="9"/>
      <c r="B9836" s="15"/>
      <c r="C9836" s="9"/>
      <c r="D9836" s="15"/>
      <c r="E9836" s="16"/>
      <c r="F9836" s="19"/>
      <c r="G9836" s="20"/>
      <c r="H9836" s="19"/>
    </row>
    <row r="9837">
      <c r="A9837" s="9"/>
      <c r="B9837" s="15"/>
      <c r="C9837" s="9"/>
      <c r="D9837" s="15"/>
      <c r="E9837" s="16"/>
      <c r="F9837" s="19"/>
      <c r="G9837" s="20"/>
      <c r="H9837" s="19"/>
    </row>
    <row r="9838">
      <c r="A9838" s="9"/>
      <c r="B9838" s="15"/>
      <c r="C9838" s="9"/>
      <c r="D9838" s="15"/>
      <c r="E9838" s="16"/>
      <c r="F9838" s="19"/>
      <c r="G9838" s="20"/>
      <c r="H9838" s="19"/>
    </row>
    <row r="9839">
      <c r="A9839" s="9"/>
      <c r="B9839" s="15"/>
      <c r="C9839" s="9"/>
      <c r="D9839" s="15"/>
      <c r="E9839" s="16"/>
      <c r="F9839" s="19"/>
      <c r="G9839" s="20"/>
      <c r="H9839" s="19"/>
    </row>
    <row r="9840">
      <c r="A9840" s="9"/>
      <c r="B9840" s="15"/>
      <c r="C9840" s="9"/>
      <c r="D9840" s="15"/>
      <c r="E9840" s="16"/>
      <c r="F9840" s="19"/>
      <c r="G9840" s="20"/>
      <c r="H9840" s="19"/>
    </row>
    <row r="9841">
      <c r="A9841" s="9"/>
      <c r="B9841" s="15"/>
      <c r="C9841" s="9"/>
      <c r="D9841" s="15"/>
      <c r="E9841" s="16"/>
      <c r="F9841" s="19"/>
      <c r="G9841" s="20"/>
      <c r="H9841" s="19"/>
    </row>
    <row r="9842">
      <c r="A9842" s="9"/>
      <c r="B9842" s="15"/>
      <c r="C9842" s="9"/>
      <c r="D9842" s="15"/>
      <c r="E9842" s="16"/>
      <c r="F9842" s="19"/>
      <c r="G9842" s="20"/>
      <c r="H9842" s="19"/>
    </row>
    <row r="9843">
      <c r="A9843" s="9"/>
      <c r="B9843" s="15"/>
      <c r="C9843" s="9"/>
      <c r="D9843" s="15"/>
      <c r="E9843" s="16"/>
      <c r="F9843" s="19"/>
      <c r="G9843" s="20"/>
      <c r="H9843" s="19"/>
    </row>
    <row r="9844">
      <c r="A9844" s="9"/>
      <c r="B9844" s="15"/>
      <c r="C9844" s="9"/>
      <c r="D9844" s="15"/>
      <c r="E9844" s="16"/>
      <c r="F9844" s="19"/>
      <c r="G9844" s="20"/>
      <c r="H9844" s="19"/>
    </row>
    <row r="9845">
      <c r="A9845" s="9"/>
      <c r="B9845" s="15"/>
      <c r="C9845" s="9"/>
      <c r="D9845" s="15"/>
      <c r="E9845" s="16"/>
      <c r="F9845" s="19"/>
      <c r="G9845" s="20"/>
      <c r="H9845" s="19"/>
    </row>
    <row r="9846">
      <c r="A9846" s="9"/>
      <c r="B9846" s="15"/>
      <c r="C9846" s="9"/>
      <c r="D9846" s="15"/>
      <c r="E9846" s="16"/>
      <c r="F9846" s="19"/>
      <c r="G9846" s="20"/>
      <c r="H9846" s="19"/>
    </row>
    <row r="9847">
      <c r="A9847" s="9"/>
      <c r="B9847" s="15"/>
      <c r="C9847" s="9"/>
      <c r="D9847" s="15"/>
      <c r="E9847" s="16"/>
      <c r="F9847" s="19"/>
      <c r="G9847" s="20"/>
      <c r="H9847" s="19"/>
    </row>
    <row r="9848">
      <c r="A9848" s="9"/>
      <c r="B9848" s="15"/>
      <c r="C9848" s="9"/>
      <c r="D9848" s="15"/>
      <c r="E9848" s="16"/>
      <c r="F9848" s="19"/>
      <c r="G9848" s="20"/>
      <c r="H9848" s="19"/>
    </row>
    <row r="9849">
      <c r="A9849" s="9"/>
      <c r="B9849" s="15"/>
      <c r="C9849" s="9"/>
      <c r="D9849" s="15"/>
      <c r="E9849" s="16"/>
      <c r="F9849" s="19"/>
      <c r="G9849" s="20"/>
      <c r="H9849" s="19"/>
    </row>
    <row r="9850">
      <c r="A9850" s="9"/>
      <c r="B9850" s="15"/>
      <c r="C9850" s="9"/>
      <c r="D9850" s="15"/>
      <c r="E9850" s="16"/>
      <c r="F9850" s="19"/>
      <c r="G9850" s="20"/>
      <c r="H9850" s="19"/>
    </row>
    <row r="9851">
      <c r="A9851" s="9"/>
      <c r="B9851" s="15"/>
      <c r="C9851" s="9"/>
      <c r="D9851" s="15"/>
      <c r="E9851" s="16"/>
      <c r="F9851" s="19"/>
      <c r="G9851" s="20"/>
      <c r="H9851" s="19"/>
    </row>
    <row r="9852">
      <c r="A9852" s="9"/>
      <c r="B9852" s="15"/>
      <c r="C9852" s="9"/>
      <c r="D9852" s="15"/>
      <c r="E9852" s="16"/>
      <c r="F9852" s="19"/>
      <c r="G9852" s="20"/>
      <c r="H9852" s="19"/>
    </row>
    <row r="9853">
      <c r="A9853" s="9"/>
      <c r="B9853" s="15"/>
      <c r="C9853" s="9"/>
      <c r="D9853" s="15"/>
      <c r="E9853" s="16"/>
      <c r="F9853" s="19"/>
      <c r="G9853" s="20"/>
      <c r="H9853" s="19"/>
    </row>
    <row r="9854">
      <c r="A9854" s="9"/>
      <c r="B9854" s="15"/>
      <c r="C9854" s="9"/>
      <c r="D9854" s="15"/>
      <c r="E9854" s="16"/>
      <c r="F9854" s="19"/>
      <c r="G9854" s="20"/>
      <c r="H9854" s="19"/>
    </row>
    <row r="9855">
      <c r="A9855" s="9"/>
      <c r="B9855" s="15"/>
      <c r="C9855" s="9"/>
      <c r="D9855" s="15"/>
      <c r="E9855" s="16"/>
      <c r="F9855" s="19"/>
      <c r="G9855" s="20"/>
      <c r="H9855" s="19"/>
    </row>
    <row r="9856">
      <c r="A9856" s="9"/>
      <c r="B9856" s="15"/>
      <c r="C9856" s="9"/>
      <c r="D9856" s="15"/>
      <c r="E9856" s="16"/>
      <c r="F9856" s="19"/>
      <c r="G9856" s="20"/>
      <c r="H9856" s="19"/>
    </row>
    <row r="9857">
      <c r="A9857" s="9"/>
      <c r="B9857" s="15"/>
      <c r="C9857" s="9"/>
      <c r="D9857" s="15"/>
      <c r="E9857" s="16"/>
      <c r="F9857" s="19"/>
      <c r="G9857" s="20"/>
      <c r="H9857" s="19"/>
    </row>
    <row r="9858">
      <c r="A9858" s="9"/>
      <c r="B9858" s="15"/>
      <c r="C9858" s="9"/>
      <c r="D9858" s="15"/>
      <c r="E9858" s="16"/>
      <c r="F9858" s="19"/>
      <c r="G9858" s="20"/>
      <c r="H9858" s="19"/>
    </row>
    <row r="9859">
      <c r="A9859" s="9"/>
      <c r="B9859" s="15"/>
      <c r="C9859" s="9"/>
      <c r="D9859" s="15"/>
      <c r="E9859" s="16"/>
      <c r="F9859" s="19"/>
      <c r="G9859" s="20"/>
      <c r="H9859" s="19"/>
    </row>
    <row r="9860">
      <c r="A9860" s="9"/>
      <c r="B9860" s="15"/>
      <c r="C9860" s="9"/>
      <c r="D9860" s="15"/>
      <c r="E9860" s="16"/>
      <c r="F9860" s="19"/>
      <c r="G9860" s="20"/>
      <c r="H9860" s="19"/>
    </row>
    <row r="9861">
      <c r="A9861" s="9"/>
      <c r="B9861" s="15"/>
      <c r="C9861" s="9"/>
      <c r="D9861" s="15"/>
      <c r="E9861" s="16"/>
      <c r="F9861" s="19"/>
      <c r="G9861" s="20"/>
      <c r="H9861" s="19"/>
    </row>
    <row r="9862">
      <c r="A9862" s="9"/>
      <c r="B9862" s="15"/>
      <c r="C9862" s="9"/>
      <c r="D9862" s="15"/>
      <c r="E9862" s="16"/>
      <c r="F9862" s="19"/>
      <c r="G9862" s="20"/>
      <c r="H9862" s="19"/>
    </row>
    <row r="9863">
      <c r="A9863" s="9"/>
      <c r="B9863" s="15"/>
      <c r="C9863" s="9"/>
      <c r="D9863" s="15"/>
      <c r="E9863" s="16"/>
      <c r="F9863" s="19"/>
      <c r="G9863" s="20"/>
      <c r="H9863" s="19"/>
    </row>
    <row r="9864">
      <c r="A9864" s="9"/>
      <c r="B9864" s="15"/>
      <c r="C9864" s="9"/>
      <c r="D9864" s="15"/>
      <c r="E9864" s="16"/>
      <c r="F9864" s="19"/>
      <c r="G9864" s="20"/>
      <c r="H9864" s="19"/>
    </row>
    <row r="9865">
      <c r="A9865" s="9"/>
      <c r="B9865" s="15"/>
      <c r="C9865" s="9"/>
      <c r="D9865" s="15"/>
      <c r="E9865" s="16"/>
      <c r="F9865" s="19"/>
      <c r="G9865" s="20"/>
      <c r="H9865" s="19"/>
    </row>
    <row r="9866">
      <c r="A9866" s="9"/>
      <c r="B9866" s="15"/>
      <c r="C9866" s="9"/>
      <c r="D9866" s="15"/>
      <c r="E9866" s="16"/>
      <c r="F9866" s="19"/>
      <c r="G9866" s="20"/>
      <c r="H9866" s="19"/>
    </row>
    <row r="9867">
      <c r="A9867" s="9"/>
      <c r="B9867" s="15"/>
      <c r="C9867" s="9"/>
      <c r="D9867" s="15"/>
      <c r="E9867" s="16"/>
      <c r="F9867" s="19"/>
      <c r="G9867" s="20"/>
      <c r="H9867" s="19"/>
    </row>
    <row r="9868">
      <c r="A9868" s="9"/>
      <c r="B9868" s="15"/>
      <c r="C9868" s="9"/>
      <c r="D9868" s="15"/>
      <c r="E9868" s="16"/>
      <c r="F9868" s="19"/>
      <c r="G9868" s="20"/>
      <c r="H9868" s="19"/>
    </row>
    <row r="9869">
      <c r="A9869" s="9"/>
      <c r="B9869" s="15"/>
      <c r="C9869" s="9"/>
      <c r="D9869" s="15"/>
      <c r="E9869" s="16"/>
      <c r="F9869" s="19"/>
      <c r="G9869" s="20"/>
      <c r="H9869" s="19"/>
    </row>
    <row r="9870">
      <c r="A9870" s="9"/>
      <c r="B9870" s="15"/>
      <c r="C9870" s="9"/>
      <c r="D9870" s="15"/>
      <c r="E9870" s="16"/>
      <c r="F9870" s="19"/>
      <c r="G9870" s="20"/>
      <c r="H9870" s="19"/>
    </row>
    <row r="9871">
      <c r="A9871" s="9"/>
      <c r="B9871" s="15"/>
      <c r="C9871" s="9"/>
      <c r="D9871" s="15"/>
      <c r="E9871" s="16"/>
      <c r="F9871" s="19"/>
      <c r="G9871" s="20"/>
      <c r="H9871" s="19"/>
    </row>
    <row r="9872">
      <c r="A9872" s="9"/>
      <c r="B9872" s="15"/>
      <c r="C9872" s="9"/>
      <c r="D9872" s="15"/>
      <c r="E9872" s="16"/>
      <c r="F9872" s="19"/>
      <c r="G9872" s="20"/>
      <c r="H9872" s="19"/>
    </row>
    <row r="9873">
      <c r="A9873" s="9"/>
      <c r="B9873" s="15"/>
      <c r="C9873" s="9"/>
      <c r="D9873" s="15"/>
      <c r="E9873" s="16"/>
      <c r="F9873" s="19"/>
      <c r="G9873" s="20"/>
      <c r="H9873" s="19"/>
    </row>
    <row r="9874">
      <c r="A9874" s="9"/>
      <c r="B9874" s="15"/>
      <c r="C9874" s="9"/>
      <c r="D9874" s="15"/>
      <c r="E9874" s="16"/>
      <c r="F9874" s="19"/>
      <c r="G9874" s="20"/>
      <c r="H9874" s="19"/>
    </row>
    <row r="9875">
      <c r="A9875" s="9"/>
      <c r="B9875" s="15"/>
      <c r="C9875" s="9"/>
      <c r="D9875" s="15"/>
      <c r="E9875" s="16"/>
      <c r="F9875" s="19"/>
      <c r="G9875" s="20"/>
      <c r="H9875" s="19"/>
    </row>
    <row r="9876">
      <c r="A9876" s="9"/>
      <c r="B9876" s="15"/>
      <c r="C9876" s="9"/>
      <c r="D9876" s="15"/>
      <c r="E9876" s="16"/>
      <c r="F9876" s="19"/>
      <c r="G9876" s="20"/>
      <c r="H9876" s="19"/>
    </row>
    <row r="9877">
      <c r="A9877" s="9"/>
      <c r="B9877" s="15"/>
      <c r="C9877" s="9"/>
      <c r="D9877" s="15"/>
      <c r="E9877" s="16"/>
      <c r="F9877" s="19"/>
      <c r="G9877" s="20"/>
      <c r="H9877" s="19"/>
    </row>
    <row r="9878">
      <c r="A9878" s="9"/>
      <c r="B9878" s="15"/>
      <c r="C9878" s="9"/>
      <c r="D9878" s="15"/>
      <c r="E9878" s="16"/>
      <c r="F9878" s="19"/>
      <c r="G9878" s="20"/>
      <c r="H9878" s="19"/>
    </row>
    <row r="9879">
      <c r="A9879" s="9"/>
      <c r="B9879" s="15"/>
      <c r="C9879" s="9"/>
      <c r="D9879" s="15"/>
      <c r="E9879" s="16"/>
      <c r="F9879" s="19"/>
      <c r="G9879" s="20"/>
      <c r="H9879" s="19"/>
    </row>
    <row r="9880">
      <c r="A9880" s="9"/>
      <c r="B9880" s="15"/>
      <c r="C9880" s="9"/>
      <c r="D9880" s="15"/>
      <c r="E9880" s="16"/>
      <c r="F9880" s="19"/>
      <c r="G9880" s="20"/>
      <c r="H9880" s="19"/>
    </row>
    <row r="9881">
      <c r="A9881" s="9"/>
      <c r="B9881" s="15"/>
      <c r="C9881" s="9"/>
      <c r="D9881" s="15"/>
      <c r="E9881" s="16"/>
      <c r="F9881" s="19"/>
      <c r="G9881" s="20"/>
      <c r="H9881" s="19"/>
    </row>
    <row r="9882">
      <c r="A9882" s="9"/>
      <c r="B9882" s="15"/>
      <c r="C9882" s="9"/>
      <c r="D9882" s="15"/>
      <c r="E9882" s="16"/>
      <c r="F9882" s="19"/>
      <c r="G9882" s="20"/>
      <c r="H9882" s="19"/>
    </row>
    <row r="9883">
      <c r="A9883" s="9"/>
      <c r="B9883" s="15"/>
      <c r="C9883" s="9"/>
      <c r="D9883" s="15"/>
      <c r="E9883" s="16"/>
      <c r="F9883" s="19"/>
      <c r="G9883" s="20"/>
      <c r="H9883" s="19"/>
    </row>
    <row r="9884">
      <c r="A9884" s="9"/>
      <c r="B9884" s="15"/>
      <c r="C9884" s="9"/>
      <c r="D9884" s="15"/>
      <c r="E9884" s="16"/>
      <c r="F9884" s="19"/>
      <c r="G9884" s="20"/>
      <c r="H9884" s="19"/>
    </row>
    <row r="9885">
      <c r="A9885" s="9"/>
      <c r="B9885" s="15"/>
      <c r="C9885" s="9"/>
      <c r="D9885" s="15"/>
      <c r="E9885" s="16"/>
      <c r="F9885" s="19"/>
      <c r="G9885" s="20"/>
      <c r="H9885" s="19"/>
    </row>
    <row r="9886">
      <c r="A9886" s="9"/>
      <c r="B9886" s="15"/>
      <c r="C9886" s="9"/>
      <c r="D9886" s="15"/>
      <c r="E9886" s="16"/>
      <c r="F9886" s="19"/>
      <c r="G9886" s="20"/>
      <c r="H9886" s="19"/>
    </row>
    <row r="9887">
      <c r="A9887" s="9"/>
      <c r="B9887" s="15"/>
      <c r="C9887" s="9"/>
      <c r="D9887" s="15"/>
      <c r="E9887" s="16"/>
      <c r="F9887" s="19"/>
      <c r="G9887" s="20"/>
      <c r="H9887" s="19"/>
    </row>
    <row r="9888">
      <c r="A9888" s="9"/>
      <c r="B9888" s="15"/>
      <c r="C9888" s="9"/>
      <c r="D9888" s="15"/>
      <c r="E9888" s="16"/>
      <c r="F9888" s="19"/>
      <c r="G9888" s="20"/>
      <c r="H9888" s="19"/>
    </row>
    <row r="9889">
      <c r="A9889" s="9"/>
      <c r="B9889" s="15"/>
      <c r="C9889" s="9"/>
      <c r="D9889" s="15"/>
      <c r="E9889" s="16"/>
      <c r="F9889" s="19"/>
      <c r="G9889" s="20"/>
      <c r="H9889" s="19"/>
    </row>
    <row r="9890">
      <c r="A9890" s="9"/>
      <c r="B9890" s="15"/>
      <c r="C9890" s="9"/>
      <c r="D9890" s="15"/>
      <c r="E9890" s="16"/>
      <c r="F9890" s="19"/>
      <c r="G9890" s="20"/>
      <c r="H9890" s="19"/>
    </row>
    <row r="9891">
      <c r="A9891" s="9"/>
      <c r="B9891" s="15"/>
      <c r="C9891" s="9"/>
      <c r="D9891" s="15"/>
      <c r="E9891" s="16"/>
      <c r="F9891" s="19"/>
      <c r="G9891" s="20"/>
      <c r="H9891" s="19"/>
    </row>
    <row r="9892">
      <c r="A9892" s="9"/>
      <c r="B9892" s="15"/>
      <c r="C9892" s="9"/>
      <c r="D9892" s="15"/>
      <c r="E9892" s="16"/>
      <c r="F9892" s="19"/>
      <c r="G9892" s="20"/>
      <c r="H9892" s="19"/>
    </row>
    <row r="9893">
      <c r="A9893" s="9"/>
      <c r="B9893" s="15"/>
      <c r="C9893" s="9"/>
      <c r="D9893" s="15"/>
      <c r="E9893" s="16"/>
      <c r="F9893" s="19"/>
      <c r="G9893" s="20"/>
      <c r="H9893" s="19"/>
    </row>
    <row r="9894">
      <c r="A9894" s="9"/>
      <c r="B9894" s="15"/>
      <c r="C9894" s="9"/>
      <c r="D9894" s="15"/>
      <c r="E9894" s="16"/>
      <c r="F9894" s="19"/>
      <c r="G9894" s="20"/>
      <c r="H9894" s="19"/>
    </row>
    <row r="9895">
      <c r="A9895" s="9"/>
      <c r="B9895" s="15"/>
      <c r="C9895" s="9"/>
      <c r="D9895" s="15"/>
      <c r="E9895" s="16"/>
      <c r="F9895" s="19"/>
      <c r="G9895" s="20"/>
      <c r="H9895" s="19"/>
    </row>
    <row r="9896">
      <c r="A9896" s="9"/>
      <c r="B9896" s="15"/>
      <c r="C9896" s="9"/>
      <c r="D9896" s="15"/>
      <c r="E9896" s="16"/>
      <c r="F9896" s="19"/>
      <c r="G9896" s="20"/>
      <c r="H9896" s="19"/>
    </row>
    <row r="9897">
      <c r="A9897" s="9"/>
      <c r="B9897" s="15"/>
      <c r="C9897" s="9"/>
      <c r="D9897" s="15"/>
      <c r="E9897" s="16"/>
      <c r="F9897" s="19"/>
      <c r="G9897" s="20"/>
      <c r="H9897" s="19"/>
    </row>
    <row r="9898">
      <c r="A9898" s="9"/>
      <c r="B9898" s="15"/>
      <c r="C9898" s="9"/>
      <c r="D9898" s="15"/>
      <c r="E9898" s="16"/>
      <c r="F9898" s="19"/>
      <c r="G9898" s="20"/>
      <c r="H9898" s="19"/>
    </row>
    <row r="9899">
      <c r="A9899" s="9"/>
      <c r="B9899" s="15"/>
      <c r="C9899" s="9"/>
      <c r="D9899" s="15"/>
      <c r="E9899" s="16"/>
      <c r="F9899" s="19"/>
      <c r="G9899" s="20"/>
      <c r="H9899" s="19"/>
    </row>
    <row r="9900">
      <c r="A9900" s="9"/>
      <c r="B9900" s="15"/>
      <c r="C9900" s="9"/>
      <c r="D9900" s="15"/>
      <c r="E9900" s="16"/>
      <c r="F9900" s="19"/>
      <c r="G9900" s="20"/>
      <c r="H9900" s="19"/>
    </row>
    <row r="9901">
      <c r="A9901" s="9"/>
      <c r="B9901" s="15"/>
      <c r="C9901" s="9"/>
      <c r="D9901" s="15"/>
      <c r="E9901" s="16"/>
      <c r="F9901" s="19"/>
      <c r="G9901" s="20"/>
      <c r="H9901" s="19"/>
    </row>
    <row r="9902">
      <c r="A9902" s="9"/>
      <c r="B9902" s="15"/>
      <c r="C9902" s="9"/>
      <c r="D9902" s="15"/>
      <c r="E9902" s="16"/>
      <c r="F9902" s="19"/>
      <c r="G9902" s="20"/>
      <c r="H9902" s="19"/>
    </row>
    <row r="9903">
      <c r="A9903" s="9"/>
      <c r="B9903" s="15"/>
      <c r="C9903" s="9"/>
      <c r="D9903" s="15"/>
      <c r="E9903" s="16"/>
      <c r="F9903" s="19"/>
      <c r="G9903" s="20"/>
      <c r="H9903" s="19"/>
    </row>
    <row r="9904">
      <c r="A9904" s="9"/>
      <c r="B9904" s="15"/>
      <c r="C9904" s="9"/>
      <c r="D9904" s="15"/>
      <c r="E9904" s="16"/>
      <c r="F9904" s="19"/>
      <c r="G9904" s="20"/>
      <c r="H9904" s="19"/>
    </row>
    <row r="9905">
      <c r="A9905" s="9"/>
      <c r="B9905" s="15"/>
      <c r="C9905" s="9"/>
      <c r="D9905" s="15"/>
      <c r="E9905" s="16"/>
      <c r="F9905" s="19"/>
      <c r="G9905" s="20"/>
      <c r="H9905" s="19"/>
    </row>
    <row r="9906">
      <c r="A9906" s="9"/>
      <c r="B9906" s="15"/>
      <c r="C9906" s="9"/>
      <c r="D9906" s="15"/>
      <c r="E9906" s="16"/>
      <c r="F9906" s="19"/>
      <c r="G9906" s="20"/>
      <c r="H9906" s="19"/>
    </row>
    <row r="9907">
      <c r="A9907" s="9"/>
      <c r="B9907" s="15"/>
      <c r="C9907" s="9"/>
      <c r="D9907" s="15"/>
      <c r="E9907" s="16"/>
      <c r="F9907" s="19"/>
      <c r="G9907" s="20"/>
      <c r="H9907" s="19"/>
    </row>
    <row r="9908">
      <c r="A9908" s="9"/>
      <c r="B9908" s="15"/>
      <c r="C9908" s="9"/>
      <c r="D9908" s="15"/>
      <c r="E9908" s="16"/>
      <c r="F9908" s="19"/>
      <c r="G9908" s="20"/>
      <c r="H9908" s="19"/>
    </row>
    <row r="9909">
      <c r="A9909" s="9"/>
      <c r="B9909" s="15"/>
      <c r="C9909" s="9"/>
      <c r="D9909" s="15"/>
      <c r="E9909" s="16"/>
      <c r="F9909" s="19"/>
      <c r="G9909" s="20"/>
      <c r="H9909" s="19"/>
    </row>
    <row r="9910">
      <c r="A9910" s="9"/>
      <c r="B9910" s="15"/>
      <c r="C9910" s="9"/>
      <c r="D9910" s="15"/>
      <c r="E9910" s="16"/>
      <c r="F9910" s="19"/>
      <c r="G9910" s="20"/>
      <c r="H9910" s="19"/>
    </row>
    <row r="9911">
      <c r="A9911" s="9"/>
      <c r="B9911" s="15"/>
      <c r="C9911" s="9"/>
      <c r="D9911" s="15"/>
      <c r="E9911" s="16"/>
      <c r="F9911" s="19"/>
      <c r="G9911" s="20"/>
      <c r="H9911" s="19"/>
    </row>
    <row r="9912">
      <c r="A9912" s="9"/>
      <c r="B9912" s="15"/>
      <c r="C9912" s="9"/>
      <c r="D9912" s="15"/>
      <c r="E9912" s="16"/>
      <c r="F9912" s="19"/>
      <c r="G9912" s="20"/>
      <c r="H9912" s="19"/>
    </row>
    <row r="9913">
      <c r="A9913" s="9"/>
      <c r="B9913" s="15"/>
      <c r="C9913" s="9"/>
      <c r="D9913" s="15"/>
      <c r="E9913" s="16"/>
      <c r="F9913" s="19"/>
      <c r="G9913" s="20"/>
      <c r="H9913" s="19"/>
    </row>
    <row r="9914">
      <c r="A9914" s="9"/>
      <c r="B9914" s="15"/>
      <c r="C9914" s="9"/>
      <c r="D9914" s="15"/>
      <c r="E9914" s="16"/>
      <c r="F9914" s="19"/>
      <c r="G9914" s="20"/>
      <c r="H9914" s="19"/>
    </row>
    <row r="9915">
      <c r="A9915" s="9"/>
      <c r="B9915" s="15"/>
      <c r="C9915" s="9"/>
      <c r="D9915" s="15"/>
      <c r="E9915" s="16"/>
      <c r="F9915" s="19"/>
      <c r="G9915" s="20"/>
      <c r="H9915" s="19"/>
    </row>
    <row r="9916">
      <c r="A9916" s="9"/>
      <c r="B9916" s="15"/>
      <c r="C9916" s="9"/>
      <c r="D9916" s="15"/>
      <c r="E9916" s="16"/>
      <c r="F9916" s="19"/>
      <c r="G9916" s="20"/>
      <c r="H9916" s="19"/>
    </row>
    <row r="9917">
      <c r="A9917" s="9"/>
      <c r="B9917" s="15"/>
      <c r="C9917" s="9"/>
      <c r="D9917" s="15"/>
      <c r="E9917" s="16"/>
      <c r="F9917" s="19"/>
      <c r="G9917" s="20"/>
      <c r="H9917" s="19"/>
    </row>
    <row r="9918">
      <c r="A9918" s="9"/>
      <c r="B9918" s="15"/>
      <c r="C9918" s="9"/>
      <c r="D9918" s="15"/>
      <c r="E9918" s="16"/>
      <c r="F9918" s="19"/>
      <c r="G9918" s="20"/>
      <c r="H9918" s="19"/>
    </row>
    <row r="9919">
      <c r="A9919" s="9"/>
      <c r="B9919" s="15"/>
      <c r="C9919" s="9"/>
      <c r="D9919" s="15"/>
      <c r="E9919" s="16"/>
      <c r="F9919" s="19"/>
      <c r="G9919" s="20"/>
      <c r="H9919" s="19"/>
    </row>
    <row r="9920">
      <c r="A9920" s="9"/>
      <c r="B9920" s="15"/>
      <c r="C9920" s="9"/>
      <c r="D9920" s="15"/>
      <c r="E9920" s="16"/>
      <c r="F9920" s="19"/>
      <c r="G9920" s="20"/>
      <c r="H9920" s="19"/>
    </row>
    <row r="9921">
      <c r="A9921" s="9"/>
      <c r="B9921" s="15"/>
      <c r="C9921" s="9"/>
      <c r="D9921" s="15"/>
      <c r="E9921" s="16"/>
      <c r="F9921" s="19"/>
      <c r="G9921" s="20"/>
      <c r="H9921" s="19"/>
    </row>
    <row r="9922">
      <c r="A9922" s="9"/>
      <c r="B9922" s="15"/>
      <c r="C9922" s="9"/>
      <c r="D9922" s="15"/>
      <c r="E9922" s="16"/>
      <c r="F9922" s="19"/>
      <c r="G9922" s="20"/>
      <c r="H9922" s="19"/>
    </row>
    <row r="9923">
      <c r="A9923" s="9"/>
      <c r="B9923" s="15"/>
      <c r="C9923" s="9"/>
      <c r="D9923" s="15"/>
      <c r="E9923" s="16"/>
      <c r="F9923" s="19"/>
      <c r="G9923" s="20"/>
      <c r="H9923" s="19"/>
    </row>
    <row r="9924">
      <c r="A9924" s="9"/>
      <c r="B9924" s="15"/>
      <c r="C9924" s="9"/>
      <c r="D9924" s="15"/>
      <c r="E9924" s="16"/>
      <c r="F9924" s="19"/>
      <c r="G9924" s="20"/>
      <c r="H9924" s="19"/>
    </row>
    <row r="9925">
      <c r="A9925" s="9"/>
      <c r="B9925" s="15"/>
      <c r="C9925" s="9"/>
      <c r="D9925" s="15"/>
      <c r="E9925" s="16"/>
      <c r="F9925" s="19"/>
      <c r="G9925" s="20"/>
      <c r="H9925" s="19"/>
    </row>
    <row r="9926">
      <c r="A9926" s="9"/>
      <c r="B9926" s="15"/>
      <c r="C9926" s="9"/>
      <c r="D9926" s="15"/>
      <c r="E9926" s="16"/>
      <c r="F9926" s="19"/>
      <c r="G9926" s="20"/>
      <c r="H9926" s="19"/>
    </row>
    <row r="9927">
      <c r="A9927" s="9"/>
      <c r="B9927" s="15"/>
      <c r="C9927" s="9"/>
      <c r="D9927" s="15"/>
      <c r="E9927" s="16"/>
      <c r="F9927" s="19"/>
      <c r="G9927" s="20"/>
      <c r="H9927" s="19"/>
    </row>
    <row r="9928">
      <c r="A9928" s="9"/>
      <c r="B9928" s="15"/>
      <c r="C9928" s="9"/>
      <c r="D9928" s="15"/>
      <c r="E9928" s="16"/>
      <c r="F9928" s="19"/>
      <c r="G9928" s="20"/>
      <c r="H9928" s="19"/>
    </row>
    <row r="9929">
      <c r="A9929" s="9"/>
      <c r="B9929" s="15"/>
      <c r="C9929" s="9"/>
      <c r="D9929" s="15"/>
      <c r="E9929" s="16"/>
      <c r="F9929" s="19"/>
      <c r="G9929" s="20"/>
      <c r="H9929" s="19"/>
    </row>
    <row r="9930">
      <c r="A9930" s="9"/>
      <c r="B9930" s="15"/>
      <c r="C9930" s="9"/>
      <c r="D9930" s="15"/>
      <c r="E9930" s="16"/>
      <c r="F9930" s="19"/>
      <c r="G9930" s="20"/>
      <c r="H9930" s="19"/>
    </row>
    <row r="9931">
      <c r="A9931" s="9"/>
      <c r="B9931" s="15"/>
      <c r="C9931" s="9"/>
      <c r="D9931" s="15"/>
      <c r="E9931" s="16"/>
      <c r="F9931" s="19"/>
      <c r="G9931" s="20"/>
      <c r="H9931" s="19"/>
    </row>
    <row r="9932">
      <c r="A9932" s="9"/>
      <c r="B9932" s="15"/>
      <c r="C9932" s="9"/>
      <c r="D9932" s="15"/>
      <c r="E9932" s="16"/>
      <c r="F9932" s="19"/>
      <c r="G9932" s="20"/>
      <c r="H9932" s="19"/>
    </row>
    <row r="9933">
      <c r="A9933" s="9"/>
      <c r="B9933" s="15"/>
      <c r="C9933" s="9"/>
      <c r="D9933" s="15"/>
      <c r="E9933" s="16"/>
      <c r="F9933" s="19"/>
      <c r="G9933" s="20"/>
      <c r="H9933" s="19"/>
    </row>
    <row r="9934">
      <c r="A9934" s="9"/>
      <c r="B9934" s="15"/>
      <c r="C9934" s="9"/>
      <c r="D9934" s="15"/>
      <c r="E9934" s="16"/>
      <c r="F9934" s="19"/>
      <c r="G9934" s="20"/>
      <c r="H9934" s="19"/>
    </row>
    <row r="9935">
      <c r="A9935" s="9"/>
      <c r="B9935" s="15"/>
      <c r="C9935" s="9"/>
      <c r="D9935" s="15"/>
      <c r="E9935" s="16"/>
      <c r="F9935" s="19"/>
      <c r="G9935" s="20"/>
      <c r="H9935" s="19"/>
    </row>
    <row r="9936">
      <c r="A9936" s="9"/>
      <c r="B9936" s="15"/>
      <c r="C9936" s="9"/>
      <c r="D9936" s="15"/>
      <c r="E9936" s="16"/>
      <c r="F9936" s="19"/>
      <c r="G9936" s="20"/>
      <c r="H9936" s="19"/>
    </row>
    <row r="9937">
      <c r="A9937" s="9"/>
      <c r="B9937" s="15"/>
      <c r="C9937" s="9"/>
      <c r="D9937" s="15"/>
      <c r="E9937" s="16"/>
      <c r="F9937" s="19"/>
      <c r="G9937" s="20"/>
      <c r="H9937" s="19"/>
    </row>
    <row r="9938">
      <c r="A9938" s="9"/>
      <c r="B9938" s="15"/>
      <c r="C9938" s="9"/>
      <c r="D9938" s="15"/>
      <c r="E9938" s="16"/>
      <c r="F9938" s="19"/>
      <c r="G9938" s="20"/>
      <c r="H9938" s="19"/>
    </row>
    <row r="9939">
      <c r="A9939" s="9"/>
      <c r="B9939" s="15"/>
      <c r="C9939" s="9"/>
      <c r="D9939" s="15"/>
      <c r="E9939" s="16"/>
      <c r="F9939" s="19"/>
      <c r="G9939" s="20"/>
      <c r="H9939" s="19"/>
    </row>
    <row r="9940">
      <c r="A9940" s="9"/>
      <c r="B9940" s="15"/>
      <c r="C9940" s="9"/>
      <c r="D9940" s="15"/>
      <c r="E9940" s="16"/>
      <c r="F9940" s="19"/>
      <c r="G9940" s="20"/>
      <c r="H9940" s="19"/>
    </row>
    <row r="9941">
      <c r="A9941" s="9"/>
      <c r="B9941" s="15"/>
      <c r="C9941" s="9"/>
      <c r="D9941" s="15"/>
      <c r="E9941" s="16"/>
      <c r="F9941" s="19"/>
      <c r="G9941" s="20"/>
      <c r="H9941" s="19"/>
    </row>
    <row r="9942">
      <c r="A9942" s="9"/>
      <c r="B9942" s="15"/>
      <c r="C9942" s="9"/>
      <c r="D9942" s="15"/>
      <c r="E9942" s="16"/>
      <c r="F9942" s="19"/>
      <c r="G9942" s="20"/>
      <c r="H9942" s="19"/>
    </row>
    <row r="9943">
      <c r="A9943" s="9"/>
      <c r="B9943" s="15"/>
      <c r="C9943" s="9"/>
      <c r="D9943" s="15"/>
      <c r="E9943" s="16"/>
      <c r="F9943" s="19"/>
      <c r="G9943" s="20"/>
      <c r="H9943" s="19"/>
    </row>
    <row r="9944">
      <c r="A9944" s="9"/>
      <c r="B9944" s="15"/>
      <c r="C9944" s="9"/>
      <c r="D9944" s="15"/>
      <c r="E9944" s="16"/>
      <c r="F9944" s="19"/>
      <c r="G9944" s="20"/>
      <c r="H9944" s="19"/>
    </row>
    <row r="9945">
      <c r="A9945" s="9"/>
      <c r="B9945" s="15"/>
      <c r="C9945" s="9"/>
      <c r="D9945" s="15"/>
      <c r="E9945" s="16"/>
      <c r="F9945" s="19"/>
      <c r="G9945" s="20"/>
      <c r="H9945" s="19"/>
    </row>
    <row r="9946">
      <c r="A9946" s="9"/>
      <c r="B9946" s="15"/>
      <c r="C9946" s="9"/>
      <c r="D9946" s="15"/>
      <c r="E9946" s="16"/>
      <c r="F9946" s="19"/>
      <c r="G9946" s="20"/>
      <c r="H9946" s="19"/>
    </row>
    <row r="9947">
      <c r="A9947" s="9"/>
      <c r="B9947" s="15"/>
      <c r="C9947" s="9"/>
      <c r="D9947" s="15"/>
      <c r="E9947" s="16"/>
      <c r="F9947" s="19"/>
      <c r="G9947" s="20"/>
      <c r="H9947" s="19"/>
    </row>
    <row r="9948">
      <c r="A9948" s="9"/>
      <c r="B9948" s="15"/>
      <c r="C9948" s="9"/>
      <c r="D9948" s="15"/>
      <c r="E9948" s="16"/>
      <c r="F9948" s="19"/>
      <c r="G9948" s="20"/>
      <c r="H9948" s="19"/>
    </row>
    <row r="9949">
      <c r="A9949" s="9"/>
      <c r="B9949" s="15"/>
      <c r="C9949" s="9"/>
      <c r="D9949" s="15"/>
      <c r="E9949" s="16"/>
      <c r="F9949" s="19"/>
      <c r="G9949" s="20"/>
      <c r="H9949" s="19"/>
    </row>
    <row r="9950">
      <c r="A9950" s="9"/>
      <c r="B9950" s="15"/>
      <c r="C9950" s="9"/>
      <c r="D9950" s="15"/>
      <c r="E9950" s="16"/>
      <c r="F9950" s="19"/>
      <c r="G9950" s="20"/>
      <c r="H9950" s="19"/>
    </row>
    <row r="9951">
      <c r="A9951" s="9"/>
      <c r="B9951" s="15"/>
      <c r="C9951" s="9"/>
      <c r="D9951" s="15"/>
      <c r="E9951" s="16"/>
      <c r="F9951" s="19"/>
      <c r="G9951" s="20"/>
      <c r="H9951" s="19"/>
    </row>
    <row r="9952">
      <c r="A9952" s="9"/>
      <c r="B9952" s="15"/>
      <c r="C9952" s="9"/>
      <c r="D9952" s="15"/>
      <c r="E9952" s="16"/>
      <c r="F9952" s="19"/>
      <c r="G9952" s="20"/>
      <c r="H9952" s="19"/>
    </row>
    <row r="9953">
      <c r="A9953" s="9"/>
      <c r="B9953" s="15"/>
      <c r="C9953" s="9"/>
      <c r="D9953" s="15"/>
      <c r="E9953" s="16"/>
      <c r="F9953" s="19"/>
      <c r="G9953" s="20"/>
      <c r="H9953" s="19"/>
    </row>
    <row r="9954">
      <c r="A9954" s="9"/>
      <c r="B9954" s="15"/>
      <c r="C9954" s="9"/>
      <c r="D9954" s="15"/>
      <c r="E9954" s="16"/>
      <c r="F9954" s="19"/>
      <c r="G9954" s="20"/>
      <c r="H9954" s="19"/>
    </row>
    <row r="9955">
      <c r="A9955" s="9"/>
      <c r="B9955" s="15"/>
      <c r="C9955" s="9"/>
      <c r="D9955" s="15"/>
      <c r="E9955" s="16"/>
      <c r="F9955" s="19"/>
      <c r="G9955" s="20"/>
      <c r="H9955" s="19"/>
    </row>
    <row r="9956">
      <c r="A9956" s="9"/>
      <c r="B9956" s="15"/>
      <c r="C9956" s="9"/>
      <c r="D9956" s="15"/>
      <c r="E9956" s="16"/>
      <c r="F9956" s="19"/>
      <c r="G9956" s="20"/>
      <c r="H9956" s="19"/>
    </row>
    <row r="9957">
      <c r="A9957" s="9"/>
      <c r="B9957" s="15"/>
      <c r="C9957" s="9"/>
      <c r="D9957" s="15"/>
      <c r="E9957" s="16"/>
      <c r="F9957" s="19"/>
      <c r="G9957" s="20"/>
      <c r="H9957" s="19"/>
    </row>
    <row r="9958">
      <c r="A9958" s="9"/>
      <c r="B9958" s="15"/>
      <c r="C9958" s="9"/>
      <c r="D9958" s="15"/>
      <c r="E9958" s="16"/>
      <c r="F9958" s="19"/>
      <c r="G9958" s="20"/>
      <c r="H9958" s="19"/>
    </row>
    <row r="9959">
      <c r="A9959" s="9"/>
      <c r="B9959" s="15"/>
      <c r="C9959" s="9"/>
      <c r="D9959" s="15"/>
      <c r="E9959" s="16"/>
      <c r="F9959" s="19"/>
      <c r="G9959" s="20"/>
      <c r="H9959" s="19"/>
    </row>
    <row r="9960">
      <c r="A9960" s="9"/>
      <c r="B9960" s="15"/>
      <c r="C9960" s="9"/>
      <c r="D9960" s="15"/>
      <c r="E9960" s="16"/>
      <c r="F9960" s="19"/>
      <c r="G9960" s="20"/>
      <c r="H9960" s="19"/>
    </row>
    <row r="9961">
      <c r="A9961" s="9"/>
      <c r="B9961" s="15"/>
      <c r="C9961" s="9"/>
      <c r="D9961" s="15"/>
      <c r="E9961" s="16"/>
      <c r="F9961" s="19"/>
      <c r="G9961" s="20"/>
      <c r="H9961" s="19"/>
    </row>
    <row r="9962">
      <c r="A9962" s="9"/>
      <c r="B9962" s="15"/>
      <c r="C9962" s="9"/>
      <c r="D9962" s="15"/>
      <c r="E9962" s="16"/>
      <c r="F9962" s="19"/>
      <c r="G9962" s="20"/>
      <c r="H9962" s="19"/>
    </row>
    <row r="9963">
      <c r="A9963" s="9"/>
      <c r="B9963" s="15"/>
      <c r="C9963" s="9"/>
      <c r="D9963" s="15"/>
      <c r="E9963" s="16"/>
      <c r="F9963" s="19"/>
      <c r="G9963" s="20"/>
      <c r="H9963" s="19"/>
    </row>
    <row r="9964">
      <c r="A9964" s="9"/>
      <c r="B9964" s="15"/>
      <c r="C9964" s="9"/>
      <c r="D9964" s="15"/>
      <c r="E9964" s="16"/>
      <c r="F9964" s="19"/>
      <c r="G9964" s="20"/>
      <c r="H9964" s="19"/>
    </row>
    <row r="9965">
      <c r="A9965" s="9"/>
      <c r="B9965" s="15"/>
      <c r="C9965" s="9"/>
      <c r="D9965" s="15"/>
      <c r="E9965" s="16"/>
      <c r="F9965" s="19"/>
      <c r="G9965" s="20"/>
      <c r="H9965" s="19"/>
    </row>
    <row r="9966">
      <c r="A9966" s="9"/>
      <c r="B9966" s="15"/>
      <c r="C9966" s="9"/>
      <c r="D9966" s="15"/>
      <c r="E9966" s="16"/>
      <c r="F9966" s="19"/>
      <c r="G9966" s="20"/>
      <c r="H9966" s="19"/>
    </row>
    <row r="9967">
      <c r="A9967" s="9"/>
      <c r="B9967" s="15"/>
      <c r="C9967" s="9"/>
      <c r="D9967" s="15"/>
      <c r="E9967" s="16"/>
      <c r="F9967" s="19"/>
      <c r="G9967" s="20"/>
      <c r="H9967" s="19"/>
    </row>
    <row r="9968">
      <c r="A9968" s="9"/>
      <c r="B9968" s="15"/>
      <c r="C9968" s="9"/>
      <c r="D9968" s="15"/>
      <c r="E9968" s="16"/>
      <c r="F9968" s="19"/>
      <c r="G9968" s="20"/>
      <c r="H9968" s="19"/>
    </row>
    <row r="9969">
      <c r="A9969" s="9"/>
      <c r="B9969" s="15"/>
      <c r="C9969" s="9"/>
      <c r="D9969" s="15"/>
      <c r="E9969" s="16"/>
      <c r="F9969" s="19"/>
      <c r="G9969" s="20"/>
      <c r="H9969" s="19"/>
    </row>
    <row r="9970">
      <c r="A9970" s="9"/>
      <c r="B9970" s="15"/>
      <c r="C9970" s="9"/>
      <c r="D9970" s="15"/>
      <c r="E9970" s="16"/>
      <c r="F9970" s="19"/>
      <c r="G9970" s="20"/>
      <c r="H9970" s="19"/>
    </row>
    <row r="9971">
      <c r="A9971" s="9"/>
      <c r="B9971" s="15"/>
      <c r="C9971" s="9"/>
      <c r="D9971" s="15"/>
      <c r="E9971" s="16"/>
      <c r="F9971" s="19"/>
      <c r="G9971" s="20"/>
      <c r="H9971" s="19"/>
    </row>
    <row r="9972">
      <c r="A9972" s="9"/>
      <c r="B9972" s="15"/>
      <c r="C9972" s="9"/>
      <c r="D9972" s="15"/>
      <c r="E9972" s="16"/>
      <c r="F9972" s="19"/>
      <c r="G9972" s="20"/>
      <c r="H9972" s="19"/>
    </row>
    <row r="9973">
      <c r="A9973" s="9"/>
      <c r="B9973" s="15"/>
      <c r="C9973" s="9"/>
      <c r="D9973" s="15"/>
      <c r="E9973" s="16"/>
      <c r="F9973" s="19"/>
      <c r="G9973" s="20"/>
      <c r="H9973" s="19"/>
    </row>
    <row r="9974">
      <c r="A9974" s="9"/>
      <c r="B9974" s="15"/>
      <c r="C9974" s="9"/>
      <c r="D9974" s="15"/>
      <c r="E9974" s="16"/>
      <c r="F9974" s="19"/>
      <c r="G9974" s="20"/>
      <c r="H9974" s="19"/>
    </row>
    <row r="9975">
      <c r="A9975" s="9"/>
      <c r="B9975" s="15"/>
      <c r="C9975" s="9"/>
      <c r="D9975" s="15"/>
      <c r="E9975" s="16"/>
      <c r="F9975" s="19"/>
      <c r="G9975" s="20"/>
      <c r="H9975" s="19"/>
    </row>
    <row r="9976">
      <c r="A9976" s="9"/>
      <c r="B9976" s="15"/>
      <c r="C9976" s="9"/>
      <c r="D9976" s="15"/>
      <c r="E9976" s="16"/>
      <c r="F9976" s="19"/>
      <c r="G9976" s="20"/>
      <c r="H9976" s="19"/>
    </row>
    <row r="9977">
      <c r="A9977" s="9"/>
      <c r="B9977" s="15"/>
      <c r="C9977" s="9"/>
      <c r="D9977" s="15"/>
      <c r="E9977" s="16"/>
      <c r="F9977" s="19"/>
      <c r="G9977" s="20"/>
      <c r="H9977" s="19"/>
    </row>
    <row r="9978">
      <c r="A9978" s="9"/>
      <c r="B9978" s="15"/>
      <c r="C9978" s="9"/>
      <c r="D9978" s="15"/>
      <c r="E9978" s="16"/>
      <c r="F9978" s="19"/>
      <c r="G9978" s="20"/>
      <c r="H9978" s="19"/>
    </row>
  </sheetData>
  <dataValidations>
    <dataValidation type="list" allowBlank="1" showErrorMessage="1" sqref="B6">
      <formula1>"SG,Plato"</formula1>
    </dataValidation>
    <dataValidation type="list" allowBlank="1" showErrorMessage="1" sqref="B5">
      <formula1>"Celsius,Fahrenheit"</formula1>
    </dataValidation>
    <dataValidation type="list" allowBlank="1" sqref="A22">
      <formula1>"Standard Method ABV:,Alternate Method ABV:,UK HMRC Method ABV:,Wine Method ABV:"</formula1>
    </dataValidation>
    <dataValidation type="list" allowBlank="1" sqref="B4">
      <formula1>"all,last 3 days,last 2 days,last 1 day,last .5 days"</formula1>
    </dataValidation>
  </dataValidations>
  <drawing r:id="rId2"/>
  <legacyDrawing r:id="rId3"/>
  <extLst>
    <ext uri="{05C60535-1F16-4fd2-B633-F4F36F0B64E0}">
      <x14:sparklineGroups>
        <x14:sparklineGroup displayEmptyCellsAs="gap" rightToLeft="1">
          <x14:colorSeries rgb="FF000000"/>
          <x14:sparklines>
            <x14:sparkline>
              <xm:f>Report!D:D</xm:f>
              <xm:sqref>B7</xm:sqref>
            </x14:sparkline>
          </x14:sparklines>
        </x14:sparklineGroup>
        <x14:sparklineGroup displayEmptyCellsAs="gap" rightToLeft="1">
          <x14:colorSeries rgb="FFFF0000"/>
          <x14:sparklines>
            <x14:sparkline>
              <xm:f>Report!E:E</xm:f>
              <xm:sqref>B14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" width="11.71"/>
    <col customWidth="1" min="3" max="3" width="5.57"/>
    <col customWidth="1" min="4" max="4" width="6.0"/>
    <col customWidth="1" min="5" max="5" width="9.0"/>
    <col customWidth="1" min="6" max="6" width="18.14"/>
    <col customWidth="1" min="7" max="7" width="19.71"/>
  </cols>
  <sheetData>
    <row r="1">
      <c r="A1" s="46" t="s">
        <v>19</v>
      </c>
      <c r="B1" s="47" t="s">
        <v>20</v>
      </c>
      <c r="C1" s="48" t="s">
        <v>8</v>
      </c>
      <c r="D1" s="48" t="s">
        <v>21</v>
      </c>
      <c r="E1" s="48" t="s">
        <v>22</v>
      </c>
      <c r="F1" s="48" t="s">
        <v>23</v>
      </c>
      <c r="G1" s="48" t="s">
        <v>24</v>
      </c>
    </row>
    <row r="2">
      <c r="A2" s="49">
        <v>44512.64474278935</v>
      </c>
      <c r="B2" s="50">
        <v>44512.7696249652</v>
      </c>
      <c r="C2" s="51">
        <v>1.105</v>
      </c>
      <c r="D2" s="51">
        <v>70.0</v>
      </c>
      <c r="E2" s="52" t="s">
        <v>25</v>
      </c>
      <c r="F2" s="52" t="s">
        <v>26</v>
      </c>
      <c r="G2" s="53"/>
    </row>
    <row r="3">
      <c r="A3" s="49">
        <v>44512.644831631944</v>
      </c>
      <c r="B3" s="50">
        <v>44512.7698111689</v>
      </c>
      <c r="C3" s="51">
        <v>1.106</v>
      </c>
      <c r="D3" s="51">
        <v>71.0</v>
      </c>
      <c r="E3" s="52" t="s">
        <v>25</v>
      </c>
      <c r="F3" s="52" t="s">
        <v>26</v>
      </c>
      <c r="G3" s="53"/>
    </row>
    <row r="4">
      <c r="A4" s="49">
        <v>44512.68858315972</v>
      </c>
      <c r="B4" s="50">
        <v>44512.7686278703</v>
      </c>
      <c r="C4" s="51">
        <v>1.109</v>
      </c>
      <c r="D4" s="51">
        <v>75.0</v>
      </c>
      <c r="E4" s="52" t="s">
        <v>25</v>
      </c>
      <c r="F4" s="52" t="s">
        <v>26</v>
      </c>
      <c r="G4" s="53"/>
    </row>
    <row r="5">
      <c r="A5" s="49">
        <v>44512.68877916667</v>
      </c>
      <c r="B5" s="50">
        <v>44512.8137625</v>
      </c>
      <c r="C5" s="51">
        <v>1.109</v>
      </c>
      <c r="D5" s="51">
        <v>75.0</v>
      </c>
      <c r="E5" s="52" t="s">
        <v>25</v>
      </c>
      <c r="F5" s="52" t="s">
        <v>26</v>
      </c>
      <c r="G5" s="53"/>
    </row>
    <row r="6">
      <c r="A6" s="49">
        <v>44512.69921510416</v>
      </c>
      <c r="B6" s="50">
        <v>44512.824194699</v>
      </c>
      <c r="C6" s="51">
        <v>1.109</v>
      </c>
      <c r="D6" s="51">
        <v>73.0</v>
      </c>
      <c r="E6" s="52" t="s">
        <v>25</v>
      </c>
      <c r="F6" s="52" t="s">
        <v>26</v>
      </c>
      <c r="G6" s="53"/>
    </row>
    <row r="7">
      <c r="A7" s="49">
        <v>44512.709641203706</v>
      </c>
      <c r="B7" s="50">
        <v>44512.8346158564</v>
      </c>
      <c r="C7" s="51">
        <v>1.109</v>
      </c>
      <c r="D7" s="51">
        <v>72.0</v>
      </c>
      <c r="E7" s="52" t="s">
        <v>25</v>
      </c>
      <c r="F7" s="52" t="s">
        <v>26</v>
      </c>
      <c r="G7" s="53"/>
    </row>
    <row r="8">
      <c r="A8" s="49">
        <v>44512.720058321764</v>
      </c>
      <c r="B8" s="50">
        <v>44512.8450358912</v>
      </c>
      <c r="C8" s="51">
        <v>1.109</v>
      </c>
      <c r="D8" s="51">
        <v>70.0</v>
      </c>
      <c r="E8" s="52" t="s">
        <v>25</v>
      </c>
      <c r="F8" s="52" t="s">
        <v>26</v>
      </c>
      <c r="G8" s="53"/>
    </row>
    <row r="9">
      <c r="A9" s="49">
        <v>44512.730488981484</v>
      </c>
      <c r="B9" s="50">
        <v>44512.8554582175</v>
      </c>
      <c r="C9" s="51">
        <v>1.109</v>
      </c>
      <c r="D9" s="51">
        <v>69.0</v>
      </c>
      <c r="E9" s="52" t="s">
        <v>25</v>
      </c>
      <c r="F9" s="52" t="s">
        <v>26</v>
      </c>
      <c r="G9" s="53"/>
    </row>
    <row r="10">
      <c r="A10" s="49">
        <v>44512.740898240736</v>
      </c>
      <c r="B10" s="50">
        <v>44512.8658801388</v>
      </c>
      <c r="C10" s="51">
        <v>1.109</v>
      </c>
      <c r="D10" s="51">
        <v>68.0</v>
      </c>
      <c r="E10" s="52" t="s">
        <v>25</v>
      </c>
      <c r="F10" s="52" t="s">
        <v>26</v>
      </c>
      <c r="G10" s="53"/>
    </row>
    <row r="11">
      <c r="A11" s="49">
        <v>44512.751327418984</v>
      </c>
      <c r="B11" s="50">
        <v>44512.8763016435</v>
      </c>
      <c r="C11" s="51">
        <v>1.109</v>
      </c>
      <c r="D11" s="51">
        <v>67.0</v>
      </c>
      <c r="E11" s="52" t="s">
        <v>25</v>
      </c>
      <c r="F11" s="52" t="s">
        <v>26</v>
      </c>
      <c r="G11" s="53"/>
    </row>
    <row r="12">
      <c r="A12" s="49">
        <v>44512.76175612268</v>
      </c>
      <c r="B12" s="50">
        <v>44512.8867335879</v>
      </c>
      <c r="C12" s="51">
        <v>1.11</v>
      </c>
      <c r="D12" s="51">
        <v>66.0</v>
      </c>
      <c r="E12" s="52" t="s">
        <v>25</v>
      </c>
      <c r="F12" s="52" t="s">
        <v>26</v>
      </c>
      <c r="G12" s="53"/>
    </row>
    <row r="13">
      <c r="A13" s="49">
        <v>44512.77218622685</v>
      </c>
      <c r="B13" s="50">
        <v>44512.897153368</v>
      </c>
      <c r="C13" s="51">
        <v>1.11</v>
      </c>
      <c r="D13" s="51">
        <v>65.0</v>
      </c>
      <c r="E13" s="52" t="s">
        <v>25</v>
      </c>
      <c r="F13" s="52" t="s">
        <v>26</v>
      </c>
      <c r="G13" s="53"/>
    </row>
    <row r="14">
      <c r="A14" s="49">
        <v>44512.782618032405</v>
      </c>
      <c r="B14" s="50">
        <v>44512.9075865856</v>
      </c>
      <c r="C14" s="51">
        <v>1.11</v>
      </c>
      <c r="D14" s="51">
        <v>64.0</v>
      </c>
      <c r="E14" s="52" t="s">
        <v>25</v>
      </c>
      <c r="F14" s="52" t="s">
        <v>26</v>
      </c>
      <c r="G14" s="53"/>
    </row>
    <row r="15">
      <c r="A15" s="49">
        <v>44512.79303390047</v>
      </c>
      <c r="B15" s="50">
        <v>44512.9180078935</v>
      </c>
      <c r="C15" s="51">
        <v>1.11</v>
      </c>
      <c r="D15" s="51">
        <v>64.0</v>
      </c>
      <c r="E15" s="52" t="s">
        <v>25</v>
      </c>
      <c r="F15" s="52" t="s">
        <v>26</v>
      </c>
      <c r="G15" s="53"/>
    </row>
    <row r="16">
      <c r="A16" s="49">
        <v>44512.80345969908</v>
      </c>
      <c r="B16" s="50">
        <v>44512.9284395138</v>
      </c>
      <c r="C16" s="51">
        <v>1.111</v>
      </c>
      <c r="D16" s="51">
        <v>64.0</v>
      </c>
      <c r="E16" s="52" t="s">
        <v>25</v>
      </c>
      <c r="F16" s="52" t="s">
        <v>26</v>
      </c>
      <c r="G16" s="53"/>
    </row>
    <row r="17">
      <c r="A17" s="49">
        <v>44512.813891909725</v>
      </c>
      <c r="B17" s="50">
        <v>44512.9388721874</v>
      </c>
      <c r="C17" s="51">
        <v>1.111</v>
      </c>
      <c r="D17" s="51">
        <v>64.0</v>
      </c>
      <c r="E17" s="52" t="s">
        <v>25</v>
      </c>
      <c r="F17" s="52" t="s">
        <v>26</v>
      </c>
      <c r="G17" s="53"/>
    </row>
    <row r="18">
      <c r="A18" s="49">
        <v>44512.82431457176</v>
      </c>
      <c r="B18" s="50">
        <v>44512.949291875</v>
      </c>
      <c r="C18" s="51">
        <v>1.111</v>
      </c>
      <c r="D18" s="51">
        <v>64.0</v>
      </c>
      <c r="E18" s="52" t="s">
        <v>25</v>
      </c>
      <c r="F18" s="52" t="s">
        <v>26</v>
      </c>
      <c r="G18" s="53"/>
    </row>
    <row r="19">
      <c r="A19" s="49">
        <v>44512.834734895834</v>
      </c>
      <c r="B19" s="50">
        <v>44512.9597140509</v>
      </c>
      <c r="C19" s="51">
        <v>1.111</v>
      </c>
      <c r="D19" s="51">
        <v>64.0</v>
      </c>
      <c r="E19" s="52" t="s">
        <v>25</v>
      </c>
      <c r="F19" s="52" t="s">
        <v>26</v>
      </c>
      <c r="G19" s="53"/>
    </row>
    <row r="20">
      <c r="A20" s="49">
        <v>44512.84515810185</v>
      </c>
      <c r="B20" s="50">
        <v>44512.9701344328</v>
      </c>
      <c r="C20" s="51">
        <v>1.111</v>
      </c>
      <c r="D20" s="51">
        <v>64.0</v>
      </c>
      <c r="E20" s="52" t="s">
        <v>25</v>
      </c>
      <c r="F20" s="52" t="s">
        <v>26</v>
      </c>
      <c r="G20" s="53"/>
    </row>
    <row r="21">
      <c r="A21" s="49">
        <v>44512.855582557866</v>
      </c>
      <c r="B21" s="50">
        <v>44512.9805558101</v>
      </c>
      <c r="C21" s="51">
        <v>1.11</v>
      </c>
      <c r="D21" s="51">
        <v>64.0</v>
      </c>
      <c r="E21" s="52" t="s">
        <v>25</v>
      </c>
      <c r="F21" s="52" t="s">
        <v>26</v>
      </c>
      <c r="G21" s="53"/>
    </row>
    <row r="22">
      <c r="A22" s="49">
        <v>44512.86601099537</v>
      </c>
      <c r="B22" s="50">
        <v>44512.9909783217</v>
      </c>
      <c r="C22" s="51">
        <v>1.11</v>
      </c>
      <c r="D22" s="51">
        <v>65.0</v>
      </c>
      <c r="E22" s="52" t="s">
        <v>25</v>
      </c>
      <c r="F22" s="52" t="s">
        <v>26</v>
      </c>
      <c r="G22" s="53"/>
    </row>
    <row r="23">
      <c r="A23" s="49">
        <v>44512.87644232639</v>
      </c>
      <c r="B23" s="50">
        <v>44513.0014121759</v>
      </c>
      <c r="C23" s="51">
        <v>1.11</v>
      </c>
      <c r="D23" s="51">
        <v>64.0</v>
      </c>
      <c r="E23" s="52" t="s">
        <v>25</v>
      </c>
      <c r="F23" s="52" t="s">
        <v>26</v>
      </c>
      <c r="G23" s="53"/>
    </row>
    <row r="24">
      <c r="A24" s="49">
        <v>44512.88685277778</v>
      </c>
      <c r="B24" s="50">
        <v>44513.011831956</v>
      </c>
      <c r="C24" s="51">
        <v>1.11</v>
      </c>
      <c r="D24" s="51">
        <v>64.0</v>
      </c>
      <c r="E24" s="52" t="s">
        <v>25</v>
      </c>
      <c r="F24" s="52" t="s">
        <v>26</v>
      </c>
      <c r="G24" s="53"/>
    </row>
    <row r="25">
      <c r="A25" s="49">
        <v>44512.89728039352</v>
      </c>
      <c r="B25" s="50">
        <v>44513.0222533912</v>
      </c>
      <c r="C25" s="51">
        <v>1.11</v>
      </c>
      <c r="D25" s="51">
        <v>64.0</v>
      </c>
      <c r="E25" s="52" t="s">
        <v>25</v>
      </c>
      <c r="F25" s="52" t="s">
        <v>26</v>
      </c>
      <c r="G25" s="53"/>
    </row>
    <row r="26">
      <c r="A26" s="49">
        <v>44512.90770649306</v>
      </c>
      <c r="B26" s="50">
        <v>44513.0326757523</v>
      </c>
      <c r="C26" s="51">
        <v>1.11</v>
      </c>
      <c r="D26" s="51">
        <v>65.0</v>
      </c>
      <c r="E26" s="52" t="s">
        <v>25</v>
      </c>
      <c r="F26" s="52" t="s">
        <v>26</v>
      </c>
      <c r="G26" s="53"/>
    </row>
    <row r="27">
      <c r="A27" s="49">
        <v>44512.918120393515</v>
      </c>
      <c r="B27" s="50">
        <v>44513.0430965277</v>
      </c>
      <c r="C27" s="51">
        <v>1.11</v>
      </c>
      <c r="D27" s="51">
        <v>64.0</v>
      </c>
      <c r="E27" s="52" t="s">
        <v>25</v>
      </c>
      <c r="F27" s="52" t="s">
        <v>26</v>
      </c>
      <c r="G27" s="53"/>
    </row>
    <row r="28">
      <c r="A28" s="49">
        <v>44512.92856840278</v>
      </c>
      <c r="B28" s="50">
        <v>44513.053517037</v>
      </c>
      <c r="C28" s="51">
        <v>1.111</v>
      </c>
      <c r="D28" s="51">
        <v>64.0</v>
      </c>
      <c r="E28" s="52" t="s">
        <v>25</v>
      </c>
      <c r="F28" s="52" t="s">
        <v>26</v>
      </c>
      <c r="G28" s="53"/>
    </row>
    <row r="29">
      <c r="A29" s="49">
        <v>44512.93896895833</v>
      </c>
      <c r="B29" s="50">
        <v>44513.0639365046</v>
      </c>
      <c r="C29" s="51">
        <v>1.11</v>
      </c>
      <c r="D29" s="51">
        <v>64.0</v>
      </c>
      <c r="E29" s="52" t="s">
        <v>25</v>
      </c>
      <c r="F29" s="52" t="s">
        <v>26</v>
      </c>
      <c r="G29" s="53"/>
    </row>
    <row r="30">
      <c r="A30" s="49">
        <v>44512.94937425926</v>
      </c>
      <c r="B30" s="50">
        <v>44513.0743572222</v>
      </c>
      <c r="C30" s="51">
        <v>1.11</v>
      </c>
      <c r="D30" s="51">
        <v>64.0</v>
      </c>
      <c r="E30" s="52" t="s">
        <v>25</v>
      </c>
      <c r="F30" s="52" t="s">
        <v>26</v>
      </c>
      <c r="G30" s="53"/>
    </row>
    <row r="31">
      <c r="A31" s="49">
        <v>44512.959798310185</v>
      </c>
      <c r="B31" s="50">
        <v>44513.0847779629</v>
      </c>
      <c r="C31" s="51">
        <v>1.11</v>
      </c>
      <c r="D31" s="51">
        <v>64.0</v>
      </c>
      <c r="E31" s="52" t="s">
        <v>25</v>
      </c>
      <c r="F31" s="52" t="s">
        <v>26</v>
      </c>
      <c r="G31" s="53"/>
    </row>
    <row r="32">
      <c r="A32" s="49">
        <v>44512.97023091435</v>
      </c>
      <c r="B32" s="50">
        <v>44513.0952095254</v>
      </c>
      <c r="C32" s="51">
        <v>1.111</v>
      </c>
      <c r="D32" s="51">
        <v>64.0</v>
      </c>
      <c r="E32" s="52" t="s">
        <v>25</v>
      </c>
      <c r="F32" s="52" t="s">
        <v>26</v>
      </c>
      <c r="G32" s="53"/>
    </row>
    <row r="33">
      <c r="A33" s="49">
        <v>44512.98065353009</v>
      </c>
      <c r="B33" s="50">
        <v>44513.1056301851</v>
      </c>
      <c r="C33" s="51">
        <v>1.111</v>
      </c>
      <c r="D33" s="51">
        <v>64.0</v>
      </c>
      <c r="E33" s="52" t="s">
        <v>25</v>
      </c>
      <c r="F33" s="52" t="s">
        <v>26</v>
      </c>
      <c r="G33" s="53"/>
    </row>
    <row r="34">
      <c r="A34" s="49">
        <v>44512.99109251157</v>
      </c>
      <c r="B34" s="50">
        <v>44513.1160630092</v>
      </c>
      <c r="C34" s="51">
        <v>1.11</v>
      </c>
      <c r="D34" s="51">
        <v>64.0</v>
      </c>
      <c r="E34" s="52" t="s">
        <v>25</v>
      </c>
      <c r="F34" s="52" t="s">
        <v>26</v>
      </c>
      <c r="G34" s="53"/>
    </row>
    <row r="35">
      <c r="A35" s="49">
        <v>44513.00152680556</v>
      </c>
      <c r="B35" s="50">
        <v>44513.1264959606</v>
      </c>
      <c r="C35" s="51">
        <v>1.11</v>
      </c>
      <c r="D35" s="51">
        <v>64.0</v>
      </c>
      <c r="E35" s="52" t="s">
        <v>25</v>
      </c>
      <c r="F35" s="52" t="s">
        <v>26</v>
      </c>
      <c r="G35" s="53"/>
    </row>
    <row r="36">
      <c r="A36" s="49">
        <v>44513.01194340277</v>
      </c>
      <c r="B36" s="50">
        <v>44513.136917824</v>
      </c>
      <c r="C36" s="51">
        <v>1.111</v>
      </c>
      <c r="D36" s="51">
        <v>64.0</v>
      </c>
      <c r="E36" s="52" t="s">
        <v>25</v>
      </c>
      <c r="F36" s="52" t="s">
        <v>26</v>
      </c>
      <c r="G36" s="53"/>
    </row>
    <row r="37">
      <c r="A37" s="49">
        <v>44513.02236405092</v>
      </c>
      <c r="B37" s="50">
        <v>44513.1473387384</v>
      </c>
      <c r="C37" s="51">
        <v>1.111</v>
      </c>
      <c r="D37" s="51">
        <v>64.0</v>
      </c>
      <c r="E37" s="52" t="s">
        <v>25</v>
      </c>
      <c r="F37" s="52" t="s">
        <v>26</v>
      </c>
      <c r="G37" s="53"/>
    </row>
    <row r="38">
      <c r="A38" s="49">
        <v>44513.03278641203</v>
      </c>
      <c r="B38" s="50">
        <v>44513.1577595601</v>
      </c>
      <c r="C38" s="51">
        <v>1.11</v>
      </c>
      <c r="D38" s="51">
        <v>64.0</v>
      </c>
      <c r="E38" s="52" t="s">
        <v>25</v>
      </c>
      <c r="F38" s="52" t="s">
        <v>26</v>
      </c>
      <c r="G38" s="53"/>
    </row>
    <row r="39">
      <c r="A39" s="49">
        <v>44513.04320813657</v>
      </c>
      <c r="B39" s="50">
        <v>44513.1681809722</v>
      </c>
      <c r="C39" s="51">
        <v>1.111</v>
      </c>
      <c r="D39" s="51">
        <v>64.0</v>
      </c>
      <c r="E39" s="52" t="s">
        <v>25</v>
      </c>
      <c r="F39" s="52" t="s">
        <v>26</v>
      </c>
      <c r="G39" s="53"/>
    </row>
    <row r="40">
      <c r="A40" s="49">
        <v>44513.05363811343</v>
      </c>
      <c r="B40" s="50">
        <v>44513.1786138888</v>
      </c>
      <c r="C40" s="51">
        <v>1.11</v>
      </c>
      <c r="D40" s="51">
        <v>64.0</v>
      </c>
      <c r="E40" s="52" t="s">
        <v>25</v>
      </c>
      <c r="F40" s="52" t="s">
        <v>26</v>
      </c>
      <c r="G40" s="53"/>
    </row>
    <row r="41">
      <c r="A41" s="49">
        <v>44513.06406159722</v>
      </c>
      <c r="B41" s="50">
        <v>44513.1890360416</v>
      </c>
      <c r="C41" s="51">
        <v>1.111</v>
      </c>
      <c r="D41" s="51">
        <v>64.0</v>
      </c>
      <c r="E41" s="52" t="s">
        <v>25</v>
      </c>
      <c r="F41" s="52" t="s">
        <v>26</v>
      </c>
      <c r="G41" s="53"/>
    </row>
    <row r="42">
      <c r="A42" s="49">
        <v>44513.07448116898</v>
      </c>
      <c r="B42" s="50">
        <v>44513.1994571759</v>
      </c>
      <c r="C42" s="51">
        <v>1.11</v>
      </c>
      <c r="D42" s="51">
        <v>64.0</v>
      </c>
      <c r="E42" s="52" t="s">
        <v>25</v>
      </c>
      <c r="F42" s="52" t="s">
        <v>26</v>
      </c>
      <c r="G42" s="53"/>
    </row>
    <row r="43">
      <c r="A43" s="49">
        <v>44513.084900104164</v>
      </c>
      <c r="B43" s="50">
        <v>44513.2098778587</v>
      </c>
      <c r="C43" s="51">
        <v>1.11</v>
      </c>
      <c r="D43" s="51">
        <v>64.0</v>
      </c>
      <c r="E43" s="52" t="s">
        <v>25</v>
      </c>
      <c r="F43" s="52" t="s">
        <v>26</v>
      </c>
      <c r="G43" s="53"/>
    </row>
    <row r="44">
      <c r="A44" s="49">
        <v>44513.095320023145</v>
      </c>
      <c r="B44" s="50">
        <v>44513.2202981481</v>
      </c>
      <c r="C44" s="51">
        <v>1.11</v>
      </c>
      <c r="D44" s="51">
        <v>64.0</v>
      </c>
      <c r="E44" s="52" t="s">
        <v>25</v>
      </c>
      <c r="F44" s="52" t="s">
        <v>26</v>
      </c>
      <c r="G44" s="53"/>
    </row>
    <row r="45">
      <c r="A45" s="49">
        <v>44513.10574138889</v>
      </c>
      <c r="B45" s="50">
        <v>44513.2307207986</v>
      </c>
      <c r="C45" s="51">
        <v>1.11</v>
      </c>
      <c r="D45" s="51">
        <v>64.0</v>
      </c>
      <c r="E45" s="52" t="s">
        <v>25</v>
      </c>
      <c r="F45" s="52" t="s">
        <v>26</v>
      </c>
      <c r="G45" s="53"/>
    </row>
    <row r="46">
      <c r="A46" s="49">
        <v>44513.116161122685</v>
      </c>
      <c r="B46" s="50">
        <v>44513.2411432754</v>
      </c>
      <c r="C46" s="51">
        <v>1.11</v>
      </c>
      <c r="D46" s="51">
        <v>64.0</v>
      </c>
      <c r="E46" s="52" t="s">
        <v>25</v>
      </c>
      <c r="F46" s="52" t="s">
        <v>26</v>
      </c>
      <c r="G46" s="53"/>
    </row>
    <row r="47">
      <c r="A47" s="49">
        <v>44513.12658193287</v>
      </c>
      <c r="B47" s="50">
        <v>44513.2515651736</v>
      </c>
      <c r="C47" s="51">
        <v>1.11</v>
      </c>
      <c r="D47" s="51">
        <v>64.0</v>
      </c>
      <c r="E47" s="52" t="s">
        <v>25</v>
      </c>
      <c r="F47" s="52" t="s">
        <v>26</v>
      </c>
      <c r="G47" s="53"/>
    </row>
    <row r="48">
      <c r="A48" s="49">
        <v>44513.13700611111</v>
      </c>
      <c r="B48" s="50">
        <v>44513.2619851851</v>
      </c>
      <c r="C48" s="51">
        <v>1.11</v>
      </c>
      <c r="D48" s="51">
        <v>64.0</v>
      </c>
      <c r="E48" s="52" t="s">
        <v>25</v>
      </c>
      <c r="F48" s="52" t="s">
        <v>26</v>
      </c>
      <c r="G48" s="53"/>
    </row>
    <row r="49">
      <c r="A49" s="49">
        <v>44513.1474275463</v>
      </c>
      <c r="B49" s="50">
        <v>44513.2724057754</v>
      </c>
      <c r="C49" s="51">
        <v>1.111</v>
      </c>
      <c r="D49" s="51">
        <v>64.0</v>
      </c>
      <c r="E49" s="52" t="s">
        <v>25</v>
      </c>
      <c r="F49" s="52" t="s">
        <v>26</v>
      </c>
      <c r="G49" s="53"/>
    </row>
    <row r="50">
      <c r="A50" s="49">
        <v>44513.15784853009</v>
      </c>
      <c r="B50" s="50">
        <v>44513.2828273379</v>
      </c>
      <c r="C50" s="51">
        <v>1.11</v>
      </c>
      <c r="D50" s="51">
        <v>64.0</v>
      </c>
      <c r="E50" s="52" t="s">
        <v>25</v>
      </c>
      <c r="F50" s="52" t="s">
        <v>26</v>
      </c>
      <c r="G50" s="53"/>
    </row>
    <row r="51">
      <c r="A51" s="49">
        <v>44513.16827185186</v>
      </c>
      <c r="B51" s="50">
        <v>44513.293247118</v>
      </c>
      <c r="C51" s="51">
        <v>1.11</v>
      </c>
      <c r="D51" s="51">
        <v>64.0</v>
      </c>
      <c r="E51" s="52" t="s">
        <v>25</v>
      </c>
      <c r="F51" s="52" t="s">
        <v>26</v>
      </c>
      <c r="G51" s="53"/>
    </row>
    <row r="52">
      <c r="A52" s="49">
        <v>44513.17870819445</v>
      </c>
      <c r="B52" s="50">
        <v>44513.3036790393</v>
      </c>
      <c r="C52" s="51">
        <v>1.11</v>
      </c>
      <c r="D52" s="51">
        <v>64.0</v>
      </c>
      <c r="E52" s="52" t="s">
        <v>25</v>
      </c>
      <c r="F52" s="52" t="s">
        <v>26</v>
      </c>
      <c r="G52" s="53"/>
    </row>
    <row r="53">
      <c r="A53" s="49">
        <v>44513.189131273146</v>
      </c>
      <c r="B53" s="50">
        <v>44513.3141003472</v>
      </c>
      <c r="C53" s="51">
        <v>1.11</v>
      </c>
      <c r="D53" s="51">
        <v>64.0</v>
      </c>
      <c r="E53" s="52" t="s">
        <v>25</v>
      </c>
      <c r="F53" s="52" t="s">
        <v>26</v>
      </c>
      <c r="G53" s="53"/>
    </row>
    <row r="54">
      <c r="A54" s="49">
        <v>44513.19955443287</v>
      </c>
      <c r="B54" s="50">
        <v>44513.3245215046</v>
      </c>
      <c r="C54" s="51">
        <v>1.11</v>
      </c>
      <c r="D54" s="51">
        <v>64.0</v>
      </c>
      <c r="E54" s="52" t="s">
        <v>25</v>
      </c>
      <c r="F54" s="52" t="s">
        <v>26</v>
      </c>
      <c r="G54" s="53"/>
    </row>
    <row r="55">
      <c r="A55" s="49">
        <v>44513.20996150463</v>
      </c>
      <c r="B55" s="50">
        <v>44513.3349416319</v>
      </c>
      <c r="C55" s="51">
        <v>1.11</v>
      </c>
      <c r="D55" s="51">
        <v>64.0</v>
      </c>
      <c r="E55" s="52" t="s">
        <v>25</v>
      </c>
      <c r="F55" s="52" t="s">
        <v>26</v>
      </c>
      <c r="G55" s="53"/>
    </row>
    <row r="56">
      <c r="A56" s="49">
        <v>44513.22039136574</v>
      </c>
      <c r="B56" s="50">
        <v>44513.3453629166</v>
      </c>
      <c r="C56" s="51">
        <v>1.11</v>
      </c>
      <c r="D56" s="51">
        <v>64.0</v>
      </c>
      <c r="E56" s="52" t="s">
        <v>25</v>
      </c>
      <c r="F56" s="52" t="s">
        <v>26</v>
      </c>
      <c r="G56" s="53"/>
    </row>
    <row r="57">
      <c r="A57" s="49">
        <v>44513.23081291666</v>
      </c>
      <c r="B57" s="50">
        <v>44513.355783993</v>
      </c>
      <c r="C57" s="51">
        <v>1.109</v>
      </c>
      <c r="D57" s="51">
        <v>64.0</v>
      </c>
      <c r="E57" s="52" t="s">
        <v>25</v>
      </c>
      <c r="F57" s="52" t="s">
        <v>26</v>
      </c>
      <c r="G57" s="53"/>
    </row>
    <row r="58">
      <c r="A58" s="49">
        <v>44513.24122667824</v>
      </c>
      <c r="B58" s="50">
        <v>44513.3662063541</v>
      </c>
      <c r="C58" s="51">
        <v>1.11</v>
      </c>
      <c r="D58" s="51">
        <v>64.0</v>
      </c>
      <c r="E58" s="52" t="s">
        <v>25</v>
      </c>
      <c r="F58" s="52" t="s">
        <v>26</v>
      </c>
      <c r="G58" s="53"/>
    </row>
    <row r="59">
      <c r="A59" s="49">
        <v>44513.25166003472</v>
      </c>
      <c r="B59" s="50">
        <v>44513.3766278356</v>
      </c>
      <c r="C59" s="51">
        <v>1.11</v>
      </c>
      <c r="D59" s="51">
        <v>64.0</v>
      </c>
      <c r="E59" s="52" t="s">
        <v>25</v>
      </c>
      <c r="F59" s="52" t="s">
        <v>26</v>
      </c>
      <c r="G59" s="53"/>
    </row>
    <row r="60">
      <c r="A60" s="49">
        <v>44513.26207966435</v>
      </c>
      <c r="B60" s="50">
        <v>44513.3870490972</v>
      </c>
      <c r="C60" s="51">
        <v>1.11</v>
      </c>
      <c r="D60" s="51">
        <v>64.0</v>
      </c>
      <c r="E60" s="52" t="s">
        <v>25</v>
      </c>
      <c r="F60" s="52" t="s">
        <v>26</v>
      </c>
      <c r="G60" s="53"/>
    </row>
    <row r="61">
      <c r="A61" s="49">
        <v>44513.272496736114</v>
      </c>
      <c r="B61" s="50">
        <v>44513.3974706828</v>
      </c>
      <c r="C61" s="51">
        <v>1.11</v>
      </c>
      <c r="D61" s="51">
        <v>64.0</v>
      </c>
      <c r="E61" s="52" t="s">
        <v>25</v>
      </c>
      <c r="F61" s="52" t="s">
        <v>26</v>
      </c>
      <c r="G61" s="53"/>
    </row>
    <row r="62">
      <c r="A62" s="49">
        <v>44513.28292576389</v>
      </c>
      <c r="B62" s="50">
        <v>44513.4078931018</v>
      </c>
      <c r="C62" s="51">
        <v>1.109</v>
      </c>
      <c r="D62" s="51">
        <v>64.0</v>
      </c>
      <c r="E62" s="52" t="s">
        <v>25</v>
      </c>
      <c r="F62" s="52" t="s">
        <v>26</v>
      </c>
      <c r="G62" s="53"/>
    </row>
    <row r="63">
      <c r="A63" s="49">
        <v>44513.29334658565</v>
      </c>
      <c r="B63" s="50">
        <v>44513.4183160648</v>
      </c>
      <c r="C63" s="51">
        <v>1.11</v>
      </c>
      <c r="D63" s="51">
        <v>64.0</v>
      </c>
      <c r="E63" s="52" t="s">
        <v>25</v>
      </c>
      <c r="F63" s="52" t="s">
        <v>26</v>
      </c>
      <c r="G63" s="53"/>
    </row>
    <row r="64">
      <c r="A64" s="49">
        <v>44513.30376759259</v>
      </c>
      <c r="B64" s="50">
        <v>44513.4287361689</v>
      </c>
      <c r="C64" s="51">
        <v>1.11</v>
      </c>
      <c r="D64" s="51">
        <v>64.0</v>
      </c>
      <c r="E64" s="52" t="s">
        <v>25</v>
      </c>
      <c r="F64" s="52" t="s">
        <v>26</v>
      </c>
      <c r="G64" s="53"/>
    </row>
    <row r="65">
      <c r="A65" s="49">
        <v>44513.314191446756</v>
      </c>
      <c r="B65" s="50">
        <v>44513.4391578819</v>
      </c>
      <c r="C65" s="51">
        <v>1.11</v>
      </c>
      <c r="D65" s="51">
        <v>64.0</v>
      </c>
      <c r="E65" s="52" t="s">
        <v>25</v>
      </c>
      <c r="F65" s="52" t="s">
        <v>26</v>
      </c>
      <c r="G65" s="53"/>
    </row>
    <row r="66">
      <c r="A66" s="49">
        <v>44513.32461229167</v>
      </c>
      <c r="B66" s="50">
        <v>44513.4495810069</v>
      </c>
      <c r="C66" s="51">
        <v>1.11</v>
      </c>
      <c r="D66" s="51">
        <v>64.0</v>
      </c>
      <c r="E66" s="52" t="s">
        <v>25</v>
      </c>
      <c r="F66" s="52" t="s">
        <v>26</v>
      </c>
      <c r="G66" s="53"/>
    </row>
    <row r="67">
      <c r="A67" s="49">
        <v>44513.33504961805</v>
      </c>
      <c r="B67" s="50">
        <v>44513.4600133449</v>
      </c>
      <c r="C67" s="51">
        <v>1.11</v>
      </c>
      <c r="D67" s="51">
        <v>64.0</v>
      </c>
      <c r="E67" s="52" t="s">
        <v>25</v>
      </c>
      <c r="F67" s="52" t="s">
        <v>26</v>
      </c>
      <c r="G67" s="53"/>
    </row>
    <row r="68">
      <c r="A68" s="49">
        <v>44513.34546489583</v>
      </c>
      <c r="B68" s="50">
        <v>44513.4704363078</v>
      </c>
      <c r="C68" s="51">
        <v>1.11</v>
      </c>
      <c r="D68" s="51">
        <v>64.0</v>
      </c>
      <c r="E68" s="52" t="s">
        <v>25</v>
      </c>
      <c r="F68" s="52" t="s">
        <v>26</v>
      </c>
      <c r="G68" s="53"/>
    </row>
    <row r="69">
      <c r="A69" s="49">
        <v>44513.35588155093</v>
      </c>
      <c r="B69" s="50">
        <v>44513.4808577662</v>
      </c>
      <c r="C69" s="51">
        <v>1.11</v>
      </c>
      <c r="D69" s="51">
        <v>64.0</v>
      </c>
      <c r="E69" s="52" t="s">
        <v>25</v>
      </c>
      <c r="F69" s="52" t="s">
        <v>26</v>
      </c>
      <c r="G69" s="53"/>
    </row>
    <row r="70">
      <c r="A70" s="49">
        <v>44513.36631084491</v>
      </c>
      <c r="B70" s="50">
        <v>44513.4912792592</v>
      </c>
      <c r="C70" s="51">
        <v>1.11</v>
      </c>
      <c r="D70" s="51">
        <v>64.0</v>
      </c>
      <c r="E70" s="52" t="s">
        <v>25</v>
      </c>
      <c r="F70" s="52" t="s">
        <v>26</v>
      </c>
      <c r="G70" s="53"/>
    </row>
    <row r="71">
      <c r="A71" s="49">
        <v>44513.376731516204</v>
      </c>
      <c r="B71" s="50">
        <v>44513.5017003356</v>
      </c>
      <c r="C71" s="51">
        <v>1.111</v>
      </c>
      <c r="D71" s="51">
        <v>64.0</v>
      </c>
      <c r="E71" s="52" t="s">
        <v>25</v>
      </c>
      <c r="F71" s="52" t="s">
        <v>26</v>
      </c>
      <c r="G71" s="53"/>
    </row>
    <row r="72">
      <c r="A72" s="49">
        <v>44513.38714331019</v>
      </c>
      <c r="B72" s="50">
        <v>44513.5121231018</v>
      </c>
      <c r="C72" s="51">
        <v>1.112</v>
      </c>
      <c r="D72" s="51">
        <v>64.0</v>
      </c>
      <c r="E72" s="52" t="s">
        <v>25</v>
      </c>
      <c r="F72" s="52" t="s">
        <v>26</v>
      </c>
      <c r="G72" s="53"/>
    </row>
    <row r="73">
      <c r="A73" s="49">
        <v>44513.3975665162</v>
      </c>
      <c r="B73" s="50">
        <v>44513.5225445833</v>
      </c>
      <c r="C73" s="51">
        <v>1.115</v>
      </c>
      <c r="D73" s="51">
        <v>64.0</v>
      </c>
      <c r="E73" s="52" t="s">
        <v>25</v>
      </c>
      <c r="F73" s="52" t="s">
        <v>26</v>
      </c>
      <c r="G73" s="53"/>
    </row>
    <row r="74">
      <c r="A74" s="49">
        <v>44513.40798560185</v>
      </c>
      <c r="B74" s="50">
        <v>44513.5329640972</v>
      </c>
      <c r="C74" s="51">
        <v>1.117</v>
      </c>
      <c r="D74" s="51">
        <v>64.0</v>
      </c>
      <c r="E74" s="52" t="s">
        <v>25</v>
      </c>
      <c r="F74" s="52" t="s">
        <v>26</v>
      </c>
      <c r="G74" s="53"/>
    </row>
    <row r="75">
      <c r="A75" s="49">
        <v>44513.418416875</v>
      </c>
      <c r="B75" s="50">
        <v>44513.5433857754</v>
      </c>
      <c r="C75" s="51">
        <v>1.12</v>
      </c>
      <c r="D75" s="51">
        <v>64.0</v>
      </c>
      <c r="E75" s="52" t="s">
        <v>25</v>
      </c>
      <c r="F75" s="52" t="s">
        <v>26</v>
      </c>
      <c r="G75" s="53"/>
    </row>
    <row r="76">
      <c r="A76" s="49">
        <v>44513.42884528935</v>
      </c>
      <c r="B76" s="50">
        <v>44513.5538066203</v>
      </c>
      <c r="C76" s="51">
        <v>1.122</v>
      </c>
      <c r="D76" s="51">
        <v>64.0</v>
      </c>
      <c r="E76" s="52" t="s">
        <v>25</v>
      </c>
      <c r="F76" s="52" t="s">
        <v>26</v>
      </c>
      <c r="G76" s="53"/>
    </row>
    <row r="77">
      <c r="A77" s="49">
        <v>44513.43925347222</v>
      </c>
      <c r="B77" s="50">
        <v>44513.564227662</v>
      </c>
      <c r="C77" s="51">
        <v>1.122</v>
      </c>
      <c r="D77" s="51">
        <v>64.0</v>
      </c>
      <c r="E77" s="52" t="s">
        <v>25</v>
      </c>
      <c r="F77" s="52" t="s">
        <v>26</v>
      </c>
      <c r="G77" s="53"/>
    </row>
    <row r="78">
      <c r="A78" s="49">
        <v>44513.44967714121</v>
      </c>
      <c r="B78" s="50">
        <v>44513.5746494212</v>
      </c>
      <c r="C78" s="51">
        <v>1.12</v>
      </c>
      <c r="D78" s="51">
        <v>64.0</v>
      </c>
      <c r="E78" s="52" t="s">
        <v>25</v>
      </c>
      <c r="F78" s="52" t="s">
        <v>26</v>
      </c>
      <c r="G78" s="53"/>
    </row>
    <row r="79">
      <c r="A79" s="49">
        <v>44513.4601008912</v>
      </c>
      <c r="B79" s="50">
        <v>44513.5850695023</v>
      </c>
      <c r="C79" s="51">
        <v>1.121</v>
      </c>
      <c r="D79" s="51">
        <v>64.0</v>
      </c>
      <c r="E79" s="52" t="s">
        <v>25</v>
      </c>
      <c r="F79" s="52" t="s">
        <v>26</v>
      </c>
      <c r="G79" s="53"/>
    </row>
    <row r="80">
      <c r="A80" s="49">
        <v>44513.47051255787</v>
      </c>
      <c r="B80" s="50">
        <v>44513.5954913425</v>
      </c>
      <c r="C80" s="51">
        <v>1.119</v>
      </c>
      <c r="D80" s="51">
        <v>64.0</v>
      </c>
      <c r="E80" s="52" t="s">
        <v>25</v>
      </c>
      <c r="F80" s="52" t="s">
        <v>26</v>
      </c>
      <c r="G80" s="53"/>
    </row>
    <row r="81">
      <c r="A81" s="49">
        <v>44513.480940821755</v>
      </c>
      <c r="B81" s="50">
        <v>44513.6059132175</v>
      </c>
      <c r="C81" s="51">
        <v>1.119</v>
      </c>
      <c r="D81" s="51">
        <v>64.0</v>
      </c>
      <c r="E81" s="52" t="s">
        <v>25</v>
      </c>
      <c r="F81" s="52" t="s">
        <v>26</v>
      </c>
      <c r="G81" s="53"/>
    </row>
    <row r="82">
      <c r="A82" s="49">
        <v>44513.49135803241</v>
      </c>
      <c r="B82" s="50">
        <v>44513.6163338425</v>
      </c>
      <c r="C82" s="51">
        <v>1.118</v>
      </c>
      <c r="D82" s="51">
        <v>64.0</v>
      </c>
      <c r="E82" s="52" t="s">
        <v>25</v>
      </c>
      <c r="F82" s="52" t="s">
        <v>26</v>
      </c>
      <c r="G82" s="53"/>
    </row>
    <row r="83">
      <c r="A83" s="49">
        <v>44513.501785925924</v>
      </c>
      <c r="B83" s="50">
        <v>44513.6267547453</v>
      </c>
      <c r="C83" s="51">
        <v>1.118</v>
      </c>
      <c r="D83" s="51">
        <v>64.0</v>
      </c>
      <c r="E83" s="52" t="s">
        <v>25</v>
      </c>
      <c r="F83" s="52" t="s">
        <v>26</v>
      </c>
      <c r="G83" s="53"/>
    </row>
    <row r="84">
      <c r="A84" s="49">
        <v>44513.51219810185</v>
      </c>
      <c r="B84" s="50">
        <v>44513.637175706</v>
      </c>
      <c r="C84" s="51">
        <v>1.118</v>
      </c>
      <c r="D84" s="51">
        <v>64.0</v>
      </c>
      <c r="E84" s="52" t="s">
        <v>25</v>
      </c>
      <c r="F84" s="52" t="s">
        <v>26</v>
      </c>
      <c r="G84" s="53"/>
    </row>
    <row r="85">
      <c r="A85" s="49">
        <v>44513.522615</v>
      </c>
      <c r="B85" s="50">
        <v>44513.6475976851</v>
      </c>
      <c r="C85" s="51">
        <v>1.118</v>
      </c>
      <c r="D85" s="51">
        <v>64.0</v>
      </c>
      <c r="E85" s="52" t="s">
        <v>25</v>
      </c>
      <c r="F85" s="52" t="s">
        <v>26</v>
      </c>
      <c r="G85" s="53"/>
    </row>
    <row r="86">
      <c r="A86" s="49">
        <v>44513.53304738426</v>
      </c>
      <c r="B86" s="50">
        <v>44513.6580188078</v>
      </c>
      <c r="C86" s="51">
        <v>1.116</v>
      </c>
      <c r="D86" s="51">
        <v>64.0</v>
      </c>
      <c r="E86" s="52" t="s">
        <v>25</v>
      </c>
      <c r="F86" s="52" t="s">
        <v>26</v>
      </c>
      <c r="G86" s="53"/>
    </row>
    <row r="87">
      <c r="A87" s="49">
        <v>44513.543466863426</v>
      </c>
      <c r="B87" s="50">
        <v>44513.6684393634</v>
      </c>
      <c r="C87" s="51">
        <v>1.115</v>
      </c>
      <c r="D87" s="51">
        <v>64.0</v>
      </c>
      <c r="E87" s="52" t="s">
        <v>25</v>
      </c>
      <c r="F87" s="52" t="s">
        <v>26</v>
      </c>
      <c r="G87" s="53"/>
    </row>
    <row r="88">
      <c r="A88" s="49">
        <v>44513.55388960648</v>
      </c>
      <c r="B88" s="50">
        <v>44513.6788605324</v>
      </c>
      <c r="C88" s="51">
        <v>1.114</v>
      </c>
      <c r="D88" s="51">
        <v>64.0</v>
      </c>
      <c r="E88" s="52" t="s">
        <v>25</v>
      </c>
      <c r="F88" s="52" t="s">
        <v>26</v>
      </c>
      <c r="G88" s="53"/>
    </row>
    <row r="89">
      <c r="A89" s="49">
        <v>44513.56430673611</v>
      </c>
      <c r="B89" s="50">
        <v>44513.6892824421</v>
      </c>
      <c r="C89" s="51">
        <v>1.113</v>
      </c>
      <c r="D89" s="51">
        <v>64.0</v>
      </c>
      <c r="E89" s="52" t="s">
        <v>25</v>
      </c>
      <c r="F89" s="52" t="s">
        <v>26</v>
      </c>
      <c r="G89" s="53"/>
    </row>
    <row r="90">
      <c r="A90" s="49">
        <v>44513.57472653935</v>
      </c>
      <c r="B90" s="50">
        <v>44513.6997024421</v>
      </c>
      <c r="C90" s="51">
        <v>1.113</v>
      </c>
      <c r="D90" s="51">
        <v>64.0</v>
      </c>
      <c r="E90" s="52" t="s">
        <v>25</v>
      </c>
      <c r="F90" s="52" t="s">
        <v>26</v>
      </c>
      <c r="G90" s="53"/>
    </row>
    <row r="91">
      <c r="A91" s="49">
        <v>44513.585145370365</v>
      </c>
      <c r="B91" s="50">
        <v>44513.7101224768</v>
      </c>
      <c r="C91" s="51">
        <v>1.112</v>
      </c>
      <c r="D91" s="51">
        <v>64.0</v>
      </c>
      <c r="E91" s="52" t="s">
        <v>25</v>
      </c>
      <c r="F91" s="52" t="s">
        <v>26</v>
      </c>
      <c r="G91" s="53"/>
    </row>
    <row r="92">
      <c r="A92" s="49">
        <v>44513.595563993054</v>
      </c>
      <c r="B92" s="50">
        <v>44513.7205427083</v>
      </c>
      <c r="C92" s="51">
        <v>1.111</v>
      </c>
      <c r="D92" s="51">
        <v>64.0</v>
      </c>
      <c r="E92" s="52" t="s">
        <v>25</v>
      </c>
      <c r="F92" s="52" t="s">
        <v>26</v>
      </c>
      <c r="G92" s="53"/>
    </row>
    <row r="93">
      <c r="A93" s="49">
        <v>44513.60599137731</v>
      </c>
      <c r="B93" s="50">
        <v>44513.7309638541</v>
      </c>
      <c r="C93" s="51">
        <v>1.11</v>
      </c>
      <c r="D93" s="51">
        <v>64.0</v>
      </c>
      <c r="E93" s="52" t="s">
        <v>25</v>
      </c>
      <c r="F93" s="52" t="s">
        <v>26</v>
      </c>
      <c r="G93" s="53"/>
    </row>
    <row r="94">
      <c r="A94" s="49">
        <v>44513.616404768516</v>
      </c>
      <c r="B94" s="50">
        <v>44513.7413850231</v>
      </c>
      <c r="C94" s="51">
        <v>1.11</v>
      </c>
      <c r="D94" s="51">
        <v>64.0</v>
      </c>
      <c r="E94" s="52" t="s">
        <v>25</v>
      </c>
      <c r="F94" s="52" t="s">
        <v>26</v>
      </c>
      <c r="G94" s="53"/>
    </row>
    <row r="95">
      <c r="A95" s="49">
        <v>44513.62684469907</v>
      </c>
      <c r="B95" s="50">
        <v>44513.7518169328</v>
      </c>
      <c r="C95" s="51">
        <v>1.109</v>
      </c>
      <c r="D95" s="51">
        <v>64.0</v>
      </c>
      <c r="E95" s="52" t="s">
        <v>25</v>
      </c>
      <c r="F95" s="52" t="s">
        <v>26</v>
      </c>
      <c r="G95" s="53"/>
    </row>
    <row r="96">
      <c r="A96" s="49">
        <v>44513.637286122685</v>
      </c>
      <c r="B96" s="50">
        <v>44513.7622621643</v>
      </c>
      <c r="C96" s="51">
        <v>1.109</v>
      </c>
      <c r="D96" s="51">
        <v>64.0</v>
      </c>
      <c r="E96" s="52" t="s">
        <v>25</v>
      </c>
      <c r="F96" s="52" t="s">
        <v>26</v>
      </c>
      <c r="G96" s="53"/>
    </row>
    <row r="97">
      <c r="A97" s="49">
        <v>44513.64770490741</v>
      </c>
      <c r="B97" s="50">
        <v>44513.7726855787</v>
      </c>
      <c r="C97" s="51">
        <v>1.109</v>
      </c>
      <c r="D97" s="51">
        <v>64.0</v>
      </c>
      <c r="E97" s="52" t="s">
        <v>25</v>
      </c>
      <c r="F97" s="52" t="s">
        <v>26</v>
      </c>
      <c r="G97" s="53"/>
    </row>
    <row r="98">
      <c r="A98" s="49">
        <v>44513.65814303241</v>
      </c>
      <c r="B98" s="50">
        <v>44513.783105868</v>
      </c>
      <c r="C98" s="51">
        <v>1.109</v>
      </c>
      <c r="D98" s="51">
        <v>64.0</v>
      </c>
      <c r="E98" s="52" t="s">
        <v>25</v>
      </c>
      <c r="F98" s="52" t="s">
        <v>26</v>
      </c>
      <c r="G98" s="53"/>
    </row>
    <row r="99">
      <c r="A99" s="49">
        <v>44513.668563252315</v>
      </c>
      <c r="B99" s="50">
        <v>44513.7935378356</v>
      </c>
      <c r="C99" s="51">
        <v>1.109</v>
      </c>
      <c r="D99" s="51">
        <v>65.0</v>
      </c>
      <c r="E99" s="52" t="s">
        <v>25</v>
      </c>
      <c r="F99" s="52" t="s">
        <v>26</v>
      </c>
      <c r="G99" s="53"/>
    </row>
    <row r="100">
      <c r="A100" s="49">
        <v>44513.67898503473</v>
      </c>
      <c r="B100" s="50">
        <v>44513.8039583449</v>
      </c>
      <c r="C100" s="51">
        <v>1.109</v>
      </c>
      <c r="D100" s="51">
        <v>64.0</v>
      </c>
      <c r="E100" s="52" t="s">
        <v>25</v>
      </c>
      <c r="F100" s="52" t="s">
        <v>26</v>
      </c>
      <c r="G100" s="53"/>
    </row>
    <row r="101">
      <c r="A101" s="49">
        <v>44513.6894034838</v>
      </c>
      <c r="B101" s="50">
        <v>44513.8143783564</v>
      </c>
      <c r="C101" s="51">
        <v>1.109</v>
      </c>
      <c r="D101" s="51">
        <v>65.0</v>
      </c>
      <c r="E101" s="52" t="s">
        <v>25</v>
      </c>
      <c r="F101" s="52" t="s">
        <v>26</v>
      </c>
      <c r="G101" s="53"/>
    </row>
    <row r="102">
      <c r="A102" s="49">
        <v>44513.69982203704</v>
      </c>
      <c r="B102" s="50">
        <v>44513.824796875</v>
      </c>
      <c r="C102" s="51">
        <v>1.108</v>
      </c>
      <c r="D102" s="51">
        <v>65.0</v>
      </c>
      <c r="E102" s="52" t="s">
        <v>25</v>
      </c>
      <c r="F102" s="52" t="s">
        <v>26</v>
      </c>
      <c r="G102" s="53"/>
    </row>
    <row r="103">
      <c r="A103" s="49">
        <v>44513.71024730324</v>
      </c>
      <c r="B103" s="50">
        <v>44513.835217824</v>
      </c>
      <c r="C103" s="51">
        <v>1.109</v>
      </c>
      <c r="D103" s="51">
        <v>65.0</v>
      </c>
      <c r="E103" s="52" t="s">
        <v>25</v>
      </c>
      <c r="F103" s="52" t="s">
        <v>26</v>
      </c>
      <c r="G103" s="53"/>
    </row>
    <row r="104">
      <c r="A104" s="49">
        <v>44513.720676157405</v>
      </c>
      <c r="B104" s="50">
        <v>44513.8456504629</v>
      </c>
      <c r="C104" s="51">
        <v>1.108</v>
      </c>
      <c r="D104" s="51">
        <v>65.0</v>
      </c>
      <c r="E104" s="52" t="s">
        <v>25</v>
      </c>
      <c r="F104" s="52" t="s">
        <v>26</v>
      </c>
      <c r="G104" s="53"/>
    </row>
    <row r="105">
      <c r="A105" s="49">
        <v>44513.73109635417</v>
      </c>
      <c r="B105" s="50">
        <v>44513.8560701504</v>
      </c>
      <c r="C105" s="51">
        <v>1.108</v>
      </c>
      <c r="D105" s="51">
        <v>65.0</v>
      </c>
      <c r="E105" s="52" t="s">
        <v>25</v>
      </c>
      <c r="F105" s="52" t="s">
        <v>26</v>
      </c>
      <c r="G105" s="53"/>
    </row>
    <row r="106">
      <c r="A106" s="49">
        <v>44513.74151232639</v>
      </c>
      <c r="B106" s="50">
        <v>44513.8664913541</v>
      </c>
      <c r="C106" s="51">
        <v>1.108</v>
      </c>
      <c r="D106" s="51">
        <v>65.0</v>
      </c>
      <c r="E106" s="52" t="s">
        <v>25</v>
      </c>
      <c r="F106" s="52" t="s">
        <v>26</v>
      </c>
      <c r="G106" s="53"/>
    </row>
    <row r="107">
      <c r="A107" s="49">
        <v>44513.75193627315</v>
      </c>
      <c r="B107" s="50">
        <v>44513.8769142361</v>
      </c>
      <c r="C107" s="51">
        <v>1.108</v>
      </c>
      <c r="D107" s="51">
        <v>65.0</v>
      </c>
      <c r="E107" s="52" t="s">
        <v>25</v>
      </c>
      <c r="F107" s="52" t="s">
        <v>26</v>
      </c>
      <c r="G107" s="53"/>
    </row>
    <row r="108">
      <c r="A108" s="49">
        <v>44513.7623659838</v>
      </c>
      <c r="B108" s="50">
        <v>44513.8873344791</v>
      </c>
      <c r="C108" s="51">
        <v>1.108</v>
      </c>
      <c r="D108" s="51">
        <v>65.0</v>
      </c>
      <c r="E108" s="52" t="s">
        <v>25</v>
      </c>
      <c r="F108" s="52" t="s">
        <v>26</v>
      </c>
      <c r="G108" s="53"/>
    </row>
    <row r="109">
      <c r="A109" s="49">
        <v>44513.77278347222</v>
      </c>
      <c r="B109" s="50">
        <v>44513.8977561111</v>
      </c>
      <c r="C109" s="51">
        <v>1.108</v>
      </c>
      <c r="D109" s="51">
        <v>65.0</v>
      </c>
      <c r="E109" s="52" t="s">
        <v>25</v>
      </c>
      <c r="F109" s="52" t="s">
        <v>26</v>
      </c>
      <c r="G109" s="53"/>
    </row>
    <row r="110">
      <c r="A110" s="49">
        <v>44513.78319945602</v>
      </c>
      <c r="B110" s="50">
        <v>44513.908176331</v>
      </c>
      <c r="C110" s="51">
        <v>1.108</v>
      </c>
      <c r="D110" s="51">
        <v>65.0</v>
      </c>
      <c r="E110" s="52" t="s">
        <v>25</v>
      </c>
      <c r="F110" s="52" t="s">
        <v>26</v>
      </c>
      <c r="G110" s="53"/>
    </row>
    <row r="111">
      <c r="A111" s="49">
        <v>44513.79362387731</v>
      </c>
      <c r="B111" s="50">
        <v>44513.9185974999</v>
      </c>
      <c r="C111" s="51">
        <v>1.108</v>
      </c>
      <c r="D111" s="51">
        <v>65.0</v>
      </c>
      <c r="E111" s="52" t="s">
        <v>25</v>
      </c>
      <c r="F111" s="52" t="s">
        <v>26</v>
      </c>
      <c r="G111" s="53"/>
    </row>
    <row r="112">
      <c r="A112" s="49">
        <v>44513.804036180554</v>
      </c>
      <c r="B112" s="50">
        <v>44513.9290178009</v>
      </c>
      <c r="C112" s="51">
        <v>1.108</v>
      </c>
      <c r="D112" s="51">
        <v>65.0</v>
      </c>
      <c r="E112" s="52" t="s">
        <v>25</v>
      </c>
      <c r="F112" s="52" t="s">
        <v>26</v>
      </c>
      <c r="G112" s="53"/>
    </row>
    <row r="113">
      <c r="A113" s="49">
        <v>44513.81445954861</v>
      </c>
      <c r="B113" s="50">
        <v>44513.939438449</v>
      </c>
      <c r="C113" s="51">
        <v>1.108</v>
      </c>
      <c r="D113" s="51">
        <v>65.0</v>
      </c>
      <c r="E113" s="52" t="s">
        <v>25</v>
      </c>
      <c r="F113" s="52" t="s">
        <v>26</v>
      </c>
      <c r="G113" s="53"/>
    </row>
    <row r="114">
      <c r="A114" s="49">
        <v>44513.82488010416</v>
      </c>
      <c r="B114" s="50">
        <v>44513.9498590046</v>
      </c>
      <c r="C114" s="51">
        <v>1.108</v>
      </c>
      <c r="D114" s="51">
        <v>65.0</v>
      </c>
      <c r="E114" s="52" t="s">
        <v>25</v>
      </c>
      <c r="F114" s="52" t="s">
        <v>26</v>
      </c>
      <c r="G114" s="53"/>
    </row>
    <row r="115">
      <c r="A115" s="49">
        <v>44513.835306469904</v>
      </c>
      <c r="B115" s="50">
        <v>44513.9602797916</v>
      </c>
      <c r="C115" s="51">
        <v>1.108</v>
      </c>
      <c r="D115" s="51">
        <v>65.0</v>
      </c>
      <c r="E115" s="52" t="s">
        <v>25</v>
      </c>
      <c r="F115" s="52" t="s">
        <v>26</v>
      </c>
      <c r="G115" s="53"/>
    </row>
    <row r="116">
      <c r="A116" s="49">
        <v>44513.84573930556</v>
      </c>
      <c r="B116" s="50">
        <v>44513.9707117708</v>
      </c>
      <c r="C116" s="51">
        <v>1.108</v>
      </c>
      <c r="D116" s="51">
        <v>65.0</v>
      </c>
      <c r="E116" s="52" t="s">
        <v>25</v>
      </c>
      <c r="F116" s="52" t="s">
        <v>26</v>
      </c>
      <c r="G116" s="53"/>
    </row>
    <row r="117">
      <c r="A117" s="49">
        <v>44513.85616679398</v>
      </c>
      <c r="B117" s="50">
        <v>44513.9811327546</v>
      </c>
      <c r="C117" s="51">
        <v>1.108</v>
      </c>
      <c r="D117" s="51">
        <v>65.0</v>
      </c>
      <c r="E117" s="52" t="s">
        <v>25</v>
      </c>
      <c r="F117" s="52" t="s">
        <v>26</v>
      </c>
      <c r="G117" s="53"/>
    </row>
    <row r="118">
      <c r="A118" s="49">
        <v>44513.86661496528</v>
      </c>
      <c r="B118" s="50">
        <v>44513.991588449</v>
      </c>
      <c r="C118" s="51">
        <v>1.108</v>
      </c>
      <c r="D118" s="51">
        <v>65.0</v>
      </c>
      <c r="E118" s="52" t="s">
        <v>25</v>
      </c>
      <c r="F118" s="52" t="s">
        <v>26</v>
      </c>
      <c r="G118" s="53"/>
    </row>
    <row r="119">
      <c r="A119" s="49">
        <v>44513.87703361111</v>
      </c>
      <c r="B119" s="50">
        <v>44514.0020085185</v>
      </c>
      <c r="C119" s="51">
        <v>1.107</v>
      </c>
      <c r="D119" s="51">
        <v>65.0</v>
      </c>
      <c r="E119" s="52" t="s">
        <v>25</v>
      </c>
      <c r="F119" s="52" t="s">
        <v>26</v>
      </c>
      <c r="G119" s="53"/>
    </row>
    <row r="120">
      <c r="A120" s="49">
        <v>44513.88745537037</v>
      </c>
      <c r="B120" s="50">
        <v>44514.0124296064</v>
      </c>
      <c r="C120" s="51">
        <v>1.107</v>
      </c>
      <c r="D120" s="51">
        <v>65.0</v>
      </c>
      <c r="E120" s="52" t="s">
        <v>25</v>
      </c>
      <c r="F120" s="52" t="s">
        <v>26</v>
      </c>
      <c r="G120" s="53"/>
    </row>
    <row r="121">
      <c r="A121" s="49">
        <v>44513.89786887731</v>
      </c>
      <c r="B121" s="50">
        <v>44514.0228512963</v>
      </c>
      <c r="C121" s="51">
        <v>1.107</v>
      </c>
      <c r="D121" s="51">
        <v>65.0</v>
      </c>
      <c r="E121" s="52" t="s">
        <v>25</v>
      </c>
      <c r="F121" s="52" t="s">
        <v>26</v>
      </c>
      <c r="G121" s="53"/>
    </row>
    <row r="122">
      <c r="A122" s="49">
        <v>44513.90829658565</v>
      </c>
      <c r="B122" s="50">
        <v>44514.0332706365</v>
      </c>
      <c r="C122" s="51">
        <v>1.106</v>
      </c>
      <c r="D122" s="51">
        <v>65.0</v>
      </c>
      <c r="E122" s="52" t="s">
        <v>25</v>
      </c>
      <c r="F122" s="52" t="s">
        <v>26</v>
      </c>
      <c r="G122" s="53"/>
    </row>
    <row r="123">
      <c r="A123" s="49">
        <v>44513.91871293982</v>
      </c>
      <c r="B123" s="50">
        <v>44514.0436921412</v>
      </c>
      <c r="C123" s="51">
        <v>1.106</v>
      </c>
      <c r="D123" s="51">
        <v>65.0</v>
      </c>
      <c r="E123" s="52" t="s">
        <v>25</v>
      </c>
      <c r="F123" s="52" t="s">
        <v>26</v>
      </c>
      <c r="G123" s="53"/>
    </row>
    <row r="124">
      <c r="A124" s="49">
        <v>44513.929143472225</v>
      </c>
      <c r="B124" s="50">
        <v>44514.0541142476</v>
      </c>
      <c r="C124" s="51">
        <v>1.106</v>
      </c>
      <c r="D124" s="51">
        <v>66.0</v>
      </c>
      <c r="E124" s="52" t="s">
        <v>25</v>
      </c>
      <c r="F124" s="52" t="s">
        <v>26</v>
      </c>
      <c r="G124" s="53"/>
    </row>
    <row r="125">
      <c r="A125" s="49">
        <v>44513.939554236116</v>
      </c>
      <c r="B125" s="50">
        <v>44514.064536875</v>
      </c>
      <c r="C125" s="51">
        <v>1.106</v>
      </c>
      <c r="D125" s="51">
        <v>66.0</v>
      </c>
      <c r="E125" s="52" t="s">
        <v>25</v>
      </c>
      <c r="F125" s="52" t="s">
        <v>26</v>
      </c>
      <c r="G125" s="53"/>
    </row>
    <row r="126">
      <c r="A126" s="49">
        <v>44513.94997605324</v>
      </c>
      <c r="B126" s="50">
        <v>44514.0749579398</v>
      </c>
      <c r="C126" s="51">
        <v>1.106</v>
      </c>
      <c r="D126" s="51">
        <v>66.0</v>
      </c>
      <c r="E126" s="52" t="s">
        <v>25</v>
      </c>
      <c r="F126" s="52" t="s">
        <v>26</v>
      </c>
      <c r="G126" s="53"/>
    </row>
    <row r="127">
      <c r="A127" s="49">
        <v>44513.96040481482</v>
      </c>
      <c r="B127" s="50">
        <v>44514.0853777662</v>
      </c>
      <c r="C127" s="51">
        <v>1.106</v>
      </c>
      <c r="D127" s="51">
        <v>66.0</v>
      </c>
      <c r="E127" s="52" t="s">
        <v>25</v>
      </c>
      <c r="F127" s="52" t="s">
        <v>26</v>
      </c>
      <c r="G127" s="53"/>
    </row>
    <row r="128">
      <c r="A128" s="49">
        <v>44513.97081974537</v>
      </c>
      <c r="B128" s="50">
        <v>44514.0957982175</v>
      </c>
      <c r="C128" s="51">
        <v>1.106</v>
      </c>
      <c r="D128" s="51">
        <v>66.0</v>
      </c>
      <c r="E128" s="52" t="s">
        <v>25</v>
      </c>
      <c r="F128" s="52" t="s">
        <v>26</v>
      </c>
      <c r="G128" s="53"/>
    </row>
    <row r="129">
      <c r="A129" s="49">
        <v>44513.98124581018</v>
      </c>
      <c r="B129" s="50">
        <v>44514.1062192824</v>
      </c>
      <c r="C129" s="51">
        <v>1.106</v>
      </c>
      <c r="D129" s="51">
        <v>66.0</v>
      </c>
      <c r="E129" s="52" t="s">
        <v>25</v>
      </c>
      <c r="F129" s="52" t="s">
        <v>26</v>
      </c>
      <c r="G129" s="53"/>
    </row>
    <row r="130">
      <c r="A130" s="49">
        <v>44513.9916715162</v>
      </c>
      <c r="B130" s="50">
        <v>44514.1166382986</v>
      </c>
      <c r="C130" s="51">
        <v>1.106</v>
      </c>
      <c r="D130" s="51">
        <v>66.0</v>
      </c>
      <c r="E130" s="52" t="s">
        <v>25</v>
      </c>
      <c r="F130" s="52" t="s">
        <v>26</v>
      </c>
      <c r="G130" s="53"/>
    </row>
    <row r="131">
      <c r="A131" s="49">
        <v>44514.00208196759</v>
      </c>
      <c r="B131" s="50">
        <v>44514.1270605439</v>
      </c>
      <c r="C131" s="51">
        <v>1.105</v>
      </c>
      <c r="D131" s="51">
        <v>66.0</v>
      </c>
      <c r="E131" s="52" t="s">
        <v>25</v>
      </c>
      <c r="F131" s="52" t="s">
        <v>26</v>
      </c>
      <c r="G131" s="53"/>
    </row>
    <row r="132">
      <c r="A132" s="49">
        <v>44514.01251396991</v>
      </c>
      <c r="B132" s="50">
        <v>44514.1374817129</v>
      </c>
      <c r="C132" s="51">
        <v>1.105</v>
      </c>
      <c r="D132" s="51">
        <v>66.0</v>
      </c>
      <c r="E132" s="52" t="s">
        <v>25</v>
      </c>
      <c r="F132" s="52" t="s">
        <v>26</v>
      </c>
      <c r="G132" s="53"/>
    </row>
    <row r="133">
      <c r="A133" s="49">
        <v>44514.02294553241</v>
      </c>
      <c r="B133" s="50">
        <v>44514.1479033333</v>
      </c>
      <c r="C133" s="51">
        <v>1.105</v>
      </c>
      <c r="D133" s="51">
        <v>66.0</v>
      </c>
      <c r="E133" s="52" t="s">
        <v>25</v>
      </c>
      <c r="F133" s="52" t="s">
        <v>26</v>
      </c>
      <c r="G133" s="53"/>
    </row>
    <row r="134">
      <c r="A134" s="49">
        <v>44514.03334863426</v>
      </c>
      <c r="B134" s="50">
        <v>44514.1583231134</v>
      </c>
      <c r="C134" s="51">
        <v>1.105</v>
      </c>
      <c r="D134" s="51">
        <v>66.0</v>
      </c>
      <c r="E134" s="52" t="s">
        <v>25</v>
      </c>
      <c r="F134" s="52" t="s">
        <v>26</v>
      </c>
      <c r="G134" s="53"/>
    </row>
    <row r="135">
      <c r="A135" s="49">
        <v>44514.04377266204</v>
      </c>
      <c r="B135" s="50">
        <v>44514.1687429513</v>
      </c>
      <c r="C135" s="51">
        <v>1.105</v>
      </c>
      <c r="D135" s="51">
        <v>66.0</v>
      </c>
      <c r="E135" s="52" t="s">
        <v>25</v>
      </c>
      <c r="F135" s="52" t="s">
        <v>26</v>
      </c>
      <c r="G135" s="53"/>
    </row>
    <row r="136">
      <c r="A136" s="49">
        <v>44514.05418153935</v>
      </c>
      <c r="B136" s="50">
        <v>44514.1791652662</v>
      </c>
      <c r="C136" s="51">
        <v>1.104</v>
      </c>
      <c r="D136" s="51">
        <v>66.0</v>
      </c>
      <c r="E136" s="52" t="s">
        <v>25</v>
      </c>
      <c r="F136" s="52" t="s">
        <v>26</v>
      </c>
      <c r="G136" s="53"/>
    </row>
    <row r="137">
      <c r="A137" s="49">
        <v>44514.06461074074</v>
      </c>
      <c r="B137" s="50">
        <v>44514.1895844328</v>
      </c>
      <c r="C137" s="51">
        <v>1.105</v>
      </c>
      <c r="D137" s="51">
        <v>66.0</v>
      </c>
      <c r="E137" s="52" t="s">
        <v>25</v>
      </c>
      <c r="F137" s="52" t="s">
        <v>26</v>
      </c>
      <c r="G137" s="53"/>
    </row>
    <row r="138">
      <c r="A138" s="49">
        <v>44514.075026736115</v>
      </c>
      <c r="B138" s="50">
        <v>44514.2000058333</v>
      </c>
      <c r="C138" s="51">
        <v>1.105</v>
      </c>
      <c r="D138" s="51">
        <v>66.0</v>
      </c>
      <c r="E138" s="52" t="s">
        <v>25</v>
      </c>
      <c r="F138" s="52" t="s">
        <v>26</v>
      </c>
      <c r="G138" s="53"/>
    </row>
    <row r="139">
      <c r="A139" s="49">
        <v>44514.085451562496</v>
      </c>
      <c r="B139" s="50">
        <v>44514.2104258101</v>
      </c>
      <c r="C139" s="51">
        <v>1.104</v>
      </c>
      <c r="D139" s="51">
        <v>66.0</v>
      </c>
      <c r="E139" s="52" t="s">
        <v>25</v>
      </c>
      <c r="F139" s="52" t="s">
        <v>26</v>
      </c>
      <c r="G139" s="53"/>
    </row>
    <row r="140">
      <c r="A140" s="49">
        <v>44514.095874108796</v>
      </c>
      <c r="B140" s="50">
        <v>44514.2208472222</v>
      </c>
      <c r="C140" s="51">
        <v>1.104</v>
      </c>
      <c r="D140" s="51">
        <v>66.0</v>
      </c>
      <c r="E140" s="52" t="s">
        <v>25</v>
      </c>
      <c r="F140" s="52" t="s">
        <v>26</v>
      </c>
      <c r="G140" s="53"/>
    </row>
    <row r="141">
      <c r="A141" s="49">
        <v>44514.10629171296</v>
      </c>
      <c r="B141" s="50">
        <v>44514.2312690046</v>
      </c>
      <c r="C141" s="51">
        <v>1.105</v>
      </c>
      <c r="D141" s="51">
        <v>66.0</v>
      </c>
      <c r="E141" s="52" t="s">
        <v>25</v>
      </c>
      <c r="F141" s="52" t="s">
        <v>26</v>
      </c>
      <c r="G141" s="53"/>
    </row>
    <row r="142">
      <c r="A142" s="49">
        <v>44514.11671640046</v>
      </c>
      <c r="B142" s="50">
        <v>44514.2417005671</v>
      </c>
      <c r="C142" s="51">
        <v>1.104</v>
      </c>
      <c r="D142" s="51">
        <v>66.0</v>
      </c>
      <c r="E142" s="52" t="s">
        <v>25</v>
      </c>
      <c r="F142" s="52" t="s">
        <v>26</v>
      </c>
      <c r="G142" s="53"/>
    </row>
    <row r="143">
      <c r="A143" s="49">
        <v>44514.12714403935</v>
      </c>
      <c r="B143" s="50">
        <v>44514.2521222106</v>
      </c>
      <c r="C143" s="51">
        <v>1.103</v>
      </c>
      <c r="D143" s="51">
        <v>66.0</v>
      </c>
      <c r="E143" s="52" t="s">
        <v>25</v>
      </c>
      <c r="F143" s="52" t="s">
        <v>26</v>
      </c>
      <c r="G143" s="53"/>
    </row>
    <row r="144">
      <c r="A144" s="49">
        <v>44514.13757253472</v>
      </c>
      <c r="B144" s="50">
        <v>44514.2625439004</v>
      </c>
      <c r="C144" s="51">
        <v>1.102</v>
      </c>
      <c r="D144" s="51">
        <v>66.0</v>
      </c>
      <c r="E144" s="52" t="s">
        <v>25</v>
      </c>
      <c r="F144" s="52" t="s">
        <v>26</v>
      </c>
      <c r="G144" s="53"/>
    </row>
    <row r="145">
      <c r="A145" s="49">
        <v>44514.14799334491</v>
      </c>
      <c r="B145" s="50">
        <v>44514.2729637152</v>
      </c>
      <c r="C145" s="51">
        <v>1.102</v>
      </c>
      <c r="D145" s="51">
        <v>67.0</v>
      </c>
      <c r="E145" s="52" t="s">
        <v>25</v>
      </c>
      <c r="F145" s="52" t="s">
        <v>26</v>
      </c>
      <c r="G145" s="53"/>
    </row>
    <row r="146">
      <c r="A146" s="49">
        <v>44514.15841178241</v>
      </c>
      <c r="B146" s="50">
        <v>44514.2833854745</v>
      </c>
      <c r="C146" s="51">
        <v>1.102</v>
      </c>
      <c r="D146" s="51">
        <v>66.0</v>
      </c>
      <c r="E146" s="52" t="s">
        <v>25</v>
      </c>
      <c r="F146" s="52" t="s">
        <v>26</v>
      </c>
      <c r="G146" s="53"/>
    </row>
    <row r="147">
      <c r="A147" s="49">
        <v>44514.16883386574</v>
      </c>
      <c r="B147" s="50">
        <v>44514.2938041319</v>
      </c>
      <c r="C147" s="51">
        <v>1.102</v>
      </c>
      <c r="D147" s="51">
        <v>67.0</v>
      </c>
      <c r="E147" s="52" t="s">
        <v>25</v>
      </c>
      <c r="F147" s="52" t="s">
        <v>26</v>
      </c>
      <c r="G147" s="53"/>
    </row>
    <row r="148">
      <c r="A148" s="49">
        <v>44514.17924699074</v>
      </c>
      <c r="B148" s="50">
        <v>44514.3042242476</v>
      </c>
      <c r="C148" s="51">
        <v>1.102</v>
      </c>
      <c r="D148" s="51">
        <v>67.0</v>
      </c>
      <c r="E148" s="52" t="s">
        <v>25</v>
      </c>
      <c r="F148" s="52" t="s">
        <v>26</v>
      </c>
      <c r="G148" s="53"/>
    </row>
    <row r="149">
      <c r="A149" s="49">
        <v>44514.18966275463</v>
      </c>
      <c r="B149" s="50">
        <v>44514.3146445023</v>
      </c>
      <c r="C149" s="51">
        <v>1.102</v>
      </c>
      <c r="D149" s="51">
        <v>67.0</v>
      </c>
      <c r="E149" s="52" t="s">
        <v>25</v>
      </c>
      <c r="F149" s="52" t="s">
        <v>26</v>
      </c>
      <c r="G149" s="53"/>
    </row>
    <row r="150">
      <c r="A150" s="49">
        <v>44514.20008739583</v>
      </c>
      <c r="B150" s="50">
        <v>44514.3250646759</v>
      </c>
      <c r="C150" s="51">
        <v>1.102</v>
      </c>
      <c r="D150" s="51">
        <v>67.0</v>
      </c>
      <c r="E150" s="52" t="s">
        <v>25</v>
      </c>
      <c r="F150" s="52" t="s">
        <v>26</v>
      </c>
      <c r="G150" s="53"/>
    </row>
    <row r="151">
      <c r="A151" s="49">
        <v>44514.210511666664</v>
      </c>
      <c r="B151" s="50">
        <v>44514.3354871296</v>
      </c>
      <c r="C151" s="51">
        <v>1.102</v>
      </c>
      <c r="D151" s="51">
        <v>67.0</v>
      </c>
      <c r="E151" s="52" t="s">
        <v>25</v>
      </c>
      <c r="F151" s="52" t="s">
        <v>26</v>
      </c>
      <c r="G151" s="53"/>
    </row>
    <row r="152">
      <c r="A152" s="49">
        <v>44514.22092633102</v>
      </c>
      <c r="B152" s="50">
        <v>44514.3459080671</v>
      </c>
      <c r="C152" s="51">
        <v>1.102</v>
      </c>
      <c r="D152" s="51">
        <v>67.0</v>
      </c>
      <c r="E152" s="52" t="s">
        <v>25</v>
      </c>
      <c r="F152" s="52" t="s">
        <v>26</v>
      </c>
      <c r="G152" s="53"/>
    </row>
    <row r="153">
      <c r="A153" s="49">
        <v>44514.231357349534</v>
      </c>
      <c r="B153" s="50">
        <v>44514.3563293518</v>
      </c>
      <c r="C153" s="51">
        <v>1.102</v>
      </c>
      <c r="D153" s="51">
        <v>67.0</v>
      </c>
      <c r="E153" s="52" t="s">
        <v>25</v>
      </c>
      <c r="F153" s="52" t="s">
        <v>26</v>
      </c>
      <c r="G153" s="53"/>
    </row>
    <row r="154">
      <c r="A154" s="49">
        <v>44514.241781805555</v>
      </c>
      <c r="B154" s="50">
        <v>44514.3667642708</v>
      </c>
      <c r="C154" s="51">
        <v>1.102</v>
      </c>
      <c r="D154" s="51">
        <v>67.0</v>
      </c>
      <c r="E154" s="52" t="s">
        <v>25</v>
      </c>
      <c r="F154" s="52" t="s">
        <v>26</v>
      </c>
      <c r="G154" s="53"/>
    </row>
    <row r="155">
      <c r="A155" s="49">
        <v>44514.25222135417</v>
      </c>
      <c r="B155" s="50">
        <v>44514.3771960879</v>
      </c>
      <c r="C155" s="51">
        <v>1.101</v>
      </c>
      <c r="D155" s="51">
        <v>67.0</v>
      </c>
      <c r="E155" s="52" t="s">
        <v>25</v>
      </c>
      <c r="F155" s="52" t="s">
        <v>26</v>
      </c>
      <c r="G155" s="53"/>
    </row>
    <row r="156">
      <c r="A156" s="49">
        <v>44514.26264064814</v>
      </c>
      <c r="B156" s="50">
        <v>44514.3876177546</v>
      </c>
      <c r="C156" s="51">
        <v>1.101</v>
      </c>
      <c r="D156" s="51">
        <v>67.0</v>
      </c>
      <c r="E156" s="52" t="s">
        <v>25</v>
      </c>
      <c r="F156" s="52" t="s">
        <v>26</v>
      </c>
      <c r="G156" s="53"/>
    </row>
    <row r="157">
      <c r="A157" s="49">
        <v>44514.273069456016</v>
      </c>
      <c r="B157" s="50">
        <v>44514.3980402083</v>
      </c>
      <c r="C157" s="51">
        <v>1.101</v>
      </c>
      <c r="D157" s="51">
        <v>67.0</v>
      </c>
      <c r="E157" s="52" t="s">
        <v>25</v>
      </c>
      <c r="F157" s="52" t="s">
        <v>26</v>
      </c>
      <c r="G157" s="53"/>
    </row>
    <row r="158">
      <c r="A158" s="49">
        <v>44514.28348346065</v>
      </c>
      <c r="B158" s="50">
        <v>44514.4084625231</v>
      </c>
      <c r="C158" s="51">
        <v>1.101</v>
      </c>
      <c r="D158" s="51">
        <v>67.0</v>
      </c>
      <c r="E158" s="52" t="s">
        <v>25</v>
      </c>
      <c r="F158" s="52" t="s">
        <v>26</v>
      </c>
      <c r="G158" s="53"/>
    </row>
    <row r="159">
      <c r="A159" s="49">
        <v>44514.29391390046</v>
      </c>
      <c r="B159" s="50">
        <v>44514.4188842824</v>
      </c>
      <c r="C159" s="51">
        <v>1.102</v>
      </c>
      <c r="D159" s="51">
        <v>67.0</v>
      </c>
      <c r="E159" s="52" t="s">
        <v>25</v>
      </c>
      <c r="F159" s="52" t="s">
        <v>26</v>
      </c>
      <c r="G159" s="53"/>
    </row>
    <row r="160">
      <c r="A160" s="49">
        <v>44514.30433266204</v>
      </c>
      <c r="B160" s="50">
        <v>44514.4293059837</v>
      </c>
      <c r="C160" s="51">
        <v>1.101</v>
      </c>
      <c r="D160" s="51">
        <v>67.0</v>
      </c>
      <c r="E160" s="52" t="s">
        <v>25</v>
      </c>
      <c r="F160" s="52" t="s">
        <v>26</v>
      </c>
      <c r="G160" s="53"/>
    </row>
    <row r="161">
      <c r="A161" s="49">
        <v>44514.31474903935</v>
      </c>
      <c r="B161" s="50">
        <v>44514.4397259837</v>
      </c>
      <c r="C161" s="51">
        <v>1.099</v>
      </c>
      <c r="D161" s="51">
        <v>67.0</v>
      </c>
      <c r="E161" s="52" t="s">
        <v>25</v>
      </c>
      <c r="F161" s="52" t="s">
        <v>26</v>
      </c>
      <c r="G161" s="53"/>
    </row>
    <row r="162">
      <c r="A162" s="49">
        <v>44514.32518413194</v>
      </c>
      <c r="B162" s="50">
        <v>44514.4501581597</v>
      </c>
      <c r="C162" s="51">
        <v>1.1</v>
      </c>
      <c r="D162" s="51">
        <v>67.0</v>
      </c>
      <c r="E162" s="52" t="s">
        <v>25</v>
      </c>
      <c r="F162" s="52" t="s">
        <v>26</v>
      </c>
      <c r="G162" s="53"/>
    </row>
    <row r="163">
      <c r="A163" s="49">
        <v>44514.33562074074</v>
      </c>
      <c r="B163" s="50">
        <v>44514.4606017708</v>
      </c>
      <c r="C163" s="51">
        <v>1.101</v>
      </c>
      <c r="D163" s="51">
        <v>67.0</v>
      </c>
      <c r="E163" s="52" t="s">
        <v>25</v>
      </c>
      <c r="F163" s="52" t="s">
        <v>26</v>
      </c>
      <c r="G163" s="53"/>
    </row>
    <row r="164">
      <c r="A164" s="49">
        <v>44514.34604333334</v>
      </c>
      <c r="B164" s="50">
        <v>44514.4710224884</v>
      </c>
      <c r="C164" s="51">
        <v>1.1</v>
      </c>
      <c r="D164" s="51">
        <v>68.0</v>
      </c>
      <c r="E164" s="52" t="s">
        <v>25</v>
      </c>
      <c r="F164" s="52" t="s">
        <v>26</v>
      </c>
      <c r="G164" s="53"/>
    </row>
    <row r="165">
      <c r="A165" s="49">
        <v>44514.35647078704</v>
      </c>
      <c r="B165" s="50">
        <v>44514.4814429745</v>
      </c>
      <c r="C165" s="51">
        <v>1.1</v>
      </c>
      <c r="D165" s="51">
        <v>67.0</v>
      </c>
      <c r="E165" s="52" t="s">
        <v>25</v>
      </c>
      <c r="F165" s="52" t="s">
        <v>26</v>
      </c>
      <c r="G165" s="53"/>
    </row>
    <row r="166">
      <c r="A166" s="49">
        <v>44514.36689469907</v>
      </c>
      <c r="B166" s="50">
        <v>44514.4918645601</v>
      </c>
      <c r="C166" s="51">
        <v>1.1</v>
      </c>
      <c r="D166" s="51">
        <v>68.0</v>
      </c>
      <c r="E166" s="52" t="s">
        <v>25</v>
      </c>
      <c r="F166" s="52" t="s">
        <v>26</v>
      </c>
      <c r="G166" s="53"/>
    </row>
    <row r="167">
      <c r="A167" s="49">
        <v>44514.37730789352</v>
      </c>
      <c r="B167" s="50">
        <v>44514.5022846643</v>
      </c>
      <c r="C167" s="51">
        <v>1.099</v>
      </c>
      <c r="D167" s="51">
        <v>68.0</v>
      </c>
      <c r="E167" s="52" t="s">
        <v>25</v>
      </c>
      <c r="F167" s="52" t="s">
        <v>26</v>
      </c>
      <c r="G167" s="53"/>
    </row>
    <row r="168">
      <c r="A168" s="49">
        <v>44514.38773472222</v>
      </c>
      <c r="B168" s="50">
        <v>44514.5127051851</v>
      </c>
      <c r="C168" s="51">
        <v>1.1</v>
      </c>
      <c r="D168" s="51">
        <v>68.0</v>
      </c>
      <c r="E168" s="52" t="s">
        <v>25</v>
      </c>
      <c r="F168" s="52" t="s">
        <v>26</v>
      </c>
      <c r="G168" s="53"/>
    </row>
    <row r="169">
      <c r="A169" s="49">
        <v>44514.39815219908</v>
      </c>
      <c r="B169" s="50">
        <v>44514.5231247685</v>
      </c>
      <c r="C169" s="51">
        <v>1.099</v>
      </c>
      <c r="D169" s="51">
        <v>68.0</v>
      </c>
      <c r="E169" s="52" t="s">
        <v>25</v>
      </c>
      <c r="F169" s="52" t="s">
        <v>26</v>
      </c>
      <c r="G169" s="53"/>
    </row>
    <row r="170">
      <c r="A170" s="49">
        <v>44514.408575706024</v>
      </c>
      <c r="B170" s="50">
        <v>44514.5335570023</v>
      </c>
      <c r="C170" s="51">
        <v>1.1</v>
      </c>
      <c r="D170" s="51">
        <v>68.0</v>
      </c>
      <c r="E170" s="52" t="s">
        <v>25</v>
      </c>
      <c r="F170" s="52" t="s">
        <v>26</v>
      </c>
      <c r="G170" s="53"/>
    </row>
    <row r="171">
      <c r="A171" s="49">
        <v>44514.4190000463</v>
      </c>
      <c r="B171" s="50">
        <v>44514.543979456</v>
      </c>
      <c r="C171" s="51">
        <v>1.1</v>
      </c>
      <c r="D171" s="51">
        <v>68.0</v>
      </c>
      <c r="E171" s="52" t="s">
        <v>25</v>
      </c>
      <c r="F171" s="52" t="s">
        <v>26</v>
      </c>
      <c r="G171" s="53"/>
    </row>
    <row r="172">
      <c r="A172" s="49">
        <v>44514.429428703705</v>
      </c>
      <c r="B172" s="50">
        <v>44514.5544099305</v>
      </c>
      <c r="C172" s="51">
        <v>1.1</v>
      </c>
      <c r="D172" s="51">
        <v>68.0</v>
      </c>
      <c r="E172" s="52" t="s">
        <v>25</v>
      </c>
      <c r="F172" s="52" t="s">
        <v>26</v>
      </c>
      <c r="G172" s="53"/>
    </row>
    <row r="173">
      <c r="A173" s="49">
        <v>44514.43985577546</v>
      </c>
      <c r="B173" s="50">
        <v>44514.5648328472</v>
      </c>
      <c r="C173" s="51">
        <v>1.099</v>
      </c>
      <c r="D173" s="51">
        <v>68.0</v>
      </c>
      <c r="E173" s="52" t="s">
        <v>25</v>
      </c>
      <c r="F173" s="52" t="s">
        <v>26</v>
      </c>
      <c r="G173" s="53"/>
    </row>
    <row r="174">
      <c r="A174" s="49">
        <v>44514.4502796875</v>
      </c>
      <c r="B174" s="50">
        <v>44514.5752538888</v>
      </c>
      <c r="C174" s="51">
        <v>1.1</v>
      </c>
      <c r="D174" s="51">
        <v>68.0</v>
      </c>
      <c r="E174" s="52" t="s">
        <v>25</v>
      </c>
      <c r="F174" s="52" t="s">
        <v>26</v>
      </c>
      <c r="G174" s="53"/>
    </row>
    <row r="175">
      <c r="A175" s="49">
        <v>44514.46069724537</v>
      </c>
      <c r="B175" s="50">
        <v>44514.58567603</v>
      </c>
      <c r="C175" s="51">
        <v>1.1</v>
      </c>
      <c r="D175" s="51">
        <v>68.0</v>
      </c>
      <c r="E175" s="52" t="s">
        <v>25</v>
      </c>
      <c r="F175" s="52" t="s">
        <v>26</v>
      </c>
      <c r="G175" s="53"/>
    </row>
    <row r="176">
      <c r="A176" s="49">
        <v>44514.47112239583</v>
      </c>
      <c r="B176" s="50">
        <v>44514.5960970486</v>
      </c>
      <c r="C176" s="51">
        <v>1.099</v>
      </c>
      <c r="D176" s="51">
        <v>68.0</v>
      </c>
      <c r="E176" s="52" t="s">
        <v>25</v>
      </c>
      <c r="F176" s="52" t="s">
        <v>26</v>
      </c>
      <c r="G176" s="53"/>
    </row>
    <row r="177">
      <c r="A177" s="49">
        <v>44514.481547766205</v>
      </c>
      <c r="B177" s="50">
        <v>44514.6065184143</v>
      </c>
      <c r="C177" s="51">
        <v>1.099</v>
      </c>
      <c r="D177" s="51">
        <v>68.0</v>
      </c>
      <c r="E177" s="52" t="s">
        <v>25</v>
      </c>
      <c r="F177" s="52" t="s">
        <v>26</v>
      </c>
      <c r="G177" s="53"/>
    </row>
    <row r="178">
      <c r="A178" s="49">
        <v>44514.49196151621</v>
      </c>
      <c r="B178" s="50">
        <v>44514.6169393171</v>
      </c>
      <c r="C178" s="51">
        <v>1.099</v>
      </c>
      <c r="D178" s="51">
        <v>68.0</v>
      </c>
      <c r="E178" s="52" t="s">
        <v>25</v>
      </c>
      <c r="F178" s="52" t="s">
        <v>26</v>
      </c>
      <c r="G178" s="53"/>
    </row>
    <row r="179">
      <c r="A179" s="49">
        <v>44514.50238636574</v>
      </c>
      <c r="B179" s="50">
        <v>44514.6273630671</v>
      </c>
      <c r="C179" s="51">
        <v>1.099</v>
      </c>
      <c r="D179" s="51">
        <v>68.0</v>
      </c>
      <c r="E179" s="52" t="s">
        <v>25</v>
      </c>
      <c r="F179" s="52" t="s">
        <v>26</v>
      </c>
      <c r="G179" s="53"/>
    </row>
    <row r="180">
      <c r="A180" s="49">
        <v>44514.512810810185</v>
      </c>
      <c r="B180" s="50">
        <v>44514.6377838078</v>
      </c>
      <c r="C180" s="51">
        <v>1.098</v>
      </c>
      <c r="D180" s="51">
        <v>68.0</v>
      </c>
      <c r="E180" s="52" t="s">
        <v>25</v>
      </c>
      <c r="F180" s="52" t="s">
        <v>26</v>
      </c>
      <c r="G180" s="53"/>
    </row>
    <row r="181">
      <c r="A181" s="49">
        <v>44514.52322512731</v>
      </c>
      <c r="B181" s="50">
        <v>44514.648203449</v>
      </c>
      <c r="C181" s="51">
        <v>1.1</v>
      </c>
      <c r="D181" s="51">
        <v>68.0</v>
      </c>
      <c r="E181" s="52" t="s">
        <v>25</v>
      </c>
      <c r="F181" s="52" t="s">
        <v>26</v>
      </c>
      <c r="G181" s="53"/>
    </row>
    <row r="182">
      <c r="A182" s="49">
        <v>44514.533649861114</v>
      </c>
      <c r="B182" s="50">
        <v>44514.658625243</v>
      </c>
      <c r="C182" s="51">
        <v>1.099</v>
      </c>
      <c r="D182" s="51">
        <v>68.0</v>
      </c>
      <c r="E182" s="52" t="s">
        <v>25</v>
      </c>
      <c r="F182" s="52" t="s">
        <v>26</v>
      </c>
      <c r="G182" s="53"/>
    </row>
    <row r="183">
      <c r="A183" s="49">
        <v>44514.54407458333</v>
      </c>
      <c r="B183" s="50">
        <v>44514.66904728</v>
      </c>
      <c r="C183" s="51">
        <v>1.099</v>
      </c>
      <c r="D183" s="51">
        <v>68.0</v>
      </c>
      <c r="E183" s="52" t="s">
        <v>25</v>
      </c>
      <c r="F183" s="52" t="s">
        <v>26</v>
      </c>
      <c r="G183" s="53"/>
    </row>
    <row r="184">
      <c r="A184" s="49">
        <v>44514.55449894676</v>
      </c>
      <c r="B184" s="50">
        <v>44514.6794704166</v>
      </c>
      <c r="C184" s="51">
        <v>1.099</v>
      </c>
      <c r="D184" s="51">
        <v>68.0</v>
      </c>
      <c r="E184" s="52" t="s">
        <v>25</v>
      </c>
      <c r="F184" s="52" t="s">
        <v>26</v>
      </c>
      <c r="G184" s="53"/>
    </row>
    <row r="185">
      <c r="A185" s="49">
        <v>44514.56491619213</v>
      </c>
      <c r="B185" s="50">
        <v>44514.6898926273</v>
      </c>
      <c r="C185" s="51">
        <v>1.099</v>
      </c>
      <c r="D185" s="51">
        <v>68.0</v>
      </c>
      <c r="E185" s="52" t="s">
        <v>25</v>
      </c>
      <c r="F185" s="52" t="s">
        <v>26</v>
      </c>
      <c r="G185" s="53"/>
    </row>
    <row r="186">
      <c r="A186" s="49">
        <v>44514.57535236111</v>
      </c>
      <c r="B186" s="50">
        <v>44514.7003243865</v>
      </c>
      <c r="C186" s="51">
        <v>1.099</v>
      </c>
      <c r="D186" s="51">
        <v>68.0</v>
      </c>
      <c r="E186" s="52" t="s">
        <v>25</v>
      </c>
      <c r="F186" s="52" t="s">
        <v>26</v>
      </c>
      <c r="G186" s="53"/>
    </row>
    <row r="187">
      <c r="A187" s="49">
        <v>44514.58576238426</v>
      </c>
      <c r="B187" s="50">
        <v>44514.7107443287</v>
      </c>
      <c r="C187" s="51">
        <v>1.098</v>
      </c>
      <c r="D187" s="51">
        <v>69.0</v>
      </c>
      <c r="E187" s="52" t="s">
        <v>25</v>
      </c>
      <c r="F187" s="52" t="s">
        <v>26</v>
      </c>
      <c r="G187" s="53"/>
    </row>
    <row r="188">
      <c r="A188" s="49">
        <v>44514.59620305555</v>
      </c>
      <c r="B188" s="50">
        <v>44514.7211781365</v>
      </c>
      <c r="C188" s="51">
        <v>1.098</v>
      </c>
      <c r="D188" s="51">
        <v>69.0</v>
      </c>
      <c r="E188" s="52" t="s">
        <v>25</v>
      </c>
      <c r="F188" s="52" t="s">
        <v>26</v>
      </c>
      <c r="G188" s="53"/>
    </row>
    <row r="189">
      <c r="A189" s="49">
        <v>44514.60662190973</v>
      </c>
      <c r="B189" s="50">
        <v>44514.7316005208</v>
      </c>
      <c r="C189" s="51">
        <v>1.098</v>
      </c>
      <c r="D189" s="51">
        <v>69.0</v>
      </c>
      <c r="E189" s="52" t="s">
        <v>25</v>
      </c>
      <c r="F189" s="52" t="s">
        <v>26</v>
      </c>
      <c r="G189" s="53"/>
    </row>
    <row r="190">
      <c r="A190" s="49">
        <v>44514.61703871528</v>
      </c>
      <c r="B190" s="50">
        <v>44514.7420219444</v>
      </c>
      <c r="C190" s="51">
        <v>1.098</v>
      </c>
      <c r="D190" s="51">
        <v>69.0</v>
      </c>
      <c r="E190" s="52" t="s">
        <v>25</v>
      </c>
      <c r="F190" s="52" t="s">
        <v>26</v>
      </c>
      <c r="G190" s="53"/>
    </row>
    <row r="191">
      <c r="A191" s="49">
        <v>44514.6274672338</v>
      </c>
      <c r="B191" s="50">
        <v>44514.7524448726</v>
      </c>
      <c r="C191" s="51">
        <v>1.097</v>
      </c>
      <c r="D191" s="51">
        <v>69.0</v>
      </c>
      <c r="E191" s="52" t="s">
        <v>25</v>
      </c>
      <c r="F191" s="52" t="s">
        <v>26</v>
      </c>
      <c r="G191" s="53"/>
    </row>
    <row r="192">
      <c r="A192" s="49">
        <v>44514.637895266205</v>
      </c>
      <c r="B192" s="50">
        <v>44514.7628656134</v>
      </c>
      <c r="C192" s="51">
        <v>1.098</v>
      </c>
      <c r="D192" s="51">
        <v>69.0</v>
      </c>
      <c r="E192" s="52" t="s">
        <v>25</v>
      </c>
      <c r="F192" s="52" t="s">
        <v>26</v>
      </c>
      <c r="G192" s="53"/>
    </row>
    <row r="193">
      <c r="A193" s="49">
        <v>44514.64831041667</v>
      </c>
      <c r="B193" s="50">
        <v>44514.7732874536</v>
      </c>
      <c r="C193" s="51">
        <v>1.097</v>
      </c>
      <c r="D193" s="51">
        <v>69.0</v>
      </c>
      <c r="E193" s="52" t="s">
        <v>25</v>
      </c>
      <c r="F193" s="52" t="s">
        <v>26</v>
      </c>
      <c r="G193" s="53"/>
    </row>
    <row r="194">
      <c r="A194" s="49">
        <v>44514.65874990741</v>
      </c>
      <c r="B194" s="50">
        <v>44514.7837194907</v>
      </c>
      <c r="C194" s="51">
        <v>1.098</v>
      </c>
      <c r="D194" s="51">
        <v>69.0</v>
      </c>
      <c r="E194" s="52" t="s">
        <v>25</v>
      </c>
      <c r="F194" s="52" t="s">
        <v>26</v>
      </c>
      <c r="G194" s="53"/>
    </row>
    <row r="195">
      <c r="A195" s="49">
        <v>44514.66917155092</v>
      </c>
      <c r="B195" s="50">
        <v>44514.7941398958</v>
      </c>
      <c r="C195" s="51">
        <v>1.098</v>
      </c>
      <c r="D195" s="51">
        <v>69.0</v>
      </c>
      <c r="E195" s="52" t="s">
        <v>25</v>
      </c>
      <c r="F195" s="52" t="s">
        <v>26</v>
      </c>
      <c r="G195" s="53"/>
    </row>
    <row r="196">
      <c r="A196" s="49">
        <v>44514.67959414352</v>
      </c>
      <c r="B196" s="50">
        <v>44514.804573206</v>
      </c>
      <c r="C196" s="51">
        <v>1.098</v>
      </c>
      <c r="D196" s="51">
        <v>69.0</v>
      </c>
      <c r="E196" s="52" t="s">
        <v>25</v>
      </c>
      <c r="F196" s="52" t="s">
        <v>26</v>
      </c>
      <c r="G196" s="53"/>
    </row>
    <row r="197">
      <c r="A197" s="49">
        <v>44514.69001387732</v>
      </c>
      <c r="B197" s="50">
        <v>44514.8149927314</v>
      </c>
      <c r="C197" s="51">
        <v>1.098</v>
      </c>
      <c r="D197" s="51">
        <v>69.0</v>
      </c>
      <c r="E197" s="52" t="s">
        <v>25</v>
      </c>
      <c r="F197" s="52" t="s">
        <v>26</v>
      </c>
      <c r="G197" s="53"/>
    </row>
    <row r="198">
      <c r="A198" s="49">
        <v>44514.70043445602</v>
      </c>
      <c r="B198" s="50">
        <v>44514.8254136805</v>
      </c>
      <c r="C198" s="51">
        <v>1.097</v>
      </c>
      <c r="D198" s="51">
        <v>69.0</v>
      </c>
      <c r="E198" s="52" t="s">
        <v>25</v>
      </c>
      <c r="F198" s="52" t="s">
        <v>26</v>
      </c>
      <c r="G198" s="53"/>
    </row>
    <row r="199">
      <c r="A199" s="49">
        <v>44514.710850937496</v>
      </c>
      <c r="B199" s="50">
        <v>44514.8358326388</v>
      </c>
      <c r="C199" s="51">
        <v>1.097</v>
      </c>
      <c r="D199" s="51">
        <v>69.0</v>
      </c>
      <c r="E199" s="52" t="s">
        <v>25</v>
      </c>
      <c r="F199" s="52" t="s">
        <v>26</v>
      </c>
      <c r="G199" s="53"/>
    </row>
    <row r="200">
      <c r="A200" s="49">
        <v>44514.72127746527</v>
      </c>
      <c r="B200" s="50">
        <v>44514.8462544328</v>
      </c>
      <c r="C200" s="51">
        <v>1.097</v>
      </c>
      <c r="D200" s="51">
        <v>69.0</v>
      </c>
      <c r="E200" s="52" t="s">
        <v>25</v>
      </c>
      <c r="F200" s="52" t="s">
        <v>26</v>
      </c>
      <c r="G200" s="53"/>
    </row>
    <row r="201">
      <c r="A201" s="49">
        <v>44514.73169328704</v>
      </c>
      <c r="B201" s="50">
        <v>44514.8566736689</v>
      </c>
      <c r="C201" s="51">
        <v>1.097</v>
      </c>
      <c r="D201" s="51">
        <v>69.0</v>
      </c>
      <c r="E201" s="52" t="s">
        <v>25</v>
      </c>
      <c r="F201" s="52" t="s">
        <v>26</v>
      </c>
      <c r="G201" s="53"/>
    </row>
    <row r="202">
      <c r="A202" s="49">
        <v>44514.742122118056</v>
      </c>
      <c r="B202" s="50">
        <v>44514.8670940624</v>
      </c>
      <c r="C202" s="51">
        <v>1.097</v>
      </c>
      <c r="D202" s="51">
        <v>69.0</v>
      </c>
      <c r="E202" s="52" t="s">
        <v>25</v>
      </c>
      <c r="F202" s="52" t="s">
        <v>26</v>
      </c>
      <c r="G202" s="53"/>
    </row>
    <row r="203">
      <c r="A203" s="49">
        <v>44514.75253653935</v>
      </c>
      <c r="B203" s="50">
        <v>44514.8775157291</v>
      </c>
      <c r="C203" s="51">
        <v>1.097</v>
      </c>
      <c r="D203" s="51">
        <v>69.0</v>
      </c>
      <c r="E203" s="52" t="s">
        <v>25</v>
      </c>
      <c r="F203" s="52" t="s">
        <v>26</v>
      </c>
      <c r="G203" s="53"/>
    </row>
    <row r="204">
      <c r="A204" s="49">
        <v>44514.76295354166</v>
      </c>
      <c r="B204" s="50">
        <v>44514.8879363888</v>
      </c>
      <c r="C204" s="51">
        <v>1.097</v>
      </c>
      <c r="D204" s="51">
        <v>69.0</v>
      </c>
      <c r="E204" s="52" t="s">
        <v>25</v>
      </c>
      <c r="F204" s="52" t="s">
        <v>26</v>
      </c>
      <c r="G204" s="53"/>
    </row>
    <row r="205">
      <c r="A205" s="49">
        <v>44514.77338320602</v>
      </c>
      <c r="B205" s="50">
        <v>44514.8983581712</v>
      </c>
      <c r="C205" s="51">
        <v>1.096</v>
      </c>
      <c r="D205" s="51">
        <v>69.0</v>
      </c>
      <c r="E205" s="52" t="s">
        <v>25</v>
      </c>
      <c r="F205" s="52" t="s">
        <v>26</v>
      </c>
      <c r="G205" s="53"/>
    </row>
    <row r="206">
      <c r="A206" s="49">
        <v>44514.78381179398</v>
      </c>
      <c r="B206" s="50">
        <v>44514.908778993</v>
      </c>
      <c r="C206" s="51">
        <v>1.096</v>
      </c>
      <c r="D206" s="51">
        <v>69.0</v>
      </c>
      <c r="E206" s="52" t="s">
        <v>25</v>
      </c>
      <c r="F206" s="52" t="s">
        <v>26</v>
      </c>
      <c r="G206" s="53"/>
    </row>
    <row r="207">
      <c r="A207" s="49">
        <v>44514.79422980324</v>
      </c>
      <c r="B207" s="50">
        <v>44514.9192134953</v>
      </c>
      <c r="C207" s="51">
        <v>1.097</v>
      </c>
      <c r="D207" s="51">
        <v>69.0</v>
      </c>
      <c r="E207" s="52" t="s">
        <v>25</v>
      </c>
      <c r="F207" s="52" t="s">
        <v>26</v>
      </c>
      <c r="G207" s="53"/>
    </row>
    <row r="208">
      <c r="A208" s="49">
        <v>44514.80465797454</v>
      </c>
      <c r="B208" s="50">
        <v>44514.9296338888</v>
      </c>
      <c r="C208" s="51">
        <v>1.096</v>
      </c>
      <c r="D208" s="51">
        <v>69.0</v>
      </c>
      <c r="E208" s="52" t="s">
        <v>25</v>
      </c>
      <c r="F208" s="52" t="s">
        <v>26</v>
      </c>
      <c r="G208" s="53"/>
    </row>
    <row r="209">
      <c r="A209" s="49">
        <v>44514.8150828125</v>
      </c>
      <c r="B209" s="50">
        <v>44514.9400580439</v>
      </c>
      <c r="C209" s="51">
        <v>1.096</v>
      </c>
      <c r="D209" s="51">
        <v>69.0</v>
      </c>
      <c r="E209" s="52" t="s">
        <v>25</v>
      </c>
      <c r="F209" s="52" t="s">
        <v>26</v>
      </c>
      <c r="G209" s="53"/>
    </row>
    <row r="210">
      <c r="A210" s="49">
        <v>44514.82550247685</v>
      </c>
      <c r="B210" s="50">
        <v>44514.9504790972</v>
      </c>
      <c r="C210" s="51">
        <v>1.096</v>
      </c>
      <c r="D210" s="51">
        <v>67.0</v>
      </c>
      <c r="E210" s="52" t="s">
        <v>25</v>
      </c>
      <c r="F210" s="52" t="s">
        <v>26</v>
      </c>
      <c r="G210" s="53"/>
    </row>
    <row r="211">
      <c r="A211" s="49">
        <v>44514.83592414352</v>
      </c>
      <c r="B211" s="50">
        <v>44514.960899456</v>
      </c>
      <c r="C211" s="51">
        <v>1.096</v>
      </c>
      <c r="D211" s="51">
        <v>64.0</v>
      </c>
      <c r="E211" s="52" t="s">
        <v>25</v>
      </c>
      <c r="F211" s="52" t="s">
        <v>26</v>
      </c>
      <c r="G211" s="53"/>
    </row>
    <row r="212">
      <c r="A212" s="49">
        <v>44514.846350567124</v>
      </c>
      <c r="B212" s="50">
        <v>44514.9713222685</v>
      </c>
      <c r="C212" s="51">
        <v>1.097</v>
      </c>
      <c r="D212" s="51">
        <v>63.0</v>
      </c>
      <c r="E212" s="52" t="s">
        <v>25</v>
      </c>
      <c r="F212" s="52" t="s">
        <v>26</v>
      </c>
      <c r="G212" s="53"/>
    </row>
    <row r="213">
      <c r="A213" s="49">
        <v>44514.85677391203</v>
      </c>
      <c r="B213" s="50">
        <v>44514.9817432407</v>
      </c>
      <c r="C213" s="51">
        <v>1.096</v>
      </c>
      <c r="D213" s="51">
        <v>63.0</v>
      </c>
      <c r="E213" s="52" t="s">
        <v>25</v>
      </c>
      <c r="F213" s="52" t="s">
        <v>26</v>
      </c>
      <c r="G213" s="53"/>
    </row>
    <row r="214">
      <c r="A214" s="49">
        <v>44514.86718943287</v>
      </c>
      <c r="B214" s="50">
        <v>44514.9921635995</v>
      </c>
      <c r="C214" s="51">
        <v>1.096</v>
      </c>
      <c r="D214" s="51">
        <v>64.0</v>
      </c>
      <c r="E214" s="52" t="s">
        <v>25</v>
      </c>
      <c r="F214" s="52" t="s">
        <v>26</v>
      </c>
      <c r="G214" s="53"/>
    </row>
    <row r="215">
      <c r="A215" s="49">
        <v>44514.877612303244</v>
      </c>
      <c r="B215" s="50">
        <v>44515.002584699</v>
      </c>
      <c r="C215" s="51">
        <v>1.095</v>
      </c>
      <c r="D215" s="51">
        <v>64.0</v>
      </c>
      <c r="E215" s="52" t="s">
        <v>25</v>
      </c>
      <c r="F215" s="52" t="s">
        <v>26</v>
      </c>
      <c r="G215" s="53"/>
    </row>
    <row r="216">
      <c r="A216" s="49">
        <v>44514.8880331713</v>
      </c>
      <c r="B216" s="50">
        <v>44515.0130053009</v>
      </c>
      <c r="C216" s="51">
        <v>1.095</v>
      </c>
      <c r="D216" s="51">
        <v>64.0</v>
      </c>
      <c r="E216" s="52" t="s">
        <v>25</v>
      </c>
      <c r="F216" s="52" t="s">
        <v>26</v>
      </c>
      <c r="G216" s="53"/>
    </row>
    <row r="217">
      <c r="A217" s="49">
        <v>44514.89844443287</v>
      </c>
      <c r="B217" s="50">
        <v>44515.0234269212</v>
      </c>
      <c r="C217" s="51">
        <v>1.095</v>
      </c>
      <c r="D217" s="51">
        <v>65.0</v>
      </c>
      <c r="E217" s="52" t="s">
        <v>25</v>
      </c>
      <c r="F217" s="52" t="s">
        <v>26</v>
      </c>
      <c r="G217" s="53"/>
    </row>
    <row r="218">
      <c r="A218" s="49">
        <v>44514.90887237269</v>
      </c>
      <c r="B218" s="50">
        <v>44515.0338488773</v>
      </c>
      <c r="C218" s="51">
        <v>1.095</v>
      </c>
      <c r="D218" s="51">
        <v>65.0</v>
      </c>
      <c r="E218" s="52" t="s">
        <v>25</v>
      </c>
      <c r="F218" s="52" t="s">
        <v>26</v>
      </c>
      <c r="G218" s="53"/>
    </row>
    <row r="219">
      <c r="A219" s="49">
        <v>44514.91928834491</v>
      </c>
      <c r="B219" s="50">
        <v>44515.0442692013</v>
      </c>
      <c r="C219" s="51">
        <v>1.095</v>
      </c>
      <c r="D219" s="51">
        <v>65.0</v>
      </c>
      <c r="E219" s="52" t="s">
        <v>25</v>
      </c>
      <c r="F219" s="52" t="s">
        <v>26</v>
      </c>
      <c r="G219" s="53"/>
    </row>
    <row r="220">
      <c r="A220" s="49">
        <v>44514.92972486111</v>
      </c>
      <c r="B220" s="50">
        <v>44515.0546893055</v>
      </c>
      <c r="C220" s="51">
        <v>1.095</v>
      </c>
      <c r="D220" s="51">
        <v>65.0</v>
      </c>
      <c r="E220" s="52" t="s">
        <v>25</v>
      </c>
      <c r="F220" s="52" t="s">
        <v>26</v>
      </c>
      <c r="G220" s="53"/>
    </row>
    <row r="221">
      <c r="A221" s="49">
        <v>44514.94013783565</v>
      </c>
      <c r="B221" s="50">
        <v>44515.0651104282</v>
      </c>
      <c r="C221" s="51">
        <v>1.095</v>
      </c>
      <c r="D221" s="51">
        <v>65.0</v>
      </c>
      <c r="E221" s="52" t="s">
        <v>25</v>
      </c>
      <c r="F221" s="52" t="s">
        <v>26</v>
      </c>
      <c r="G221" s="53"/>
    </row>
    <row r="222">
      <c r="A222" s="49">
        <v>44514.95055799768</v>
      </c>
      <c r="B222" s="50">
        <v>44515.0755325578</v>
      </c>
      <c r="C222" s="51">
        <v>1.094</v>
      </c>
      <c r="D222" s="51">
        <v>65.0</v>
      </c>
      <c r="E222" s="52" t="s">
        <v>25</v>
      </c>
      <c r="F222" s="52" t="s">
        <v>26</v>
      </c>
      <c r="G222" s="53"/>
    </row>
    <row r="223">
      <c r="A223" s="49">
        <v>44514.96097547453</v>
      </c>
      <c r="B223" s="50">
        <v>44515.0859539004</v>
      </c>
      <c r="C223" s="51">
        <v>1.095</v>
      </c>
      <c r="D223" s="51">
        <v>65.0</v>
      </c>
      <c r="E223" s="52" t="s">
        <v>25</v>
      </c>
      <c r="F223" s="52" t="s">
        <v>26</v>
      </c>
      <c r="G223" s="53"/>
    </row>
    <row r="224">
      <c r="A224" s="49">
        <v>44514.97140234953</v>
      </c>
      <c r="B224" s="50">
        <v>44515.0963743287</v>
      </c>
      <c r="C224" s="51">
        <v>1.095</v>
      </c>
      <c r="D224" s="51">
        <v>65.0</v>
      </c>
      <c r="E224" s="52" t="s">
        <v>25</v>
      </c>
      <c r="F224" s="52" t="s">
        <v>26</v>
      </c>
      <c r="G224" s="53"/>
    </row>
    <row r="225">
      <c r="A225" s="49">
        <v>44514.981821608795</v>
      </c>
      <c r="B225" s="50">
        <v>44515.1067965972</v>
      </c>
      <c r="C225" s="51">
        <v>1.094</v>
      </c>
      <c r="D225" s="51">
        <v>65.0</v>
      </c>
      <c r="E225" s="52" t="s">
        <v>25</v>
      </c>
      <c r="F225" s="52" t="s">
        <v>26</v>
      </c>
      <c r="G225" s="53"/>
    </row>
    <row r="226">
      <c r="A226" s="49">
        <v>44514.992234502315</v>
      </c>
      <c r="B226" s="50">
        <v>44515.1172186689</v>
      </c>
      <c r="C226" s="51">
        <v>1.095</v>
      </c>
      <c r="D226" s="51">
        <v>65.0</v>
      </c>
      <c r="E226" s="52" t="s">
        <v>25</v>
      </c>
      <c r="F226" s="52" t="s">
        <v>26</v>
      </c>
      <c r="G226" s="53"/>
    </row>
    <row r="227">
      <c r="A227" s="49">
        <v>44515.00267740741</v>
      </c>
      <c r="B227" s="50">
        <v>44515.1276510185</v>
      </c>
      <c r="C227" s="51">
        <v>1.095</v>
      </c>
      <c r="D227" s="51">
        <v>65.0</v>
      </c>
      <c r="E227" s="52" t="s">
        <v>25</v>
      </c>
      <c r="F227" s="52" t="s">
        <v>26</v>
      </c>
      <c r="G227" s="53"/>
    </row>
    <row r="228">
      <c r="A228" s="49">
        <v>44515.01310260416</v>
      </c>
      <c r="B228" s="50">
        <v>44515.1380718865</v>
      </c>
      <c r="C228" s="51">
        <v>1.094</v>
      </c>
      <c r="D228" s="51">
        <v>65.0</v>
      </c>
      <c r="E228" s="52" t="s">
        <v>25</v>
      </c>
      <c r="F228" s="52" t="s">
        <v>26</v>
      </c>
      <c r="G228" s="53"/>
    </row>
    <row r="229">
      <c r="A229" s="49">
        <v>44515.023538124995</v>
      </c>
      <c r="B229" s="50">
        <v>44515.1485067939</v>
      </c>
      <c r="C229" s="51">
        <v>1.094</v>
      </c>
      <c r="D229" s="51">
        <v>65.0</v>
      </c>
      <c r="E229" s="52" t="s">
        <v>25</v>
      </c>
      <c r="F229" s="52" t="s">
        <v>26</v>
      </c>
      <c r="G229" s="53"/>
    </row>
    <row r="230">
      <c r="A230" s="49">
        <v>44515.03397307871</v>
      </c>
      <c r="B230" s="50">
        <v>44515.158940081</v>
      </c>
      <c r="C230" s="51">
        <v>1.094</v>
      </c>
      <c r="D230" s="51">
        <v>65.0</v>
      </c>
      <c r="E230" s="52" t="s">
        <v>25</v>
      </c>
      <c r="F230" s="52" t="s">
        <v>26</v>
      </c>
      <c r="G230" s="53"/>
    </row>
    <row r="231">
      <c r="A231" s="49">
        <v>44515.044381354164</v>
      </c>
      <c r="B231" s="50">
        <v>44515.1693615509</v>
      </c>
      <c r="C231" s="51">
        <v>1.094</v>
      </c>
      <c r="D231" s="51">
        <v>65.0</v>
      </c>
      <c r="E231" s="52" t="s">
        <v>25</v>
      </c>
      <c r="F231" s="52" t="s">
        <v>26</v>
      </c>
      <c r="G231" s="53"/>
    </row>
    <row r="232">
      <c r="A232" s="49">
        <v>44515.05481</v>
      </c>
      <c r="B232" s="50">
        <v>44515.179783368</v>
      </c>
      <c r="C232" s="51">
        <v>1.094</v>
      </c>
      <c r="D232" s="51">
        <v>65.0</v>
      </c>
      <c r="E232" s="52" t="s">
        <v>25</v>
      </c>
      <c r="F232" s="52" t="s">
        <v>26</v>
      </c>
      <c r="G232" s="53"/>
    </row>
    <row r="233">
      <c r="A233" s="49">
        <v>44515.06522116898</v>
      </c>
      <c r="B233" s="50">
        <v>44515.1902033564</v>
      </c>
      <c r="C233" s="51">
        <v>1.093</v>
      </c>
      <c r="D233" s="51">
        <v>65.0</v>
      </c>
      <c r="E233" s="52" t="s">
        <v>25</v>
      </c>
      <c r="F233" s="52" t="s">
        <v>26</v>
      </c>
      <c r="G233" s="53"/>
    </row>
    <row r="234">
      <c r="A234" s="49">
        <v>44515.07566278936</v>
      </c>
      <c r="B234" s="50">
        <v>44515.2006362615</v>
      </c>
      <c r="C234" s="51">
        <v>1.093</v>
      </c>
      <c r="D234" s="51">
        <v>66.0</v>
      </c>
      <c r="E234" s="52" t="s">
        <v>25</v>
      </c>
      <c r="F234" s="52" t="s">
        <v>26</v>
      </c>
      <c r="G234" s="53"/>
    </row>
    <row r="235">
      <c r="A235" s="49">
        <v>44515.086096238425</v>
      </c>
      <c r="B235" s="50">
        <v>44515.2110693749</v>
      </c>
      <c r="C235" s="51">
        <v>1.094</v>
      </c>
      <c r="D235" s="51">
        <v>66.0</v>
      </c>
      <c r="E235" s="52" t="s">
        <v>25</v>
      </c>
      <c r="F235" s="52" t="s">
        <v>26</v>
      </c>
      <c r="G235" s="53"/>
    </row>
    <row r="236">
      <c r="A236" s="49">
        <v>44515.0965171412</v>
      </c>
      <c r="B236" s="50">
        <v>44515.2214888773</v>
      </c>
      <c r="C236" s="51">
        <v>1.094</v>
      </c>
      <c r="D236" s="51">
        <v>66.0</v>
      </c>
      <c r="E236" s="52" t="s">
        <v>25</v>
      </c>
      <c r="F236" s="52" t="s">
        <v>26</v>
      </c>
      <c r="G236" s="53"/>
    </row>
    <row r="237">
      <c r="A237" s="49">
        <v>44515.10693988426</v>
      </c>
      <c r="B237" s="50">
        <v>44515.2319082291</v>
      </c>
      <c r="C237" s="51">
        <v>1.094</v>
      </c>
      <c r="D237" s="51">
        <v>66.0</v>
      </c>
      <c r="E237" s="52" t="s">
        <v>25</v>
      </c>
      <c r="F237" s="52" t="s">
        <v>26</v>
      </c>
      <c r="G237" s="53"/>
    </row>
    <row r="238">
      <c r="A238" s="49">
        <v>44515.117369583335</v>
      </c>
      <c r="B238" s="50">
        <v>44515.2423410416</v>
      </c>
      <c r="C238" s="51">
        <v>1.093</v>
      </c>
      <c r="D238" s="51">
        <v>66.0</v>
      </c>
      <c r="E238" s="52" t="s">
        <v>25</v>
      </c>
      <c r="F238" s="52" t="s">
        <v>26</v>
      </c>
      <c r="G238" s="53"/>
    </row>
    <row r="239">
      <c r="A239" s="49">
        <v>44515.12779134259</v>
      </c>
      <c r="B239" s="50">
        <v>44515.2527610763</v>
      </c>
      <c r="C239" s="51">
        <v>1.093</v>
      </c>
      <c r="D239" s="51">
        <v>66.0</v>
      </c>
      <c r="E239" s="52" t="s">
        <v>25</v>
      </c>
      <c r="F239" s="52" t="s">
        <v>26</v>
      </c>
      <c r="G239" s="53"/>
    </row>
    <row r="240">
      <c r="A240" s="49">
        <v>44515.13820695602</v>
      </c>
      <c r="B240" s="50">
        <v>44515.2631820601</v>
      </c>
      <c r="C240" s="51">
        <v>1.093</v>
      </c>
      <c r="D240" s="51">
        <v>66.0</v>
      </c>
      <c r="E240" s="52" t="s">
        <v>25</v>
      </c>
      <c r="F240" s="52" t="s">
        <v>26</v>
      </c>
      <c r="G240" s="53"/>
    </row>
    <row r="241">
      <c r="A241" s="49">
        <v>44515.14864288195</v>
      </c>
      <c r="B241" s="50">
        <v>44515.2736133564</v>
      </c>
      <c r="C241" s="51">
        <v>1.093</v>
      </c>
      <c r="D241" s="51">
        <v>66.0</v>
      </c>
      <c r="E241" s="52" t="s">
        <v>25</v>
      </c>
      <c r="F241" s="52" t="s">
        <v>26</v>
      </c>
      <c r="G241" s="53"/>
    </row>
    <row r="242">
      <c r="A242" s="49">
        <v>44515.15906864584</v>
      </c>
      <c r="B242" s="50">
        <v>44515.2840458333</v>
      </c>
      <c r="C242" s="51">
        <v>1.092</v>
      </c>
      <c r="D242" s="51">
        <v>66.0</v>
      </c>
      <c r="E242" s="52" t="s">
        <v>25</v>
      </c>
      <c r="F242" s="52" t="s">
        <v>26</v>
      </c>
      <c r="G242" s="53"/>
    </row>
    <row r="243">
      <c r="A243" s="49">
        <v>44515.16949019676</v>
      </c>
      <c r="B243" s="50">
        <v>44515.2944654629</v>
      </c>
      <c r="C243" s="51">
        <v>1.093</v>
      </c>
      <c r="D243" s="51">
        <v>66.0</v>
      </c>
      <c r="E243" s="52" t="s">
        <v>25</v>
      </c>
      <c r="F243" s="52" t="s">
        <v>26</v>
      </c>
      <c r="G243" s="53"/>
    </row>
    <row r="244">
      <c r="A244" s="49">
        <v>44515.17991490741</v>
      </c>
      <c r="B244" s="50">
        <v>44515.304886412</v>
      </c>
      <c r="C244" s="51">
        <v>1.092</v>
      </c>
      <c r="D244" s="51">
        <v>66.0</v>
      </c>
      <c r="E244" s="52" t="s">
        <v>25</v>
      </c>
      <c r="F244" s="52" t="s">
        <v>26</v>
      </c>
      <c r="G244" s="53"/>
    </row>
    <row r="245">
      <c r="A245" s="49">
        <v>44515.190337928245</v>
      </c>
      <c r="B245" s="50">
        <v>44515.3153089814</v>
      </c>
      <c r="C245" s="51">
        <v>1.092</v>
      </c>
      <c r="D245" s="51">
        <v>66.0</v>
      </c>
      <c r="E245" s="52" t="s">
        <v>25</v>
      </c>
      <c r="F245" s="52" t="s">
        <v>26</v>
      </c>
      <c r="G245" s="53"/>
    </row>
    <row r="246">
      <c r="A246" s="49">
        <v>44515.200751192126</v>
      </c>
      <c r="B246" s="50">
        <v>44515.3257297222</v>
      </c>
      <c r="C246" s="51">
        <v>1.093</v>
      </c>
      <c r="D246" s="51">
        <v>66.0</v>
      </c>
      <c r="E246" s="52" t="s">
        <v>25</v>
      </c>
      <c r="F246" s="52" t="s">
        <v>26</v>
      </c>
      <c r="G246" s="53"/>
    </row>
    <row r="247">
      <c r="A247" s="49">
        <v>44515.21117594907</v>
      </c>
      <c r="B247" s="50">
        <v>44515.3361509259</v>
      </c>
      <c r="C247" s="51">
        <v>1.092</v>
      </c>
      <c r="D247" s="51">
        <v>66.0</v>
      </c>
      <c r="E247" s="52" t="s">
        <v>25</v>
      </c>
      <c r="F247" s="52" t="s">
        <v>26</v>
      </c>
      <c r="G247" s="53"/>
    </row>
    <row r="248">
      <c r="A248" s="49">
        <v>44515.22159099537</v>
      </c>
      <c r="B248" s="50">
        <v>44515.3465721643</v>
      </c>
      <c r="C248" s="51">
        <v>1.092</v>
      </c>
      <c r="D248" s="51">
        <v>66.0</v>
      </c>
      <c r="E248" s="52" t="s">
        <v>25</v>
      </c>
      <c r="F248" s="52" t="s">
        <v>26</v>
      </c>
      <c r="G248" s="53"/>
    </row>
    <row r="249">
      <c r="A249" s="49">
        <v>44515.23201541667</v>
      </c>
      <c r="B249" s="50">
        <v>44515.3569929861</v>
      </c>
      <c r="C249" s="51">
        <v>1.092</v>
      </c>
      <c r="D249" s="51">
        <v>66.0</v>
      </c>
      <c r="E249" s="52" t="s">
        <v>25</v>
      </c>
      <c r="F249" s="52" t="s">
        <v>26</v>
      </c>
      <c r="G249" s="53"/>
    </row>
    <row r="250">
      <c r="A250" s="49">
        <v>44515.24244811342</v>
      </c>
      <c r="B250" s="50">
        <v>44515.36741353</v>
      </c>
      <c r="C250" s="51">
        <v>1.092</v>
      </c>
      <c r="D250" s="51">
        <v>66.0</v>
      </c>
      <c r="E250" s="52" t="s">
        <v>25</v>
      </c>
      <c r="F250" s="52" t="s">
        <v>26</v>
      </c>
      <c r="G250" s="53"/>
    </row>
    <row r="251">
      <c r="A251" s="49">
        <v>44515.25286393518</v>
      </c>
      <c r="B251" s="50">
        <v>44515.3778337152</v>
      </c>
      <c r="C251" s="51">
        <v>1.092</v>
      </c>
      <c r="D251" s="51">
        <v>66.0</v>
      </c>
      <c r="E251" s="52" t="s">
        <v>25</v>
      </c>
      <c r="F251" s="52" t="s">
        <v>26</v>
      </c>
      <c r="G251" s="53"/>
    </row>
    <row r="252">
      <c r="A252" s="49">
        <v>44515.263275324076</v>
      </c>
      <c r="B252" s="50">
        <v>44515.388253449</v>
      </c>
      <c r="C252" s="51">
        <v>1.092</v>
      </c>
      <c r="D252" s="51">
        <v>66.0</v>
      </c>
      <c r="E252" s="52" t="s">
        <v>25</v>
      </c>
      <c r="F252" s="52" t="s">
        <v>26</v>
      </c>
      <c r="G252" s="53"/>
    </row>
    <row r="253">
      <c r="A253" s="49">
        <v>44515.27370152778</v>
      </c>
      <c r="B253" s="50">
        <v>44515.3986738888</v>
      </c>
      <c r="C253" s="51">
        <v>1.092</v>
      </c>
      <c r="D253" s="51">
        <v>66.0</v>
      </c>
      <c r="E253" s="52" t="s">
        <v>25</v>
      </c>
      <c r="F253" s="52" t="s">
        <v>26</v>
      </c>
      <c r="G253" s="53"/>
    </row>
    <row r="254">
      <c r="A254" s="49">
        <v>44515.284135925926</v>
      </c>
      <c r="B254" s="50">
        <v>44515.4090950578</v>
      </c>
      <c r="C254" s="51">
        <v>1.091</v>
      </c>
      <c r="D254" s="51">
        <v>66.0</v>
      </c>
      <c r="E254" s="52" t="s">
        <v>25</v>
      </c>
      <c r="F254" s="52" t="s">
        <v>26</v>
      </c>
      <c r="G254" s="53"/>
    </row>
    <row r="255">
      <c r="A255" s="49">
        <v>44515.29454466436</v>
      </c>
      <c r="B255" s="50">
        <v>44515.4195150925</v>
      </c>
      <c r="C255" s="51">
        <v>1.092</v>
      </c>
      <c r="D255" s="51">
        <v>66.0</v>
      </c>
      <c r="E255" s="52" t="s">
        <v>25</v>
      </c>
      <c r="F255" s="52" t="s">
        <v>26</v>
      </c>
      <c r="G255" s="53"/>
    </row>
    <row r="256">
      <c r="A256" s="49">
        <v>44515.304965497686</v>
      </c>
      <c r="B256" s="50">
        <v>44515.429936875</v>
      </c>
      <c r="C256" s="51">
        <v>1.091</v>
      </c>
      <c r="D256" s="51">
        <v>66.0</v>
      </c>
      <c r="E256" s="52" t="s">
        <v>25</v>
      </c>
      <c r="F256" s="52" t="s">
        <v>26</v>
      </c>
      <c r="G256" s="53"/>
    </row>
    <row r="257">
      <c r="A257" s="49">
        <v>44515.31539582176</v>
      </c>
      <c r="B257" s="50">
        <v>44515.4403564236</v>
      </c>
      <c r="C257" s="51">
        <v>1.092</v>
      </c>
      <c r="D257" s="51">
        <v>66.0</v>
      </c>
      <c r="E257" s="52" t="s">
        <v>25</v>
      </c>
      <c r="F257" s="52" t="s">
        <v>26</v>
      </c>
      <c r="G257" s="53"/>
    </row>
    <row r="258">
      <c r="A258" s="49">
        <v>44515.32580359954</v>
      </c>
      <c r="B258" s="50">
        <v>44515.4507786458</v>
      </c>
      <c r="C258" s="51">
        <v>1.091</v>
      </c>
      <c r="D258" s="51">
        <v>66.0</v>
      </c>
      <c r="E258" s="52" t="s">
        <v>25</v>
      </c>
      <c r="F258" s="52" t="s">
        <v>26</v>
      </c>
      <c r="G258" s="53"/>
    </row>
    <row r="259">
      <c r="A259" s="49">
        <v>44515.33624421296</v>
      </c>
      <c r="B259" s="50">
        <v>44515.4612121527</v>
      </c>
      <c r="C259" s="51">
        <v>1.092</v>
      </c>
      <c r="D259" s="51">
        <v>66.0</v>
      </c>
      <c r="E259" s="52" t="s">
        <v>25</v>
      </c>
      <c r="F259" s="52" t="s">
        <v>26</v>
      </c>
      <c r="G259" s="53"/>
    </row>
    <row r="260">
      <c r="A260" s="49">
        <v>44515.34667385417</v>
      </c>
      <c r="B260" s="50">
        <v>44515.4716460995</v>
      </c>
      <c r="C260" s="51">
        <v>1.092</v>
      </c>
      <c r="D260" s="51">
        <v>66.0</v>
      </c>
      <c r="E260" s="52" t="s">
        <v>25</v>
      </c>
      <c r="F260" s="52" t="s">
        <v>26</v>
      </c>
      <c r="G260" s="53"/>
    </row>
    <row r="261">
      <c r="A261" s="49">
        <v>44515.357095590276</v>
      </c>
      <c r="B261" s="50">
        <v>44515.482067581</v>
      </c>
      <c r="C261" s="51">
        <v>1.09</v>
      </c>
      <c r="D261" s="51">
        <v>66.0</v>
      </c>
      <c r="E261" s="52" t="s">
        <v>25</v>
      </c>
      <c r="F261" s="52" t="s">
        <v>26</v>
      </c>
      <c r="G261" s="53"/>
    </row>
    <row r="262">
      <c r="A262" s="49">
        <v>44515.367523368055</v>
      </c>
      <c r="B262" s="50">
        <v>44515.4925005902</v>
      </c>
      <c r="C262" s="51">
        <v>1.092</v>
      </c>
      <c r="D262" s="51">
        <v>66.0</v>
      </c>
      <c r="E262" s="52" t="s">
        <v>25</v>
      </c>
      <c r="F262" s="52" t="s">
        <v>26</v>
      </c>
      <c r="G262" s="53"/>
    </row>
    <row r="263">
      <c r="A263" s="49">
        <v>44515.377948333335</v>
      </c>
      <c r="B263" s="50">
        <v>44515.5029223263</v>
      </c>
      <c r="C263" s="51">
        <v>1.091</v>
      </c>
      <c r="D263" s="51">
        <v>66.0</v>
      </c>
      <c r="E263" s="52" t="s">
        <v>25</v>
      </c>
      <c r="F263" s="52" t="s">
        <v>26</v>
      </c>
      <c r="G263" s="53"/>
    </row>
    <row r="264">
      <c r="A264" s="49">
        <v>44515.388374050926</v>
      </c>
      <c r="B264" s="50">
        <v>44515.5133437384</v>
      </c>
      <c r="C264" s="51">
        <v>1.091</v>
      </c>
      <c r="D264" s="51">
        <v>66.0</v>
      </c>
      <c r="E264" s="52" t="s">
        <v>25</v>
      </c>
      <c r="F264" s="52" t="s">
        <v>26</v>
      </c>
      <c r="G264" s="53"/>
    </row>
    <row r="265">
      <c r="A265" s="49">
        <v>44515.39878876157</v>
      </c>
      <c r="B265" s="50">
        <v>44515.5237660763</v>
      </c>
      <c r="C265" s="51">
        <v>1.09</v>
      </c>
      <c r="D265" s="51">
        <v>67.0</v>
      </c>
      <c r="E265" s="52" t="s">
        <v>25</v>
      </c>
      <c r="F265" s="52" t="s">
        <v>26</v>
      </c>
      <c r="G265" s="53"/>
    </row>
    <row r="266">
      <c r="A266" s="49">
        <v>44515.4092156713</v>
      </c>
      <c r="B266" s="50">
        <v>44515.5341876736</v>
      </c>
      <c r="C266" s="51">
        <v>1.091</v>
      </c>
      <c r="D266" s="51">
        <v>67.0</v>
      </c>
      <c r="E266" s="52" t="s">
        <v>25</v>
      </c>
      <c r="F266" s="52" t="s">
        <v>26</v>
      </c>
      <c r="G266" s="53"/>
    </row>
    <row r="267">
      <c r="A267" s="49">
        <v>44515.41963502315</v>
      </c>
      <c r="B267" s="50">
        <v>44515.5446071875</v>
      </c>
      <c r="C267" s="51">
        <v>1.09</v>
      </c>
      <c r="D267" s="51">
        <v>67.0</v>
      </c>
      <c r="E267" s="52" t="s">
        <v>25</v>
      </c>
      <c r="F267" s="52" t="s">
        <v>26</v>
      </c>
      <c r="G267" s="53"/>
    </row>
    <row r="268">
      <c r="A268" s="49">
        <v>44515.43005097222</v>
      </c>
      <c r="B268" s="50">
        <v>44515.5550276041</v>
      </c>
      <c r="C268" s="51">
        <v>1.091</v>
      </c>
      <c r="D268" s="51">
        <v>67.0</v>
      </c>
      <c r="E268" s="52" t="s">
        <v>25</v>
      </c>
      <c r="F268" s="52" t="s">
        <v>26</v>
      </c>
      <c r="G268" s="53"/>
    </row>
    <row r="269">
      <c r="A269" s="49">
        <v>44515.4404783912</v>
      </c>
      <c r="B269" s="50">
        <v>44515.5654507291</v>
      </c>
      <c r="C269" s="51">
        <v>1.091</v>
      </c>
      <c r="D269" s="51">
        <v>67.0</v>
      </c>
      <c r="E269" s="52" t="s">
        <v>25</v>
      </c>
      <c r="F269" s="52" t="s">
        <v>26</v>
      </c>
      <c r="G269" s="53"/>
    </row>
    <row r="270">
      <c r="A270" s="49">
        <v>44515.45089408565</v>
      </c>
      <c r="B270" s="50">
        <v>44515.5758684953</v>
      </c>
      <c r="C270" s="51">
        <v>1.091</v>
      </c>
      <c r="D270" s="51">
        <v>67.0</v>
      </c>
      <c r="E270" s="52" t="s">
        <v>25</v>
      </c>
      <c r="F270" s="52" t="s">
        <v>26</v>
      </c>
      <c r="G270" s="53"/>
    </row>
    <row r="271">
      <c r="A271" s="49">
        <v>44515.46131151621</v>
      </c>
      <c r="B271" s="50">
        <v>44515.5862893634</v>
      </c>
      <c r="C271" s="51">
        <v>1.089</v>
      </c>
      <c r="D271" s="51">
        <v>67.0</v>
      </c>
      <c r="E271" s="52" t="s">
        <v>25</v>
      </c>
      <c r="F271" s="52" t="s">
        <v>26</v>
      </c>
      <c r="G271" s="53"/>
    </row>
    <row r="272">
      <c r="A272" s="49">
        <v>44515.47173116898</v>
      </c>
      <c r="B272" s="50">
        <v>44515.5967088657</v>
      </c>
      <c r="C272" s="51">
        <v>1.091</v>
      </c>
      <c r="D272" s="51">
        <v>67.0</v>
      </c>
      <c r="E272" s="52" t="s">
        <v>25</v>
      </c>
      <c r="F272" s="52" t="s">
        <v>26</v>
      </c>
      <c r="G272" s="53"/>
    </row>
    <row r="273">
      <c r="A273" s="49">
        <v>44515.48216269676</v>
      </c>
      <c r="B273" s="50">
        <v>44515.6071313541</v>
      </c>
      <c r="C273" s="51">
        <v>1.089</v>
      </c>
      <c r="D273" s="51">
        <v>67.0</v>
      </c>
      <c r="E273" s="52" t="s">
        <v>25</v>
      </c>
      <c r="F273" s="52" t="s">
        <v>26</v>
      </c>
      <c r="G273" s="53"/>
    </row>
    <row r="274">
      <c r="A274" s="49">
        <v>44515.49260875</v>
      </c>
      <c r="B274" s="50">
        <v>44515.6175787847</v>
      </c>
      <c r="C274" s="51">
        <v>1.091</v>
      </c>
      <c r="D274" s="51">
        <v>67.0</v>
      </c>
      <c r="E274" s="52" t="s">
        <v>25</v>
      </c>
      <c r="F274" s="52" t="s">
        <v>26</v>
      </c>
      <c r="G274" s="53"/>
    </row>
    <row r="275">
      <c r="A275" s="49">
        <v>44515.50302667824</v>
      </c>
      <c r="B275" s="50">
        <v>44515.6279980324</v>
      </c>
      <c r="C275" s="51">
        <v>1.089</v>
      </c>
      <c r="D275" s="51">
        <v>67.0</v>
      </c>
      <c r="E275" s="52" t="s">
        <v>25</v>
      </c>
      <c r="F275" s="52" t="s">
        <v>26</v>
      </c>
      <c r="G275" s="53"/>
    </row>
    <row r="276">
      <c r="A276" s="49">
        <v>44515.513445833334</v>
      </c>
      <c r="B276" s="50">
        <v>44515.6384206828</v>
      </c>
      <c r="C276" s="51">
        <v>1.089</v>
      </c>
      <c r="D276" s="51">
        <v>67.0</v>
      </c>
      <c r="E276" s="52" t="s">
        <v>25</v>
      </c>
      <c r="F276" s="52" t="s">
        <v>26</v>
      </c>
      <c r="G276" s="53"/>
    </row>
    <row r="277">
      <c r="A277" s="49">
        <v>44515.52386903935</v>
      </c>
      <c r="B277" s="50">
        <v>44515.6488430324</v>
      </c>
      <c r="C277" s="51">
        <v>1.089</v>
      </c>
      <c r="D277" s="51">
        <v>67.0</v>
      </c>
      <c r="E277" s="52" t="s">
        <v>25</v>
      </c>
      <c r="F277" s="52" t="s">
        <v>26</v>
      </c>
      <c r="G277" s="53"/>
    </row>
    <row r="278">
      <c r="A278" s="49">
        <v>44515.53429268519</v>
      </c>
      <c r="B278" s="50">
        <v>44515.6592640856</v>
      </c>
      <c r="C278" s="51">
        <v>1.09</v>
      </c>
      <c r="D278" s="51">
        <v>67.0</v>
      </c>
      <c r="E278" s="52" t="s">
        <v>25</v>
      </c>
      <c r="F278" s="52" t="s">
        <v>26</v>
      </c>
      <c r="G278" s="53"/>
    </row>
    <row r="279">
      <c r="A279" s="49">
        <v>44515.54471174769</v>
      </c>
      <c r="B279" s="50">
        <v>44515.6696859722</v>
      </c>
      <c r="C279" s="51">
        <v>1.088</v>
      </c>
      <c r="D279" s="51">
        <v>67.0</v>
      </c>
      <c r="E279" s="52" t="s">
        <v>25</v>
      </c>
      <c r="F279" s="52" t="s">
        <v>26</v>
      </c>
      <c r="G279" s="53"/>
    </row>
    <row r="280">
      <c r="A280" s="49">
        <v>44515.55513195602</v>
      </c>
      <c r="B280" s="50">
        <v>44515.680105324</v>
      </c>
      <c r="C280" s="51">
        <v>1.089</v>
      </c>
      <c r="D280" s="51">
        <v>67.0</v>
      </c>
      <c r="E280" s="52" t="s">
        <v>25</v>
      </c>
      <c r="F280" s="52" t="s">
        <v>26</v>
      </c>
      <c r="G280" s="53"/>
    </row>
    <row r="281">
      <c r="A281" s="49">
        <v>44515.5655559838</v>
      </c>
      <c r="B281" s="50">
        <v>44515.6905277777</v>
      </c>
      <c r="C281" s="51">
        <v>1.088</v>
      </c>
      <c r="D281" s="51">
        <v>67.0</v>
      </c>
      <c r="E281" s="52" t="s">
        <v>25</v>
      </c>
      <c r="F281" s="52" t="s">
        <v>26</v>
      </c>
      <c r="G281" s="53"/>
    </row>
    <row r="282">
      <c r="A282" s="49">
        <v>44515.5759740162</v>
      </c>
      <c r="B282" s="50">
        <v>44515.7009479629</v>
      </c>
      <c r="C282" s="51">
        <v>1.089</v>
      </c>
      <c r="D282" s="51">
        <v>67.0</v>
      </c>
      <c r="E282" s="52" t="s">
        <v>25</v>
      </c>
      <c r="F282" s="52" t="s">
        <v>26</v>
      </c>
      <c r="G282" s="53"/>
    </row>
    <row r="283">
      <c r="A283" s="49">
        <v>44515.5863978125</v>
      </c>
      <c r="B283" s="50">
        <v>44515.711369537</v>
      </c>
      <c r="C283" s="51">
        <v>1.088</v>
      </c>
      <c r="D283" s="51">
        <v>67.0</v>
      </c>
      <c r="E283" s="52" t="s">
        <v>25</v>
      </c>
      <c r="F283" s="52" t="s">
        <v>26</v>
      </c>
      <c r="G283" s="53"/>
    </row>
    <row r="284">
      <c r="A284" s="49">
        <v>44515.59683175926</v>
      </c>
      <c r="B284" s="50">
        <v>44515.7218038078</v>
      </c>
      <c r="C284" s="51">
        <v>1.089</v>
      </c>
      <c r="D284" s="51">
        <v>67.0</v>
      </c>
      <c r="E284" s="52" t="s">
        <v>25</v>
      </c>
      <c r="F284" s="52" t="s">
        <v>26</v>
      </c>
      <c r="G284" s="53"/>
    </row>
    <row r="285">
      <c r="A285" s="49">
        <v>44515.607244803236</v>
      </c>
      <c r="B285" s="50">
        <v>44515.7322246527</v>
      </c>
      <c r="C285" s="51">
        <v>1.088</v>
      </c>
      <c r="D285" s="51">
        <v>67.0</v>
      </c>
      <c r="E285" s="52" t="s">
        <v>25</v>
      </c>
      <c r="F285" s="52" t="s">
        <v>26</v>
      </c>
      <c r="G285" s="53"/>
    </row>
    <row r="286">
      <c r="A286" s="49">
        <v>44515.61767299769</v>
      </c>
      <c r="B286" s="50">
        <v>44515.7426476273</v>
      </c>
      <c r="C286" s="51">
        <v>1.089</v>
      </c>
      <c r="D286" s="51">
        <v>67.0</v>
      </c>
      <c r="E286" s="52" t="s">
        <v>25</v>
      </c>
      <c r="F286" s="52" t="s">
        <v>26</v>
      </c>
      <c r="G286" s="53"/>
    </row>
    <row r="287">
      <c r="A287" s="49">
        <v>44515.62809179398</v>
      </c>
      <c r="B287" s="50">
        <v>44515.7530695833</v>
      </c>
      <c r="C287" s="51">
        <v>1.089</v>
      </c>
      <c r="D287" s="51">
        <v>67.0</v>
      </c>
      <c r="E287" s="52" t="s">
        <v>25</v>
      </c>
      <c r="F287" s="52" t="s">
        <v>26</v>
      </c>
      <c r="G287" s="53"/>
    </row>
    <row r="288">
      <c r="A288" s="49">
        <v>44515.638519155094</v>
      </c>
      <c r="B288" s="50">
        <v>44515.7634927083</v>
      </c>
      <c r="C288" s="51">
        <v>1.089</v>
      </c>
      <c r="D288" s="51">
        <v>67.0</v>
      </c>
      <c r="E288" s="52" t="s">
        <v>25</v>
      </c>
      <c r="F288" s="52" t="s">
        <v>26</v>
      </c>
      <c r="G288" s="53"/>
    </row>
    <row r="289">
      <c r="A289" s="49">
        <v>44515.64893689815</v>
      </c>
      <c r="B289" s="50">
        <v>44515.7739157291</v>
      </c>
      <c r="C289" s="51">
        <v>1.088</v>
      </c>
      <c r="D289" s="51">
        <v>67.0</v>
      </c>
      <c r="E289" s="52" t="s">
        <v>25</v>
      </c>
      <c r="F289" s="52" t="s">
        <v>26</v>
      </c>
      <c r="G289" s="53"/>
    </row>
    <row r="290">
      <c r="A290" s="49">
        <v>44515.659353958334</v>
      </c>
      <c r="B290" s="50">
        <v>44515.7843367476</v>
      </c>
      <c r="C290" s="51">
        <v>1.087</v>
      </c>
      <c r="D290" s="51">
        <v>67.0</v>
      </c>
      <c r="E290" s="52" t="s">
        <v>25</v>
      </c>
      <c r="F290" s="52" t="s">
        <v>26</v>
      </c>
      <c r="G290" s="53"/>
    </row>
    <row r="291">
      <c r="A291" s="49">
        <v>44515.669789120366</v>
      </c>
      <c r="B291" s="50">
        <v>44515.7947588541</v>
      </c>
      <c r="C291" s="51">
        <v>1.088</v>
      </c>
      <c r="D291" s="51">
        <v>67.0</v>
      </c>
      <c r="E291" s="52" t="s">
        <v>25</v>
      </c>
      <c r="F291" s="52" t="s">
        <v>26</v>
      </c>
      <c r="G291" s="53"/>
    </row>
    <row r="292">
      <c r="A292" s="49">
        <v>44515.68021167824</v>
      </c>
      <c r="B292" s="50">
        <v>44515.8051907291</v>
      </c>
      <c r="C292" s="51">
        <v>1.088</v>
      </c>
      <c r="D292" s="51">
        <v>67.0</v>
      </c>
      <c r="E292" s="52" t="s">
        <v>25</v>
      </c>
      <c r="F292" s="52" t="s">
        <v>26</v>
      </c>
      <c r="G292" s="53"/>
    </row>
    <row r="293">
      <c r="A293" s="49">
        <v>44515.69064515046</v>
      </c>
      <c r="B293" s="50">
        <v>44515.8156110069</v>
      </c>
      <c r="C293" s="51">
        <v>1.088</v>
      </c>
      <c r="D293" s="51">
        <v>67.0</v>
      </c>
      <c r="E293" s="52" t="s">
        <v>25</v>
      </c>
      <c r="F293" s="52" t="s">
        <v>26</v>
      </c>
      <c r="G293" s="53"/>
    </row>
    <row r="294">
      <c r="A294" s="49">
        <v>44515.7010515625</v>
      </c>
      <c r="B294" s="50">
        <v>44515.8260311226</v>
      </c>
      <c r="C294" s="51">
        <v>1.087</v>
      </c>
      <c r="D294" s="51">
        <v>67.0</v>
      </c>
      <c r="E294" s="52" t="s">
        <v>25</v>
      </c>
      <c r="F294" s="52" t="s">
        <v>26</v>
      </c>
      <c r="G294" s="53"/>
    </row>
    <row r="295">
      <c r="A295" s="49">
        <v>44515.71148012731</v>
      </c>
      <c r="B295" s="50">
        <v>44515.836452118</v>
      </c>
      <c r="C295" s="51">
        <v>1.088</v>
      </c>
      <c r="D295" s="51">
        <v>67.0</v>
      </c>
      <c r="E295" s="52" t="s">
        <v>25</v>
      </c>
      <c r="F295" s="52" t="s">
        <v>26</v>
      </c>
      <c r="G295" s="53"/>
    </row>
    <row r="296">
      <c r="A296" s="49">
        <v>44515.72190783564</v>
      </c>
      <c r="B296" s="50">
        <v>44515.846884618</v>
      </c>
      <c r="C296" s="51">
        <v>1.087</v>
      </c>
      <c r="D296" s="51">
        <v>67.0</v>
      </c>
      <c r="E296" s="52" t="s">
        <v>25</v>
      </c>
      <c r="F296" s="52" t="s">
        <v>26</v>
      </c>
      <c r="G296" s="53"/>
    </row>
    <row r="297">
      <c r="A297" s="49">
        <v>44515.73232517361</v>
      </c>
      <c r="B297" s="50">
        <v>44515.857304537</v>
      </c>
      <c r="C297" s="51">
        <v>1.087</v>
      </c>
      <c r="D297" s="51">
        <v>67.0</v>
      </c>
      <c r="E297" s="52" t="s">
        <v>25</v>
      </c>
      <c r="F297" s="52" t="s">
        <v>26</v>
      </c>
      <c r="G297" s="53"/>
    </row>
    <row r="298">
      <c r="A298" s="49">
        <v>44515.742745324074</v>
      </c>
      <c r="B298" s="50">
        <v>44515.8677236921</v>
      </c>
      <c r="C298" s="51">
        <v>1.087</v>
      </c>
      <c r="D298" s="51">
        <v>67.0</v>
      </c>
      <c r="E298" s="52" t="s">
        <v>25</v>
      </c>
      <c r="F298" s="52" t="s">
        <v>26</v>
      </c>
      <c r="G298" s="53"/>
    </row>
    <row r="299">
      <c r="A299" s="49">
        <v>44515.75317403935</v>
      </c>
      <c r="B299" s="50">
        <v>44515.8781435069</v>
      </c>
      <c r="C299" s="51">
        <v>1.087</v>
      </c>
      <c r="D299" s="51">
        <v>67.0</v>
      </c>
      <c r="E299" s="52" t="s">
        <v>25</v>
      </c>
      <c r="F299" s="52" t="s">
        <v>26</v>
      </c>
      <c r="G299" s="53"/>
    </row>
    <row r="300">
      <c r="A300" s="49">
        <v>44515.763590347226</v>
      </c>
      <c r="B300" s="50">
        <v>44515.8885631944</v>
      </c>
      <c r="C300" s="51">
        <v>1.087</v>
      </c>
      <c r="D300" s="51">
        <v>67.0</v>
      </c>
      <c r="E300" s="52" t="s">
        <v>25</v>
      </c>
      <c r="F300" s="52" t="s">
        <v>26</v>
      </c>
      <c r="G300" s="53"/>
    </row>
    <row r="301">
      <c r="A301" s="49">
        <v>44515.77401050926</v>
      </c>
      <c r="B301" s="50">
        <v>44515.8989843981</v>
      </c>
      <c r="C301" s="51">
        <v>1.086</v>
      </c>
      <c r="D301" s="51">
        <v>67.0</v>
      </c>
      <c r="E301" s="52" t="s">
        <v>25</v>
      </c>
      <c r="F301" s="52" t="s">
        <v>26</v>
      </c>
      <c r="G301" s="53"/>
    </row>
    <row r="302">
      <c r="A302" s="49">
        <v>44515.7844400926</v>
      </c>
      <c r="B302" s="50">
        <v>44515.909404618</v>
      </c>
      <c r="C302" s="51">
        <v>1.087</v>
      </c>
      <c r="D302" s="51">
        <v>67.0</v>
      </c>
      <c r="E302" s="52" t="s">
        <v>25</v>
      </c>
      <c r="F302" s="52" t="s">
        <v>26</v>
      </c>
      <c r="G302" s="53"/>
    </row>
    <row r="303">
      <c r="A303" s="49">
        <v>44515.79484486111</v>
      </c>
      <c r="B303" s="50">
        <v>44515.919825243</v>
      </c>
      <c r="C303" s="51">
        <v>1.086</v>
      </c>
      <c r="D303" s="51">
        <v>67.0</v>
      </c>
      <c r="E303" s="52" t="s">
        <v>25</v>
      </c>
      <c r="F303" s="52" t="s">
        <v>26</v>
      </c>
      <c r="G303" s="53"/>
    </row>
    <row r="304">
      <c r="A304" s="49">
        <v>44515.80527793981</v>
      </c>
      <c r="B304" s="50">
        <v>44515.9302591898</v>
      </c>
      <c r="C304" s="51">
        <v>1.087</v>
      </c>
      <c r="D304" s="51">
        <v>67.0</v>
      </c>
      <c r="E304" s="52" t="s">
        <v>25</v>
      </c>
      <c r="F304" s="52" t="s">
        <v>26</v>
      </c>
      <c r="G304" s="53"/>
    </row>
    <row r="305">
      <c r="A305" s="49">
        <v>44515.815705891204</v>
      </c>
      <c r="B305" s="50">
        <v>44515.9406798958</v>
      </c>
      <c r="C305" s="51">
        <v>1.086</v>
      </c>
      <c r="D305" s="51">
        <v>67.0</v>
      </c>
      <c r="E305" s="52" t="s">
        <v>25</v>
      </c>
      <c r="F305" s="52" t="s">
        <v>26</v>
      </c>
      <c r="G305" s="53"/>
    </row>
    <row r="306">
      <c r="A306" s="49">
        <v>44515.82613004629</v>
      </c>
      <c r="B306" s="50">
        <v>44515.9511009143</v>
      </c>
      <c r="C306" s="51">
        <v>1.086</v>
      </c>
      <c r="D306" s="51">
        <v>67.0</v>
      </c>
      <c r="E306" s="52" t="s">
        <v>25</v>
      </c>
      <c r="F306" s="52" t="s">
        <v>26</v>
      </c>
      <c r="G306" s="53"/>
    </row>
    <row r="307">
      <c r="A307" s="49">
        <v>44515.83655291666</v>
      </c>
      <c r="B307" s="50">
        <v>44515.9615335995</v>
      </c>
      <c r="C307" s="51">
        <v>1.087</v>
      </c>
      <c r="D307" s="51">
        <v>68.0</v>
      </c>
      <c r="E307" s="52" t="s">
        <v>25</v>
      </c>
      <c r="F307" s="52" t="s">
        <v>26</v>
      </c>
      <c r="G307" s="53"/>
    </row>
    <row r="308">
      <c r="A308" s="49">
        <v>44515.84699951389</v>
      </c>
      <c r="B308" s="50">
        <v>44515.9719792824</v>
      </c>
      <c r="C308" s="51">
        <v>1.086</v>
      </c>
      <c r="D308" s="51">
        <v>68.0</v>
      </c>
      <c r="E308" s="52" t="s">
        <v>25</v>
      </c>
      <c r="F308" s="52" t="s">
        <v>26</v>
      </c>
      <c r="G308" s="53"/>
    </row>
    <row r="309">
      <c r="A309" s="49">
        <v>44515.85742314815</v>
      </c>
      <c r="B309" s="50">
        <v>44515.9823995023</v>
      </c>
      <c r="C309" s="51">
        <v>1.087</v>
      </c>
      <c r="D309" s="51">
        <v>68.0</v>
      </c>
      <c r="E309" s="52" t="s">
        <v>25</v>
      </c>
      <c r="F309" s="52" t="s">
        <v>26</v>
      </c>
      <c r="G309" s="53"/>
    </row>
    <row r="310">
      <c r="A310" s="49">
        <v>44515.86785876157</v>
      </c>
      <c r="B310" s="50">
        <v>44515.9928323842</v>
      </c>
      <c r="C310" s="51">
        <v>1.086</v>
      </c>
      <c r="D310" s="51">
        <v>68.0</v>
      </c>
      <c r="E310" s="52" t="s">
        <v>25</v>
      </c>
      <c r="F310" s="52" t="s">
        <v>26</v>
      </c>
      <c r="G310" s="53"/>
    </row>
    <row r="311">
      <c r="A311" s="49">
        <v>44515.87827681713</v>
      </c>
      <c r="B311" s="50">
        <v>44516.0032535069</v>
      </c>
      <c r="C311" s="51">
        <v>1.087</v>
      </c>
      <c r="D311" s="51">
        <v>68.0</v>
      </c>
      <c r="E311" s="52" t="s">
        <v>25</v>
      </c>
      <c r="F311" s="52" t="s">
        <v>26</v>
      </c>
      <c r="G311" s="53"/>
    </row>
    <row r="312">
      <c r="A312" s="49">
        <v>44515.888703379635</v>
      </c>
      <c r="B312" s="50">
        <v>44516.0136761226</v>
      </c>
      <c r="C312" s="51">
        <v>1.085</v>
      </c>
      <c r="D312" s="51">
        <v>68.0</v>
      </c>
      <c r="E312" s="52" t="s">
        <v>25</v>
      </c>
      <c r="F312" s="52" t="s">
        <v>26</v>
      </c>
      <c r="G312" s="53"/>
    </row>
    <row r="313">
      <c r="A313" s="49">
        <v>44515.89913045139</v>
      </c>
      <c r="B313" s="50">
        <v>44516.024095324</v>
      </c>
      <c r="C313" s="51">
        <v>1.086</v>
      </c>
      <c r="D313" s="51">
        <v>68.0</v>
      </c>
      <c r="E313" s="52" t="s">
        <v>25</v>
      </c>
      <c r="F313" s="52" t="s">
        <v>26</v>
      </c>
      <c r="G313" s="53"/>
    </row>
    <row r="314">
      <c r="A314" s="49">
        <v>44515.909545856484</v>
      </c>
      <c r="B314" s="50">
        <v>44516.0345173495</v>
      </c>
      <c r="C314" s="51">
        <v>1.085</v>
      </c>
      <c r="D314" s="51">
        <v>68.0</v>
      </c>
      <c r="E314" s="52" t="s">
        <v>25</v>
      </c>
      <c r="F314" s="52" t="s">
        <v>26</v>
      </c>
      <c r="G314" s="53"/>
    </row>
    <row r="315">
      <c r="A315" s="49">
        <v>44515.91996109954</v>
      </c>
      <c r="B315" s="50">
        <v>44516.0449377893</v>
      </c>
      <c r="C315" s="51">
        <v>1.086</v>
      </c>
      <c r="D315" s="51">
        <v>68.0</v>
      </c>
      <c r="E315" s="52" t="s">
        <v>25</v>
      </c>
      <c r="F315" s="52" t="s">
        <v>26</v>
      </c>
      <c r="G315" s="53"/>
    </row>
    <row r="316">
      <c r="A316" s="49">
        <v>44515.930384548614</v>
      </c>
      <c r="B316" s="50">
        <v>44516.0553585532</v>
      </c>
      <c r="C316" s="51">
        <v>1.085</v>
      </c>
      <c r="D316" s="51">
        <v>68.0</v>
      </c>
      <c r="E316" s="52" t="s">
        <v>25</v>
      </c>
      <c r="F316" s="52" t="s">
        <v>26</v>
      </c>
      <c r="G316" s="53"/>
    </row>
    <row r="317">
      <c r="A317" s="49">
        <v>44515.94080320602</v>
      </c>
      <c r="B317" s="50">
        <v>44516.0657796064</v>
      </c>
      <c r="C317" s="51">
        <v>1.085</v>
      </c>
      <c r="D317" s="51">
        <v>68.0</v>
      </c>
      <c r="E317" s="52" t="s">
        <v>25</v>
      </c>
      <c r="F317" s="52" t="s">
        <v>26</v>
      </c>
      <c r="G317" s="53"/>
    </row>
    <row r="318">
      <c r="A318" s="49">
        <v>44515.95122903935</v>
      </c>
      <c r="B318" s="50">
        <v>44516.0762008796</v>
      </c>
      <c r="C318" s="51">
        <v>1.085</v>
      </c>
      <c r="D318" s="51">
        <v>68.0</v>
      </c>
      <c r="E318" s="52" t="s">
        <v>25</v>
      </c>
      <c r="F318" s="52" t="s">
        <v>26</v>
      </c>
      <c r="G318" s="53"/>
    </row>
    <row r="319">
      <c r="A319" s="49">
        <v>44515.96166570602</v>
      </c>
      <c r="B319" s="50">
        <v>44516.0866354166</v>
      </c>
      <c r="C319" s="51">
        <v>1.085</v>
      </c>
      <c r="D319" s="51">
        <v>68.0</v>
      </c>
      <c r="E319" s="52" t="s">
        <v>25</v>
      </c>
      <c r="F319" s="52" t="s">
        <v>26</v>
      </c>
      <c r="G319" s="53"/>
    </row>
    <row r="320">
      <c r="A320" s="49">
        <v>44515.97208196759</v>
      </c>
      <c r="B320" s="50">
        <v>44516.0970567708</v>
      </c>
      <c r="C320" s="51">
        <v>1.085</v>
      </c>
      <c r="D320" s="51">
        <v>68.0</v>
      </c>
      <c r="E320" s="52" t="s">
        <v>25</v>
      </c>
      <c r="F320" s="52" t="s">
        <v>26</v>
      </c>
      <c r="G320" s="53"/>
    </row>
    <row r="321">
      <c r="A321" s="49">
        <v>44515.98249765046</v>
      </c>
      <c r="B321" s="50">
        <v>44516.10747728</v>
      </c>
      <c r="C321" s="51">
        <v>1.085</v>
      </c>
      <c r="D321" s="51">
        <v>68.0</v>
      </c>
      <c r="E321" s="52" t="s">
        <v>25</v>
      </c>
      <c r="F321" s="52" t="s">
        <v>26</v>
      </c>
      <c r="G321" s="53"/>
    </row>
    <row r="322">
      <c r="A322" s="49">
        <v>44515.99292686343</v>
      </c>
      <c r="B322" s="50">
        <v>44516.1178976736</v>
      </c>
      <c r="C322" s="51">
        <v>1.085</v>
      </c>
      <c r="D322" s="51">
        <v>68.0</v>
      </c>
      <c r="E322" s="52" t="s">
        <v>25</v>
      </c>
      <c r="F322" s="52" t="s">
        <v>26</v>
      </c>
      <c r="G322" s="53"/>
    </row>
    <row r="323">
      <c r="A323" s="49">
        <v>44516.003342615746</v>
      </c>
      <c r="B323" s="50">
        <v>44516.1283177314</v>
      </c>
      <c r="C323" s="51">
        <v>1.084</v>
      </c>
      <c r="D323" s="51">
        <v>68.0</v>
      </c>
      <c r="E323" s="52" t="s">
        <v>25</v>
      </c>
      <c r="F323" s="52" t="s">
        <v>26</v>
      </c>
      <c r="G323" s="53"/>
    </row>
    <row r="324">
      <c r="A324" s="49">
        <v>44516.013762013885</v>
      </c>
      <c r="B324" s="50">
        <v>44516.1387397222</v>
      </c>
      <c r="C324" s="51">
        <v>1.085</v>
      </c>
      <c r="D324" s="51">
        <v>68.0</v>
      </c>
      <c r="E324" s="52" t="s">
        <v>25</v>
      </c>
      <c r="F324" s="52" t="s">
        <v>26</v>
      </c>
      <c r="G324" s="53"/>
    </row>
    <row r="325">
      <c r="A325" s="49">
        <v>44516.02418635417</v>
      </c>
      <c r="B325" s="50">
        <v>44516.1491595949</v>
      </c>
      <c r="C325" s="51">
        <v>1.085</v>
      </c>
      <c r="D325" s="51">
        <v>68.0</v>
      </c>
      <c r="E325" s="52" t="s">
        <v>25</v>
      </c>
      <c r="F325" s="52" t="s">
        <v>26</v>
      </c>
      <c r="G325" s="53"/>
    </row>
    <row r="326">
      <c r="A326" s="49">
        <v>44516.034616805555</v>
      </c>
      <c r="B326" s="50">
        <v>44516.1595926041</v>
      </c>
      <c r="C326" s="51">
        <v>1.084</v>
      </c>
      <c r="D326" s="51">
        <v>68.0</v>
      </c>
      <c r="E326" s="52" t="s">
        <v>25</v>
      </c>
      <c r="F326" s="52" t="s">
        <v>26</v>
      </c>
      <c r="G326" s="53"/>
    </row>
    <row r="327">
      <c r="A327" s="49">
        <v>44516.0450384375</v>
      </c>
      <c r="B327" s="50">
        <v>44516.1700148495</v>
      </c>
      <c r="C327" s="51">
        <v>1.085</v>
      </c>
      <c r="D327" s="51">
        <v>68.0</v>
      </c>
      <c r="E327" s="52" t="s">
        <v>25</v>
      </c>
      <c r="F327" s="52" t="s">
        <v>26</v>
      </c>
      <c r="G327" s="53"/>
    </row>
    <row r="328">
      <c r="A328" s="49">
        <v>44516.055462199074</v>
      </c>
      <c r="B328" s="50">
        <v>44516.1804356481</v>
      </c>
      <c r="C328" s="51">
        <v>1.084</v>
      </c>
      <c r="D328" s="51">
        <v>68.0</v>
      </c>
      <c r="E328" s="52" t="s">
        <v>25</v>
      </c>
      <c r="F328" s="52" t="s">
        <v>26</v>
      </c>
      <c r="G328" s="53"/>
    </row>
    <row r="329">
      <c r="A329" s="49">
        <v>44516.06588310185</v>
      </c>
      <c r="B329" s="50">
        <v>44516.1908567245</v>
      </c>
      <c r="C329" s="51">
        <v>1.085</v>
      </c>
      <c r="D329" s="51">
        <v>68.0</v>
      </c>
      <c r="E329" s="52" t="s">
        <v>25</v>
      </c>
      <c r="F329" s="52" t="s">
        <v>26</v>
      </c>
      <c r="G329" s="53"/>
    </row>
    <row r="330">
      <c r="A330" s="49">
        <v>44516.07630090277</v>
      </c>
      <c r="B330" s="50">
        <v>44516.2012755902</v>
      </c>
      <c r="C330" s="51">
        <v>1.084</v>
      </c>
      <c r="D330" s="51">
        <v>68.0</v>
      </c>
      <c r="E330" s="52" t="s">
        <v>25</v>
      </c>
      <c r="F330" s="52" t="s">
        <v>26</v>
      </c>
      <c r="G330" s="53"/>
    </row>
    <row r="331">
      <c r="A331" s="49">
        <v>44516.086722754626</v>
      </c>
      <c r="B331" s="50">
        <v>44516.2116952199</v>
      </c>
      <c r="C331" s="51">
        <v>1.084</v>
      </c>
      <c r="D331" s="51">
        <v>68.0</v>
      </c>
      <c r="E331" s="52" t="s">
        <v>25</v>
      </c>
      <c r="F331" s="52" t="s">
        <v>26</v>
      </c>
      <c r="G331" s="53"/>
    </row>
    <row r="332">
      <c r="A332" s="49">
        <v>44516.09718275463</v>
      </c>
      <c r="B332" s="50">
        <v>44516.222151956</v>
      </c>
      <c r="C332" s="51">
        <v>1.084</v>
      </c>
      <c r="D332" s="51">
        <v>68.0</v>
      </c>
      <c r="E332" s="52" t="s">
        <v>25</v>
      </c>
      <c r="F332" s="52" t="s">
        <v>26</v>
      </c>
      <c r="G332" s="53"/>
    </row>
    <row r="333">
      <c r="A333" s="49">
        <v>44516.107594120374</v>
      </c>
      <c r="B333" s="50">
        <v>44516.2325706365</v>
      </c>
      <c r="C333" s="51">
        <v>1.084</v>
      </c>
      <c r="D333" s="51">
        <v>68.0</v>
      </c>
      <c r="E333" s="52" t="s">
        <v>25</v>
      </c>
      <c r="F333" s="52" t="s">
        <v>26</v>
      </c>
      <c r="G333" s="53"/>
    </row>
    <row r="334">
      <c r="A334" s="49">
        <v>44516.11800986111</v>
      </c>
      <c r="B334" s="50">
        <v>44516.2429915277</v>
      </c>
      <c r="C334" s="51">
        <v>1.084</v>
      </c>
      <c r="D334" s="51">
        <v>68.0</v>
      </c>
      <c r="E334" s="52" t="s">
        <v>25</v>
      </c>
      <c r="F334" s="52" t="s">
        <v>26</v>
      </c>
      <c r="G334" s="53"/>
    </row>
    <row r="335">
      <c r="A335" s="49">
        <v>44516.128448703705</v>
      </c>
      <c r="B335" s="50">
        <v>44516.2534138541</v>
      </c>
      <c r="C335" s="51">
        <v>1.084</v>
      </c>
      <c r="D335" s="51">
        <v>68.0</v>
      </c>
      <c r="E335" s="52" t="s">
        <v>25</v>
      </c>
      <c r="F335" s="52" t="s">
        <v>26</v>
      </c>
      <c r="G335" s="53"/>
    </row>
    <row r="336">
      <c r="A336" s="49">
        <v>44516.13887947917</v>
      </c>
      <c r="B336" s="50">
        <v>44516.2638462152</v>
      </c>
      <c r="C336" s="51">
        <v>1.084</v>
      </c>
      <c r="D336" s="51">
        <v>68.0</v>
      </c>
      <c r="E336" s="52" t="s">
        <v>25</v>
      </c>
      <c r="F336" s="52" t="s">
        <v>26</v>
      </c>
      <c r="G336" s="53"/>
    </row>
    <row r="337">
      <c r="A337" s="49">
        <v>44516.14930247686</v>
      </c>
      <c r="B337" s="50">
        <v>44516.2742798958</v>
      </c>
      <c r="C337" s="51">
        <v>1.084</v>
      </c>
      <c r="D337" s="51">
        <v>68.0</v>
      </c>
      <c r="E337" s="52" t="s">
        <v>25</v>
      </c>
      <c r="F337" s="52" t="s">
        <v>26</v>
      </c>
      <c r="G337" s="53"/>
    </row>
    <row r="338">
      <c r="A338" s="49">
        <v>44516.15973025463</v>
      </c>
      <c r="B338" s="50">
        <v>44516.284700405</v>
      </c>
      <c r="C338" s="51">
        <v>1.084</v>
      </c>
      <c r="D338" s="51">
        <v>68.0</v>
      </c>
      <c r="E338" s="52" t="s">
        <v>25</v>
      </c>
      <c r="F338" s="52" t="s">
        <v>26</v>
      </c>
      <c r="G338" s="53"/>
    </row>
    <row r="339">
      <c r="A339" s="49">
        <v>44516.17014429398</v>
      </c>
      <c r="B339" s="50">
        <v>44516.2951217476</v>
      </c>
      <c r="C339" s="51">
        <v>1.083</v>
      </c>
      <c r="D339" s="51">
        <v>68.0</v>
      </c>
      <c r="E339" s="52" t="s">
        <v>25</v>
      </c>
      <c r="F339" s="52" t="s">
        <v>26</v>
      </c>
      <c r="G339" s="53"/>
    </row>
    <row r="340">
      <c r="A340" s="49">
        <v>44516.18056309028</v>
      </c>
      <c r="B340" s="50">
        <v>44516.3055425462</v>
      </c>
      <c r="C340" s="51">
        <v>1.084</v>
      </c>
      <c r="D340" s="51">
        <v>68.0</v>
      </c>
      <c r="E340" s="52" t="s">
        <v>25</v>
      </c>
      <c r="F340" s="52" t="s">
        <v>26</v>
      </c>
      <c r="G340" s="53"/>
    </row>
    <row r="341">
      <c r="A341" s="49">
        <v>44516.19098953703</v>
      </c>
      <c r="B341" s="50">
        <v>44516.3159618981</v>
      </c>
      <c r="C341" s="51">
        <v>1.083</v>
      </c>
      <c r="D341" s="51">
        <v>68.0</v>
      </c>
      <c r="E341" s="52" t="s">
        <v>25</v>
      </c>
      <c r="F341" s="52" t="s">
        <v>26</v>
      </c>
      <c r="G341" s="53"/>
    </row>
    <row r="342">
      <c r="A342" s="49">
        <v>44516.20143020833</v>
      </c>
      <c r="B342" s="50">
        <v>44516.3263946875</v>
      </c>
      <c r="C342" s="51">
        <v>1.084</v>
      </c>
      <c r="D342" s="51">
        <v>68.0</v>
      </c>
      <c r="E342" s="52" t="s">
        <v>25</v>
      </c>
      <c r="F342" s="52" t="s">
        <v>26</v>
      </c>
      <c r="G342" s="53"/>
    </row>
    <row r="343">
      <c r="A343" s="49">
        <v>44516.21183903935</v>
      </c>
      <c r="B343" s="50">
        <v>44516.3368140162</v>
      </c>
      <c r="C343" s="51">
        <v>1.083</v>
      </c>
      <c r="D343" s="51">
        <v>68.0</v>
      </c>
      <c r="E343" s="52" t="s">
        <v>25</v>
      </c>
      <c r="F343" s="52" t="s">
        <v>26</v>
      </c>
      <c r="G343" s="53"/>
    </row>
    <row r="344">
      <c r="A344" s="49">
        <v>44516.22227387731</v>
      </c>
      <c r="B344" s="50">
        <v>44516.3472327777</v>
      </c>
      <c r="C344" s="51">
        <v>1.083</v>
      </c>
      <c r="D344" s="51">
        <v>68.0</v>
      </c>
      <c r="E344" s="52" t="s">
        <v>25</v>
      </c>
      <c r="F344" s="52" t="s">
        <v>26</v>
      </c>
      <c r="G344" s="53"/>
    </row>
    <row r="345">
      <c r="A345" s="49">
        <v>44516.23270753473</v>
      </c>
      <c r="B345" s="50">
        <v>44516.3576765856</v>
      </c>
      <c r="C345" s="51">
        <v>1.083</v>
      </c>
      <c r="D345" s="51">
        <v>68.0</v>
      </c>
      <c r="E345" s="52" t="s">
        <v>25</v>
      </c>
      <c r="F345" s="52" t="s">
        <v>26</v>
      </c>
      <c r="G345" s="53"/>
    </row>
    <row r="346">
      <c r="A346" s="49">
        <v>44516.24313116898</v>
      </c>
      <c r="B346" s="50">
        <v>44516.3680989814</v>
      </c>
      <c r="C346" s="51">
        <v>1.083</v>
      </c>
      <c r="D346" s="51">
        <v>68.0</v>
      </c>
      <c r="E346" s="52" t="s">
        <v>25</v>
      </c>
      <c r="F346" s="52" t="s">
        <v>26</v>
      </c>
      <c r="G346" s="53"/>
    </row>
    <row r="347">
      <c r="A347" s="49">
        <v>44516.253544363426</v>
      </c>
      <c r="B347" s="50">
        <v>44516.3785194444</v>
      </c>
      <c r="C347" s="51">
        <v>1.083</v>
      </c>
      <c r="D347" s="51">
        <v>68.0</v>
      </c>
      <c r="E347" s="52" t="s">
        <v>25</v>
      </c>
      <c r="F347" s="52" t="s">
        <v>26</v>
      </c>
      <c r="G347" s="53"/>
    </row>
    <row r="348">
      <c r="A348" s="49">
        <v>44516.26396859954</v>
      </c>
      <c r="B348" s="50">
        <v>44516.388940324</v>
      </c>
      <c r="C348" s="51">
        <v>1.083</v>
      </c>
      <c r="D348" s="51">
        <v>68.0</v>
      </c>
      <c r="E348" s="52" t="s">
        <v>25</v>
      </c>
      <c r="F348" s="52" t="s">
        <v>26</v>
      </c>
      <c r="G348" s="53"/>
    </row>
    <row r="349">
      <c r="A349" s="49">
        <v>44516.27439186342</v>
      </c>
      <c r="B349" s="50">
        <v>44516.3993608449</v>
      </c>
      <c r="C349" s="51">
        <v>1.083</v>
      </c>
      <c r="D349" s="51">
        <v>68.0</v>
      </c>
      <c r="E349" s="52" t="s">
        <v>25</v>
      </c>
      <c r="F349" s="52" t="s">
        <v>26</v>
      </c>
      <c r="G349" s="53"/>
    </row>
    <row r="350">
      <c r="A350" s="49">
        <v>44516.28481563657</v>
      </c>
      <c r="B350" s="50">
        <v>44516.4097833912</v>
      </c>
      <c r="C350" s="51">
        <v>1.083</v>
      </c>
      <c r="D350" s="51">
        <v>68.0</v>
      </c>
      <c r="E350" s="52" t="s">
        <v>25</v>
      </c>
      <c r="F350" s="52" t="s">
        <v>26</v>
      </c>
      <c r="G350" s="53"/>
    </row>
    <row r="351">
      <c r="A351" s="49">
        <v>44516.29523038195</v>
      </c>
      <c r="B351" s="50">
        <v>44516.4202038194</v>
      </c>
      <c r="C351" s="51">
        <v>1.083</v>
      </c>
      <c r="D351" s="51">
        <v>68.0</v>
      </c>
      <c r="E351" s="52" t="s">
        <v>25</v>
      </c>
      <c r="F351" s="52" t="s">
        <v>26</v>
      </c>
      <c r="G351" s="53"/>
    </row>
    <row r="352">
      <c r="A352" s="49">
        <v>44516.30565658565</v>
      </c>
      <c r="B352" s="50">
        <v>44516.4306254629</v>
      </c>
      <c r="C352" s="51">
        <v>1.083</v>
      </c>
      <c r="D352" s="51">
        <v>68.0</v>
      </c>
      <c r="E352" s="52" t="s">
        <v>25</v>
      </c>
      <c r="F352" s="52" t="s">
        <v>26</v>
      </c>
      <c r="G352" s="53"/>
    </row>
    <row r="353">
      <c r="A353" s="49">
        <v>44516.31607556713</v>
      </c>
      <c r="B353" s="50">
        <v>44516.4410474421</v>
      </c>
      <c r="C353" s="51">
        <v>1.083</v>
      </c>
      <c r="D353" s="51">
        <v>68.0</v>
      </c>
      <c r="E353" s="52" t="s">
        <v>25</v>
      </c>
      <c r="F353" s="52" t="s">
        <v>26</v>
      </c>
      <c r="G353" s="53"/>
    </row>
    <row r="354">
      <c r="A354" s="49">
        <v>44516.32663361111</v>
      </c>
      <c r="B354" s="50">
        <v>44516.4514697916</v>
      </c>
      <c r="C354" s="51">
        <v>1.083</v>
      </c>
      <c r="D354" s="51">
        <v>68.0</v>
      </c>
      <c r="E354" s="52" t="s">
        <v>25</v>
      </c>
      <c r="F354" s="52" t="s">
        <v>26</v>
      </c>
      <c r="G354" s="53"/>
    </row>
    <row r="355">
      <c r="A355" s="49">
        <v>44516.336921967595</v>
      </c>
      <c r="B355" s="50">
        <v>44516.4618900347</v>
      </c>
      <c r="C355" s="51">
        <v>1.082</v>
      </c>
      <c r="D355" s="51">
        <v>68.0</v>
      </c>
      <c r="E355" s="52" t="s">
        <v>25</v>
      </c>
      <c r="F355" s="52" t="s">
        <v>26</v>
      </c>
      <c r="G355" s="53"/>
    </row>
    <row r="356">
      <c r="A356" s="49">
        <v>44516.347335370374</v>
      </c>
      <c r="B356" s="50">
        <v>44516.472311493</v>
      </c>
      <c r="C356" s="51">
        <v>1.082</v>
      </c>
      <c r="D356" s="51">
        <v>68.0</v>
      </c>
      <c r="E356" s="52" t="s">
        <v>25</v>
      </c>
      <c r="F356" s="52" t="s">
        <v>26</v>
      </c>
      <c r="G356" s="53"/>
    </row>
    <row r="357">
      <c r="A357" s="49">
        <v>44516.35775917824</v>
      </c>
      <c r="B357" s="50">
        <v>44516.4827301157</v>
      </c>
      <c r="C357" s="51">
        <v>1.082</v>
      </c>
      <c r="D357" s="51">
        <v>68.0</v>
      </c>
      <c r="E357" s="52" t="s">
        <v>25</v>
      </c>
      <c r="F357" s="52" t="s">
        <v>26</v>
      </c>
      <c r="G357" s="53"/>
    </row>
    <row r="358">
      <c r="A358" s="49">
        <v>44516.368182199076</v>
      </c>
      <c r="B358" s="50">
        <v>44516.4931515509</v>
      </c>
      <c r="C358" s="51">
        <v>1.082</v>
      </c>
      <c r="D358" s="51">
        <v>68.0</v>
      </c>
      <c r="E358" s="52" t="s">
        <v>25</v>
      </c>
      <c r="F358" s="52" t="s">
        <v>26</v>
      </c>
      <c r="G358" s="53"/>
    </row>
    <row r="359">
      <c r="A359" s="49">
        <v>44516.37861309027</v>
      </c>
      <c r="B359" s="50">
        <v>44516.5035720717</v>
      </c>
      <c r="C359" s="51">
        <v>1.082</v>
      </c>
      <c r="D359" s="51">
        <v>68.0</v>
      </c>
      <c r="E359" s="52" t="s">
        <v>25</v>
      </c>
      <c r="F359" s="52" t="s">
        <v>26</v>
      </c>
      <c r="G359" s="53"/>
    </row>
    <row r="360">
      <c r="A360" s="49">
        <v>44516.38902113426</v>
      </c>
      <c r="B360" s="50">
        <v>44516.5139925115</v>
      </c>
      <c r="C360" s="51">
        <v>1.082</v>
      </c>
      <c r="D360" s="51">
        <v>68.0</v>
      </c>
      <c r="E360" s="52" t="s">
        <v>25</v>
      </c>
      <c r="F360" s="52" t="s">
        <v>26</v>
      </c>
      <c r="G360" s="53"/>
    </row>
    <row r="361">
      <c r="A361" s="49">
        <v>44516.399442546295</v>
      </c>
      <c r="B361" s="50">
        <v>44516.5244139236</v>
      </c>
      <c r="C361" s="51">
        <v>1.082</v>
      </c>
      <c r="D361" s="51">
        <v>68.0</v>
      </c>
      <c r="E361" s="52" t="s">
        <v>25</v>
      </c>
      <c r="F361" s="52" t="s">
        <v>26</v>
      </c>
      <c r="G361" s="53"/>
    </row>
    <row r="362">
      <c r="A362" s="49">
        <v>44516.409867546296</v>
      </c>
      <c r="B362" s="50">
        <v>44516.5348371759</v>
      </c>
      <c r="C362" s="51">
        <v>1.082</v>
      </c>
      <c r="D362" s="51">
        <v>68.0</v>
      </c>
      <c r="E362" s="52" t="s">
        <v>25</v>
      </c>
      <c r="F362" s="52" t="s">
        <v>26</v>
      </c>
      <c r="G362" s="53"/>
    </row>
    <row r="363">
      <c r="A363" s="49">
        <v>44516.42028359954</v>
      </c>
      <c r="B363" s="50">
        <v>44516.5452580208</v>
      </c>
      <c r="C363" s="51">
        <v>1.082</v>
      </c>
      <c r="D363" s="51">
        <v>68.0</v>
      </c>
      <c r="E363" s="52" t="s">
        <v>25</v>
      </c>
      <c r="F363" s="52" t="s">
        <v>26</v>
      </c>
      <c r="G363" s="53"/>
    </row>
    <row r="364">
      <c r="A364" s="49">
        <v>44516.43070681713</v>
      </c>
      <c r="B364" s="50">
        <v>44516.5556818171</v>
      </c>
      <c r="C364" s="51">
        <v>1.082</v>
      </c>
      <c r="D364" s="51">
        <v>68.0</v>
      </c>
      <c r="E364" s="52" t="s">
        <v>25</v>
      </c>
      <c r="F364" s="52" t="s">
        <v>26</v>
      </c>
      <c r="G364" s="53"/>
    </row>
    <row r="365">
      <c r="A365" s="49">
        <v>44516.44113599537</v>
      </c>
      <c r="B365" s="50">
        <v>44516.5661049189</v>
      </c>
      <c r="C365" s="51">
        <v>1.082</v>
      </c>
      <c r="D365" s="51">
        <v>68.0</v>
      </c>
      <c r="E365" s="52" t="s">
        <v>25</v>
      </c>
      <c r="F365" s="52" t="s">
        <v>26</v>
      </c>
      <c r="G365" s="53"/>
    </row>
    <row r="366">
      <c r="A366" s="49">
        <v>44516.45155021991</v>
      </c>
      <c r="B366" s="50">
        <v>44516.5765250694</v>
      </c>
      <c r="C366" s="51">
        <v>1.081</v>
      </c>
      <c r="D366" s="51">
        <v>68.0</v>
      </c>
      <c r="E366" s="52" t="s">
        <v>25</v>
      </c>
      <c r="F366" s="52" t="s">
        <v>26</v>
      </c>
      <c r="G366" s="53"/>
    </row>
    <row r="367">
      <c r="A367" s="49">
        <v>44516.46197446759</v>
      </c>
      <c r="B367" s="50">
        <v>44516.5869478009</v>
      </c>
      <c r="C367" s="51">
        <v>1.082</v>
      </c>
      <c r="D367" s="51">
        <v>68.0</v>
      </c>
      <c r="E367" s="52" t="s">
        <v>25</v>
      </c>
      <c r="F367" s="52" t="s">
        <v>26</v>
      </c>
      <c r="G367" s="53"/>
    </row>
    <row r="368">
      <c r="A368" s="49">
        <v>44516.472388333335</v>
      </c>
      <c r="B368" s="50">
        <v>44516.5973678703</v>
      </c>
      <c r="C368" s="51">
        <v>1.082</v>
      </c>
      <c r="D368" s="51">
        <v>68.0</v>
      </c>
      <c r="E368" s="52" t="s">
        <v>25</v>
      </c>
      <c r="F368" s="52" t="s">
        <v>26</v>
      </c>
      <c r="G368" s="53"/>
    </row>
    <row r="369">
      <c r="A369" s="49">
        <v>44516.482815625</v>
      </c>
      <c r="B369" s="50">
        <v>44516.6077898148</v>
      </c>
      <c r="C369" s="51">
        <v>1.082</v>
      </c>
      <c r="D369" s="51">
        <v>68.0</v>
      </c>
      <c r="E369" s="52" t="s">
        <v>25</v>
      </c>
      <c r="F369" s="52" t="s">
        <v>26</v>
      </c>
      <c r="G369" s="53"/>
    </row>
    <row r="370">
      <c r="A370" s="49">
        <v>44516.49324909722</v>
      </c>
      <c r="B370" s="50">
        <v>44516.6182217824</v>
      </c>
      <c r="C370" s="51">
        <v>1.081</v>
      </c>
      <c r="D370" s="51">
        <v>68.0</v>
      </c>
      <c r="E370" s="52" t="s">
        <v>25</v>
      </c>
      <c r="F370" s="52" t="s">
        <v>26</v>
      </c>
      <c r="G370" s="53"/>
    </row>
    <row r="371">
      <c r="A371" s="49">
        <v>44516.503672754625</v>
      </c>
      <c r="B371" s="50">
        <v>44516.6286424884</v>
      </c>
      <c r="C371" s="51">
        <v>1.081</v>
      </c>
      <c r="D371" s="51">
        <v>69.0</v>
      </c>
      <c r="E371" s="52" t="s">
        <v>25</v>
      </c>
      <c r="F371" s="52" t="s">
        <v>26</v>
      </c>
      <c r="G371" s="53"/>
    </row>
    <row r="372">
      <c r="A372" s="49">
        <v>44516.51410385416</v>
      </c>
      <c r="B372" s="50">
        <v>44516.6390754629</v>
      </c>
      <c r="C372" s="51">
        <v>1.081</v>
      </c>
      <c r="D372" s="51">
        <v>68.0</v>
      </c>
      <c r="E372" s="52" t="s">
        <v>25</v>
      </c>
      <c r="F372" s="52" t="s">
        <v>26</v>
      </c>
      <c r="G372" s="53"/>
    </row>
    <row r="373">
      <c r="A373" s="49">
        <v>44516.524513275464</v>
      </c>
      <c r="B373" s="50">
        <v>44516.6494962963</v>
      </c>
      <c r="C373" s="51">
        <v>1.081</v>
      </c>
      <c r="D373" s="51">
        <v>69.0</v>
      </c>
      <c r="E373" s="52" t="s">
        <v>25</v>
      </c>
      <c r="F373" s="52" t="s">
        <v>26</v>
      </c>
      <c r="G373" s="53"/>
    </row>
    <row r="374">
      <c r="A374" s="49">
        <v>44516.534944178245</v>
      </c>
      <c r="B374" s="50">
        <v>44516.6599165046</v>
      </c>
      <c r="C374" s="51">
        <v>1.081</v>
      </c>
      <c r="D374" s="51">
        <v>69.0</v>
      </c>
      <c r="E374" s="52" t="s">
        <v>25</v>
      </c>
      <c r="F374" s="52" t="s">
        <v>26</v>
      </c>
      <c r="G374" s="53"/>
    </row>
    <row r="375">
      <c r="A375" s="49">
        <v>44516.54536682871</v>
      </c>
      <c r="B375" s="50">
        <v>44516.6703374536</v>
      </c>
      <c r="C375" s="51">
        <v>1.081</v>
      </c>
      <c r="D375" s="51">
        <v>68.0</v>
      </c>
      <c r="E375" s="52" t="s">
        <v>25</v>
      </c>
      <c r="F375" s="52" t="s">
        <v>26</v>
      </c>
      <c r="G375" s="53"/>
    </row>
    <row r="376">
      <c r="A376" s="49">
        <v>44516.55578938658</v>
      </c>
      <c r="B376" s="50">
        <v>44516.6807585185</v>
      </c>
      <c r="C376" s="51">
        <v>1.081</v>
      </c>
      <c r="D376" s="51">
        <v>69.0</v>
      </c>
      <c r="E376" s="52" t="s">
        <v>25</v>
      </c>
      <c r="F376" s="52" t="s">
        <v>26</v>
      </c>
      <c r="G376" s="53"/>
    </row>
    <row r="377">
      <c r="A377" s="49">
        <v>44516.56620190972</v>
      </c>
      <c r="B377" s="50">
        <v>44516.6911798726</v>
      </c>
      <c r="C377" s="51">
        <v>1.081</v>
      </c>
      <c r="D377" s="51">
        <v>69.0</v>
      </c>
      <c r="E377" s="52" t="s">
        <v>25</v>
      </c>
      <c r="F377" s="52" t="s">
        <v>26</v>
      </c>
      <c r="G377" s="53"/>
    </row>
    <row r="378">
      <c r="A378" s="49">
        <v>44516.57663189815</v>
      </c>
      <c r="B378" s="50">
        <v>44516.7016016898</v>
      </c>
      <c r="C378" s="51">
        <v>1.081</v>
      </c>
      <c r="D378" s="51">
        <v>69.0</v>
      </c>
      <c r="E378" s="52" t="s">
        <v>25</v>
      </c>
      <c r="F378" s="52" t="s">
        <v>26</v>
      </c>
      <c r="G378" s="53"/>
    </row>
    <row r="379">
      <c r="A379" s="49">
        <v>44516.58707064815</v>
      </c>
      <c r="B379" s="50">
        <v>44516.7120345486</v>
      </c>
      <c r="C379" s="51">
        <v>1.081</v>
      </c>
      <c r="D379" s="51">
        <v>69.0</v>
      </c>
      <c r="E379" s="52" t="s">
        <v>25</v>
      </c>
      <c r="F379" s="52" t="s">
        <v>26</v>
      </c>
      <c r="G379" s="53"/>
    </row>
    <row r="380">
      <c r="A380" s="49">
        <v>44516.5974784375</v>
      </c>
      <c r="B380" s="50">
        <v>44516.7224556018</v>
      </c>
      <c r="C380" s="51">
        <v>1.081</v>
      </c>
      <c r="D380" s="51">
        <v>69.0</v>
      </c>
      <c r="E380" s="52" t="s">
        <v>25</v>
      </c>
      <c r="F380" s="52" t="s">
        <v>26</v>
      </c>
      <c r="G380" s="53"/>
    </row>
    <row r="381">
      <c r="A381" s="49">
        <v>44516.60790371528</v>
      </c>
      <c r="B381" s="50">
        <v>44516.7328767939</v>
      </c>
      <c r="C381" s="51">
        <v>1.08</v>
      </c>
      <c r="D381" s="51">
        <v>69.0</v>
      </c>
      <c r="E381" s="52" t="s">
        <v>25</v>
      </c>
      <c r="F381" s="52" t="s">
        <v>26</v>
      </c>
      <c r="G381" s="53"/>
    </row>
    <row r="382">
      <c r="A382" s="49">
        <v>44516.61832732639</v>
      </c>
      <c r="B382" s="50">
        <v>44516.7432984953</v>
      </c>
      <c r="C382" s="51">
        <v>1.081</v>
      </c>
      <c r="D382" s="51">
        <v>69.0</v>
      </c>
      <c r="E382" s="52" t="s">
        <v>25</v>
      </c>
      <c r="F382" s="52" t="s">
        <v>26</v>
      </c>
      <c r="G382" s="53"/>
    </row>
    <row r="383">
      <c r="A383" s="49">
        <v>44516.62874318287</v>
      </c>
      <c r="B383" s="50">
        <v>44516.7537195833</v>
      </c>
      <c r="C383" s="51">
        <v>1.08</v>
      </c>
      <c r="D383" s="51">
        <v>69.0</v>
      </c>
      <c r="E383" s="52" t="s">
        <v>25</v>
      </c>
      <c r="F383" s="52" t="s">
        <v>26</v>
      </c>
      <c r="G383" s="53"/>
    </row>
    <row r="384">
      <c r="A384" s="49">
        <v>44516.63916019676</v>
      </c>
      <c r="B384" s="50">
        <v>44516.764139618</v>
      </c>
      <c r="C384" s="51">
        <v>1.081</v>
      </c>
      <c r="D384" s="51">
        <v>69.0</v>
      </c>
      <c r="E384" s="52" t="s">
        <v>25</v>
      </c>
      <c r="F384" s="52" t="s">
        <v>26</v>
      </c>
      <c r="G384" s="53"/>
    </row>
    <row r="385">
      <c r="A385" s="49">
        <v>44516.64957858797</v>
      </c>
      <c r="B385" s="50">
        <v>44516.7745607986</v>
      </c>
      <c r="C385" s="51">
        <v>1.08</v>
      </c>
      <c r="D385" s="51">
        <v>69.0</v>
      </c>
      <c r="E385" s="52" t="s">
        <v>25</v>
      </c>
      <c r="F385" s="52" t="s">
        <v>26</v>
      </c>
      <c r="G385" s="53"/>
    </row>
    <row r="386">
      <c r="A386" s="49">
        <v>44516.6600008449</v>
      </c>
      <c r="B386" s="50">
        <v>44516.7849814583</v>
      </c>
      <c r="C386" s="51">
        <v>1.08</v>
      </c>
      <c r="D386" s="51">
        <v>69.0</v>
      </c>
      <c r="E386" s="52" t="s">
        <v>25</v>
      </c>
      <c r="F386" s="52" t="s">
        <v>26</v>
      </c>
      <c r="G386" s="53"/>
    </row>
    <row r="387">
      <c r="A387" s="49">
        <v>44516.670421793984</v>
      </c>
      <c r="B387" s="50">
        <v>44516.7954031944</v>
      </c>
      <c r="C387" s="51">
        <v>1.08</v>
      </c>
      <c r="D387" s="51">
        <v>69.0</v>
      </c>
      <c r="E387" s="52" t="s">
        <v>25</v>
      </c>
      <c r="F387" s="52" t="s">
        <v>26</v>
      </c>
      <c r="G387" s="53"/>
    </row>
    <row r="388">
      <c r="A388" s="49">
        <v>44516.68086407408</v>
      </c>
      <c r="B388" s="50">
        <v>44516.805835625</v>
      </c>
      <c r="C388" s="51">
        <v>1.08</v>
      </c>
      <c r="D388" s="51">
        <v>69.0</v>
      </c>
      <c r="E388" s="52" t="s">
        <v>25</v>
      </c>
      <c r="F388" s="52" t="s">
        <v>26</v>
      </c>
      <c r="G388" s="53"/>
    </row>
    <row r="389">
      <c r="A389" s="49">
        <v>44516.6912771412</v>
      </c>
      <c r="B389" s="50">
        <v>44516.8162555902</v>
      </c>
      <c r="C389" s="51">
        <v>1.08</v>
      </c>
      <c r="D389" s="51">
        <v>69.0</v>
      </c>
      <c r="E389" s="52" t="s">
        <v>25</v>
      </c>
      <c r="F389" s="52" t="s">
        <v>26</v>
      </c>
      <c r="G389" s="53"/>
    </row>
    <row r="390">
      <c r="A390" s="49">
        <v>44516.70170175926</v>
      </c>
      <c r="B390" s="50">
        <v>44516.8266780208</v>
      </c>
      <c r="C390" s="51">
        <v>1.08</v>
      </c>
      <c r="D390" s="51">
        <v>69.0</v>
      </c>
      <c r="E390" s="52" t="s">
        <v>25</v>
      </c>
      <c r="F390" s="52" t="s">
        <v>26</v>
      </c>
      <c r="G390" s="53"/>
    </row>
    <row r="391">
      <c r="A391" s="49">
        <v>44516.71212978009</v>
      </c>
      <c r="B391" s="50">
        <v>44516.837100162</v>
      </c>
      <c r="C391" s="51">
        <v>1.08</v>
      </c>
      <c r="D391" s="51">
        <v>69.0</v>
      </c>
      <c r="E391" s="52" t="s">
        <v>25</v>
      </c>
      <c r="F391" s="52" t="s">
        <v>26</v>
      </c>
      <c r="G391" s="53"/>
    </row>
    <row r="392">
      <c r="A392" s="49">
        <v>44516.72254960648</v>
      </c>
      <c r="B392" s="50">
        <v>44516.847522118</v>
      </c>
      <c r="C392" s="51">
        <v>1.08</v>
      </c>
      <c r="D392" s="51">
        <v>69.0</v>
      </c>
      <c r="E392" s="52" t="s">
        <v>25</v>
      </c>
      <c r="F392" s="52" t="s">
        <v>26</v>
      </c>
      <c r="G392" s="53"/>
    </row>
    <row r="393">
      <c r="A393" s="49">
        <v>44516.73296976852</v>
      </c>
      <c r="B393" s="50">
        <v>44516.8579422338</v>
      </c>
      <c r="C393" s="51">
        <v>1.08</v>
      </c>
      <c r="D393" s="51">
        <v>69.0</v>
      </c>
      <c r="E393" s="52" t="s">
        <v>25</v>
      </c>
      <c r="F393" s="52" t="s">
        <v>26</v>
      </c>
      <c r="G393" s="53"/>
    </row>
    <row r="394">
      <c r="A394" s="49">
        <v>44516.74338665509</v>
      </c>
      <c r="B394" s="50">
        <v>44516.8683630208</v>
      </c>
      <c r="C394" s="51">
        <v>1.079</v>
      </c>
      <c r="D394" s="51">
        <v>69.0</v>
      </c>
      <c r="E394" s="52" t="s">
        <v>25</v>
      </c>
      <c r="F394" s="52" t="s">
        <v>26</v>
      </c>
      <c r="G394" s="53"/>
    </row>
    <row r="395">
      <c r="A395" s="49">
        <v>44516.753805879634</v>
      </c>
      <c r="B395" s="50">
        <v>44516.8787838888</v>
      </c>
      <c r="C395" s="51">
        <v>1.079</v>
      </c>
      <c r="D395" s="51">
        <v>69.0</v>
      </c>
      <c r="E395" s="52" t="s">
        <v>25</v>
      </c>
      <c r="F395" s="52" t="s">
        <v>26</v>
      </c>
      <c r="G395" s="53"/>
    </row>
    <row r="396">
      <c r="A396" s="49">
        <v>44516.764236585645</v>
      </c>
      <c r="B396" s="50">
        <v>44516.8892043865</v>
      </c>
      <c r="C396" s="51">
        <v>1.079</v>
      </c>
      <c r="D396" s="51">
        <v>69.0</v>
      </c>
      <c r="E396" s="52" t="s">
        <v>25</v>
      </c>
      <c r="F396" s="52" t="s">
        <v>26</v>
      </c>
      <c r="G396" s="53"/>
    </row>
    <row r="397">
      <c r="A397" s="49">
        <v>44516.77465810185</v>
      </c>
      <c r="B397" s="50">
        <v>44516.899626574</v>
      </c>
      <c r="C397" s="51">
        <v>1.079</v>
      </c>
      <c r="D397" s="51">
        <v>69.0</v>
      </c>
      <c r="E397" s="52" t="s">
        <v>25</v>
      </c>
      <c r="F397" s="52" t="s">
        <v>26</v>
      </c>
      <c r="G397" s="53"/>
    </row>
    <row r="398">
      <c r="A398" s="49">
        <v>44516.7850879051</v>
      </c>
      <c r="B398" s="50">
        <v>44516.9100599652</v>
      </c>
      <c r="C398" s="51">
        <v>1.079</v>
      </c>
      <c r="D398" s="51">
        <v>69.0</v>
      </c>
      <c r="E398" s="52" t="s">
        <v>25</v>
      </c>
      <c r="F398" s="52" t="s">
        <v>26</v>
      </c>
      <c r="G398" s="53"/>
    </row>
    <row r="399">
      <c r="A399" s="49">
        <v>44516.795504548616</v>
      </c>
      <c r="B399" s="50">
        <v>44516.920480949</v>
      </c>
      <c r="C399" s="51">
        <v>1.079</v>
      </c>
      <c r="D399" s="51">
        <v>69.0</v>
      </c>
      <c r="E399" s="52" t="s">
        <v>25</v>
      </c>
      <c r="F399" s="52" t="s">
        <v>26</v>
      </c>
      <c r="G399" s="53"/>
    </row>
    <row r="400">
      <c r="A400" s="49">
        <v>44516.80593476852</v>
      </c>
      <c r="B400" s="50">
        <v>44516.9309027662</v>
      </c>
      <c r="C400" s="51">
        <v>1.079</v>
      </c>
      <c r="D400" s="51">
        <v>69.0</v>
      </c>
      <c r="E400" s="52" t="s">
        <v>25</v>
      </c>
      <c r="F400" s="52" t="s">
        <v>26</v>
      </c>
      <c r="G400" s="53"/>
    </row>
    <row r="401">
      <c r="A401" s="49">
        <v>44516.81637792824</v>
      </c>
      <c r="B401" s="50">
        <v>44516.9413464467</v>
      </c>
      <c r="C401" s="51">
        <v>1.079</v>
      </c>
      <c r="D401" s="51">
        <v>69.0</v>
      </c>
      <c r="E401" s="52" t="s">
        <v>25</v>
      </c>
      <c r="F401" s="52" t="s">
        <v>26</v>
      </c>
      <c r="G401" s="53"/>
    </row>
    <row r="402">
      <c r="A402" s="49">
        <v>44516.8267908912</v>
      </c>
      <c r="B402" s="50">
        <v>44516.9517674305</v>
      </c>
      <c r="C402" s="51">
        <v>1.079</v>
      </c>
      <c r="D402" s="51">
        <v>69.0</v>
      </c>
      <c r="E402" s="52" t="s">
        <v>25</v>
      </c>
      <c r="F402" s="52" t="s">
        <v>26</v>
      </c>
      <c r="G402" s="53"/>
    </row>
    <row r="403">
      <c r="A403" s="49">
        <v>44516.837215127314</v>
      </c>
      <c r="B403" s="50">
        <v>44516.9621876273</v>
      </c>
      <c r="C403" s="51">
        <v>1.079</v>
      </c>
      <c r="D403" s="51">
        <v>69.0</v>
      </c>
      <c r="E403" s="52" t="s">
        <v>25</v>
      </c>
      <c r="F403" s="52" t="s">
        <v>26</v>
      </c>
      <c r="G403" s="53"/>
    </row>
    <row r="404">
      <c r="A404" s="49">
        <v>44516.84764275463</v>
      </c>
      <c r="B404" s="50">
        <v>44516.9726092939</v>
      </c>
      <c r="C404" s="51">
        <v>1.079</v>
      </c>
      <c r="D404" s="51">
        <v>69.0</v>
      </c>
      <c r="E404" s="52" t="s">
        <v>25</v>
      </c>
      <c r="F404" s="52" t="s">
        <v>26</v>
      </c>
      <c r="G404" s="53"/>
    </row>
    <row r="405">
      <c r="A405" s="49">
        <v>44516.85805892361</v>
      </c>
      <c r="B405" s="50">
        <v>44516.983028831</v>
      </c>
      <c r="C405" s="51">
        <v>1.079</v>
      </c>
      <c r="D405" s="51">
        <v>69.0</v>
      </c>
      <c r="E405" s="52" t="s">
        <v>25</v>
      </c>
      <c r="F405" s="52" t="s">
        <v>26</v>
      </c>
      <c r="G405" s="53"/>
    </row>
    <row r="406">
      <c r="A406" s="49">
        <v>44516.86849076389</v>
      </c>
      <c r="B406" s="50">
        <v>44516.9934626157</v>
      </c>
      <c r="C406" s="51">
        <v>1.079</v>
      </c>
      <c r="D406" s="51">
        <v>69.0</v>
      </c>
      <c r="E406" s="52" t="s">
        <v>25</v>
      </c>
      <c r="F406" s="52" t="s">
        <v>26</v>
      </c>
      <c r="G406" s="53"/>
    </row>
    <row r="407">
      <c r="A407" s="49">
        <v>44516.87890277778</v>
      </c>
      <c r="B407" s="50">
        <v>44517.0038826967</v>
      </c>
      <c r="C407" s="51">
        <v>1.079</v>
      </c>
      <c r="D407" s="51">
        <v>69.0</v>
      </c>
      <c r="E407" s="52" t="s">
        <v>25</v>
      </c>
      <c r="F407" s="52" t="s">
        <v>26</v>
      </c>
      <c r="G407" s="53"/>
    </row>
    <row r="408">
      <c r="A408" s="49">
        <v>44516.88933439815</v>
      </c>
      <c r="B408" s="50">
        <v>44517.0143051736</v>
      </c>
      <c r="C408" s="51">
        <v>1.078</v>
      </c>
      <c r="D408" s="51">
        <v>69.0</v>
      </c>
      <c r="E408" s="52" t="s">
        <v>25</v>
      </c>
      <c r="F408" s="52" t="s">
        <v>26</v>
      </c>
      <c r="G408" s="53"/>
    </row>
    <row r="409">
      <c r="A409" s="49">
        <v>44516.89975049769</v>
      </c>
      <c r="B409" s="50">
        <v>44517.0247250578</v>
      </c>
      <c r="C409" s="51">
        <v>1.078</v>
      </c>
      <c r="D409" s="51">
        <v>69.0</v>
      </c>
      <c r="E409" s="52" t="s">
        <v>25</v>
      </c>
      <c r="F409" s="52" t="s">
        <v>26</v>
      </c>
      <c r="G409" s="53"/>
    </row>
    <row r="410">
      <c r="A410" s="49">
        <v>44516.91016681713</v>
      </c>
      <c r="B410" s="50">
        <v>44517.0351461458</v>
      </c>
      <c r="C410" s="51">
        <v>1.078</v>
      </c>
      <c r="D410" s="51">
        <v>69.0</v>
      </c>
      <c r="E410" s="52" t="s">
        <v>25</v>
      </c>
      <c r="F410" s="52" t="s">
        <v>26</v>
      </c>
      <c r="G410" s="53"/>
    </row>
    <row r="411">
      <c r="A411" s="49">
        <v>44516.92059756945</v>
      </c>
      <c r="B411" s="50">
        <v>44517.0455680902</v>
      </c>
      <c r="C411" s="51">
        <v>1.078</v>
      </c>
      <c r="D411" s="51">
        <v>69.0</v>
      </c>
      <c r="E411" s="52" t="s">
        <v>25</v>
      </c>
      <c r="F411" s="52" t="s">
        <v>26</v>
      </c>
      <c r="G411" s="53"/>
    </row>
    <row r="412">
      <c r="A412" s="49">
        <v>44516.9310152199</v>
      </c>
      <c r="B412" s="50">
        <v>44517.0559899537</v>
      </c>
      <c r="C412" s="51">
        <v>1.078</v>
      </c>
      <c r="D412" s="51">
        <v>69.0</v>
      </c>
      <c r="E412" s="52" t="s">
        <v>25</v>
      </c>
      <c r="F412" s="52" t="s">
        <v>26</v>
      </c>
      <c r="G412" s="53"/>
    </row>
    <row r="413">
      <c r="A413" s="49">
        <v>44516.94143773148</v>
      </c>
      <c r="B413" s="50">
        <v>44517.066411574</v>
      </c>
      <c r="C413" s="51">
        <v>1.078</v>
      </c>
      <c r="D413" s="51">
        <v>69.0</v>
      </c>
      <c r="E413" s="52" t="s">
        <v>25</v>
      </c>
      <c r="F413" s="52" t="s">
        <v>26</v>
      </c>
      <c r="G413" s="53"/>
    </row>
    <row r="414">
      <c r="A414" s="49">
        <v>44516.95185409722</v>
      </c>
      <c r="B414" s="50">
        <v>44517.0768321643</v>
      </c>
      <c r="C414" s="51">
        <v>1.078</v>
      </c>
      <c r="D414" s="51">
        <v>69.0</v>
      </c>
      <c r="E414" s="52" t="s">
        <v>25</v>
      </c>
      <c r="F414" s="52" t="s">
        <v>26</v>
      </c>
      <c r="G414" s="53"/>
    </row>
    <row r="415">
      <c r="A415" s="49">
        <v>44516.962279467596</v>
      </c>
      <c r="B415" s="50">
        <v>44517.0872537847</v>
      </c>
      <c r="C415" s="51">
        <v>1.078</v>
      </c>
      <c r="D415" s="51">
        <v>69.0</v>
      </c>
      <c r="E415" s="52" t="s">
        <v>25</v>
      </c>
      <c r="F415" s="52" t="s">
        <v>26</v>
      </c>
      <c r="G415" s="53"/>
    </row>
    <row r="416">
      <c r="A416" s="49">
        <v>44516.972696701385</v>
      </c>
      <c r="B416" s="50">
        <v>44517.0976742129</v>
      </c>
      <c r="C416" s="51">
        <v>1.078</v>
      </c>
      <c r="D416" s="51">
        <v>69.0</v>
      </c>
      <c r="E416" s="52" t="s">
        <v>25</v>
      </c>
      <c r="F416" s="52" t="s">
        <v>26</v>
      </c>
      <c r="G416" s="53"/>
    </row>
    <row r="417">
      <c r="A417" s="49">
        <v>44516.983139062504</v>
      </c>
      <c r="B417" s="50">
        <v>44517.1081054513</v>
      </c>
      <c r="C417" s="51">
        <v>1.078</v>
      </c>
      <c r="D417" s="51">
        <v>69.0</v>
      </c>
      <c r="E417" s="52" t="s">
        <v>25</v>
      </c>
      <c r="F417" s="52" t="s">
        <v>26</v>
      </c>
      <c r="G417" s="53"/>
    </row>
    <row r="418">
      <c r="A418" s="49">
        <v>44516.99355746528</v>
      </c>
      <c r="B418" s="50">
        <v>44517.11852625</v>
      </c>
      <c r="C418" s="51">
        <v>1.078</v>
      </c>
      <c r="D418" s="51">
        <v>69.0</v>
      </c>
      <c r="E418" s="52" t="s">
        <v>25</v>
      </c>
      <c r="F418" s="52" t="s">
        <v>26</v>
      </c>
      <c r="G418" s="53"/>
    </row>
    <row r="419">
      <c r="A419" s="49">
        <v>44517.003969537036</v>
      </c>
      <c r="B419" s="50">
        <v>44517.1289458101</v>
      </c>
      <c r="C419" s="51">
        <v>1.078</v>
      </c>
      <c r="D419" s="51">
        <v>69.0</v>
      </c>
      <c r="E419" s="52" t="s">
        <v>25</v>
      </c>
      <c r="F419" s="52" t="s">
        <v>26</v>
      </c>
      <c r="G419" s="53"/>
    </row>
    <row r="420">
      <c r="A420" s="49">
        <v>44517.014388310185</v>
      </c>
      <c r="B420" s="50">
        <v>44517.1393666666</v>
      </c>
      <c r="C420" s="51">
        <v>1.077</v>
      </c>
      <c r="D420" s="51">
        <v>69.0</v>
      </c>
      <c r="E420" s="52" t="s">
        <v>25</v>
      </c>
      <c r="F420" s="52" t="s">
        <v>26</v>
      </c>
      <c r="G420" s="53"/>
    </row>
    <row r="421">
      <c r="A421" s="49">
        <v>44517.02481293981</v>
      </c>
      <c r="B421" s="50">
        <v>44517.149789155</v>
      </c>
      <c r="C421" s="51">
        <v>1.077</v>
      </c>
      <c r="D421" s="51">
        <v>69.0</v>
      </c>
      <c r="E421" s="52" t="s">
        <v>25</v>
      </c>
      <c r="F421" s="52" t="s">
        <v>26</v>
      </c>
      <c r="G421" s="53"/>
    </row>
    <row r="422">
      <c r="A422" s="49">
        <v>44517.035245810184</v>
      </c>
      <c r="B422" s="50">
        <v>44517.16021103</v>
      </c>
      <c r="C422" s="51">
        <v>1.077</v>
      </c>
      <c r="D422" s="51">
        <v>69.0</v>
      </c>
      <c r="E422" s="52" t="s">
        <v>25</v>
      </c>
      <c r="F422" s="52" t="s">
        <v>26</v>
      </c>
      <c r="G422" s="53"/>
    </row>
    <row r="423">
      <c r="A423" s="49">
        <v>44517.04565533565</v>
      </c>
      <c r="B423" s="50">
        <v>44517.1706337384</v>
      </c>
      <c r="C423" s="51">
        <v>1.077</v>
      </c>
      <c r="D423" s="51">
        <v>69.0</v>
      </c>
      <c r="E423" s="52" t="s">
        <v>25</v>
      </c>
      <c r="F423" s="52" t="s">
        <v>26</v>
      </c>
      <c r="G423" s="53"/>
    </row>
    <row r="424">
      <c r="A424" s="49">
        <v>44517.05609126158</v>
      </c>
      <c r="B424" s="50">
        <v>44517.1810656249</v>
      </c>
      <c r="C424" s="51">
        <v>1.077</v>
      </c>
      <c r="D424" s="51">
        <v>69.0</v>
      </c>
      <c r="E424" s="52" t="s">
        <v>25</v>
      </c>
      <c r="F424" s="52" t="s">
        <v>26</v>
      </c>
      <c r="G424" s="53"/>
    </row>
    <row r="425">
      <c r="A425" s="49">
        <v>44517.066511296296</v>
      </c>
      <c r="B425" s="50">
        <v>44517.1914858333</v>
      </c>
      <c r="C425" s="51">
        <v>1.077</v>
      </c>
      <c r="D425" s="51">
        <v>69.0</v>
      </c>
      <c r="E425" s="52" t="s">
        <v>25</v>
      </c>
      <c r="F425" s="52" t="s">
        <v>26</v>
      </c>
      <c r="G425" s="53"/>
    </row>
    <row r="426">
      <c r="A426" s="49">
        <v>44517.07692854167</v>
      </c>
      <c r="B426" s="50">
        <v>44517.2019066319</v>
      </c>
      <c r="C426" s="51">
        <v>1.077</v>
      </c>
      <c r="D426" s="51">
        <v>69.0</v>
      </c>
      <c r="E426" s="52" t="s">
        <v>25</v>
      </c>
      <c r="F426" s="52" t="s">
        <v>26</v>
      </c>
      <c r="G426" s="53"/>
    </row>
    <row r="427">
      <c r="A427" s="49">
        <v>44517.08735670139</v>
      </c>
      <c r="B427" s="50">
        <v>44517.2123265509</v>
      </c>
      <c r="C427" s="51">
        <v>1.077</v>
      </c>
      <c r="D427" s="51">
        <v>69.0</v>
      </c>
      <c r="E427" s="52" t="s">
        <v>25</v>
      </c>
      <c r="F427" s="52" t="s">
        <v>26</v>
      </c>
      <c r="G427" s="53"/>
    </row>
    <row r="428">
      <c r="A428" s="49">
        <v>44517.097771053246</v>
      </c>
      <c r="B428" s="50">
        <v>44517.222748449</v>
      </c>
      <c r="C428" s="51">
        <v>1.077</v>
      </c>
      <c r="D428" s="51">
        <v>69.0</v>
      </c>
      <c r="E428" s="52" t="s">
        <v>25</v>
      </c>
      <c r="F428" s="52" t="s">
        <v>26</v>
      </c>
      <c r="G428" s="53"/>
    </row>
    <row r="429">
      <c r="A429" s="49">
        <v>44517.10820671296</v>
      </c>
      <c r="B429" s="50">
        <v>44517.2331836921</v>
      </c>
      <c r="C429" s="51">
        <v>1.077</v>
      </c>
      <c r="D429" s="51">
        <v>69.0</v>
      </c>
      <c r="E429" s="52" t="s">
        <v>25</v>
      </c>
      <c r="F429" s="52" t="s">
        <v>26</v>
      </c>
      <c r="G429" s="53"/>
    </row>
    <row r="430">
      <c r="A430" s="49">
        <v>44517.11863938658</v>
      </c>
      <c r="B430" s="50">
        <v>44517.2436059143</v>
      </c>
      <c r="C430" s="51">
        <v>1.077</v>
      </c>
      <c r="D430" s="51">
        <v>69.0</v>
      </c>
      <c r="E430" s="52" t="s">
        <v>25</v>
      </c>
      <c r="F430" s="52" t="s">
        <v>26</v>
      </c>
      <c r="G430" s="53"/>
    </row>
    <row r="431">
      <c r="A431" s="49">
        <v>44517.12905296296</v>
      </c>
      <c r="B431" s="50">
        <v>44517.2540264351</v>
      </c>
      <c r="C431" s="51">
        <v>1.076</v>
      </c>
      <c r="D431" s="51">
        <v>69.0</v>
      </c>
      <c r="E431" s="52" t="s">
        <v>25</v>
      </c>
      <c r="F431" s="52" t="s">
        <v>26</v>
      </c>
      <c r="G431" s="53"/>
    </row>
    <row r="432">
      <c r="A432" s="49">
        <v>44517.13962310185</v>
      </c>
      <c r="B432" s="50">
        <v>44517.2644468518</v>
      </c>
      <c r="C432" s="51">
        <v>1.076</v>
      </c>
      <c r="D432" s="51">
        <v>69.0</v>
      </c>
      <c r="E432" s="52" t="s">
        <v>25</v>
      </c>
      <c r="F432" s="52" t="s">
        <v>26</v>
      </c>
      <c r="G432" s="53"/>
    </row>
    <row r="433">
      <c r="A433" s="49">
        <v>44517.14989180556</v>
      </c>
      <c r="B433" s="50">
        <v>44517.2748689699</v>
      </c>
      <c r="C433" s="51">
        <v>1.076</v>
      </c>
      <c r="D433" s="51">
        <v>69.0</v>
      </c>
      <c r="E433" s="52" t="s">
        <v>25</v>
      </c>
      <c r="F433" s="52" t="s">
        <v>26</v>
      </c>
      <c r="G433" s="53"/>
    </row>
    <row r="434">
      <c r="A434" s="49">
        <v>44517.16032743055</v>
      </c>
      <c r="B434" s="50">
        <v>44517.2852999421</v>
      </c>
      <c r="C434" s="51">
        <v>1.077</v>
      </c>
      <c r="D434" s="51">
        <v>69.0</v>
      </c>
      <c r="E434" s="52" t="s">
        <v>25</v>
      </c>
      <c r="F434" s="52" t="s">
        <v>26</v>
      </c>
      <c r="G434" s="53"/>
    </row>
    <row r="435">
      <c r="A435" s="49">
        <v>44517.170752453705</v>
      </c>
      <c r="B435" s="50">
        <v>44517.2957197453</v>
      </c>
      <c r="C435" s="51">
        <v>1.076</v>
      </c>
      <c r="D435" s="51">
        <v>69.0</v>
      </c>
      <c r="E435" s="52" t="s">
        <v>25</v>
      </c>
      <c r="F435" s="52" t="s">
        <v>26</v>
      </c>
      <c r="G435" s="53"/>
    </row>
    <row r="436">
      <c r="A436" s="49">
        <v>44517.18117684028</v>
      </c>
      <c r="B436" s="50">
        <v>44517.3061403356</v>
      </c>
      <c r="C436" s="51">
        <v>1.076</v>
      </c>
      <c r="D436" s="51">
        <v>69.0</v>
      </c>
      <c r="E436" s="52" t="s">
        <v>25</v>
      </c>
      <c r="F436" s="52" t="s">
        <v>26</v>
      </c>
      <c r="G436" s="53"/>
    </row>
    <row r="437">
      <c r="A437" s="49">
        <v>44517.191602858795</v>
      </c>
      <c r="B437" s="50">
        <v>44517.316560949</v>
      </c>
      <c r="C437" s="51">
        <v>1.076</v>
      </c>
      <c r="D437" s="51">
        <v>69.0</v>
      </c>
      <c r="E437" s="52" t="s">
        <v>25</v>
      </c>
      <c r="F437" s="52" t="s">
        <v>26</v>
      </c>
      <c r="G437" s="53"/>
    </row>
    <row r="438">
      <c r="A438" s="49">
        <v>44517.20200630787</v>
      </c>
      <c r="B438" s="50">
        <v>44517.326982743</v>
      </c>
      <c r="C438" s="51">
        <v>1.076</v>
      </c>
      <c r="D438" s="51">
        <v>69.0</v>
      </c>
      <c r="E438" s="52" t="s">
        <v>25</v>
      </c>
      <c r="F438" s="52" t="s">
        <v>26</v>
      </c>
      <c r="G438" s="53"/>
    </row>
    <row r="439">
      <c r="A439" s="49">
        <v>44517.212429050924</v>
      </c>
      <c r="B439" s="50">
        <v>44517.3374038194</v>
      </c>
      <c r="C439" s="51">
        <v>1.076</v>
      </c>
      <c r="D439" s="51">
        <v>69.0</v>
      </c>
      <c r="E439" s="52" t="s">
        <v>25</v>
      </c>
      <c r="F439" s="52" t="s">
        <v>26</v>
      </c>
      <c r="G439" s="53"/>
    </row>
    <row r="440">
      <c r="A440" s="49">
        <v>44517.222844814816</v>
      </c>
      <c r="B440" s="50">
        <v>44517.3478250694</v>
      </c>
      <c r="C440" s="51">
        <v>1.076</v>
      </c>
      <c r="D440" s="51">
        <v>69.0</v>
      </c>
      <c r="E440" s="52" t="s">
        <v>25</v>
      </c>
      <c r="F440" s="52" t="s">
        <v>26</v>
      </c>
      <c r="G440" s="53"/>
    </row>
    <row r="441">
      <c r="A441" s="49">
        <v>44517.233281678244</v>
      </c>
      <c r="B441" s="50">
        <v>44517.3582472453</v>
      </c>
      <c r="C441" s="51">
        <v>1.076</v>
      </c>
      <c r="D441" s="51">
        <v>69.0</v>
      </c>
      <c r="E441" s="52" t="s">
        <v>25</v>
      </c>
      <c r="F441" s="52" t="s">
        <v>26</v>
      </c>
      <c r="G441" s="53"/>
    </row>
    <row r="442">
      <c r="A442" s="49">
        <v>44517.24370293981</v>
      </c>
      <c r="B442" s="50">
        <v>44517.3686690509</v>
      </c>
      <c r="C442" s="51">
        <v>1.076</v>
      </c>
      <c r="D442" s="51">
        <v>69.0</v>
      </c>
      <c r="E442" s="52" t="s">
        <v>25</v>
      </c>
      <c r="F442" s="52" t="s">
        <v>26</v>
      </c>
      <c r="G442" s="53"/>
    </row>
    <row r="443">
      <c r="A443" s="49">
        <v>44517.25411559027</v>
      </c>
      <c r="B443" s="50">
        <v>44517.3790915046</v>
      </c>
      <c r="C443" s="51">
        <v>1.076</v>
      </c>
      <c r="D443" s="51">
        <v>69.0</v>
      </c>
      <c r="E443" s="52" t="s">
        <v>25</v>
      </c>
      <c r="F443" s="52" t="s">
        <v>26</v>
      </c>
      <c r="G443" s="53"/>
    </row>
    <row r="444">
      <c r="A444" s="49">
        <v>44517.26454188657</v>
      </c>
      <c r="B444" s="50">
        <v>44517.3895118981</v>
      </c>
      <c r="C444" s="51">
        <v>1.076</v>
      </c>
      <c r="D444" s="51">
        <v>69.0</v>
      </c>
      <c r="E444" s="52" t="s">
        <v>25</v>
      </c>
      <c r="F444" s="52" t="s">
        <v>26</v>
      </c>
      <c r="G444" s="53"/>
    </row>
    <row r="445">
      <c r="A445" s="49">
        <v>44517.27496875</v>
      </c>
      <c r="B445" s="50">
        <v>44517.3999345833</v>
      </c>
      <c r="C445" s="51">
        <v>1.076</v>
      </c>
      <c r="D445" s="51">
        <v>69.0</v>
      </c>
      <c r="E445" s="52" t="s">
        <v>25</v>
      </c>
      <c r="F445" s="52" t="s">
        <v>26</v>
      </c>
      <c r="G445" s="53"/>
    </row>
    <row r="446">
      <c r="A446" s="49">
        <v>44517.28538439814</v>
      </c>
      <c r="B446" s="50">
        <v>44517.4103569907</v>
      </c>
      <c r="C446" s="51">
        <v>1.076</v>
      </c>
      <c r="D446" s="51">
        <v>69.0</v>
      </c>
      <c r="E446" s="52" t="s">
        <v>25</v>
      </c>
      <c r="F446" s="52" t="s">
        <v>26</v>
      </c>
      <c r="G446" s="53"/>
    </row>
    <row r="447">
      <c r="A447" s="49">
        <v>44517.29579827546</v>
      </c>
      <c r="B447" s="50">
        <v>44517.4207782638</v>
      </c>
      <c r="C447" s="51">
        <v>1.076</v>
      </c>
      <c r="D447" s="51">
        <v>69.0</v>
      </c>
      <c r="E447" s="52" t="s">
        <v>25</v>
      </c>
      <c r="F447" s="52" t="s">
        <v>26</v>
      </c>
      <c r="G447" s="53"/>
    </row>
    <row r="448">
      <c r="A448" s="49">
        <v>44517.306225</v>
      </c>
      <c r="B448" s="50">
        <v>44517.4311987152</v>
      </c>
      <c r="C448" s="51">
        <v>1.075</v>
      </c>
      <c r="D448" s="51">
        <v>69.0</v>
      </c>
      <c r="E448" s="52" t="s">
        <v>25</v>
      </c>
      <c r="F448" s="52" t="s">
        <v>26</v>
      </c>
      <c r="G448" s="53"/>
    </row>
    <row r="449">
      <c r="A449" s="49">
        <v>44517.31664451389</v>
      </c>
      <c r="B449" s="50">
        <v>44517.4416217129</v>
      </c>
      <c r="C449" s="51">
        <v>1.075</v>
      </c>
      <c r="D449" s="51">
        <v>68.0</v>
      </c>
      <c r="E449" s="52" t="s">
        <v>25</v>
      </c>
      <c r="F449" s="52" t="s">
        <v>26</v>
      </c>
      <c r="G449" s="53"/>
    </row>
    <row r="450">
      <c r="A450" s="49">
        <v>44517.327067499995</v>
      </c>
      <c r="B450" s="50">
        <v>44517.4520436111</v>
      </c>
      <c r="C450" s="51">
        <v>1.075</v>
      </c>
      <c r="D450" s="51">
        <v>66.0</v>
      </c>
      <c r="E450" s="52" t="s">
        <v>25</v>
      </c>
      <c r="F450" s="52" t="s">
        <v>26</v>
      </c>
      <c r="G450" s="53"/>
    </row>
    <row r="451">
      <c r="A451" s="49">
        <v>44517.33748465277</v>
      </c>
      <c r="B451" s="50">
        <v>44517.4624653009</v>
      </c>
      <c r="C451" s="51">
        <v>1.075</v>
      </c>
      <c r="D451" s="51">
        <v>64.0</v>
      </c>
      <c r="E451" s="52" t="s">
        <v>25</v>
      </c>
      <c r="F451" s="52" t="s">
        <v>26</v>
      </c>
      <c r="G451" s="53"/>
    </row>
    <row r="452">
      <c r="A452" s="49">
        <v>44517.34793358797</v>
      </c>
      <c r="B452" s="50">
        <v>44517.4728978587</v>
      </c>
      <c r="C452" s="51">
        <v>1.075</v>
      </c>
      <c r="D452" s="51">
        <v>63.0</v>
      </c>
      <c r="E452" s="52" t="s">
        <v>25</v>
      </c>
      <c r="F452" s="52" t="s">
        <v>26</v>
      </c>
      <c r="G452" s="53"/>
    </row>
    <row r="453">
      <c r="A453" s="49">
        <v>44517.358341747684</v>
      </c>
      <c r="B453" s="50">
        <v>44517.4833183217</v>
      </c>
      <c r="C453" s="51">
        <v>1.075</v>
      </c>
      <c r="D453" s="51">
        <v>64.0</v>
      </c>
      <c r="E453" s="52" t="s">
        <v>25</v>
      </c>
      <c r="F453" s="52" t="s">
        <v>26</v>
      </c>
      <c r="G453" s="53"/>
    </row>
    <row r="454">
      <c r="A454" s="49">
        <v>44517.36876752315</v>
      </c>
      <c r="B454" s="50">
        <v>44517.4937399652</v>
      </c>
      <c r="C454" s="51">
        <v>1.075</v>
      </c>
      <c r="D454" s="51">
        <v>64.0</v>
      </c>
      <c r="E454" s="52" t="s">
        <v>25</v>
      </c>
      <c r="F454" s="52" t="s">
        <v>26</v>
      </c>
      <c r="G454" s="53"/>
    </row>
    <row r="455">
      <c r="A455" s="49">
        <v>44517.3791815625</v>
      </c>
      <c r="B455" s="50">
        <v>44517.5041603703</v>
      </c>
      <c r="C455" s="51">
        <v>1.075</v>
      </c>
      <c r="D455" s="51">
        <v>64.0</v>
      </c>
      <c r="E455" s="52" t="s">
        <v>25</v>
      </c>
      <c r="F455" s="52" t="s">
        <v>26</v>
      </c>
      <c r="G455" s="53"/>
    </row>
    <row r="456">
      <c r="A456" s="49">
        <v>44517.389603703705</v>
      </c>
      <c r="B456" s="50">
        <v>44517.5145819097</v>
      </c>
      <c r="C456" s="51">
        <v>1.075</v>
      </c>
      <c r="D456" s="51">
        <v>64.0</v>
      </c>
      <c r="E456" s="52" t="s">
        <v>25</v>
      </c>
      <c r="F456" s="52" t="s">
        <v>26</v>
      </c>
      <c r="G456" s="53"/>
    </row>
    <row r="457">
      <c r="A457" s="49">
        <v>44517.40002734953</v>
      </c>
      <c r="B457" s="50">
        <v>44517.5250035416</v>
      </c>
      <c r="C457" s="51">
        <v>1.075</v>
      </c>
      <c r="D457" s="51">
        <v>64.0</v>
      </c>
      <c r="E457" s="52" t="s">
        <v>25</v>
      </c>
      <c r="F457" s="52" t="s">
        <v>26</v>
      </c>
      <c r="G457" s="53"/>
    </row>
    <row r="458">
      <c r="A458" s="49">
        <v>44517.410455624995</v>
      </c>
      <c r="B458" s="50">
        <v>44517.535423368</v>
      </c>
      <c r="C458" s="51">
        <v>1.075</v>
      </c>
      <c r="D458" s="51">
        <v>65.0</v>
      </c>
      <c r="E458" s="52" t="s">
        <v>25</v>
      </c>
      <c r="F458" s="52" t="s">
        <v>26</v>
      </c>
      <c r="G458" s="53"/>
    </row>
    <row r="459">
      <c r="A459" s="49">
        <v>44517.42086856482</v>
      </c>
      <c r="B459" s="50">
        <v>44517.5458445833</v>
      </c>
      <c r="C459" s="51">
        <v>1.075</v>
      </c>
      <c r="D459" s="51">
        <v>64.0</v>
      </c>
      <c r="E459" s="52" t="s">
        <v>25</v>
      </c>
      <c r="F459" s="52" t="s">
        <v>26</v>
      </c>
      <c r="G459" s="53"/>
    </row>
    <row r="460">
      <c r="A460" s="49">
        <v>44517.43130994213</v>
      </c>
      <c r="B460" s="50">
        <v>44517.5562671527</v>
      </c>
      <c r="C460" s="51">
        <v>1.075</v>
      </c>
      <c r="D460" s="51">
        <v>65.0</v>
      </c>
      <c r="E460" s="52" t="s">
        <v>25</v>
      </c>
      <c r="F460" s="52" t="s">
        <v>26</v>
      </c>
      <c r="G460" s="53"/>
    </row>
    <row r="461">
      <c r="A461" s="49">
        <v>44517.441715312496</v>
      </c>
      <c r="B461" s="50">
        <v>44517.5666871064</v>
      </c>
      <c r="C461" s="51">
        <v>1.075</v>
      </c>
      <c r="D461" s="51">
        <v>65.0</v>
      </c>
      <c r="E461" s="52" t="s">
        <v>25</v>
      </c>
      <c r="F461" s="52" t="s">
        <v>26</v>
      </c>
      <c r="G461" s="53"/>
    </row>
    <row r="462">
      <c r="A462" s="49">
        <v>44517.452133136576</v>
      </c>
      <c r="B462" s="50">
        <v>44517.5771086574</v>
      </c>
      <c r="C462" s="51">
        <v>1.075</v>
      </c>
      <c r="D462" s="51">
        <v>65.0</v>
      </c>
      <c r="E462" s="52" t="s">
        <v>25</v>
      </c>
      <c r="F462" s="52" t="s">
        <v>26</v>
      </c>
      <c r="G462" s="53"/>
    </row>
    <row r="463">
      <c r="A463" s="49">
        <v>44517.46254841435</v>
      </c>
      <c r="B463" s="50">
        <v>44517.5875275231</v>
      </c>
      <c r="C463" s="51">
        <v>1.075</v>
      </c>
      <c r="D463" s="51">
        <v>65.0</v>
      </c>
      <c r="E463" s="52" t="s">
        <v>25</v>
      </c>
      <c r="F463" s="52" t="s">
        <v>26</v>
      </c>
      <c r="G463" s="53"/>
    </row>
    <row r="464">
      <c r="A464" s="49">
        <v>44517.47297418982</v>
      </c>
      <c r="B464" s="50">
        <v>44517.5979480555</v>
      </c>
      <c r="C464" s="51">
        <v>1.075</v>
      </c>
      <c r="D464" s="51">
        <v>65.0</v>
      </c>
      <c r="E464" s="52" t="s">
        <v>25</v>
      </c>
      <c r="F464" s="52" t="s">
        <v>26</v>
      </c>
      <c r="G464" s="53"/>
    </row>
    <row r="465">
      <c r="A465" s="49">
        <v>44517.48338851852</v>
      </c>
      <c r="B465" s="50">
        <v>44517.6083681944</v>
      </c>
      <c r="C465" s="51">
        <v>1.074</v>
      </c>
      <c r="D465" s="51">
        <v>65.0</v>
      </c>
      <c r="E465" s="52" t="s">
        <v>25</v>
      </c>
      <c r="F465" s="52" t="s">
        <v>26</v>
      </c>
      <c r="G465" s="53"/>
    </row>
    <row r="466">
      <c r="A466" s="49">
        <v>44517.49381925926</v>
      </c>
      <c r="B466" s="50">
        <v>44517.6187902546</v>
      </c>
      <c r="C466" s="51">
        <v>1.075</v>
      </c>
      <c r="D466" s="51">
        <v>65.0</v>
      </c>
      <c r="E466" s="52" t="s">
        <v>25</v>
      </c>
      <c r="F466" s="52" t="s">
        <v>26</v>
      </c>
      <c r="G466" s="53"/>
    </row>
    <row r="467">
      <c r="A467" s="49">
        <v>44517.50423127315</v>
      </c>
      <c r="B467" s="50">
        <v>44517.6292102777</v>
      </c>
      <c r="C467" s="51">
        <v>1.074</v>
      </c>
      <c r="D467" s="51">
        <v>65.0</v>
      </c>
      <c r="E467" s="52" t="s">
        <v>25</v>
      </c>
      <c r="F467" s="52" t="s">
        <v>26</v>
      </c>
      <c r="G467" s="53"/>
    </row>
    <row r="468">
      <c r="A468" s="49">
        <v>44517.514656087966</v>
      </c>
      <c r="B468" s="50">
        <v>44517.6396302893</v>
      </c>
      <c r="C468" s="51">
        <v>1.074</v>
      </c>
      <c r="D468" s="51">
        <v>65.0</v>
      </c>
      <c r="E468" s="52" t="s">
        <v>25</v>
      </c>
      <c r="F468" s="52" t="s">
        <v>26</v>
      </c>
      <c r="G468" s="53"/>
    </row>
    <row r="469">
      <c r="A469" s="49">
        <v>44517.52507887731</v>
      </c>
      <c r="B469" s="50">
        <v>44517.6500504976</v>
      </c>
      <c r="C469" s="51">
        <v>1.074</v>
      </c>
      <c r="D469" s="51">
        <v>65.0</v>
      </c>
      <c r="E469" s="52" t="s">
        <v>25</v>
      </c>
      <c r="F469" s="52" t="s">
        <v>26</v>
      </c>
      <c r="G469" s="53"/>
    </row>
    <row r="470">
      <c r="A470" s="49">
        <v>44517.53549631944</v>
      </c>
      <c r="B470" s="50">
        <v>44517.6604730439</v>
      </c>
      <c r="C470" s="51">
        <v>1.074</v>
      </c>
      <c r="D470" s="51">
        <v>65.0</v>
      </c>
      <c r="E470" s="52" t="s">
        <v>25</v>
      </c>
      <c r="F470" s="52" t="s">
        <v>26</v>
      </c>
      <c r="G470" s="53"/>
    </row>
    <row r="471">
      <c r="A471" s="49">
        <v>44517.545927141204</v>
      </c>
      <c r="B471" s="50">
        <v>44517.670905949</v>
      </c>
      <c r="C471" s="51">
        <v>1.075</v>
      </c>
      <c r="D471" s="51">
        <v>65.0</v>
      </c>
      <c r="E471" s="52" t="s">
        <v>25</v>
      </c>
      <c r="F471" s="52" t="s">
        <v>26</v>
      </c>
      <c r="G471" s="53"/>
    </row>
    <row r="472">
      <c r="A472" s="49">
        <v>44517.556366006946</v>
      </c>
      <c r="B472" s="50">
        <v>44517.6813409838</v>
      </c>
      <c r="C472" s="51">
        <v>1.074</v>
      </c>
      <c r="D472" s="51">
        <v>65.0</v>
      </c>
      <c r="E472" s="52" t="s">
        <v>25</v>
      </c>
      <c r="F472" s="52" t="s">
        <v>26</v>
      </c>
      <c r="G472" s="53"/>
    </row>
    <row r="473">
      <c r="A473" s="49">
        <v>44517.56677958333</v>
      </c>
      <c r="B473" s="50">
        <v>44517.6917616319</v>
      </c>
      <c r="C473" s="51">
        <v>1.074</v>
      </c>
      <c r="D473" s="51">
        <v>65.0</v>
      </c>
      <c r="E473" s="52" t="s">
        <v>25</v>
      </c>
      <c r="F473" s="52" t="s">
        <v>26</v>
      </c>
      <c r="G473" s="53"/>
    </row>
    <row r="474">
      <c r="A474" s="49">
        <v>44517.577209131945</v>
      </c>
      <c r="B474" s="50">
        <v>44517.7021815625</v>
      </c>
      <c r="C474" s="51">
        <v>1.074</v>
      </c>
      <c r="D474" s="51">
        <v>65.0</v>
      </c>
      <c r="E474" s="52" t="s">
        <v>25</v>
      </c>
      <c r="F474" s="52" t="s">
        <v>26</v>
      </c>
      <c r="G474" s="53"/>
    </row>
    <row r="475">
      <c r="A475" s="49">
        <v>44517.58762394676</v>
      </c>
      <c r="B475" s="50">
        <v>44517.7126022106</v>
      </c>
      <c r="C475" s="51">
        <v>1.074</v>
      </c>
      <c r="D475" s="51">
        <v>65.0</v>
      </c>
      <c r="E475" s="52" t="s">
        <v>25</v>
      </c>
      <c r="F475" s="52" t="s">
        <v>26</v>
      </c>
      <c r="G475" s="53"/>
    </row>
    <row r="476">
      <c r="A476" s="49">
        <v>44517.598048761574</v>
      </c>
      <c r="B476" s="50">
        <v>44517.7230230555</v>
      </c>
      <c r="C476" s="51">
        <v>1.074</v>
      </c>
      <c r="D476" s="51">
        <v>65.0</v>
      </c>
      <c r="E476" s="52" t="s">
        <v>25</v>
      </c>
      <c r="F476" s="52" t="s">
        <v>26</v>
      </c>
      <c r="G476" s="53"/>
    </row>
    <row r="477">
      <c r="A477" s="49">
        <v>44517.60847038194</v>
      </c>
      <c r="B477" s="50">
        <v>44517.7334437499</v>
      </c>
      <c r="C477" s="51">
        <v>1.074</v>
      </c>
      <c r="D477" s="51">
        <v>65.0</v>
      </c>
      <c r="E477" s="52" t="s">
        <v>25</v>
      </c>
      <c r="F477" s="52" t="s">
        <v>26</v>
      </c>
      <c r="G477" s="53"/>
    </row>
    <row r="478">
      <c r="A478" s="49">
        <v>44517.61889278935</v>
      </c>
      <c r="B478" s="50">
        <v>44517.7438667013</v>
      </c>
      <c r="C478" s="51">
        <v>1.074</v>
      </c>
      <c r="D478" s="51">
        <v>65.0</v>
      </c>
      <c r="E478" s="52" t="s">
        <v>25</v>
      </c>
      <c r="F478" s="52" t="s">
        <v>26</v>
      </c>
      <c r="G478" s="53"/>
    </row>
    <row r="479">
      <c r="A479" s="49">
        <v>44517.629318657404</v>
      </c>
      <c r="B479" s="50">
        <v>44517.754287662</v>
      </c>
      <c r="C479" s="51">
        <v>1.074</v>
      </c>
      <c r="D479" s="51">
        <v>65.0</v>
      </c>
      <c r="E479" s="52" t="s">
        <v>25</v>
      </c>
      <c r="F479" s="52" t="s">
        <v>26</v>
      </c>
      <c r="G479" s="53"/>
    </row>
    <row r="480">
      <c r="A480" s="49">
        <v>44517.63975017361</v>
      </c>
      <c r="B480" s="50">
        <v>44517.7647212615</v>
      </c>
      <c r="C480" s="51">
        <v>1.074</v>
      </c>
      <c r="D480" s="51">
        <v>65.0</v>
      </c>
      <c r="E480" s="52" t="s">
        <v>25</v>
      </c>
      <c r="F480" s="52" t="s">
        <v>26</v>
      </c>
      <c r="G480" s="53"/>
    </row>
    <row r="481">
      <c r="A481" s="49">
        <v>44517.650160474535</v>
      </c>
      <c r="B481" s="50">
        <v>44517.7751415277</v>
      </c>
      <c r="C481" s="51">
        <v>1.074</v>
      </c>
      <c r="D481" s="51">
        <v>65.0</v>
      </c>
      <c r="E481" s="52" t="s">
        <v>25</v>
      </c>
      <c r="F481" s="52" t="s">
        <v>26</v>
      </c>
      <c r="G481" s="53"/>
    </row>
    <row r="482">
      <c r="A482" s="49">
        <v>44517.660583564815</v>
      </c>
      <c r="B482" s="50">
        <v>44517.7855615624</v>
      </c>
      <c r="C482" s="51">
        <v>1.074</v>
      </c>
      <c r="D482" s="51">
        <v>65.0</v>
      </c>
      <c r="E482" s="52" t="s">
        <v>25</v>
      </c>
      <c r="F482" s="52" t="s">
        <v>26</v>
      </c>
      <c r="G482" s="53"/>
    </row>
    <row r="483">
      <c r="A483" s="49">
        <v>44517.67100940972</v>
      </c>
      <c r="B483" s="50">
        <v>44517.7959831828</v>
      </c>
      <c r="C483" s="51">
        <v>1.074</v>
      </c>
      <c r="D483" s="51">
        <v>65.0</v>
      </c>
      <c r="E483" s="52" t="s">
        <v>25</v>
      </c>
      <c r="F483" s="52" t="s">
        <v>26</v>
      </c>
      <c r="G483" s="53"/>
    </row>
    <row r="484">
      <c r="A484" s="49">
        <v>44517.681432129626</v>
      </c>
      <c r="B484" s="50">
        <v>44517.80640625</v>
      </c>
      <c r="C484" s="51">
        <v>1.074</v>
      </c>
      <c r="D484" s="51">
        <v>65.0</v>
      </c>
      <c r="E484" s="52" t="s">
        <v>25</v>
      </c>
      <c r="F484" s="52" t="s">
        <v>26</v>
      </c>
      <c r="G484" s="53"/>
    </row>
    <row r="485">
      <c r="A485" s="49">
        <v>44517.691868622685</v>
      </c>
      <c r="B485" s="50">
        <v>44517.8168387037</v>
      </c>
      <c r="C485" s="51">
        <v>1.073</v>
      </c>
      <c r="D485" s="51">
        <v>65.0</v>
      </c>
      <c r="E485" s="52" t="s">
        <v>25</v>
      </c>
      <c r="F485" s="52" t="s">
        <v>26</v>
      </c>
      <c r="G485" s="53"/>
    </row>
    <row r="486">
      <c r="A486" s="49">
        <v>44517.70228864583</v>
      </c>
      <c r="B486" s="50">
        <v>44517.8272603356</v>
      </c>
      <c r="C486" s="51">
        <v>1.073</v>
      </c>
      <c r="D486" s="51">
        <v>65.0</v>
      </c>
      <c r="E486" s="52" t="s">
        <v>25</v>
      </c>
      <c r="F486" s="52" t="s">
        <v>26</v>
      </c>
      <c r="G486" s="53"/>
    </row>
    <row r="487">
      <c r="A487" s="49">
        <v>44517.71270440972</v>
      </c>
      <c r="B487" s="50">
        <v>44517.8376830324</v>
      </c>
      <c r="C487" s="51">
        <v>1.073</v>
      </c>
      <c r="D487" s="51">
        <v>65.0</v>
      </c>
      <c r="E487" s="52" t="s">
        <v>25</v>
      </c>
      <c r="F487" s="52" t="s">
        <v>26</v>
      </c>
      <c r="G487" s="53"/>
    </row>
    <row r="488">
      <c r="A488" s="49">
        <v>44517.72313479167</v>
      </c>
      <c r="B488" s="50">
        <v>44517.8481052199</v>
      </c>
      <c r="C488" s="51">
        <v>1.073</v>
      </c>
      <c r="D488" s="51">
        <v>65.0</v>
      </c>
      <c r="E488" s="52" t="s">
        <v>25</v>
      </c>
      <c r="F488" s="52" t="s">
        <v>26</v>
      </c>
      <c r="G488" s="53"/>
    </row>
    <row r="489">
      <c r="A489" s="49">
        <v>44517.733561643516</v>
      </c>
      <c r="B489" s="50">
        <v>44517.8585265046</v>
      </c>
      <c r="C489" s="51">
        <v>1.073</v>
      </c>
      <c r="D489" s="51">
        <v>65.0</v>
      </c>
      <c r="E489" s="52" t="s">
        <v>25</v>
      </c>
      <c r="F489" s="52" t="s">
        <v>26</v>
      </c>
      <c r="G489" s="53"/>
    </row>
    <row r="490">
      <c r="A490" s="49">
        <v>44517.74397565972</v>
      </c>
      <c r="B490" s="50">
        <v>44517.8689497338</v>
      </c>
      <c r="C490" s="51">
        <v>1.073</v>
      </c>
      <c r="D490" s="51">
        <v>65.0</v>
      </c>
      <c r="E490" s="52" t="s">
        <v>25</v>
      </c>
      <c r="F490" s="52" t="s">
        <v>26</v>
      </c>
      <c r="G490" s="53"/>
    </row>
    <row r="491">
      <c r="A491" s="49">
        <v>44517.75440417824</v>
      </c>
      <c r="B491" s="50">
        <v>44517.8793714004</v>
      </c>
      <c r="C491" s="51">
        <v>1.073</v>
      </c>
      <c r="D491" s="51">
        <v>65.0</v>
      </c>
      <c r="E491" s="52" t="s">
        <v>25</v>
      </c>
      <c r="F491" s="52" t="s">
        <v>26</v>
      </c>
      <c r="G491" s="53"/>
    </row>
    <row r="492">
      <c r="A492" s="49">
        <v>44517.7648130787</v>
      </c>
      <c r="B492" s="50">
        <v>44517.8897924074</v>
      </c>
      <c r="C492" s="51">
        <v>1.073</v>
      </c>
      <c r="D492" s="51">
        <v>65.0</v>
      </c>
      <c r="E492" s="52" t="s">
        <v>25</v>
      </c>
      <c r="F492" s="52" t="s">
        <v>26</v>
      </c>
      <c r="G492" s="53"/>
    </row>
    <row r="493">
      <c r="A493" s="49">
        <v>44517.77525435185</v>
      </c>
      <c r="B493" s="50">
        <v>44517.9002257986</v>
      </c>
      <c r="C493" s="51">
        <v>1.073</v>
      </c>
      <c r="D493" s="51">
        <v>65.0</v>
      </c>
      <c r="E493" s="52" t="s">
        <v>25</v>
      </c>
      <c r="F493" s="52" t="s">
        <v>26</v>
      </c>
      <c r="G493" s="53"/>
    </row>
    <row r="494">
      <c r="A494" s="49">
        <v>44517.78567981481</v>
      </c>
      <c r="B494" s="50">
        <v>44517.9106593402</v>
      </c>
      <c r="C494" s="51">
        <v>1.073</v>
      </c>
      <c r="D494" s="51">
        <v>65.0</v>
      </c>
      <c r="E494" s="52" t="s">
        <v>25</v>
      </c>
      <c r="F494" s="52" t="s">
        <v>26</v>
      </c>
      <c r="G494" s="53"/>
    </row>
    <row r="495">
      <c r="A495" s="49">
        <v>44517.79611599537</v>
      </c>
      <c r="B495" s="50">
        <v>44517.9210918055</v>
      </c>
      <c r="C495" s="51">
        <v>1.073</v>
      </c>
      <c r="D495" s="51">
        <v>65.0</v>
      </c>
      <c r="E495" s="52" t="s">
        <v>25</v>
      </c>
      <c r="F495" s="52" t="s">
        <v>26</v>
      </c>
      <c r="G495" s="53"/>
    </row>
    <row r="496">
      <c r="A496" s="49">
        <v>44517.806537013894</v>
      </c>
      <c r="B496" s="50">
        <v>44517.9315128472</v>
      </c>
      <c r="C496" s="51">
        <v>1.073</v>
      </c>
      <c r="D496" s="51">
        <v>65.0</v>
      </c>
      <c r="E496" s="52" t="s">
        <v>25</v>
      </c>
      <c r="F496" s="52" t="s">
        <v>26</v>
      </c>
      <c r="G496" s="53"/>
    </row>
    <row r="497">
      <c r="A497" s="49">
        <v>44517.81696164352</v>
      </c>
      <c r="B497" s="50">
        <v>44517.9419336805</v>
      </c>
      <c r="C497" s="51">
        <v>1.073</v>
      </c>
      <c r="D497" s="51">
        <v>65.0</v>
      </c>
      <c r="E497" s="52" t="s">
        <v>25</v>
      </c>
      <c r="F497" s="52" t="s">
        <v>26</v>
      </c>
      <c r="G497" s="53"/>
    </row>
    <row r="498">
      <c r="A498" s="49">
        <v>44517.8273752199</v>
      </c>
      <c r="B498" s="50">
        <v>44517.9523528587</v>
      </c>
      <c r="C498" s="51">
        <v>1.072</v>
      </c>
      <c r="D498" s="51">
        <v>65.0</v>
      </c>
      <c r="E498" s="52" t="s">
        <v>25</v>
      </c>
      <c r="F498" s="52" t="s">
        <v>26</v>
      </c>
      <c r="G498" s="53"/>
    </row>
    <row r="499">
      <c r="A499" s="49">
        <v>44517.83779938657</v>
      </c>
      <c r="B499" s="50">
        <v>44517.9627759027</v>
      </c>
      <c r="C499" s="51">
        <v>1.072</v>
      </c>
      <c r="D499" s="51">
        <v>65.0</v>
      </c>
      <c r="E499" s="52" t="s">
        <v>25</v>
      </c>
      <c r="F499" s="52" t="s">
        <v>26</v>
      </c>
      <c r="G499" s="53"/>
    </row>
    <row r="500">
      <c r="A500" s="49">
        <v>44517.84822881944</v>
      </c>
      <c r="B500" s="50">
        <v>44517.9731976157</v>
      </c>
      <c r="C500" s="51">
        <v>1.072</v>
      </c>
      <c r="D500" s="51">
        <v>65.0</v>
      </c>
      <c r="E500" s="52" t="s">
        <v>25</v>
      </c>
      <c r="F500" s="52" t="s">
        <v>26</v>
      </c>
      <c r="G500" s="53"/>
    </row>
    <row r="501">
      <c r="A501" s="49">
        <v>44517.85865122685</v>
      </c>
      <c r="B501" s="50">
        <v>44517.9836185069</v>
      </c>
      <c r="C501" s="51">
        <v>1.072</v>
      </c>
      <c r="D501" s="51">
        <v>65.0</v>
      </c>
      <c r="E501" s="52" t="s">
        <v>25</v>
      </c>
      <c r="F501" s="52" t="s">
        <v>26</v>
      </c>
      <c r="G501" s="53"/>
    </row>
    <row r="502">
      <c r="A502" s="49">
        <v>44517.869075740746</v>
      </c>
      <c r="B502" s="50">
        <v>44517.9940508217</v>
      </c>
      <c r="C502" s="51">
        <v>1.072</v>
      </c>
      <c r="D502" s="51">
        <v>65.0</v>
      </c>
      <c r="E502" s="52" t="s">
        <v>25</v>
      </c>
      <c r="F502" s="52" t="s">
        <v>26</v>
      </c>
      <c r="G502" s="53"/>
    </row>
    <row r="503">
      <c r="A503" s="49">
        <v>44517.879499305556</v>
      </c>
      <c r="B503" s="50">
        <v>44518.0044724768</v>
      </c>
      <c r="C503" s="51">
        <v>1.072</v>
      </c>
      <c r="D503" s="51">
        <v>66.0</v>
      </c>
      <c r="E503" s="52" t="s">
        <v>25</v>
      </c>
      <c r="F503" s="52" t="s">
        <v>26</v>
      </c>
      <c r="G503" s="53"/>
    </row>
    <row r="504">
      <c r="A504" s="49">
        <v>44517.88992108796</v>
      </c>
      <c r="B504" s="50">
        <v>44518.0148943287</v>
      </c>
      <c r="C504" s="51">
        <v>1.072</v>
      </c>
      <c r="D504" s="51">
        <v>66.0</v>
      </c>
      <c r="E504" s="52" t="s">
        <v>25</v>
      </c>
      <c r="F504" s="52" t="s">
        <v>26</v>
      </c>
      <c r="G504" s="53"/>
    </row>
    <row r="505">
      <c r="A505" s="49">
        <v>44517.90034603009</v>
      </c>
      <c r="B505" s="50">
        <v>44518.0253140972</v>
      </c>
      <c r="C505" s="51">
        <v>1.072</v>
      </c>
      <c r="D505" s="51">
        <v>66.0</v>
      </c>
      <c r="E505" s="52" t="s">
        <v>25</v>
      </c>
      <c r="F505" s="52" t="s">
        <v>26</v>
      </c>
      <c r="G505" s="53"/>
    </row>
    <row r="506">
      <c r="A506" s="49">
        <v>44517.91076493055</v>
      </c>
      <c r="B506" s="50">
        <v>44518.0357345949</v>
      </c>
      <c r="C506" s="51">
        <v>1.072</v>
      </c>
      <c r="D506" s="51">
        <v>66.0</v>
      </c>
      <c r="E506" s="52" t="s">
        <v>25</v>
      </c>
      <c r="F506" s="52" t="s">
        <v>26</v>
      </c>
      <c r="G506" s="53"/>
    </row>
    <row r="507">
      <c r="A507" s="49">
        <v>44517.92119173611</v>
      </c>
      <c r="B507" s="50">
        <v>44518.046155162</v>
      </c>
      <c r="C507" s="51">
        <v>1.072</v>
      </c>
      <c r="D507" s="51">
        <v>66.0</v>
      </c>
      <c r="E507" s="52" t="s">
        <v>25</v>
      </c>
      <c r="F507" s="52" t="s">
        <v>26</v>
      </c>
      <c r="G507" s="53"/>
    </row>
    <row r="508">
      <c r="A508" s="49">
        <v>44517.93159883102</v>
      </c>
      <c r="B508" s="50">
        <v>44518.0565760532</v>
      </c>
      <c r="C508" s="51">
        <v>1.072</v>
      </c>
      <c r="D508" s="51">
        <v>66.0</v>
      </c>
      <c r="E508" s="52" t="s">
        <v>25</v>
      </c>
      <c r="F508" s="52" t="s">
        <v>26</v>
      </c>
      <c r="G508" s="53"/>
    </row>
    <row r="509">
      <c r="A509" s="49">
        <v>44517.94205179398</v>
      </c>
      <c r="B509" s="50">
        <v>44518.0670216088</v>
      </c>
      <c r="C509" s="51">
        <v>1.072</v>
      </c>
      <c r="D509" s="51">
        <v>66.0</v>
      </c>
      <c r="E509" s="52" t="s">
        <v>25</v>
      </c>
      <c r="F509" s="52" t="s">
        <v>26</v>
      </c>
      <c r="G509" s="53"/>
    </row>
    <row r="510">
      <c r="A510" s="49">
        <v>44517.95247415509</v>
      </c>
      <c r="B510" s="50">
        <v>44518.0774423148</v>
      </c>
      <c r="C510" s="51">
        <v>1.072</v>
      </c>
      <c r="D510" s="51">
        <v>66.0</v>
      </c>
      <c r="E510" s="52" t="s">
        <v>25</v>
      </c>
      <c r="F510" s="52" t="s">
        <v>26</v>
      </c>
      <c r="G510" s="53"/>
    </row>
    <row r="511">
      <c r="A511" s="49">
        <v>44517.96289380787</v>
      </c>
      <c r="B511" s="50">
        <v>44518.0878647337</v>
      </c>
      <c r="C511" s="51">
        <v>1.072</v>
      </c>
      <c r="D511" s="51">
        <v>66.0</v>
      </c>
      <c r="E511" s="52" t="s">
        <v>25</v>
      </c>
      <c r="F511" s="52" t="s">
        <v>26</v>
      </c>
      <c r="G511" s="53"/>
    </row>
    <row r="512">
      <c r="A512" s="49">
        <v>44517.97331832176</v>
      </c>
      <c r="B512" s="50">
        <v>44518.0982851388</v>
      </c>
      <c r="C512" s="51">
        <v>1.071</v>
      </c>
      <c r="D512" s="51">
        <v>66.0</v>
      </c>
      <c r="E512" s="52" t="s">
        <v>25</v>
      </c>
      <c r="F512" s="52" t="s">
        <v>26</v>
      </c>
      <c r="G512" s="53"/>
    </row>
    <row r="513">
      <c r="A513" s="49">
        <v>44517.98373332176</v>
      </c>
      <c r="B513" s="50">
        <v>44518.1087060648</v>
      </c>
      <c r="C513" s="51">
        <v>1.072</v>
      </c>
      <c r="D513" s="51">
        <v>66.0</v>
      </c>
      <c r="E513" s="52" t="s">
        <v>25</v>
      </c>
      <c r="F513" s="52" t="s">
        <v>26</v>
      </c>
      <c r="G513" s="53"/>
    </row>
    <row r="514">
      <c r="A514" s="49">
        <v>44517.99416690972</v>
      </c>
      <c r="B514" s="50">
        <v>44518.1191393865</v>
      </c>
      <c r="C514" s="51">
        <v>1.071</v>
      </c>
      <c r="D514" s="51">
        <v>66.0</v>
      </c>
      <c r="E514" s="52" t="s">
        <v>25</v>
      </c>
      <c r="F514" s="52" t="s">
        <v>26</v>
      </c>
      <c r="G514" s="53"/>
    </row>
    <row r="515">
      <c r="A515" s="49">
        <v>44518.004593125</v>
      </c>
      <c r="B515" s="50">
        <v>44518.1295615046</v>
      </c>
      <c r="C515" s="51">
        <v>1.071</v>
      </c>
      <c r="D515" s="51">
        <v>66.0</v>
      </c>
      <c r="E515" s="52" t="s">
        <v>25</v>
      </c>
      <c r="F515" s="52" t="s">
        <v>26</v>
      </c>
      <c r="G515" s="53"/>
    </row>
    <row r="516">
      <c r="A516" s="49">
        <v>44518.01500888889</v>
      </c>
      <c r="B516" s="50">
        <v>44518.1399815162</v>
      </c>
      <c r="C516" s="51">
        <v>1.071</v>
      </c>
      <c r="D516" s="51">
        <v>66.0</v>
      </c>
      <c r="E516" s="52" t="s">
        <v>25</v>
      </c>
      <c r="F516" s="52" t="s">
        <v>26</v>
      </c>
      <c r="G516" s="53"/>
    </row>
    <row r="517">
      <c r="A517" s="49">
        <v>44518.02543760417</v>
      </c>
      <c r="B517" s="50">
        <v>44518.1504031712</v>
      </c>
      <c r="C517" s="51">
        <v>1.071</v>
      </c>
      <c r="D517" s="51">
        <v>66.0</v>
      </c>
      <c r="E517" s="52" t="s">
        <v>25</v>
      </c>
      <c r="F517" s="52" t="s">
        <v>26</v>
      </c>
      <c r="G517" s="53"/>
    </row>
    <row r="518">
      <c r="A518" s="49">
        <v>44518.035856585644</v>
      </c>
      <c r="B518" s="50">
        <v>44518.160823287</v>
      </c>
      <c r="C518" s="51">
        <v>1.071</v>
      </c>
      <c r="D518" s="51">
        <v>66.0</v>
      </c>
      <c r="E518" s="52" t="s">
        <v>25</v>
      </c>
      <c r="F518" s="52" t="s">
        <v>26</v>
      </c>
      <c r="G518" s="53"/>
    </row>
    <row r="519">
      <c r="A519" s="49">
        <v>44518.04629922454</v>
      </c>
      <c r="B519" s="50">
        <v>44518.1712673842</v>
      </c>
      <c r="C519" s="51">
        <v>1.071</v>
      </c>
      <c r="D519" s="51">
        <v>66.0</v>
      </c>
      <c r="E519" s="52" t="s">
        <v>25</v>
      </c>
      <c r="F519" s="52" t="s">
        <v>26</v>
      </c>
      <c r="G519" s="53"/>
    </row>
    <row r="520">
      <c r="A520" s="49">
        <v>44518.05672245371</v>
      </c>
      <c r="B520" s="50">
        <v>44518.1816896296</v>
      </c>
      <c r="C520" s="51">
        <v>1.071</v>
      </c>
      <c r="D520" s="51">
        <v>66.0</v>
      </c>
      <c r="E520" s="52" t="s">
        <v>25</v>
      </c>
      <c r="F520" s="52" t="s">
        <v>26</v>
      </c>
      <c r="G520" s="53"/>
    </row>
    <row r="521">
      <c r="A521" s="49">
        <v>44518.06714997685</v>
      </c>
      <c r="B521" s="50">
        <v>44518.1921226041</v>
      </c>
      <c r="C521" s="51">
        <v>1.071</v>
      </c>
      <c r="D521" s="51">
        <v>66.0</v>
      </c>
      <c r="E521" s="52" t="s">
        <v>25</v>
      </c>
      <c r="F521" s="52" t="s">
        <v>26</v>
      </c>
      <c r="G521" s="53"/>
    </row>
    <row r="522">
      <c r="A522" s="49">
        <v>44518.07757003472</v>
      </c>
      <c r="B522" s="50">
        <v>44518.2025449421</v>
      </c>
      <c r="C522" s="51">
        <v>1.071</v>
      </c>
      <c r="D522" s="51">
        <v>66.0</v>
      </c>
      <c r="E522" s="52" t="s">
        <v>25</v>
      </c>
      <c r="F522" s="52" t="s">
        <v>26</v>
      </c>
      <c r="G522" s="53"/>
    </row>
    <row r="523">
      <c r="A523" s="49">
        <v>44518.08799402778</v>
      </c>
      <c r="B523" s="50">
        <v>44518.2129666551</v>
      </c>
      <c r="C523" s="51">
        <v>1.071</v>
      </c>
      <c r="D523" s="51">
        <v>66.0</v>
      </c>
      <c r="E523" s="52" t="s">
        <v>25</v>
      </c>
      <c r="F523" s="52" t="s">
        <v>26</v>
      </c>
      <c r="G523" s="53"/>
    </row>
    <row r="524">
      <c r="A524" s="49">
        <v>44518.09841496528</v>
      </c>
      <c r="B524" s="50">
        <v>44518.2233884953</v>
      </c>
      <c r="C524" s="51">
        <v>1.071</v>
      </c>
      <c r="D524" s="51">
        <v>66.0</v>
      </c>
      <c r="E524" s="52" t="s">
        <v>25</v>
      </c>
      <c r="F524" s="52" t="s">
        <v>26</v>
      </c>
      <c r="G524" s="53"/>
    </row>
    <row r="525">
      <c r="A525" s="49">
        <v>44518.10885466435</v>
      </c>
      <c r="B525" s="50">
        <v>44518.2338223148</v>
      </c>
      <c r="C525" s="51">
        <v>1.071</v>
      </c>
      <c r="D525" s="51">
        <v>66.0</v>
      </c>
      <c r="E525" s="52" t="s">
        <v>25</v>
      </c>
      <c r="F525" s="52" t="s">
        <v>26</v>
      </c>
      <c r="G525" s="53"/>
    </row>
    <row r="526">
      <c r="A526" s="49">
        <v>44518.11927239584</v>
      </c>
      <c r="B526" s="50">
        <v>44518.2442442939</v>
      </c>
      <c r="C526" s="51">
        <v>1.071</v>
      </c>
      <c r="D526" s="51">
        <v>66.0</v>
      </c>
      <c r="E526" s="52" t="s">
        <v>25</v>
      </c>
      <c r="F526" s="52" t="s">
        <v>26</v>
      </c>
      <c r="G526" s="53"/>
    </row>
    <row r="527">
      <c r="A527" s="49">
        <v>44518.129682812505</v>
      </c>
      <c r="B527" s="50">
        <v>44518.2546640625</v>
      </c>
      <c r="C527" s="51">
        <v>1.071</v>
      </c>
      <c r="D527" s="51">
        <v>66.0</v>
      </c>
      <c r="E527" s="52" t="s">
        <v>25</v>
      </c>
      <c r="F527" s="52" t="s">
        <v>26</v>
      </c>
      <c r="G527" s="53"/>
    </row>
    <row r="528">
      <c r="A528" s="49">
        <v>44518.14011487269</v>
      </c>
      <c r="B528" s="50">
        <v>44518.265084537</v>
      </c>
      <c r="C528" s="51">
        <v>1.071</v>
      </c>
      <c r="D528" s="51">
        <v>66.0</v>
      </c>
      <c r="E528" s="52" t="s">
        <v>25</v>
      </c>
      <c r="F528" s="52" t="s">
        <v>26</v>
      </c>
      <c r="G528" s="53"/>
    </row>
    <row r="529">
      <c r="A529" s="49">
        <v>44518.150535196764</v>
      </c>
      <c r="B529" s="50">
        <v>44518.2755059722</v>
      </c>
      <c r="C529" s="51">
        <v>1.071</v>
      </c>
      <c r="D529" s="51">
        <v>66.0</v>
      </c>
      <c r="E529" s="52" t="s">
        <v>25</v>
      </c>
      <c r="F529" s="52" t="s">
        <v>26</v>
      </c>
      <c r="G529" s="53"/>
    </row>
    <row r="530">
      <c r="A530" s="49">
        <v>44518.16094965278</v>
      </c>
      <c r="B530" s="50">
        <v>44518.2859268981</v>
      </c>
      <c r="C530" s="51">
        <v>1.071</v>
      </c>
      <c r="D530" s="51">
        <v>66.0</v>
      </c>
      <c r="E530" s="52" t="s">
        <v>25</v>
      </c>
      <c r="F530" s="52" t="s">
        <v>26</v>
      </c>
      <c r="G530" s="53"/>
    </row>
    <row r="531">
      <c r="A531" s="49">
        <v>44518.17138150463</v>
      </c>
      <c r="B531" s="50">
        <v>44518.2963491435</v>
      </c>
      <c r="C531" s="51">
        <v>1.071</v>
      </c>
      <c r="D531" s="51">
        <v>66.0</v>
      </c>
      <c r="E531" s="52" t="s">
        <v>25</v>
      </c>
      <c r="F531" s="52" t="s">
        <v>26</v>
      </c>
      <c r="G531" s="53"/>
    </row>
    <row r="532">
      <c r="A532" s="49">
        <v>44518.18179505787</v>
      </c>
      <c r="B532" s="50">
        <v>44518.3067711111</v>
      </c>
      <c r="C532" s="51">
        <v>1.07</v>
      </c>
      <c r="D532" s="51">
        <v>66.0</v>
      </c>
      <c r="E532" s="52" t="s">
        <v>25</v>
      </c>
      <c r="F532" s="52" t="s">
        <v>26</v>
      </c>
      <c r="G532" s="53"/>
    </row>
    <row r="533">
      <c r="A533" s="49">
        <v>44518.192220474535</v>
      </c>
      <c r="B533" s="50">
        <v>44518.3171920254</v>
      </c>
      <c r="C533" s="51">
        <v>1.07</v>
      </c>
      <c r="D533" s="51">
        <v>66.0</v>
      </c>
      <c r="E533" s="52" t="s">
        <v>25</v>
      </c>
      <c r="F533" s="52" t="s">
        <v>26</v>
      </c>
      <c r="G533" s="53"/>
    </row>
    <row r="534">
      <c r="A534" s="49">
        <v>44518.20264092593</v>
      </c>
      <c r="B534" s="50">
        <v>44518.3276134953</v>
      </c>
      <c r="C534" s="51">
        <v>1.07</v>
      </c>
      <c r="D534" s="51">
        <v>66.0</v>
      </c>
      <c r="E534" s="52" t="s">
        <v>25</v>
      </c>
      <c r="F534" s="52" t="s">
        <v>26</v>
      </c>
      <c r="G534" s="53"/>
    </row>
    <row r="535">
      <c r="A535" s="49">
        <v>44518.21308854167</v>
      </c>
      <c r="B535" s="50">
        <v>44518.3380572685</v>
      </c>
      <c r="C535" s="51">
        <v>1.07</v>
      </c>
      <c r="D535" s="51">
        <v>66.0</v>
      </c>
      <c r="E535" s="52" t="s">
        <v>25</v>
      </c>
      <c r="F535" s="52" t="s">
        <v>26</v>
      </c>
      <c r="G535" s="53"/>
    </row>
    <row r="536">
      <c r="A536" s="49">
        <v>44518.223505138885</v>
      </c>
      <c r="B536" s="50">
        <v>44518.3484784722</v>
      </c>
      <c r="C536" s="51">
        <v>1.07</v>
      </c>
      <c r="D536" s="51">
        <v>66.0</v>
      </c>
      <c r="E536" s="52" t="s">
        <v>25</v>
      </c>
      <c r="F536" s="52" t="s">
        <v>26</v>
      </c>
      <c r="G536" s="53"/>
    </row>
    <row r="537">
      <c r="A537" s="49">
        <v>44518.23393349537</v>
      </c>
      <c r="B537" s="50">
        <v>44518.3588986458</v>
      </c>
      <c r="C537" s="51">
        <v>1.07</v>
      </c>
      <c r="D537" s="51">
        <v>66.0</v>
      </c>
      <c r="E537" s="52" t="s">
        <v>25</v>
      </c>
      <c r="F537" s="52" t="s">
        <v>26</v>
      </c>
      <c r="G537" s="53"/>
    </row>
    <row r="538">
      <c r="A538" s="49">
        <v>44518.244365590275</v>
      </c>
      <c r="B538" s="50">
        <v>44518.3693315046</v>
      </c>
      <c r="C538" s="51">
        <v>1.07</v>
      </c>
      <c r="D538" s="51">
        <v>66.0</v>
      </c>
      <c r="E538" s="52" t="s">
        <v>25</v>
      </c>
      <c r="F538" s="52" t="s">
        <v>26</v>
      </c>
      <c r="G538" s="53"/>
    </row>
    <row r="539">
      <c r="A539" s="49">
        <v>44518.25478293981</v>
      </c>
      <c r="B539" s="50">
        <v>44518.3797509953</v>
      </c>
      <c r="C539" s="51">
        <v>1.07</v>
      </c>
      <c r="D539" s="51">
        <v>66.0</v>
      </c>
      <c r="E539" s="52" t="s">
        <v>25</v>
      </c>
      <c r="F539" s="52" t="s">
        <v>26</v>
      </c>
      <c r="G539" s="53"/>
    </row>
    <row r="540">
      <c r="A540" s="49">
        <v>44518.265223159724</v>
      </c>
      <c r="B540" s="50">
        <v>44518.3901713773</v>
      </c>
      <c r="C540" s="51">
        <v>1.07</v>
      </c>
      <c r="D540" s="51">
        <v>66.0</v>
      </c>
      <c r="E540" s="52" t="s">
        <v>25</v>
      </c>
      <c r="F540" s="52" t="s">
        <v>26</v>
      </c>
      <c r="G540" s="53"/>
    </row>
    <row r="541">
      <c r="A541" s="49">
        <v>44518.27564083334</v>
      </c>
      <c r="B541" s="50">
        <v>44518.4006040972</v>
      </c>
      <c r="C541" s="51">
        <v>1.07</v>
      </c>
      <c r="D541" s="51">
        <v>66.0</v>
      </c>
      <c r="E541" s="52" t="s">
        <v>25</v>
      </c>
      <c r="F541" s="52" t="s">
        <v>26</v>
      </c>
      <c r="G541" s="53"/>
    </row>
    <row r="542">
      <c r="A542" s="49">
        <v>44518.2860553125</v>
      </c>
      <c r="B542" s="50">
        <v>44518.411024375</v>
      </c>
      <c r="C542" s="51">
        <v>1.069</v>
      </c>
      <c r="D542" s="51">
        <v>66.0</v>
      </c>
      <c r="E542" s="52" t="s">
        <v>25</v>
      </c>
      <c r="F542" s="52" t="s">
        <v>26</v>
      </c>
      <c r="G542" s="53"/>
    </row>
    <row r="543">
      <c r="A543" s="49">
        <v>44518.29647765047</v>
      </c>
      <c r="B543" s="50">
        <v>44518.421445162</v>
      </c>
      <c r="C543" s="51">
        <v>1.07</v>
      </c>
      <c r="D543" s="51">
        <v>66.0</v>
      </c>
      <c r="E543" s="52" t="s">
        <v>25</v>
      </c>
      <c r="F543" s="52" t="s">
        <v>26</v>
      </c>
      <c r="G543" s="53"/>
    </row>
    <row r="544">
      <c r="A544" s="49">
        <v>44518.30689443287</v>
      </c>
      <c r="B544" s="50">
        <v>44518.4318674074</v>
      </c>
      <c r="C544" s="51">
        <v>1.07</v>
      </c>
      <c r="D544" s="51">
        <v>66.0</v>
      </c>
      <c r="E544" s="52" t="s">
        <v>25</v>
      </c>
      <c r="F544" s="52" t="s">
        <v>26</v>
      </c>
      <c r="G544" s="53"/>
    </row>
    <row r="545">
      <c r="A545" s="49">
        <v>44518.31730601852</v>
      </c>
      <c r="B545" s="50">
        <v>44518.4422880671</v>
      </c>
      <c r="C545" s="51">
        <v>1.069</v>
      </c>
      <c r="D545" s="51">
        <v>66.0</v>
      </c>
      <c r="E545" s="52" t="s">
        <v>25</v>
      </c>
      <c r="F545" s="52" t="s">
        <v>26</v>
      </c>
      <c r="G545" s="53"/>
    </row>
    <row r="546">
      <c r="A546" s="49">
        <v>44518.32774875</v>
      </c>
      <c r="B546" s="50">
        <v>44518.452709456</v>
      </c>
      <c r="C546" s="51">
        <v>1.07</v>
      </c>
      <c r="D546" s="51">
        <v>66.0</v>
      </c>
      <c r="E546" s="52" t="s">
        <v>25</v>
      </c>
      <c r="F546" s="52" t="s">
        <v>26</v>
      </c>
      <c r="G546" s="53"/>
    </row>
    <row r="547">
      <c r="A547" s="49">
        <v>44518.33816908565</v>
      </c>
      <c r="B547" s="50">
        <v>44518.4631311226</v>
      </c>
      <c r="C547" s="51">
        <v>1.069</v>
      </c>
      <c r="D547" s="51">
        <v>66.0</v>
      </c>
      <c r="E547" s="52" t="s">
        <v>25</v>
      </c>
      <c r="F547" s="52" t="s">
        <v>26</v>
      </c>
      <c r="G547" s="53"/>
    </row>
    <row r="548">
      <c r="A548" s="49">
        <v>44518.348592546296</v>
      </c>
      <c r="B548" s="50">
        <v>44518.4735630786</v>
      </c>
      <c r="C548" s="51">
        <v>1.069</v>
      </c>
      <c r="D548" s="51">
        <v>66.0</v>
      </c>
      <c r="E548" s="52" t="s">
        <v>25</v>
      </c>
      <c r="F548" s="52" t="s">
        <v>26</v>
      </c>
      <c r="G548" s="53"/>
    </row>
    <row r="549">
      <c r="A549" s="49">
        <v>44518.359017916664</v>
      </c>
      <c r="B549" s="50">
        <v>44518.4839841898</v>
      </c>
      <c r="C549" s="51">
        <v>1.069</v>
      </c>
      <c r="D549" s="51">
        <v>66.0</v>
      </c>
      <c r="E549" s="52" t="s">
        <v>25</v>
      </c>
      <c r="F549" s="52" t="s">
        <v>26</v>
      </c>
      <c r="G549" s="53"/>
    </row>
    <row r="550">
      <c r="A550" s="49">
        <v>44518.36943465278</v>
      </c>
      <c r="B550" s="50">
        <v>44518.4944059722</v>
      </c>
      <c r="C550" s="51">
        <v>1.069</v>
      </c>
      <c r="D550" s="51">
        <v>66.0</v>
      </c>
      <c r="E550" s="52" t="s">
        <v>25</v>
      </c>
      <c r="F550" s="52" t="s">
        <v>26</v>
      </c>
      <c r="G550" s="53"/>
    </row>
    <row r="551">
      <c r="A551" s="49">
        <v>44518.37985704861</v>
      </c>
      <c r="B551" s="50">
        <v>44518.5048266782</v>
      </c>
      <c r="C551" s="51">
        <v>1.069</v>
      </c>
      <c r="D551" s="51">
        <v>66.0</v>
      </c>
      <c r="E551" s="52" t="s">
        <v>25</v>
      </c>
      <c r="F551" s="52" t="s">
        <v>26</v>
      </c>
      <c r="G551" s="53"/>
    </row>
    <row r="552">
      <c r="A552" s="49">
        <v>44518.39027350694</v>
      </c>
      <c r="B552" s="50">
        <v>44518.5152475</v>
      </c>
      <c r="C552" s="51">
        <v>1.069</v>
      </c>
      <c r="D552" s="51">
        <v>66.0</v>
      </c>
      <c r="E552" s="52" t="s">
        <v>25</v>
      </c>
      <c r="F552" s="52" t="s">
        <v>26</v>
      </c>
      <c r="G552" s="53"/>
    </row>
    <row r="553">
      <c r="A553" s="49">
        <v>44518.400691539355</v>
      </c>
      <c r="B553" s="50">
        <v>44518.5256679976</v>
      </c>
      <c r="C553" s="51">
        <v>1.069</v>
      </c>
      <c r="D553" s="51">
        <v>66.0</v>
      </c>
      <c r="E553" s="52" t="s">
        <v>25</v>
      </c>
      <c r="F553" s="52" t="s">
        <v>26</v>
      </c>
      <c r="G553" s="53"/>
    </row>
    <row r="554">
      <c r="A554" s="49">
        <v>44518.411124583334</v>
      </c>
      <c r="B554" s="50">
        <v>44518.5360887384</v>
      </c>
      <c r="C554" s="51">
        <v>1.069</v>
      </c>
      <c r="D554" s="51">
        <v>67.0</v>
      </c>
      <c r="E554" s="52" t="s">
        <v>25</v>
      </c>
      <c r="F554" s="52" t="s">
        <v>26</v>
      </c>
      <c r="G554" s="53"/>
    </row>
    <row r="555">
      <c r="A555" s="49">
        <v>44518.42154565972</v>
      </c>
      <c r="B555" s="50">
        <v>44518.5465203472</v>
      </c>
      <c r="C555" s="51">
        <v>1.069</v>
      </c>
      <c r="D555" s="51">
        <v>66.0</v>
      </c>
      <c r="E555" s="52" t="s">
        <v>25</v>
      </c>
      <c r="F555" s="52" t="s">
        <v>26</v>
      </c>
      <c r="G555" s="53"/>
    </row>
    <row r="556">
      <c r="A556" s="49">
        <v>44518.43197005787</v>
      </c>
      <c r="B556" s="50">
        <v>44518.5569428819</v>
      </c>
      <c r="C556" s="51">
        <v>1.069</v>
      </c>
      <c r="D556" s="51">
        <v>67.0</v>
      </c>
      <c r="E556" s="52" t="s">
        <v>25</v>
      </c>
      <c r="F556" s="52" t="s">
        <v>26</v>
      </c>
      <c r="G556" s="53"/>
    </row>
    <row r="557">
      <c r="A557" s="49">
        <v>44518.44238449074</v>
      </c>
      <c r="B557" s="50">
        <v>44518.5673642939</v>
      </c>
      <c r="C557" s="51">
        <v>1.069</v>
      </c>
      <c r="D557" s="51">
        <v>67.0</v>
      </c>
      <c r="E557" s="52" t="s">
        <v>25</v>
      </c>
      <c r="F557" s="52" t="s">
        <v>26</v>
      </c>
      <c r="G557" s="53"/>
    </row>
    <row r="558">
      <c r="A558" s="49">
        <v>44518.45281041667</v>
      </c>
      <c r="B558" s="50">
        <v>44518.5777848611</v>
      </c>
      <c r="C558" s="51">
        <v>1.068</v>
      </c>
      <c r="D558" s="51">
        <v>67.0</v>
      </c>
      <c r="E558" s="52" t="s">
        <v>25</v>
      </c>
      <c r="F558" s="52" t="s">
        <v>26</v>
      </c>
      <c r="G558" s="53"/>
    </row>
    <row r="559">
      <c r="A559" s="49">
        <v>44518.46323706019</v>
      </c>
      <c r="B559" s="50">
        <v>44518.5882064467</v>
      </c>
      <c r="C559" s="51">
        <v>1.069</v>
      </c>
      <c r="D559" s="51">
        <v>67.0</v>
      </c>
      <c r="E559" s="52" t="s">
        <v>25</v>
      </c>
      <c r="F559" s="52" t="s">
        <v>26</v>
      </c>
      <c r="G559" s="53"/>
    </row>
    <row r="560">
      <c r="A560" s="49">
        <v>44518.473654918984</v>
      </c>
      <c r="B560" s="50">
        <v>44518.5986268402</v>
      </c>
      <c r="C560" s="51">
        <v>1.068</v>
      </c>
      <c r="D560" s="51">
        <v>67.0</v>
      </c>
      <c r="E560" s="52" t="s">
        <v>25</v>
      </c>
      <c r="F560" s="52" t="s">
        <v>26</v>
      </c>
      <c r="G560" s="53"/>
    </row>
    <row r="561">
      <c r="A561" s="49">
        <v>44518.48407319444</v>
      </c>
      <c r="B561" s="50">
        <v>44518.6090467824</v>
      </c>
      <c r="C561" s="51">
        <v>1.068</v>
      </c>
      <c r="D561" s="51">
        <v>67.0</v>
      </c>
      <c r="E561" s="52" t="s">
        <v>25</v>
      </c>
      <c r="F561" s="52" t="s">
        <v>26</v>
      </c>
      <c r="G561" s="53"/>
    </row>
    <row r="562">
      <c r="A562" s="49">
        <v>44518.494499016204</v>
      </c>
      <c r="B562" s="50">
        <v>44518.6194692476</v>
      </c>
      <c r="C562" s="51">
        <v>1.068</v>
      </c>
      <c r="D562" s="51">
        <v>67.0</v>
      </c>
      <c r="E562" s="52" t="s">
        <v>25</v>
      </c>
      <c r="F562" s="52" t="s">
        <v>26</v>
      </c>
      <c r="G562" s="53"/>
    </row>
    <row r="563">
      <c r="A563" s="49">
        <v>44518.504914386576</v>
      </c>
      <c r="B563" s="50">
        <v>44518.6298901504</v>
      </c>
      <c r="C563" s="51">
        <v>1.068</v>
      </c>
      <c r="D563" s="51">
        <v>67.0</v>
      </c>
      <c r="E563" s="52" t="s">
        <v>25</v>
      </c>
      <c r="F563" s="52" t="s">
        <v>26</v>
      </c>
      <c r="G563" s="53"/>
    </row>
    <row r="564">
      <c r="A564" s="49">
        <v>44518.51534252315</v>
      </c>
      <c r="B564" s="50">
        <v>44518.6403103356</v>
      </c>
      <c r="C564" s="51">
        <v>1.068</v>
      </c>
      <c r="D564" s="51">
        <v>67.0</v>
      </c>
      <c r="E564" s="52" t="s">
        <v>25</v>
      </c>
      <c r="F564" s="52" t="s">
        <v>26</v>
      </c>
      <c r="G564" s="53"/>
    </row>
    <row r="565">
      <c r="A565" s="49">
        <v>44518.525755821756</v>
      </c>
      <c r="B565" s="50">
        <v>44518.6507316087</v>
      </c>
      <c r="C565" s="51">
        <v>1.068</v>
      </c>
      <c r="D565" s="51">
        <v>67.0</v>
      </c>
      <c r="E565" s="52" t="s">
        <v>25</v>
      </c>
      <c r="F565" s="52" t="s">
        <v>26</v>
      </c>
      <c r="G565" s="53"/>
    </row>
    <row r="566">
      <c r="A566" s="49">
        <v>44518.53617958333</v>
      </c>
      <c r="B566" s="50">
        <v>44518.6611540856</v>
      </c>
      <c r="C566" s="51">
        <v>1.068</v>
      </c>
      <c r="D566" s="51">
        <v>67.0</v>
      </c>
      <c r="E566" s="52" t="s">
        <v>25</v>
      </c>
      <c r="F566" s="52" t="s">
        <v>26</v>
      </c>
      <c r="G566" s="53"/>
    </row>
    <row r="567">
      <c r="A567" s="49">
        <v>44518.54659938657</v>
      </c>
      <c r="B567" s="50">
        <v>44518.6715729976</v>
      </c>
      <c r="C567" s="51">
        <v>1.068</v>
      </c>
      <c r="D567" s="51">
        <v>67.0</v>
      </c>
      <c r="E567" s="52" t="s">
        <v>25</v>
      </c>
      <c r="F567" s="52" t="s">
        <v>26</v>
      </c>
      <c r="G567" s="53"/>
    </row>
    <row r="568">
      <c r="A568" s="49">
        <v>44518.557039907406</v>
      </c>
      <c r="B568" s="50">
        <v>44518.6819933449</v>
      </c>
      <c r="C568" s="51">
        <v>1.068</v>
      </c>
      <c r="D568" s="51">
        <v>67.0</v>
      </c>
      <c r="E568" s="52" t="s">
        <v>25</v>
      </c>
      <c r="F568" s="52" t="s">
        <v>26</v>
      </c>
      <c r="G568" s="53"/>
    </row>
    <row r="569">
      <c r="A569" s="49">
        <v>44518.567444375</v>
      </c>
      <c r="B569" s="50">
        <v>44518.6924139699</v>
      </c>
      <c r="C569" s="51">
        <v>1.068</v>
      </c>
      <c r="D569" s="51">
        <v>67.0</v>
      </c>
      <c r="E569" s="52" t="s">
        <v>25</v>
      </c>
      <c r="F569" s="52" t="s">
        <v>26</v>
      </c>
      <c r="G569" s="53"/>
    </row>
    <row r="570">
      <c r="A570" s="49">
        <v>44518.577869560184</v>
      </c>
      <c r="B570" s="50">
        <v>44518.7028357523</v>
      </c>
      <c r="C570" s="51">
        <v>1.067</v>
      </c>
      <c r="D570" s="51">
        <v>67.0</v>
      </c>
      <c r="E570" s="52" t="s">
        <v>25</v>
      </c>
      <c r="F570" s="52" t="s">
        <v>26</v>
      </c>
      <c r="G570" s="53"/>
    </row>
    <row r="571">
      <c r="A571" s="49">
        <v>44518.588284212965</v>
      </c>
      <c r="B571" s="50">
        <v>44518.713255787</v>
      </c>
      <c r="C571" s="51">
        <v>1.068</v>
      </c>
      <c r="D571" s="51">
        <v>67.0</v>
      </c>
      <c r="E571" s="52" t="s">
        <v>25</v>
      </c>
      <c r="F571" s="52" t="s">
        <v>26</v>
      </c>
      <c r="G571" s="53"/>
    </row>
    <row r="572">
      <c r="A572" s="49">
        <v>44518.598707094905</v>
      </c>
      <c r="B572" s="50">
        <v>44518.7236771527</v>
      </c>
      <c r="C572" s="51">
        <v>1.067</v>
      </c>
      <c r="D572" s="51">
        <v>67.0</v>
      </c>
      <c r="E572" s="52" t="s">
        <v>25</v>
      </c>
      <c r="F572" s="52" t="s">
        <v>26</v>
      </c>
      <c r="G572" s="53"/>
    </row>
    <row r="573">
      <c r="A573" s="49">
        <v>44518.609118113425</v>
      </c>
      <c r="B573" s="50">
        <v>44518.7341003703</v>
      </c>
      <c r="C573" s="51">
        <v>1.067</v>
      </c>
      <c r="D573" s="51">
        <v>67.0</v>
      </c>
      <c r="E573" s="52" t="s">
        <v>25</v>
      </c>
      <c r="F573" s="52" t="s">
        <v>26</v>
      </c>
      <c r="G573" s="53"/>
    </row>
    <row r="574">
      <c r="A574" s="49">
        <v>44518.61955633102</v>
      </c>
      <c r="B574" s="50">
        <v>44518.7445335532</v>
      </c>
      <c r="C574" s="51">
        <v>1.067</v>
      </c>
      <c r="D574" s="51">
        <v>67.0</v>
      </c>
      <c r="E574" s="52" t="s">
        <v>25</v>
      </c>
      <c r="F574" s="52" t="s">
        <v>26</v>
      </c>
      <c r="G574" s="53"/>
    </row>
    <row r="575">
      <c r="A575" s="49">
        <v>44518.62997372686</v>
      </c>
      <c r="B575" s="50">
        <v>44518.7549547685</v>
      </c>
      <c r="C575" s="51">
        <v>1.067</v>
      </c>
      <c r="D575" s="51">
        <v>67.0</v>
      </c>
      <c r="E575" s="52" t="s">
        <v>25</v>
      </c>
      <c r="F575" s="52" t="s">
        <v>26</v>
      </c>
      <c r="G575" s="53"/>
    </row>
    <row r="576">
      <c r="A576" s="49">
        <v>44518.64042548611</v>
      </c>
      <c r="B576" s="50">
        <v>44518.7653883101</v>
      </c>
      <c r="C576" s="51">
        <v>1.067</v>
      </c>
      <c r="D576" s="51">
        <v>67.0</v>
      </c>
      <c r="E576" s="52" t="s">
        <v>25</v>
      </c>
      <c r="F576" s="52" t="s">
        <v>26</v>
      </c>
      <c r="G576" s="53"/>
    </row>
    <row r="577">
      <c r="A577" s="49">
        <v>44518.65084282408</v>
      </c>
      <c r="B577" s="50">
        <v>44518.7758216203</v>
      </c>
      <c r="C577" s="51">
        <v>1.067</v>
      </c>
      <c r="D577" s="51">
        <v>67.0</v>
      </c>
      <c r="E577" s="52" t="s">
        <v>25</v>
      </c>
      <c r="F577" s="52" t="s">
        <v>26</v>
      </c>
      <c r="G577" s="53"/>
    </row>
    <row r="578">
      <c r="A578" s="49">
        <v>44518.661274467595</v>
      </c>
      <c r="B578" s="50">
        <v>44518.7862424884</v>
      </c>
      <c r="C578" s="51">
        <v>1.067</v>
      </c>
      <c r="D578" s="51">
        <v>67.0</v>
      </c>
      <c r="E578" s="52" t="s">
        <v>25</v>
      </c>
      <c r="F578" s="52" t="s">
        <v>26</v>
      </c>
      <c r="G578" s="53"/>
    </row>
    <row r="579">
      <c r="A579" s="49">
        <v>44518.67168745371</v>
      </c>
      <c r="B579" s="50">
        <v>44518.7966634143</v>
      </c>
      <c r="C579" s="51">
        <v>1.067</v>
      </c>
      <c r="D579" s="51">
        <v>67.0</v>
      </c>
      <c r="E579" s="52" t="s">
        <v>25</v>
      </c>
      <c r="F579" s="52" t="s">
        <v>26</v>
      </c>
      <c r="G579" s="53"/>
    </row>
    <row r="580">
      <c r="A580" s="49">
        <v>44518.68209878472</v>
      </c>
      <c r="B580" s="50">
        <v>44518.8070843055</v>
      </c>
      <c r="C580" s="51">
        <v>1.067</v>
      </c>
      <c r="D580" s="51">
        <v>67.0</v>
      </c>
      <c r="E580" s="52" t="s">
        <v>25</v>
      </c>
      <c r="F580" s="52" t="s">
        <v>26</v>
      </c>
      <c r="G580" s="53"/>
    </row>
    <row r="581">
      <c r="A581" s="49">
        <v>44518.69253800926</v>
      </c>
      <c r="B581" s="50">
        <v>44518.8175046643</v>
      </c>
      <c r="C581" s="51">
        <v>1.067</v>
      </c>
      <c r="D581" s="51">
        <v>67.0</v>
      </c>
      <c r="E581" s="52" t="s">
        <v>25</v>
      </c>
      <c r="F581" s="52" t="s">
        <v>26</v>
      </c>
      <c r="G581" s="53"/>
    </row>
    <row r="582">
      <c r="A582" s="49">
        <v>44518.70294667824</v>
      </c>
      <c r="B582" s="50">
        <v>44518.8279280092</v>
      </c>
      <c r="C582" s="51">
        <v>1.067</v>
      </c>
      <c r="D582" s="51">
        <v>67.0</v>
      </c>
      <c r="E582" s="52" t="s">
        <v>25</v>
      </c>
      <c r="F582" s="52" t="s">
        <v>26</v>
      </c>
      <c r="G582" s="53"/>
    </row>
    <row r="583">
      <c r="A583" s="49">
        <v>44518.71337265046</v>
      </c>
      <c r="B583" s="50">
        <v>44518.8383500694</v>
      </c>
      <c r="C583" s="51">
        <v>1.067</v>
      </c>
      <c r="D583" s="51">
        <v>67.0</v>
      </c>
      <c r="E583" s="52" t="s">
        <v>25</v>
      </c>
      <c r="F583" s="52" t="s">
        <v>26</v>
      </c>
      <c r="G583" s="53"/>
    </row>
    <row r="584">
      <c r="A584" s="49">
        <v>44518.72378827546</v>
      </c>
      <c r="B584" s="50">
        <v>44518.8487712847</v>
      </c>
      <c r="C584" s="51">
        <v>1.067</v>
      </c>
      <c r="D584" s="51">
        <v>67.0</v>
      </c>
      <c r="E584" s="52" t="s">
        <v>25</v>
      </c>
      <c r="F584" s="52" t="s">
        <v>26</v>
      </c>
      <c r="G584" s="53"/>
    </row>
    <row r="585">
      <c r="A585" s="49">
        <v>44518.73421892361</v>
      </c>
      <c r="B585" s="50">
        <v>44518.8591919328</v>
      </c>
      <c r="C585" s="51">
        <v>1.067</v>
      </c>
      <c r="D585" s="51">
        <v>67.0</v>
      </c>
      <c r="E585" s="52" t="s">
        <v>25</v>
      </c>
      <c r="F585" s="52" t="s">
        <v>26</v>
      </c>
      <c r="G585" s="53"/>
    </row>
    <row r="586">
      <c r="A586" s="49">
        <v>44518.74464474537</v>
      </c>
      <c r="B586" s="50">
        <v>44518.8696141666</v>
      </c>
      <c r="C586" s="51">
        <v>1.067</v>
      </c>
      <c r="D586" s="51">
        <v>67.0</v>
      </c>
      <c r="E586" s="52" t="s">
        <v>25</v>
      </c>
      <c r="F586" s="52" t="s">
        <v>26</v>
      </c>
      <c r="G586" s="53"/>
    </row>
    <row r="587">
      <c r="A587" s="49">
        <v>44518.755055243055</v>
      </c>
      <c r="B587" s="50">
        <v>44518.8800342824</v>
      </c>
      <c r="C587" s="51">
        <v>1.067</v>
      </c>
      <c r="D587" s="51">
        <v>67.0</v>
      </c>
      <c r="E587" s="52" t="s">
        <v>25</v>
      </c>
      <c r="F587" s="52" t="s">
        <v>26</v>
      </c>
      <c r="G587" s="53"/>
    </row>
    <row r="588">
      <c r="A588" s="49">
        <v>44518.76548731481</v>
      </c>
      <c r="B588" s="50">
        <v>44518.8904539583</v>
      </c>
      <c r="C588" s="51">
        <v>1.066</v>
      </c>
      <c r="D588" s="51">
        <v>67.0</v>
      </c>
      <c r="E588" s="52" t="s">
        <v>25</v>
      </c>
      <c r="F588" s="52" t="s">
        <v>26</v>
      </c>
      <c r="G588" s="53"/>
    </row>
    <row r="589">
      <c r="A589" s="49">
        <v>44518.77589896991</v>
      </c>
      <c r="B589" s="50">
        <v>44518.9008751504</v>
      </c>
      <c r="C589" s="51">
        <v>1.067</v>
      </c>
      <c r="D589" s="51">
        <v>67.0</v>
      </c>
      <c r="E589" s="52" t="s">
        <v>25</v>
      </c>
      <c r="F589" s="52" t="s">
        <v>26</v>
      </c>
      <c r="G589" s="53"/>
    </row>
    <row r="590">
      <c r="A590" s="49">
        <v>44518.786317708335</v>
      </c>
      <c r="B590" s="50">
        <v>44518.9112965046</v>
      </c>
      <c r="C590" s="51">
        <v>1.066</v>
      </c>
      <c r="D590" s="51">
        <v>67.0</v>
      </c>
      <c r="E590" s="52" t="s">
        <v>25</v>
      </c>
      <c r="F590" s="52" t="s">
        <v>26</v>
      </c>
      <c r="G590" s="53"/>
    </row>
    <row r="591">
      <c r="A591" s="49">
        <v>44518.79675400463</v>
      </c>
      <c r="B591" s="50">
        <v>44518.9217180555</v>
      </c>
      <c r="C591" s="51">
        <v>1.066</v>
      </c>
      <c r="D591" s="51">
        <v>67.0</v>
      </c>
      <c r="E591" s="52" t="s">
        <v>25</v>
      </c>
      <c r="F591" s="52" t="s">
        <v>26</v>
      </c>
      <c r="G591" s="53"/>
    </row>
    <row r="592">
      <c r="A592" s="49">
        <v>44518.807164791666</v>
      </c>
      <c r="B592" s="50">
        <v>44518.9321389699</v>
      </c>
      <c r="C592" s="51">
        <v>1.066</v>
      </c>
      <c r="D592" s="51">
        <v>67.0</v>
      </c>
      <c r="E592" s="52" t="s">
        <v>25</v>
      </c>
      <c r="F592" s="52" t="s">
        <v>26</v>
      </c>
      <c r="G592" s="53"/>
    </row>
    <row r="593">
      <c r="A593" s="49">
        <v>44518.81758310185</v>
      </c>
      <c r="B593" s="50">
        <v>44518.9425610532</v>
      </c>
      <c r="C593" s="51">
        <v>1.066</v>
      </c>
      <c r="D593" s="51">
        <v>67.0</v>
      </c>
      <c r="E593" s="52" t="s">
        <v>25</v>
      </c>
      <c r="F593" s="52" t="s">
        <v>26</v>
      </c>
      <c r="G593" s="53"/>
    </row>
    <row r="594">
      <c r="A594" s="49">
        <v>44518.82800746528</v>
      </c>
      <c r="B594" s="50">
        <v>44518.9529821759</v>
      </c>
      <c r="C594" s="51">
        <v>1.066</v>
      </c>
      <c r="D594" s="51">
        <v>67.0</v>
      </c>
      <c r="E594" s="52" t="s">
        <v>25</v>
      </c>
      <c r="F594" s="52" t="s">
        <v>26</v>
      </c>
      <c r="G594" s="53"/>
    </row>
    <row r="595">
      <c r="A595" s="49">
        <v>44518.838453564815</v>
      </c>
      <c r="B595" s="50">
        <v>44518.9634272916</v>
      </c>
      <c r="C595" s="51">
        <v>1.066</v>
      </c>
      <c r="D595" s="51">
        <v>67.0</v>
      </c>
      <c r="E595" s="52" t="s">
        <v>25</v>
      </c>
      <c r="F595" s="52" t="s">
        <v>26</v>
      </c>
      <c r="G595" s="53"/>
    </row>
    <row r="596">
      <c r="A596" s="49">
        <v>44518.84887180556</v>
      </c>
      <c r="B596" s="50">
        <v>44518.9738495833</v>
      </c>
      <c r="C596" s="51">
        <v>1.066</v>
      </c>
      <c r="D596" s="51">
        <v>67.0</v>
      </c>
      <c r="E596" s="52" t="s">
        <v>25</v>
      </c>
      <c r="F596" s="52" t="s">
        <v>26</v>
      </c>
      <c r="G596" s="53"/>
    </row>
    <row r="597">
      <c r="A597" s="49">
        <v>44518.859300509255</v>
      </c>
      <c r="B597" s="50">
        <v>44518.984270868</v>
      </c>
      <c r="C597" s="51">
        <v>1.066</v>
      </c>
      <c r="D597" s="51">
        <v>67.0</v>
      </c>
      <c r="E597" s="52" t="s">
        <v>25</v>
      </c>
      <c r="F597" s="52" t="s">
        <v>26</v>
      </c>
      <c r="G597" s="53"/>
    </row>
    <row r="598">
      <c r="A598" s="49">
        <v>44518.86971774306</v>
      </c>
      <c r="B598" s="50">
        <v>44518.9946925347</v>
      </c>
      <c r="C598" s="51">
        <v>1.066</v>
      </c>
      <c r="D598" s="51">
        <v>67.0</v>
      </c>
      <c r="E598" s="52" t="s">
        <v>25</v>
      </c>
      <c r="F598" s="52" t="s">
        <v>26</v>
      </c>
      <c r="G598" s="53"/>
    </row>
    <row r="599">
      <c r="A599" s="49">
        <v>44518.880138113425</v>
      </c>
      <c r="B599" s="50">
        <v>44519.0051128819</v>
      </c>
      <c r="C599" s="51">
        <v>1.066</v>
      </c>
      <c r="D599" s="51">
        <v>67.0</v>
      </c>
      <c r="E599" s="52" t="s">
        <v>25</v>
      </c>
      <c r="F599" s="52" t="s">
        <v>26</v>
      </c>
      <c r="G599" s="53"/>
    </row>
    <row r="600">
      <c r="A600" s="49">
        <v>44518.89056488426</v>
      </c>
      <c r="B600" s="50">
        <v>44519.015535243</v>
      </c>
      <c r="C600" s="51">
        <v>1.066</v>
      </c>
      <c r="D600" s="51">
        <v>67.0</v>
      </c>
      <c r="E600" s="52" t="s">
        <v>25</v>
      </c>
      <c r="F600" s="52" t="s">
        <v>26</v>
      </c>
      <c r="G600" s="53"/>
    </row>
    <row r="601">
      <c r="A601" s="49">
        <v>44518.90098372685</v>
      </c>
      <c r="B601" s="50">
        <v>44519.0259560416</v>
      </c>
      <c r="C601" s="51">
        <v>1.066</v>
      </c>
      <c r="D601" s="51">
        <v>67.0</v>
      </c>
      <c r="E601" s="52" t="s">
        <v>25</v>
      </c>
      <c r="F601" s="52" t="s">
        <v>26</v>
      </c>
      <c r="G601" s="53"/>
    </row>
    <row r="602">
      <c r="A602" s="49">
        <v>44518.91140892361</v>
      </c>
      <c r="B602" s="50">
        <v>44519.0363749074</v>
      </c>
      <c r="C602" s="51">
        <v>1.066</v>
      </c>
      <c r="D602" s="51">
        <v>67.0</v>
      </c>
      <c r="E602" s="52" t="s">
        <v>25</v>
      </c>
      <c r="F602" s="52" t="s">
        <v>26</v>
      </c>
      <c r="G602" s="53"/>
    </row>
    <row r="603">
      <c r="A603" s="49">
        <v>44518.92181850695</v>
      </c>
      <c r="B603" s="50">
        <v>44519.0467965624</v>
      </c>
      <c r="C603" s="51">
        <v>1.065</v>
      </c>
      <c r="D603" s="51">
        <v>67.0</v>
      </c>
      <c r="E603" s="52" t="s">
        <v>25</v>
      </c>
      <c r="F603" s="52" t="s">
        <v>26</v>
      </c>
      <c r="G603" s="53"/>
    </row>
    <row r="604">
      <c r="A604" s="49">
        <v>44518.93226707176</v>
      </c>
      <c r="B604" s="50">
        <v>44519.0572178819</v>
      </c>
      <c r="C604" s="51">
        <v>1.065</v>
      </c>
      <c r="D604" s="51">
        <v>67.0</v>
      </c>
      <c r="E604" s="52" t="s">
        <v>25</v>
      </c>
      <c r="F604" s="52" t="s">
        <v>26</v>
      </c>
      <c r="G604" s="53"/>
    </row>
    <row r="605">
      <c r="A605" s="49">
        <v>44518.94266444445</v>
      </c>
      <c r="B605" s="50">
        <v>44519.067640243</v>
      </c>
      <c r="C605" s="51">
        <v>1.065</v>
      </c>
      <c r="D605" s="51">
        <v>67.0</v>
      </c>
      <c r="E605" s="52" t="s">
        <v>25</v>
      </c>
      <c r="F605" s="52" t="s">
        <v>26</v>
      </c>
      <c r="G605" s="53"/>
    </row>
    <row r="606">
      <c r="A606" s="49">
        <v>44518.953100370374</v>
      </c>
      <c r="B606" s="50">
        <v>44519.0780736805</v>
      </c>
      <c r="C606" s="51">
        <v>1.065</v>
      </c>
      <c r="D606" s="51">
        <v>67.0</v>
      </c>
      <c r="E606" s="52" t="s">
        <v>25</v>
      </c>
      <c r="F606" s="52" t="s">
        <v>26</v>
      </c>
      <c r="G606" s="53"/>
    </row>
    <row r="607">
      <c r="A607" s="49">
        <v>44518.9635291088</v>
      </c>
      <c r="B607" s="50">
        <v>44519.0884937962</v>
      </c>
      <c r="C607" s="51">
        <v>1.065</v>
      </c>
      <c r="D607" s="51">
        <v>67.0</v>
      </c>
      <c r="E607" s="52" t="s">
        <v>25</v>
      </c>
      <c r="F607" s="52" t="s">
        <v>26</v>
      </c>
      <c r="G607" s="53"/>
    </row>
    <row r="608">
      <c r="A608" s="49">
        <v>44518.973947060185</v>
      </c>
      <c r="B608" s="50">
        <v>44519.0989146643</v>
      </c>
      <c r="C608" s="51">
        <v>1.065</v>
      </c>
      <c r="D608" s="51">
        <v>67.0</v>
      </c>
      <c r="E608" s="52" t="s">
        <v>25</v>
      </c>
      <c r="F608" s="52" t="s">
        <v>26</v>
      </c>
      <c r="G608" s="53"/>
    </row>
    <row r="609">
      <c r="A609" s="49">
        <v>44518.984359166665</v>
      </c>
      <c r="B609" s="50">
        <v>44519.1093354745</v>
      </c>
      <c r="C609" s="51">
        <v>1.065</v>
      </c>
      <c r="D609" s="51">
        <v>67.0</v>
      </c>
      <c r="E609" s="52" t="s">
        <v>25</v>
      </c>
      <c r="F609" s="52" t="s">
        <v>26</v>
      </c>
      <c r="G609" s="53"/>
    </row>
    <row r="610">
      <c r="A610" s="49">
        <v>44518.99478689815</v>
      </c>
      <c r="B610" s="50">
        <v>44519.1197559838</v>
      </c>
      <c r="C610" s="51">
        <v>1.065</v>
      </c>
      <c r="D610" s="51">
        <v>67.0</v>
      </c>
      <c r="E610" s="52" t="s">
        <v>25</v>
      </c>
      <c r="F610" s="52" t="s">
        <v>26</v>
      </c>
      <c r="G610" s="53"/>
    </row>
    <row r="611">
      <c r="A611" s="49">
        <v>44519.0051971412</v>
      </c>
      <c r="B611" s="50">
        <v>44519.1301767129</v>
      </c>
      <c r="C611" s="51">
        <v>1.065</v>
      </c>
      <c r="D611" s="51">
        <v>67.0</v>
      </c>
      <c r="E611" s="52" t="s">
        <v>25</v>
      </c>
      <c r="F611" s="52" t="s">
        <v>26</v>
      </c>
      <c r="G611" s="53"/>
    </row>
    <row r="612">
      <c r="A612" s="49">
        <v>44519.015625960645</v>
      </c>
      <c r="B612" s="50">
        <v>44519.1405959953</v>
      </c>
      <c r="C612" s="51">
        <v>1.065</v>
      </c>
      <c r="D612" s="51">
        <v>67.0</v>
      </c>
      <c r="E612" s="52" t="s">
        <v>25</v>
      </c>
      <c r="F612" s="52" t="s">
        <v>26</v>
      </c>
      <c r="G612" s="53"/>
    </row>
    <row r="613">
      <c r="A613" s="49">
        <v>44519.02604589121</v>
      </c>
      <c r="B613" s="50">
        <v>44519.1510176157</v>
      </c>
      <c r="C613" s="51">
        <v>1.065</v>
      </c>
      <c r="D613" s="51">
        <v>67.0</v>
      </c>
      <c r="E613" s="52" t="s">
        <v>25</v>
      </c>
      <c r="F613" s="52" t="s">
        <v>26</v>
      </c>
      <c r="G613" s="53"/>
    </row>
    <row r="614">
      <c r="A614" s="49">
        <v>44519.03646983796</v>
      </c>
      <c r="B614" s="50">
        <v>44519.1614386342</v>
      </c>
      <c r="C614" s="51">
        <v>1.065</v>
      </c>
      <c r="D614" s="51">
        <v>67.0</v>
      </c>
      <c r="E614" s="52" t="s">
        <v>25</v>
      </c>
      <c r="F614" s="52" t="s">
        <v>26</v>
      </c>
      <c r="G614" s="53"/>
    </row>
    <row r="615">
      <c r="A615" s="49">
        <v>44519.04688572917</v>
      </c>
      <c r="B615" s="50">
        <v>44519.1718601388</v>
      </c>
      <c r="C615" s="51">
        <v>1.065</v>
      </c>
      <c r="D615" s="51">
        <v>67.0</v>
      </c>
      <c r="E615" s="52" t="s">
        <v>25</v>
      </c>
      <c r="F615" s="52" t="s">
        <v>26</v>
      </c>
      <c r="G615" s="53"/>
    </row>
    <row r="616">
      <c r="A616" s="49">
        <v>44519.05730001157</v>
      </c>
      <c r="B616" s="50">
        <v>44519.1822811342</v>
      </c>
      <c r="C616" s="51">
        <v>1.065</v>
      </c>
      <c r="D616" s="51">
        <v>67.0</v>
      </c>
      <c r="E616" s="52" t="s">
        <v>25</v>
      </c>
      <c r="F616" s="52" t="s">
        <v>26</v>
      </c>
      <c r="G616" s="53"/>
    </row>
    <row r="617">
      <c r="A617" s="49">
        <v>44519.067730752315</v>
      </c>
      <c r="B617" s="50">
        <v>44519.192701956</v>
      </c>
      <c r="C617" s="51">
        <v>1.065</v>
      </c>
      <c r="D617" s="51">
        <v>67.0</v>
      </c>
      <c r="E617" s="52" t="s">
        <v>25</v>
      </c>
      <c r="F617" s="52" t="s">
        <v>26</v>
      </c>
      <c r="G617" s="53"/>
    </row>
    <row r="618">
      <c r="A618" s="49">
        <v>44519.07815469908</v>
      </c>
      <c r="B618" s="50">
        <v>44519.2031240161</v>
      </c>
      <c r="C618" s="51">
        <v>1.065</v>
      </c>
      <c r="D618" s="51">
        <v>68.0</v>
      </c>
      <c r="E618" s="52" t="s">
        <v>25</v>
      </c>
      <c r="F618" s="52" t="s">
        <v>26</v>
      </c>
      <c r="G618" s="53"/>
    </row>
    <row r="619">
      <c r="A619" s="49">
        <v>44519.088577939816</v>
      </c>
      <c r="B619" s="50">
        <v>44519.2135453009</v>
      </c>
      <c r="C619" s="51">
        <v>1.064</v>
      </c>
      <c r="D619" s="51">
        <v>67.0</v>
      </c>
      <c r="E619" s="52" t="s">
        <v>25</v>
      </c>
      <c r="F619" s="52" t="s">
        <v>26</v>
      </c>
      <c r="G619" s="53"/>
    </row>
    <row r="620">
      <c r="A620" s="49">
        <v>44519.09898789352</v>
      </c>
      <c r="B620" s="50">
        <v>44519.2239657407</v>
      </c>
      <c r="C620" s="51">
        <v>1.065</v>
      </c>
      <c r="D620" s="51">
        <v>67.0</v>
      </c>
      <c r="E620" s="52" t="s">
        <v>25</v>
      </c>
      <c r="F620" s="52" t="s">
        <v>26</v>
      </c>
      <c r="G620" s="53"/>
    </row>
    <row r="621">
      <c r="A621" s="49">
        <v>44519.10940357639</v>
      </c>
      <c r="B621" s="50">
        <v>44519.2343872222</v>
      </c>
      <c r="C621" s="51">
        <v>1.064</v>
      </c>
      <c r="D621" s="51">
        <v>68.0</v>
      </c>
      <c r="E621" s="52" t="s">
        <v>25</v>
      </c>
      <c r="F621" s="52" t="s">
        <v>26</v>
      </c>
      <c r="G621" s="53"/>
    </row>
    <row r="622">
      <c r="A622" s="49">
        <v>44519.11983664352</v>
      </c>
      <c r="B622" s="50">
        <v>44519.2448085995</v>
      </c>
      <c r="C622" s="51">
        <v>1.064</v>
      </c>
      <c r="D622" s="51">
        <v>67.0</v>
      </c>
      <c r="E622" s="52" t="s">
        <v>25</v>
      </c>
      <c r="F622" s="52" t="s">
        <v>26</v>
      </c>
      <c r="G622" s="53"/>
    </row>
    <row r="623">
      <c r="A623" s="49">
        <v>44519.13025269676</v>
      </c>
      <c r="B623" s="50">
        <v>44519.2552276157</v>
      </c>
      <c r="C623" s="51">
        <v>1.064</v>
      </c>
      <c r="D623" s="51">
        <v>68.0</v>
      </c>
      <c r="E623" s="52" t="s">
        <v>25</v>
      </c>
      <c r="F623" s="52" t="s">
        <v>26</v>
      </c>
      <c r="G623" s="53"/>
    </row>
    <row r="624">
      <c r="A624" s="49">
        <v>44519.140674305556</v>
      </c>
      <c r="B624" s="50">
        <v>44519.2656499305</v>
      </c>
      <c r="C624" s="51">
        <v>1.064</v>
      </c>
      <c r="D624" s="51">
        <v>68.0</v>
      </c>
      <c r="E624" s="52" t="s">
        <v>25</v>
      </c>
      <c r="F624" s="52" t="s">
        <v>26</v>
      </c>
      <c r="G624" s="53"/>
    </row>
    <row r="625">
      <c r="A625" s="49">
        <v>44519.15109270833</v>
      </c>
      <c r="B625" s="50">
        <v>44519.2760709606</v>
      </c>
      <c r="C625" s="51">
        <v>1.064</v>
      </c>
      <c r="D625" s="51">
        <v>68.0</v>
      </c>
      <c r="E625" s="52" t="s">
        <v>25</v>
      </c>
      <c r="F625" s="52" t="s">
        <v>26</v>
      </c>
      <c r="G625" s="53"/>
    </row>
    <row r="626">
      <c r="A626" s="49">
        <v>44519.161508414356</v>
      </c>
      <c r="B626" s="50">
        <v>44519.2864915162</v>
      </c>
      <c r="C626" s="51">
        <v>1.064</v>
      </c>
      <c r="D626" s="51">
        <v>68.0</v>
      </c>
      <c r="E626" s="52" t="s">
        <v>25</v>
      </c>
      <c r="F626" s="52" t="s">
        <v>26</v>
      </c>
      <c r="G626" s="53"/>
    </row>
    <row r="627">
      <c r="A627" s="49">
        <v>44519.17192887732</v>
      </c>
      <c r="B627" s="50">
        <v>44519.2969111574</v>
      </c>
      <c r="C627" s="51">
        <v>1.064</v>
      </c>
      <c r="D627" s="51">
        <v>68.0</v>
      </c>
      <c r="E627" s="52" t="s">
        <v>25</v>
      </c>
      <c r="F627" s="52" t="s">
        <v>26</v>
      </c>
      <c r="G627" s="53"/>
    </row>
    <row r="628">
      <c r="A628" s="49">
        <v>44519.18235539352</v>
      </c>
      <c r="B628" s="50">
        <v>44519.3073332291</v>
      </c>
      <c r="C628" s="51">
        <v>1.064</v>
      </c>
      <c r="D628" s="51">
        <v>68.0</v>
      </c>
      <c r="E628" s="52" t="s">
        <v>25</v>
      </c>
      <c r="F628" s="52" t="s">
        <v>26</v>
      </c>
      <c r="G628" s="53"/>
    </row>
    <row r="629">
      <c r="A629" s="49">
        <v>44519.19277712963</v>
      </c>
      <c r="B629" s="50">
        <v>44519.3177544097</v>
      </c>
      <c r="C629" s="51">
        <v>1.064</v>
      </c>
      <c r="D629" s="51">
        <v>68.0</v>
      </c>
      <c r="E629" s="52" t="s">
        <v>25</v>
      </c>
      <c r="F629" s="52" t="s">
        <v>26</v>
      </c>
      <c r="G629" s="53"/>
    </row>
    <row r="630">
      <c r="A630" s="49">
        <v>44519.203225335645</v>
      </c>
      <c r="B630" s="50">
        <v>44519.3281998148</v>
      </c>
      <c r="C630" s="51">
        <v>1.064</v>
      </c>
      <c r="D630" s="51">
        <v>68.0</v>
      </c>
      <c r="E630" s="52" t="s">
        <v>25</v>
      </c>
      <c r="F630" s="52" t="s">
        <v>26</v>
      </c>
      <c r="G630" s="53"/>
    </row>
    <row r="631">
      <c r="A631" s="49">
        <v>44519.21364806713</v>
      </c>
      <c r="B631" s="50">
        <v>44519.3386207754</v>
      </c>
      <c r="C631" s="51">
        <v>1.064</v>
      </c>
      <c r="D631" s="51">
        <v>68.0</v>
      </c>
      <c r="E631" s="52" t="s">
        <v>25</v>
      </c>
      <c r="F631" s="52" t="s">
        <v>26</v>
      </c>
      <c r="G631" s="53"/>
    </row>
    <row r="632">
      <c r="A632" s="49">
        <v>44519.22407091435</v>
      </c>
      <c r="B632" s="50">
        <v>44519.349039699</v>
      </c>
      <c r="C632" s="51">
        <v>1.064</v>
      </c>
      <c r="D632" s="51">
        <v>68.0</v>
      </c>
      <c r="E632" s="52" t="s">
        <v>25</v>
      </c>
      <c r="F632" s="52" t="s">
        <v>26</v>
      </c>
      <c r="G632" s="53"/>
    </row>
    <row r="633">
      <c r="A633" s="49">
        <v>44519.23450478009</v>
      </c>
      <c r="B633" s="50">
        <v>44519.3594716203</v>
      </c>
      <c r="C633" s="51">
        <v>1.064</v>
      </c>
      <c r="D633" s="51">
        <v>68.0</v>
      </c>
      <c r="E633" s="52" t="s">
        <v>25</v>
      </c>
      <c r="F633" s="52" t="s">
        <v>26</v>
      </c>
      <c r="G633" s="53"/>
    </row>
    <row r="634">
      <c r="A634" s="49">
        <v>44519.24491552083</v>
      </c>
      <c r="B634" s="50">
        <v>44519.3698927777</v>
      </c>
      <c r="C634" s="51">
        <v>1.064</v>
      </c>
      <c r="D634" s="51">
        <v>68.0</v>
      </c>
      <c r="E634" s="52" t="s">
        <v>25</v>
      </c>
      <c r="F634" s="52" t="s">
        <v>26</v>
      </c>
      <c r="G634" s="53"/>
    </row>
    <row r="635">
      <c r="A635" s="49">
        <v>44519.25534004629</v>
      </c>
      <c r="B635" s="50">
        <v>44519.3803134606</v>
      </c>
      <c r="C635" s="51">
        <v>1.064</v>
      </c>
      <c r="D635" s="51">
        <v>68.0</v>
      </c>
      <c r="E635" s="52" t="s">
        <v>25</v>
      </c>
      <c r="F635" s="52" t="s">
        <v>26</v>
      </c>
      <c r="G635" s="53"/>
    </row>
    <row r="636">
      <c r="A636" s="49">
        <v>44519.2657597338</v>
      </c>
      <c r="B636" s="50">
        <v>44519.3907354861</v>
      </c>
      <c r="C636" s="51">
        <v>1.064</v>
      </c>
      <c r="D636" s="51">
        <v>68.0</v>
      </c>
      <c r="E636" s="52" t="s">
        <v>25</v>
      </c>
      <c r="F636" s="52" t="s">
        <v>26</v>
      </c>
      <c r="G636" s="53"/>
    </row>
    <row r="637">
      <c r="A637" s="49">
        <v>44519.276177418986</v>
      </c>
      <c r="B637" s="50">
        <v>44519.4011590393</v>
      </c>
      <c r="C637" s="51">
        <v>1.064</v>
      </c>
      <c r="D637" s="51">
        <v>68.0</v>
      </c>
      <c r="E637" s="52" t="s">
        <v>25</v>
      </c>
      <c r="F637" s="52" t="s">
        <v>26</v>
      </c>
      <c r="G637" s="53"/>
    </row>
    <row r="638">
      <c r="A638" s="49">
        <v>44519.2866041088</v>
      </c>
      <c r="B638" s="50">
        <v>44519.4115806134</v>
      </c>
      <c r="C638" s="51">
        <v>1.063</v>
      </c>
      <c r="D638" s="51">
        <v>68.0</v>
      </c>
      <c r="E638" s="52" t="s">
        <v>25</v>
      </c>
      <c r="F638" s="52" t="s">
        <v>26</v>
      </c>
      <c r="G638" s="53"/>
    </row>
    <row r="639">
      <c r="A639" s="49">
        <v>44519.297040868056</v>
      </c>
      <c r="B639" s="50">
        <v>44519.4220131828</v>
      </c>
      <c r="C639" s="51">
        <v>1.063</v>
      </c>
      <c r="D639" s="51">
        <v>68.0</v>
      </c>
      <c r="E639" s="52" t="s">
        <v>25</v>
      </c>
      <c r="F639" s="52" t="s">
        <v>26</v>
      </c>
      <c r="G639" s="53"/>
    </row>
    <row r="640">
      <c r="A640" s="49">
        <v>44519.307462488425</v>
      </c>
      <c r="B640" s="50">
        <v>44519.4324346759</v>
      </c>
      <c r="C640" s="51">
        <v>1.063</v>
      </c>
      <c r="D640" s="51">
        <v>68.0</v>
      </c>
      <c r="E640" s="52" t="s">
        <v>25</v>
      </c>
      <c r="F640" s="52" t="s">
        <v>26</v>
      </c>
      <c r="G640" s="53"/>
    </row>
    <row r="641">
      <c r="A641" s="49">
        <v>44519.31792260417</v>
      </c>
      <c r="B641" s="50">
        <v>44519.442892118</v>
      </c>
      <c r="C641" s="51">
        <v>1.063</v>
      </c>
      <c r="D641" s="51">
        <v>68.0</v>
      </c>
      <c r="E641" s="52" t="s">
        <v>25</v>
      </c>
      <c r="F641" s="52" t="s">
        <v>26</v>
      </c>
      <c r="G641" s="53"/>
    </row>
    <row r="642">
      <c r="A642" s="49">
        <v>44519.3283334838</v>
      </c>
      <c r="B642" s="50">
        <v>44519.4533113657</v>
      </c>
      <c r="C642" s="51">
        <v>1.063</v>
      </c>
      <c r="D642" s="51">
        <v>68.0</v>
      </c>
      <c r="E642" s="52" t="s">
        <v>25</v>
      </c>
      <c r="F642" s="52" t="s">
        <v>26</v>
      </c>
      <c r="G642" s="53"/>
    </row>
    <row r="643">
      <c r="A643" s="49">
        <v>44519.33877173611</v>
      </c>
      <c r="B643" s="50">
        <v>44519.4637317476</v>
      </c>
      <c r="C643" s="51">
        <v>1.063</v>
      </c>
      <c r="D643" s="51">
        <v>68.0</v>
      </c>
      <c r="E643" s="52" t="s">
        <v>25</v>
      </c>
      <c r="F643" s="52" t="s">
        <v>26</v>
      </c>
      <c r="G643" s="53"/>
    </row>
    <row r="644">
      <c r="A644" s="49">
        <v>44519.3491802662</v>
      </c>
      <c r="B644" s="50">
        <v>44519.4741530324</v>
      </c>
      <c r="C644" s="51">
        <v>1.063</v>
      </c>
      <c r="D644" s="51">
        <v>68.0</v>
      </c>
      <c r="E644" s="52" t="s">
        <v>25</v>
      </c>
      <c r="F644" s="52" t="s">
        <v>26</v>
      </c>
      <c r="G644" s="53"/>
    </row>
    <row r="645">
      <c r="A645" s="49">
        <v>44519.359601759264</v>
      </c>
      <c r="B645" s="50">
        <v>44519.4845741782</v>
      </c>
      <c r="C645" s="51">
        <v>1.063</v>
      </c>
      <c r="D645" s="51">
        <v>68.0</v>
      </c>
      <c r="E645" s="52" t="s">
        <v>25</v>
      </c>
      <c r="F645" s="52" t="s">
        <v>26</v>
      </c>
      <c r="G645" s="53"/>
    </row>
    <row r="646">
      <c r="A646" s="49">
        <v>44519.370013368054</v>
      </c>
      <c r="B646" s="50">
        <v>44519.4949962268</v>
      </c>
      <c r="C646" s="51">
        <v>1.063</v>
      </c>
      <c r="D646" s="51">
        <v>68.0</v>
      </c>
      <c r="E646" s="52" t="s">
        <v>25</v>
      </c>
      <c r="F646" s="52" t="s">
        <v>26</v>
      </c>
      <c r="G646" s="53"/>
    </row>
    <row r="647">
      <c r="A647" s="49">
        <v>44519.38045090278</v>
      </c>
      <c r="B647" s="50">
        <v>44519.5054161458</v>
      </c>
      <c r="C647" s="51">
        <v>1.063</v>
      </c>
      <c r="D647" s="51">
        <v>68.0</v>
      </c>
      <c r="E647" s="52" t="s">
        <v>25</v>
      </c>
      <c r="F647" s="52" t="s">
        <v>26</v>
      </c>
      <c r="G647" s="53"/>
    </row>
    <row r="648">
      <c r="A648" s="49">
        <v>44519.39085596065</v>
      </c>
      <c r="B648" s="50">
        <v>44519.5158373842</v>
      </c>
      <c r="C648" s="51">
        <v>1.063</v>
      </c>
      <c r="D648" s="51">
        <v>68.0</v>
      </c>
      <c r="E648" s="52" t="s">
        <v>25</v>
      </c>
      <c r="F648" s="52" t="s">
        <v>26</v>
      </c>
      <c r="G648" s="53"/>
    </row>
    <row r="649">
      <c r="A649" s="49">
        <v>44519.401288124995</v>
      </c>
      <c r="B649" s="50">
        <v>44519.5262590509</v>
      </c>
      <c r="C649" s="51">
        <v>1.063</v>
      </c>
      <c r="D649" s="51">
        <v>68.0</v>
      </c>
      <c r="E649" s="52" t="s">
        <v>25</v>
      </c>
      <c r="F649" s="52" t="s">
        <v>26</v>
      </c>
      <c r="G649" s="53"/>
    </row>
    <row r="650">
      <c r="A650" s="49">
        <v>44519.41171728009</v>
      </c>
      <c r="B650" s="50">
        <v>44519.5366812847</v>
      </c>
      <c r="C650" s="51">
        <v>1.063</v>
      </c>
      <c r="D650" s="51">
        <v>68.0</v>
      </c>
      <c r="E650" s="52" t="s">
        <v>25</v>
      </c>
      <c r="F650" s="52" t="s">
        <v>26</v>
      </c>
      <c r="G650" s="53"/>
    </row>
    <row r="651">
      <c r="A651" s="49">
        <v>44519.42212537037</v>
      </c>
      <c r="B651" s="50">
        <v>44519.5471019675</v>
      </c>
      <c r="C651" s="51">
        <v>1.063</v>
      </c>
      <c r="D651" s="51">
        <v>68.0</v>
      </c>
      <c r="E651" s="52" t="s">
        <v>25</v>
      </c>
      <c r="F651" s="52" t="s">
        <v>26</v>
      </c>
      <c r="G651" s="53"/>
    </row>
    <row r="652">
      <c r="A652" s="49">
        <v>44519.43254405093</v>
      </c>
      <c r="B652" s="50">
        <v>44519.557521412</v>
      </c>
      <c r="C652" s="51">
        <v>1.062</v>
      </c>
      <c r="D652" s="51">
        <v>68.0</v>
      </c>
      <c r="E652" s="52" t="s">
        <v>25</v>
      </c>
      <c r="F652" s="52" t="s">
        <v>26</v>
      </c>
      <c r="G652" s="53"/>
    </row>
    <row r="653">
      <c r="A653" s="49">
        <v>44519.44297137731</v>
      </c>
      <c r="B653" s="50">
        <v>44519.5679443171</v>
      </c>
      <c r="C653" s="51">
        <v>1.062</v>
      </c>
      <c r="D653" s="51">
        <v>68.0</v>
      </c>
      <c r="E653" s="52" t="s">
        <v>25</v>
      </c>
      <c r="F653" s="52" t="s">
        <v>26</v>
      </c>
      <c r="G653" s="53"/>
    </row>
    <row r="654">
      <c r="A654" s="49">
        <v>44519.453386469904</v>
      </c>
      <c r="B654" s="50">
        <v>44519.5783645601</v>
      </c>
      <c r="C654" s="51">
        <v>1.062</v>
      </c>
      <c r="D654" s="51">
        <v>68.0</v>
      </c>
      <c r="E654" s="52" t="s">
        <v>25</v>
      </c>
      <c r="F654" s="52" t="s">
        <v>26</v>
      </c>
      <c r="G654" s="53"/>
    </row>
    <row r="655">
      <c r="A655" s="49">
        <v>44519.46383644676</v>
      </c>
      <c r="B655" s="50">
        <v>44519.5887963657</v>
      </c>
      <c r="C655" s="51">
        <v>1.062</v>
      </c>
      <c r="D655" s="51">
        <v>68.0</v>
      </c>
      <c r="E655" s="52" t="s">
        <v>25</v>
      </c>
      <c r="F655" s="52" t="s">
        <v>26</v>
      </c>
      <c r="G655" s="53"/>
    </row>
    <row r="656">
      <c r="A656" s="49">
        <v>44519.47423796296</v>
      </c>
      <c r="B656" s="50">
        <v>44519.5992158449</v>
      </c>
      <c r="C656" s="51">
        <v>1.062</v>
      </c>
      <c r="D656" s="51">
        <v>68.0</v>
      </c>
      <c r="E656" s="52" t="s">
        <v>25</v>
      </c>
      <c r="F656" s="52" t="s">
        <v>26</v>
      </c>
      <c r="G656" s="53"/>
    </row>
    <row r="657">
      <c r="A657" s="49">
        <v>44519.484651631945</v>
      </c>
      <c r="B657" s="50">
        <v>44519.6096359606</v>
      </c>
      <c r="C657" s="51">
        <v>1.062</v>
      </c>
      <c r="D657" s="51">
        <v>68.0</v>
      </c>
      <c r="E657" s="52" t="s">
        <v>25</v>
      </c>
      <c r="F657" s="52" t="s">
        <v>26</v>
      </c>
      <c r="G657" s="53"/>
    </row>
    <row r="658">
      <c r="A658" s="49">
        <v>44519.49509165509</v>
      </c>
      <c r="B658" s="50">
        <v>44519.6200688541</v>
      </c>
      <c r="C658" s="51">
        <v>1.062</v>
      </c>
      <c r="D658" s="51">
        <v>68.0</v>
      </c>
      <c r="E658" s="52" t="s">
        <v>25</v>
      </c>
      <c r="F658" s="52" t="s">
        <v>26</v>
      </c>
      <c r="G658" s="53"/>
    </row>
    <row r="659">
      <c r="A659" s="49">
        <v>44519.50551697917</v>
      </c>
      <c r="B659" s="50">
        <v>44519.6304898726</v>
      </c>
      <c r="C659" s="51">
        <v>1.062</v>
      </c>
      <c r="D659" s="51">
        <v>68.0</v>
      </c>
      <c r="E659" s="52" t="s">
        <v>25</v>
      </c>
      <c r="F659" s="52" t="s">
        <v>26</v>
      </c>
      <c r="G659" s="53"/>
    </row>
    <row r="660">
      <c r="A660" s="49">
        <v>44519.51593498843</v>
      </c>
      <c r="B660" s="50">
        <v>44519.6409114583</v>
      </c>
      <c r="C660" s="51">
        <v>1.062</v>
      </c>
      <c r="D660" s="51">
        <v>68.0</v>
      </c>
      <c r="E660" s="52" t="s">
        <v>25</v>
      </c>
      <c r="F660" s="52" t="s">
        <v>26</v>
      </c>
      <c r="G660" s="53"/>
    </row>
    <row r="661">
      <c r="A661" s="49">
        <v>44519.5263602662</v>
      </c>
      <c r="B661" s="50">
        <v>44519.6513315509</v>
      </c>
      <c r="C661" s="51">
        <v>1.062</v>
      </c>
      <c r="D661" s="51">
        <v>68.0</v>
      </c>
      <c r="E661" s="52" t="s">
        <v>25</v>
      </c>
      <c r="F661" s="52" t="s">
        <v>26</v>
      </c>
      <c r="G661" s="53"/>
    </row>
    <row r="662">
      <c r="A662" s="49">
        <v>44519.53677368056</v>
      </c>
      <c r="B662" s="50">
        <v>44519.6617527083</v>
      </c>
      <c r="C662" s="51">
        <v>1.062</v>
      </c>
      <c r="D662" s="51">
        <v>68.0</v>
      </c>
      <c r="E662" s="52" t="s">
        <v>25</v>
      </c>
      <c r="F662" s="52" t="s">
        <v>26</v>
      </c>
      <c r="G662" s="53"/>
    </row>
    <row r="663">
      <c r="A663" s="49">
        <v>44519.54720425926</v>
      </c>
      <c r="B663" s="50">
        <v>44519.6721739467</v>
      </c>
      <c r="C663" s="51">
        <v>1.062</v>
      </c>
      <c r="D663" s="51">
        <v>68.0</v>
      </c>
      <c r="E663" s="52" t="s">
        <v>25</v>
      </c>
      <c r="F663" s="52" t="s">
        <v>26</v>
      </c>
      <c r="G663" s="53"/>
    </row>
    <row r="664">
      <c r="A664" s="49">
        <v>44519.557623506946</v>
      </c>
      <c r="B664" s="50">
        <v>44519.6825959143</v>
      </c>
      <c r="C664" s="51">
        <v>1.062</v>
      </c>
      <c r="D664" s="51">
        <v>68.0</v>
      </c>
      <c r="E664" s="52" t="s">
        <v>25</v>
      </c>
      <c r="F664" s="52" t="s">
        <v>26</v>
      </c>
      <c r="G664" s="53"/>
    </row>
    <row r="665">
      <c r="A665" s="49">
        <v>44519.56804611111</v>
      </c>
      <c r="B665" s="50">
        <v>44519.6930178587</v>
      </c>
      <c r="C665" s="51">
        <v>1.062</v>
      </c>
      <c r="D665" s="51">
        <v>68.0</v>
      </c>
      <c r="E665" s="52" t="s">
        <v>25</v>
      </c>
      <c r="F665" s="52" t="s">
        <v>26</v>
      </c>
      <c r="G665" s="53"/>
    </row>
    <row r="666">
      <c r="A666" s="49">
        <v>44519.57847</v>
      </c>
      <c r="B666" s="50">
        <v>44519.7034501041</v>
      </c>
      <c r="C666" s="51">
        <v>1.061</v>
      </c>
      <c r="D666" s="51">
        <v>68.0</v>
      </c>
      <c r="E666" s="52" t="s">
        <v>25</v>
      </c>
      <c r="F666" s="52" t="s">
        <v>26</v>
      </c>
      <c r="G666" s="53"/>
    </row>
    <row r="667">
      <c r="A667" s="49">
        <v>44519.58889967593</v>
      </c>
      <c r="B667" s="50">
        <v>44519.7138714351</v>
      </c>
      <c r="C667" s="51">
        <v>1.061</v>
      </c>
      <c r="D667" s="51">
        <v>68.0</v>
      </c>
      <c r="E667" s="52" t="s">
        <v>25</v>
      </c>
      <c r="F667" s="52" t="s">
        <v>26</v>
      </c>
      <c r="G667" s="53"/>
    </row>
    <row r="668">
      <c r="A668" s="49">
        <v>44519.599321747686</v>
      </c>
      <c r="B668" s="50">
        <v>44519.7243048726</v>
      </c>
      <c r="C668" s="51">
        <v>1.061</v>
      </c>
      <c r="D668" s="51">
        <v>68.0</v>
      </c>
      <c r="E668" s="52" t="s">
        <v>25</v>
      </c>
      <c r="F668" s="52" t="s">
        <v>26</v>
      </c>
      <c r="G668" s="53"/>
    </row>
    <row r="669">
      <c r="A669" s="49">
        <v>44519.60975585648</v>
      </c>
      <c r="B669" s="50">
        <v>44519.7347261111</v>
      </c>
      <c r="C669" s="51">
        <v>1.061</v>
      </c>
      <c r="D669" s="51">
        <v>68.0</v>
      </c>
      <c r="E669" s="52" t="s">
        <v>25</v>
      </c>
      <c r="F669" s="52" t="s">
        <v>26</v>
      </c>
      <c r="G669" s="53"/>
    </row>
    <row r="670">
      <c r="A670" s="49">
        <v>44519.62016756945</v>
      </c>
      <c r="B670" s="50">
        <v>44519.7451457986</v>
      </c>
      <c r="C670" s="51">
        <v>1.061</v>
      </c>
      <c r="D670" s="51">
        <v>68.0</v>
      </c>
      <c r="E670" s="52" t="s">
        <v>25</v>
      </c>
      <c r="F670" s="52" t="s">
        <v>26</v>
      </c>
      <c r="G670" s="53"/>
    </row>
    <row r="671">
      <c r="A671" s="49">
        <v>44519.630590625005</v>
      </c>
      <c r="B671" s="50">
        <v>44519.7555685763</v>
      </c>
      <c r="C671" s="51">
        <v>1.061</v>
      </c>
      <c r="D671" s="51">
        <v>68.0</v>
      </c>
      <c r="E671" s="52" t="s">
        <v>25</v>
      </c>
      <c r="F671" s="52" t="s">
        <v>26</v>
      </c>
      <c r="G671" s="53"/>
    </row>
    <row r="672">
      <c r="A672" s="49">
        <v>44519.64101717593</v>
      </c>
      <c r="B672" s="50">
        <v>44519.7659910069</v>
      </c>
      <c r="C672" s="51">
        <v>1.061</v>
      </c>
      <c r="D672" s="51">
        <v>68.0</v>
      </c>
      <c r="E672" s="52" t="s">
        <v>25</v>
      </c>
      <c r="F672" s="52" t="s">
        <v>26</v>
      </c>
      <c r="G672" s="53"/>
    </row>
    <row r="673">
      <c r="A673" s="49">
        <v>44519.65143466435</v>
      </c>
      <c r="B673" s="50">
        <v>44519.7764116088</v>
      </c>
      <c r="C673" s="51">
        <v>1.061</v>
      </c>
      <c r="D673" s="51">
        <v>68.0</v>
      </c>
      <c r="E673" s="52" t="s">
        <v>25</v>
      </c>
      <c r="F673" s="52" t="s">
        <v>26</v>
      </c>
      <c r="G673" s="53"/>
    </row>
    <row r="674">
      <c r="A674" s="49">
        <v>44519.66185797454</v>
      </c>
      <c r="B674" s="50">
        <v>44519.7868317476</v>
      </c>
      <c r="C674" s="51">
        <v>1.061</v>
      </c>
      <c r="D674" s="51">
        <v>68.0</v>
      </c>
      <c r="E674" s="52" t="s">
        <v>25</v>
      </c>
      <c r="F674" s="52" t="s">
        <v>26</v>
      </c>
      <c r="G674" s="53"/>
    </row>
    <row r="675">
      <c r="A675" s="49">
        <v>44519.67228372685</v>
      </c>
      <c r="B675" s="50">
        <v>44519.7972640393</v>
      </c>
      <c r="C675" s="51">
        <v>1.061</v>
      </c>
      <c r="D675" s="51">
        <v>68.0</v>
      </c>
      <c r="E675" s="52" t="s">
        <v>25</v>
      </c>
      <c r="F675" s="52" t="s">
        <v>26</v>
      </c>
      <c r="G675" s="53"/>
    </row>
    <row r="676">
      <c r="A676" s="49">
        <v>44519.682711354166</v>
      </c>
      <c r="B676" s="50">
        <v>44519.8076841319</v>
      </c>
      <c r="C676" s="51">
        <v>1.061</v>
      </c>
      <c r="D676" s="51">
        <v>68.0</v>
      </c>
      <c r="E676" s="52" t="s">
        <v>25</v>
      </c>
      <c r="F676" s="52" t="s">
        <v>26</v>
      </c>
      <c r="G676" s="53"/>
    </row>
    <row r="677">
      <c r="A677" s="49">
        <v>44519.69312732639</v>
      </c>
      <c r="B677" s="50">
        <v>44519.8181042245</v>
      </c>
      <c r="C677" s="51">
        <v>1.061</v>
      </c>
      <c r="D677" s="51">
        <v>68.0</v>
      </c>
      <c r="E677" s="52" t="s">
        <v>25</v>
      </c>
      <c r="F677" s="52" t="s">
        <v>26</v>
      </c>
      <c r="G677" s="53"/>
    </row>
    <row r="678">
      <c r="A678" s="49">
        <v>44519.703542222225</v>
      </c>
      <c r="B678" s="50">
        <v>44519.8285243865</v>
      </c>
      <c r="C678" s="51">
        <v>1.061</v>
      </c>
      <c r="D678" s="51">
        <v>68.0</v>
      </c>
      <c r="E678" s="52" t="s">
        <v>25</v>
      </c>
      <c r="F678" s="52" t="s">
        <v>26</v>
      </c>
      <c r="G678" s="53"/>
    </row>
    <row r="679">
      <c r="A679" s="49">
        <v>44519.713970682875</v>
      </c>
      <c r="B679" s="50">
        <v>44519.8389464814</v>
      </c>
      <c r="C679" s="51">
        <v>1.061</v>
      </c>
      <c r="D679" s="51">
        <v>68.0</v>
      </c>
      <c r="E679" s="52" t="s">
        <v>25</v>
      </c>
      <c r="F679" s="52" t="s">
        <v>26</v>
      </c>
      <c r="G679" s="53"/>
    </row>
    <row r="680">
      <c r="A680" s="49">
        <v>44519.724392696764</v>
      </c>
      <c r="B680" s="50">
        <v>44519.8493683912</v>
      </c>
      <c r="C680" s="51">
        <v>1.061</v>
      </c>
      <c r="D680" s="51">
        <v>68.0</v>
      </c>
      <c r="E680" s="52" t="s">
        <v>25</v>
      </c>
      <c r="F680" s="52" t="s">
        <v>26</v>
      </c>
      <c r="G680" s="53"/>
    </row>
    <row r="681">
      <c r="A681" s="49">
        <v>44519.73481233796</v>
      </c>
      <c r="B681" s="50">
        <v>44519.8597889236</v>
      </c>
      <c r="C681" s="51">
        <v>1.061</v>
      </c>
      <c r="D681" s="51">
        <v>68.0</v>
      </c>
      <c r="E681" s="52" t="s">
        <v>25</v>
      </c>
      <c r="F681" s="52" t="s">
        <v>26</v>
      </c>
      <c r="G681" s="53"/>
    </row>
    <row r="682">
      <c r="A682" s="49">
        <v>44519.7452365162</v>
      </c>
      <c r="B682" s="50">
        <v>44519.8702098726</v>
      </c>
      <c r="C682" s="51">
        <v>1.061</v>
      </c>
      <c r="D682" s="51">
        <v>68.0</v>
      </c>
      <c r="E682" s="52" t="s">
        <v>25</v>
      </c>
      <c r="F682" s="52" t="s">
        <v>26</v>
      </c>
      <c r="G682" s="53"/>
    </row>
    <row r="683">
      <c r="A683" s="49">
        <v>44519.75565452546</v>
      </c>
      <c r="B683" s="50">
        <v>44519.8806318402</v>
      </c>
      <c r="C683" s="51">
        <v>1.06</v>
      </c>
      <c r="D683" s="51">
        <v>68.0</v>
      </c>
      <c r="E683" s="52" t="s">
        <v>25</v>
      </c>
      <c r="F683" s="52" t="s">
        <v>26</v>
      </c>
      <c r="G683" s="53"/>
    </row>
    <row r="684">
      <c r="A684" s="49">
        <v>44519.76608190972</v>
      </c>
      <c r="B684" s="50">
        <v>44519.8910516435</v>
      </c>
      <c r="C684" s="51">
        <v>1.06</v>
      </c>
      <c r="D684" s="51">
        <v>68.0</v>
      </c>
      <c r="E684" s="52" t="s">
        <v>25</v>
      </c>
      <c r="F684" s="52" t="s">
        <v>26</v>
      </c>
      <c r="G684" s="53"/>
    </row>
    <row r="685">
      <c r="A685" s="49">
        <v>44519.776492986115</v>
      </c>
      <c r="B685" s="50">
        <v>44519.9014725694</v>
      </c>
      <c r="C685" s="51">
        <v>1.06</v>
      </c>
      <c r="D685" s="51">
        <v>68.0</v>
      </c>
      <c r="E685" s="52" t="s">
        <v>25</v>
      </c>
      <c r="F685" s="52" t="s">
        <v>26</v>
      </c>
      <c r="G685" s="53"/>
    </row>
    <row r="686">
      <c r="A686" s="49">
        <v>44519.786925625</v>
      </c>
      <c r="B686" s="50">
        <v>44519.9118941435</v>
      </c>
      <c r="C686" s="51">
        <v>1.06</v>
      </c>
      <c r="D686" s="51">
        <v>68.0</v>
      </c>
      <c r="E686" s="52" t="s">
        <v>25</v>
      </c>
      <c r="F686" s="52" t="s">
        <v>26</v>
      </c>
      <c r="G686" s="53"/>
    </row>
    <row r="687">
      <c r="A687" s="49">
        <v>44519.79734222223</v>
      </c>
      <c r="B687" s="50">
        <v>44519.9223166319</v>
      </c>
      <c r="C687" s="51">
        <v>1.06</v>
      </c>
      <c r="D687" s="51">
        <v>68.0</v>
      </c>
      <c r="E687" s="52" t="s">
        <v>25</v>
      </c>
      <c r="F687" s="52" t="s">
        <v>26</v>
      </c>
      <c r="G687" s="53"/>
    </row>
    <row r="688">
      <c r="A688" s="49">
        <v>44519.80779070602</v>
      </c>
      <c r="B688" s="50">
        <v>44519.932761412</v>
      </c>
      <c r="C688" s="51">
        <v>1.06</v>
      </c>
      <c r="D688" s="51">
        <v>68.0</v>
      </c>
      <c r="E688" s="52" t="s">
        <v>25</v>
      </c>
      <c r="F688" s="52" t="s">
        <v>26</v>
      </c>
      <c r="G688" s="53"/>
    </row>
    <row r="689">
      <c r="A689" s="49">
        <v>44519.81820634259</v>
      </c>
      <c r="B689" s="50">
        <v>44519.9431822337</v>
      </c>
      <c r="C689" s="51">
        <v>1.06</v>
      </c>
      <c r="D689" s="51">
        <v>68.0</v>
      </c>
      <c r="E689" s="52" t="s">
        <v>25</v>
      </c>
      <c r="F689" s="52" t="s">
        <v>26</v>
      </c>
      <c r="G689" s="53"/>
    </row>
    <row r="690">
      <c r="A690" s="49">
        <v>44519.82863188657</v>
      </c>
      <c r="B690" s="50">
        <v>44519.9536024884</v>
      </c>
      <c r="C690" s="51">
        <v>1.06</v>
      </c>
      <c r="D690" s="51">
        <v>68.0</v>
      </c>
      <c r="E690" s="52" t="s">
        <v>25</v>
      </c>
      <c r="F690" s="52" t="s">
        <v>26</v>
      </c>
      <c r="G690" s="53"/>
    </row>
    <row r="691">
      <c r="A691" s="49">
        <v>44519.839045914356</v>
      </c>
      <c r="B691" s="50">
        <v>44519.9640220949</v>
      </c>
      <c r="C691" s="51">
        <v>1.06</v>
      </c>
      <c r="D691" s="51">
        <v>68.0</v>
      </c>
      <c r="E691" s="52" t="s">
        <v>25</v>
      </c>
      <c r="F691" s="52" t="s">
        <v>26</v>
      </c>
      <c r="G691" s="53"/>
    </row>
    <row r="692">
      <c r="A692" s="49">
        <v>44519.849469270834</v>
      </c>
      <c r="B692" s="50">
        <v>44519.9744424884</v>
      </c>
      <c r="C692" s="51">
        <v>1.06</v>
      </c>
      <c r="D692" s="51">
        <v>68.0</v>
      </c>
      <c r="E692" s="52" t="s">
        <v>25</v>
      </c>
      <c r="F692" s="52" t="s">
        <v>26</v>
      </c>
      <c r="G692" s="53"/>
    </row>
    <row r="693">
      <c r="A693" s="49">
        <v>44519.85988826389</v>
      </c>
      <c r="B693" s="50">
        <v>44519.9848656828</v>
      </c>
      <c r="C693" s="51">
        <v>1.06</v>
      </c>
      <c r="D693" s="51">
        <v>68.0</v>
      </c>
      <c r="E693" s="52" t="s">
        <v>25</v>
      </c>
      <c r="F693" s="52" t="s">
        <v>26</v>
      </c>
      <c r="G693" s="53"/>
    </row>
    <row r="694">
      <c r="A694" s="49">
        <v>44519.87033731482</v>
      </c>
      <c r="B694" s="50">
        <v>44519.9953097106</v>
      </c>
      <c r="C694" s="51">
        <v>1.06</v>
      </c>
      <c r="D694" s="51">
        <v>68.0</v>
      </c>
      <c r="E694" s="52" t="s">
        <v>25</v>
      </c>
      <c r="F694" s="52" t="s">
        <v>26</v>
      </c>
      <c r="G694" s="53"/>
    </row>
    <row r="695">
      <c r="A695" s="49">
        <v>44519.88075630787</v>
      </c>
      <c r="B695" s="50">
        <v>44520.0057313194</v>
      </c>
      <c r="C695" s="51">
        <v>1.06</v>
      </c>
      <c r="D695" s="51">
        <v>68.0</v>
      </c>
      <c r="E695" s="52" t="s">
        <v>25</v>
      </c>
      <c r="F695" s="52" t="s">
        <v>26</v>
      </c>
      <c r="G695" s="53"/>
    </row>
    <row r="696">
      <c r="A696" s="49">
        <v>44519.89118177083</v>
      </c>
      <c r="B696" s="50">
        <v>44520.0161530787</v>
      </c>
      <c r="C696" s="51">
        <v>1.06</v>
      </c>
      <c r="D696" s="51">
        <v>68.0</v>
      </c>
      <c r="E696" s="52" t="s">
        <v>25</v>
      </c>
      <c r="F696" s="52" t="s">
        <v>26</v>
      </c>
      <c r="G696" s="53"/>
    </row>
    <row r="697">
      <c r="A697" s="49">
        <v>44519.901597766206</v>
      </c>
      <c r="B697" s="50">
        <v>44520.0265745717</v>
      </c>
      <c r="C697" s="51">
        <v>1.06</v>
      </c>
      <c r="D697" s="51">
        <v>68.0</v>
      </c>
      <c r="E697" s="52" t="s">
        <v>25</v>
      </c>
      <c r="F697" s="52" t="s">
        <v>26</v>
      </c>
      <c r="G697" s="53"/>
    </row>
    <row r="698">
      <c r="A698" s="49">
        <v>44519.91201552084</v>
      </c>
      <c r="B698" s="50">
        <v>44520.0369948726</v>
      </c>
      <c r="C698" s="51">
        <v>1.06</v>
      </c>
      <c r="D698" s="51">
        <v>68.0</v>
      </c>
      <c r="E698" s="52" t="s">
        <v>25</v>
      </c>
      <c r="F698" s="52" t="s">
        <v>26</v>
      </c>
      <c r="G698" s="53"/>
    </row>
    <row r="699">
      <c r="A699" s="49">
        <v>44519.92244684028</v>
      </c>
      <c r="B699" s="50">
        <v>44520.0474169444</v>
      </c>
      <c r="C699" s="51">
        <v>1.059</v>
      </c>
      <c r="D699" s="51">
        <v>68.0</v>
      </c>
      <c r="E699" s="52" t="s">
        <v>25</v>
      </c>
      <c r="F699" s="52" t="s">
        <v>26</v>
      </c>
      <c r="G699" s="53"/>
    </row>
    <row r="700">
      <c r="A700" s="49">
        <v>44519.93286971065</v>
      </c>
      <c r="B700" s="50">
        <v>44520.0578381597</v>
      </c>
      <c r="C700" s="51">
        <v>1.059</v>
      </c>
      <c r="D700" s="51">
        <v>68.0</v>
      </c>
      <c r="E700" s="52" t="s">
        <v>25</v>
      </c>
      <c r="F700" s="52" t="s">
        <v>26</v>
      </c>
      <c r="G700" s="53"/>
    </row>
    <row r="701">
      <c r="A701" s="49">
        <v>44519.943284583336</v>
      </c>
      <c r="B701" s="50">
        <v>44520.0682591898</v>
      </c>
      <c r="C701" s="51">
        <v>1.06</v>
      </c>
      <c r="D701" s="51">
        <v>68.0</v>
      </c>
      <c r="E701" s="52" t="s">
        <v>25</v>
      </c>
      <c r="F701" s="52" t="s">
        <v>26</v>
      </c>
      <c r="G701" s="53"/>
    </row>
    <row r="702">
      <c r="A702" s="49">
        <v>44519.95370534722</v>
      </c>
      <c r="B702" s="50">
        <v>44520.0786818402</v>
      </c>
      <c r="C702" s="51">
        <v>1.059</v>
      </c>
      <c r="D702" s="51">
        <v>68.0</v>
      </c>
      <c r="E702" s="52" t="s">
        <v>25</v>
      </c>
      <c r="F702" s="52" t="s">
        <v>26</v>
      </c>
      <c r="G702" s="53"/>
    </row>
    <row r="703">
      <c r="A703" s="49">
        <v>44519.96413206018</v>
      </c>
      <c r="B703" s="50">
        <v>44520.0891031134</v>
      </c>
      <c r="C703" s="51">
        <v>1.059</v>
      </c>
      <c r="D703" s="51">
        <v>68.0</v>
      </c>
      <c r="E703" s="52" t="s">
        <v>25</v>
      </c>
      <c r="F703" s="52" t="s">
        <v>26</v>
      </c>
      <c r="G703" s="53"/>
    </row>
    <row r="704">
      <c r="A704" s="49">
        <v>44519.97454829861</v>
      </c>
      <c r="B704" s="50">
        <v>44520.0995225925</v>
      </c>
      <c r="C704" s="51">
        <v>1.059</v>
      </c>
      <c r="D704" s="51">
        <v>68.0</v>
      </c>
      <c r="E704" s="52" t="s">
        <v>25</v>
      </c>
      <c r="F704" s="52" t="s">
        <v>26</v>
      </c>
      <c r="G704" s="53"/>
    </row>
    <row r="705">
      <c r="A705" s="49">
        <v>44519.984972245365</v>
      </c>
      <c r="B705" s="50">
        <v>44520.1099440393</v>
      </c>
      <c r="C705" s="51">
        <v>1.059</v>
      </c>
      <c r="D705" s="51">
        <v>68.0</v>
      </c>
      <c r="E705" s="52" t="s">
        <v>25</v>
      </c>
      <c r="F705" s="52" t="s">
        <v>26</v>
      </c>
      <c r="G705" s="53"/>
    </row>
    <row r="706">
      <c r="A706" s="49">
        <v>44519.995393391204</v>
      </c>
      <c r="B706" s="50">
        <v>44520.1203648379</v>
      </c>
      <c r="C706" s="51">
        <v>1.059</v>
      </c>
      <c r="D706" s="51">
        <v>68.0</v>
      </c>
      <c r="E706" s="52" t="s">
        <v>25</v>
      </c>
      <c r="F706" s="52" t="s">
        <v>26</v>
      </c>
      <c r="G706" s="53"/>
    </row>
    <row r="707">
      <c r="A707" s="49">
        <v>44520.005812268515</v>
      </c>
      <c r="B707" s="50">
        <v>44520.1307855787</v>
      </c>
      <c r="C707" s="51">
        <v>1.059</v>
      </c>
      <c r="D707" s="51">
        <v>68.0</v>
      </c>
      <c r="E707" s="52" t="s">
        <v>25</v>
      </c>
      <c r="F707" s="52" t="s">
        <v>26</v>
      </c>
      <c r="G707" s="53"/>
    </row>
    <row r="708">
      <c r="A708" s="49">
        <v>44520.01623753472</v>
      </c>
      <c r="B708" s="50">
        <v>44520.1412066666</v>
      </c>
      <c r="C708" s="51">
        <v>1.059</v>
      </c>
      <c r="D708" s="51">
        <v>68.0</v>
      </c>
      <c r="E708" s="52" t="s">
        <v>25</v>
      </c>
      <c r="F708" s="52" t="s">
        <v>26</v>
      </c>
      <c r="G708" s="53"/>
    </row>
    <row r="709">
      <c r="A709" s="49">
        <v>44520.026653865745</v>
      </c>
      <c r="B709" s="50">
        <v>44520.1516273263</v>
      </c>
      <c r="C709" s="51">
        <v>1.059</v>
      </c>
      <c r="D709" s="51">
        <v>68.0</v>
      </c>
      <c r="E709" s="52" t="s">
        <v>25</v>
      </c>
      <c r="F709" s="52" t="s">
        <v>26</v>
      </c>
      <c r="G709" s="53"/>
    </row>
    <row r="710">
      <c r="A710" s="49">
        <v>44520.037072430554</v>
      </c>
      <c r="B710" s="50">
        <v>44520.1620471759</v>
      </c>
      <c r="C710" s="51">
        <v>1.059</v>
      </c>
      <c r="D710" s="51">
        <v>68.0</v>
      </c>
      <c r="E710" s="52" t="s">
        <v>25</v>
      </c>
      <c r="F710" s="52" t="s">
        <v>26</v>
      </c>
      <c r="G710" s="53"/>
    </row>
    <row r="711">
      <c r="A711" s="49">
        <v>44520.047508379634</v>
      </c>
      <c r="B711" s="50">
        <v>44520.1724812963</v>
      </c>
      <c r="C711" s="51">
        <v>1.059</v>
      </c>
      <c r="D711" s="51">
        <v>68.0</v>
      </c>
      <c r="E711" s="52" t="s">
        <v>25</v>
      </c>
      <c r="F711" s="52" t="s">
        <v>26</v>
      </c>
      <c r="G711" s="53"/>
    </row>
    <row r="712">
      <c r="A712" s="49">
        <v>44520.05792868056</v>
      </c>
      <c r="B712" s="50">
        <v>44520.1829024305</v>
      </c>
      <c r="C712" s="51">
        <v>1.059</v>
      </c>
      <c r="D712" s="51">
        <v>68.0</v>
      </c>
      <c r="E712" s="52" t="s">
        <v>25</v>
      </c>
      <c r="F712" s="52" t="s">
        <v>26</v>
      </c>
      <c r="G712" s="53"/>
    </row>
    <row r="713">
      <c r="A713" s="49">
        <v>44520.068350393514</v>
      </c>
      <c r="B713" s="50">
        <v>44520.1933235532</v>
      </c>
      <c r="C713" s="51">
        <v>1.059</v>
      </c>
      <c r="D713" s="51">
        <v>68.0</v>
      </c>
      <c r="E713" s="52" t="s">
        <v>25</v>
      </c>
      <c r="F713" s="52" t="s">
        <v>26</v>
      </c>
      <c r="G713" s="53"/>
    </row>
    <row r="714">
      <c r="A714" s="49">
        <v>44520.078781874996</v>
      </c>
      <c r="B714" s="50">
        <v>44520.2037545486</v>
      </c>
      <c r="C714" s="51">
        <v>1.059</v>
      </c>
      <c r="D714" s="51">
        <v>68.0</v>
      </c>
      <c r="E714" s="52" t="s">
        <v>25</v>
      </c>
      <c r="F714" s="52" t="s">
        <v>26</v>
      </c>
      <c r="G714" s="53"/>
    </row>
    <row r="715">
      <c r="A715" s="49">
        <v>44520.08919885417</v>
      </c>
      <c r="B715" s="50">
        <v>44520.214175243</v>
      </c>
      <c r="C715" s="51">
        <v>1.059</v>
      </c>
      <c r="D715" s="51">
        <v>68.0</v>
      </c>
      <c r="E715" s="52" t="s">
        <v>25</v>
      </c>
      <c r="F715" s="52" t="s">
        <v>26</v>
      </c>
      <c r="G715" s="53"/>
    </row>
    <row r="716">
      <c r="A716" s="49">
        <v>44520.09961197917</v>
      </c>
      <c r="B716" s="50">
        <v>44520.2245963194</v>
      </c>
      <c r="C716" s="51">
        <v>1.059</v>
      </c>
      <c r="D716" s="51">
        <v>68.0</v>
      </c>
      <c r="E716" s="52" t="s">
        <v>25</v>
      </c>
      <c r="F716" s="52" t="s">
        <v>26</v>
      </c>
      <c r="G716" s="53"/>
    </row>
    <row r="717">
      <c r="A717" s="49">
        <v>44520.110053819444</v>
      </c>
      <c r="B717" s="50">
        <v>44520.2350295254</v>
      </c>
      <c r="C717" s="51">
        <v>1.059</v>
      </c>
      <c r="D717" s="51">
        <v>68.0</v>
      </c>
      <c r="E717" s="52" t="s">
        <v>25</v>
      </c>
      <c r="F717" s="52" t="s">
        <v>26</v>
      </c>
      <c r="G717" s="53"/>
    </row>
    <row r="718">
      <c r="A718" s="49">
        <v>44520.12047159723</v>
      </c>
      <c r="B718" s="50">
        <v>44520.2454480902</v>
      </c>
      <c r="C718" s="51">
        <v>1.059</v>
      </c>
      <c r="D718" s="51">
        <v>68.0</v>
      </c>
      <c r="E718" s="52" t="s">
        <v>25</v>
      </c>
      <c r="F718" s="52" t="s">
        <v>26</v>
      </c>
      <c r="G718" s="53"/>
    </row>
    <row r="719">
      <c r="A719" s="49">
        <v>44520.130896006944</v>
      </c>
      <c r="B719" s="50">
        <v>44520.2558695949</v>
      </c>
      <c r="C719" s="51">
        <v>1.058</v>
      </c>
      <c r="D719" s="51">
        <v>68.0</v>
      </c>
      <c r="E719" s="52" t="s">
        <v>25</v>
      </c>
      <c r="F719" s="52" t="s">
        <v>26</v>
      </c>
      <c r="G719" s="53"/>
    </row>
    <row r="720">
      <c r="A720" s="49">
        <v>44520.14131559028</v>
      </c>
      <c r="B720" s="50">
        <v>44520.266290949</v>
      </c>
      <c r="C720" s="51">
        <v>1.058</v>
      </c>
      <c r="D720" s="51">
        <v>68.0</v>
      </c>
      <c r="E720" s="52" t="s">
        <v>25</v>
      </c>
      <c r="F720" s="52" t="s">
        <v>26</v>
      </c>
      <c r="G720" s="53"/>
    </row>
    <row r="721">
      <c r="A721" s="49">
        <v>44520.151737962966</v>
      </c>
      <c r="B721" s="50">
        <v>44520.2767123842</v>
      </c>
      <c r="C721" s="51">
        <v>1.058</v>
      </c>
      <c r="D721" s="51">
        <v>68.0</v>
      </c>
      <c r="E721" s="52" t="s">
        <v>25</v>
      </c>
      <c r="F721" s="52" t="s">
        <v>26</v>
      </c>
      <c r="G721" s="53"/>
    </row>
    <row r="722">
      <c r="A722" s="49">
        <v>44520.16214832176</v>
      </c>
      <c r="B722" s="50">
        <v>44520.2871318055</v>
      </c>
      <c r="C722" s="51">
        <v>1.058</v>
      </c>
      <c r="D722" s="51">
        <v>68.0</v>
      </c>
      <c r="E722" s="52" t="s">
        <v>25</v>
      </c>
      <c r="F722" s="52" t="s">
        <v>26</v>
      </c>
      <c r="G722" s="53"/>
    </row>
    <row r="723">
      <c r="A723" s="49">
        <v>44520.17257918981</v>
      </c>
      <c r="B723" s="50">
        <v>44520.2975531481</v>
      </c>
      <c r="C723" s="51">
        <v>1.058</v>
      </c>
      <c r="D723" s="51">
        <v>68.0</v>
      </c>
      <c r="E723" s="52" t="s">
        <v>25</v>
      </c>
      <c r="F723" s="52" t="s">
        <v>26</v>
      </c>
      <c r="G723" s="53"/>
    </row>
    <row r="724">
      <c r="A724" s="49">
        <v>44520.183006921296</v>
      </c>
      <c r="B724" s="50">
        <v>44520.3079749537</v>
      </c>
      <c r="C724" s="51">
        <v>1.058</v>
      </c>
      <c r="D724" s="51">
        <v>68.0</v>
      </c>
      <c r="E724" s="52" t="s">
        <v>25</v>
      </c>
      <c r="F724" s="52" t="s">
        <v>26</v>
      </c>
      <c r="G724" s="53"/>
    </row>
    <row r="725">
      <c r="A725" s="49">
        <v>44520.19342885417</v>
      </c>
      <c r="B725" s="50">
        <v>44520.3183955439</v>
      </c>
      <c r="C725" s="51">
        <v>1.058</v>
      </c>
      <c r="D725" s="51">
        <v>68.0</v>
      </c>
      <c r="E725" s="52" t="s">
        <v>25</v>
      </c>
      <c r="F725" s="52" t="s">
        <v>26</v>
      </c>
      <c r="G725" s="53"/>
    </row>
    <row r="726">
      <c r="A726" s="49">
        <v>44520.20384423611</v>
      </c>
      <c r="B726" s="50">
        <v>44520.3288162731</v>
      </c>
      <c r="C726" s="51">
        <v>1.058</v>
      </c>
      <c r="D726" s="51">
        <v>68.0</v>
      </c>
      <c r="E726" s="52" t="s">
        <v>25</v>
      </c>
      <c r="F726" s="52" t="s">
        <v>26</v>
      </c>
      <c r="G726" s="53"/>
    </row>
    <row r="727">
      <c r="A727" s="49">
        <v>44520.21426804399</v>
      </c>
      <c r="B727" s="50">
        <v>44520.3392356481</v>
      </c>
      <c r="C727" s="51">
        <v>1.058</v>
      </c>
      <c r="D727" s="51">
        <v>68.0</v>
      </c>
      <c r="E727" s="52" t="s">
        <v>25</v>
      </c>
      <c r="F727" s="52" t="s">
        <v>26</v>
      </c>
      <c r="G727" s="53"/>
    </row>
    <row r="728">
      <c r="A728" s="49">
        <v>44520.224694930555</v>
      </c>
      <c r="B728" s="50">
        <v>44520.3496561689</v>
      </c>
      <c r="C728" s="51">
        <v>1.058</v>
      </c>
      <c r="D728" s="51">
        <v>68.0</v>
      </c>
      <c r="E728" s="52" t="s">
        <v>25</v>
      </c>
      <c r="F728" s="52" t="s">
        <v>26</v>
      </c>
      <c r="G728" s="53"/>
    </row>
    <row r="729">
      <c r="A729" s="49">
        <v>44520.23511393518</v>
      </c>
      <c r="B729" s="50">
        <v>44520.3600776273</v>
      </c>
      <c r="C729" s="51">
        <v>1.058</v>
      </c>
      <c r="D729" s="51">
        <v>68.0</v>
      </c>
      <c r="E729" s="52" t="s">
        <v>25</v>
      </c>
      <c r="F729" s="52" t="s">
        <v>26</v>
      </c>
      <c r="G729" s="53"/>
    </row>
    <row r="730">
      <c r="A730" s="49">
        <v>44520.24552189815</v>
      </c>
      <c r="B730" s="50">
        <v>44520.3704985879</v>
      </c>
      <c r="C730" s="51">
        <v>1.058</v>
      </c>
      <c r="D730" s="51">
        <v>68.0</v>
      </c>
      <c r="E730" s="52" t="s">
        <v>25</v>
      </c>
      <c r="F730" s="52" t="s">
        <v>26</v>
      </c>
      <c r="G730" s="53"/>
    </row>
    <row r="731">
      <c r="A731" s="49">
        <v>44520.25595827546</v>
      </c>
      <c r="B731" s="50">
        <v>44520.3809210532</v>
      </c>
      <c r="C731" s="51">
        <v>1.058</v>
      </c>
      <c r="D731" s="51">
        <v>68.0</v>
      </c>
      <c r="E731" s="52" t="s">
        <v>25</v>
      </c>
      <c r="F731" s="52" t="s">
        <v>26</v>
      </c>
      <c r="G731" s="53"/>
    </row>
    <row r="732">
      <c r="A732" s="49">
        <v>44520.26637024306</v>
      </c>
      <c r="B732" s="50">
        <v>44520.3913421412</v>
      </c>
      <c r="C732" s="51">
        <v>1.058</v>
      </c>
      <c r="D732" s="51">
        <v>68.0</v>
      </c>
      <c r="E732" s="52" t="s">
        <v>25</v>
      </c>
      <c r="F732" s="52" t="s">
        <v>26</v>
      </c>
      <c r="G732" s="53"/>
    </row>
    <row r="733">
      <c r="A733" s="49">
        <v>44520.27679778935</v>
      </c>
      <c r="B733" s="50">
        <v>44520.4017627083</v>
      </c>
      <c r="C733" s="51">
        <v>1.058</v>
      </c>
      <c r="D733" s="51">
        <v>68.0</v>
      </c>
      <c r="E733" s="52" t="s">
        <v>25</v>
      </c>
      <c r="F733" s="52" t="s">
        <v>26</v>
      </c>
      <c r="G733" s="53"/>
    </row>
    <row r="734">
      <c r="A734" s="49">
        <v>44520.287212256946</v>
      </c>
      <c r="B734" s="50">
        <v>44520.4121851157</v>
      </c>
      <c r="C734" s="51">
        <v>1.058</v>
      </c>
      <c r="D734" s="51">
        <v>68.0</v>
      </c>
      <c r="E734" s="52" t="s">
        <v>25</v>
      </c>
      <c r="F734" s="52" t="s">
        <v>26</v>
      </c>
      <c r="G734" s="53"/>
    </row>
    <row r="735">
      <c r="A735" s="49">
        <v>44520.297631574074</v>
      </c>
      <c r="B735" s="50">
        <v>44520.4226063541</v>
      </c>
      <c r="C735" s="51">
        <v>1.058</v>
      </c>
      <c r="D735" s="51">
        <v>68.0</v>
      </c>
      <c r="E735" s="52" t="s">
        <v>25</v>
      </c>
      <c r="F735" s="52" t="s">
        <v>26</v>
      </c>
      <c r="G735" s="53"/>
    </row>
    <row r="736">
      <c r="A736" s="49">
        <v>44520.30805857639</v>
      </c>
      <c r="B736" s="50">
        <v>44520.4330292129</v>
      </c>
      <c r="C736" s="51">
        <v>1.058</v>
      </c>
      <c r="D736" s="51">
        <v>68.0</v>
      </c>
      <c r="E736" s="52" t="s">
        <v>25</v>
      </c>
      <c r="F736" s="52" t="s">
        <v>26</v>
      </c>
      <c r="G736" s="53"/>
    </row>
    <row r="737">
      <c r="A737" s="49">
        <v>44520.31848184028</v>
      </c>
      <c r="B737" s="50">
        <v>44520.4434490856</v>
      </c>
      <c r="C737" s="51">
        <v>1.057</v>
      </c>
      <c r="D737" s="51">
        <v>68.0</v>
      </c>
      <c r="E737" s="52" t="s">
        <v>25</v>
      </c>
      <c r="F737" s="52" t="s">
        <v>26</v>
      </c>
      <c r="G737" s="53"/>
    </row>
    <row r="738">
      <c r="A738" s="49">
        <v>44520.32889981482</v>
      </c>
      <c r="B738" s="50">
        <v>44520.4538693634</v>
      </c>
      <c r="C738" s="51">
        <v>1.058</v>
      </c>
      <c r="D738" s="51">
        <v>68.0</v>
      </c>
      <c r="E738" s="52" t="s">
        <v>25</v>
      </c>
      <c r="F738" s="52" t="s">
        <v>26</v>
      </c>
      <c r="G738" s="53"/>
    </row>
    <row r="739">
      <c r="A739" s="49">
        <v>44520.339322534724</v>
      </c>
      <c r="B739" s="50">
        <v>44520.4642894675</v>
      </c>
      <c r="C739" s="51">
        <v>1.057</v>
      </c>
      <c r="D739" s="51">
        <v>68.0</v>
      </c>
      <c r="E739" s="52" t="s">
        <v>25</v>
      </c>
      <c r="F739" s="52" t="s">
        <v>26</v>
      </c>
      <c r="G739" s="53"/>
    </row>
    <row r="740">
      <c r="A740" s="49">
        <v>44520.349733125</v>
      </c>
      <c r="B740" s="50">
        <v>44520.474710405</v>
      </c>
      <c r="C740" s="51">
        <v>1.057</v>
      </c>
      <c r="D740" s="51">
        <v>68.0</v>
      </c>
      <c r="E740" s="52" t="s">
        <v>25</v>
      </c>
      <c r="F740" s="52" t="s">
        <v>26</v>
      </c>
      <c r="G740" s="53"/>
    </row>
    <row r="741">
      <c r="A741" s="49">
        <v>44520.36016283565</v>
      </c>
      <c r="B741" s="50">
        <v>44520.4851312037</v>
      </c>
      <c r="C741" s="51">
        <v>1.057</v>
      </c>
      <c r="D741" s="51">
        <v>68.0</v>
      </c>
      <c r="E741" s="52" t="s">
        <v>25</v>
      </c>
      <c r="F741" s="52" t="s">
        <v>26</v>
      </c>
      <c r="G741" s="53"/>
    </row>
    <row r="742">
      <c r="A742" s="49">
        <v>44520.370570949075</v>
      </c>
      <c r="B742" s="50">
        <v>44520.4955521759</v>
      </c>
      <c r="C742" s="51">
        <v>1.057</v>
      </c>
      <c r="D742" s="51">
        <v>68.0</v>
      </c>
      <c r="E742" s="52" t="s">
        <v>25</v>
      </c>
      <c r="F742" s="52" t="s">
        <v>26</v>
      </c>
      <c r="G742" s="53"/>
    </row>
    <row r="743">
      <c r="A743" s="49">
        <v>44520.38100543982</v>
      </c>
      <c r="B743" s="50">
        <v>44520.5059745833</v>
      </c>
      <c r="C743" s="51">
        <v>1.057</v>
      </c>
      <c r="D743" s="51">
        <v>68.0</v>
      </c>
      <c r="E743" s="52" t="s">
        <v>25</v>
      </c>
      <c r="F743" s="52" t="s">
        <v>26</v>
      </c>
      <c r="G743" s="53"/>
    </row>
    <row r="744">
      <c r="A744" s="49">
        <v>44520.3914607176</v>
      </c>
      <c r="B744" s="50">
        <v>44520.5164325115</v>
      </c>
      <c r="C744" s="51">
        <v>1.057</v>
      </c>
      <c r="D744" s="51">
        <v>68.0</v>
      </c>
      <c r="E744" s="52" t="s">
        <v>25</v>
      </c>
      <c r="F744" s="52" t="s">
        <v>26</v>
      </c>
      <c r="G744" s="53"/>
    </row>
    <row r="745">
      <c r="A745" s="49">
        <v>44520.40188038195</v>
      </c>
      <c r="B745" s="50">
        <v>44520.5268526736</v>
      </c>
      <c r="C745" s="51">
        <v>1.057</v>
      </c>
      <c r="D745" s="51">
        <v>68.0</v>
      </c>
      <c r="E745" s="52" t="s">
        <v>25</v>
      </c>
      <c r="F745" s="52" t="s">
        <v>26</v>
      </c>
      <c r="G745" s="53"/>
    </row>
    <row r="746">
      <c r="A746" s="49">
        <v>44520.412315636575</v>
      </c>
      <c r="B746" s="50">
        <v>44520.537286655</v>
      </c>
      <c r="C746" s="51">
        <v>1.057</v>
      </c>
      <c r="D746" s="51">
        <v>68.0</v>
      </c>
      <c r="E746" s="52" t="s">
        <v>25</v>
      </c>
      <c r="F746" s="52" t="s">
        <v>26</v>
      </c>
      <c r="G746" s="53"/>
    </row>
    <row r="747">
      <c r="A747" s="49">
        <v>44520.42273431713</v>
      </c>
      <c r="B747" s="50">
        <v>44520.547707743</v>
      </c>
      <c r="C747" s="51">
        <v>1.057</v>
      </c>
      <c r="D747" s="51">
        <v>68.0</v>
      </c>
      <c r="E747" s="52" t="s">
        <v>25</v>
      </c>
      <c r="F747" s="52" t="s">
        <v>26</v>
      </c>
      <c r="G747" s="53"/>
    </row>
    <row r="748">
      <c r="A748" s="49">
        <v>44520.43316020833</v>
      </c>
      <c r="B748" s="50">
        <v>44520.5581404398</v>
      </c>
      <c r="C748" s="51">
        <v>1.057</v>
      </c>
      <c r="D748" s="51">
        <v>68.0</v>
      </c>
      <c r="E748" s="52" t="s">
        <v>25</v>
      </c>
      <c r="F748" s="52" t="s">
        <v>26</v>
      </c>
      <c r="G748" s="53"/>
    </row>
    <row r="749">
      <c r="A749" s="49">
        <v>44520.4435862963</v>
      </c>
      <c r="B749" s="50">
        <v>44520.5685629629</v>
      </c>
      <c r="C749" s="51">
        <v>1.057</v>
      </c>
      <c r="D749" s="51">
        <v>68.0</v>
      </c>
      <c r="E749" s="52" t="s">
        <v>25</v>
      </c>
      <c r="F749" s="52" t="s">
        <v>26</v>
      </c>
      <c r="G749" s="53"/>
    </row>
    <row r="750">
      <c r="A750" s="49">
        <v>44520.454012766204</v>
      </c>
      <c r="B750" s="50">
        <v>44520.5789843402</v>
      </c>
      <c r="C750" s="51">
        <v>1.057</v>
      </c>
      <c r="D750" s="51">
        <v>68.0</v>
      </c>
      <c r="E750" s="52" t="s">
        <v>25</v>
      </c>
      <c r="F750" s="52" t="s">
        <v>26</v>
      </c>
      <c r="G750" s="53"/>
    </row>
    <row r="751">
      <c r="A751" s="49">
        <v>44520.46442621527</v>
      </c>
      <c r="B751" s="50">
        <v>44520.5894034375</v>
      </c>
      <c r="C751" s="51">
        <v>1.057</v>
      </c>
      <c r="D751" s="51">
        <v>68.0</v>
      </c>
      <c r="E751" s="52" t="s">
        <v>25</v>
      </c>
      <c r="F751" s="52" t="s">
        <v>26</v>
      </c>
      <c r="G751" s="53"/>
    </row>
    <row r="752">
      <c r="A752" s="49">
        <v>44520.47486744213</v>
      </c>
      <c r="B752" s="50">
        <v>44520.5998476967</v>
      </c>
      <c r="C752" s="51">
        <v>1.057</v>
      </c>
      <c r="D752" s="51">
        <v>68.0</v>
      </c>
      <c r="E752" s="52" t="s">
        <v>25</v>
      </c>
      <c r="F752" s="52" t="s">
        <v>26</v>
      </c>
      <c r="G752" s="53"/>
    </row>
    <row r="753">
      <c r="A753" s="49">
        <v>44520.48530408565</v>
      </c>
      <c r="B753" s="50">
        <v>44520.6102796875</v>
      </c>
      <c r="C753" s="51">
        <v>1.056</v>
      </c>
      <c r="D753" s="51">
        <v>68.0</v>
      </c>
      <c r="E753" s="52" t="s">
        <v>25</v>
      </c>
      <c r="F753" s="52" t="s">
        <v>26</v>
      </c>
      <c r="G753" s="53"/>
    </row>
    <row r="754">
      <c r="A754" s="49">
        <v>44520.49572365741</v>
      </c>
      <c r="B754" s="50">
        <v>44520.6207009953</v>
      </c>
      <c r="C754" s="51">
        <v>1.057</v>
      </c>
      <c r="D754" s="51">
        <v>68.0</v>
      </c>
      <c r="E754" s="52" t="s">
        <v>25</v>
      </c>
      <c r="F754" s="52" t="s">
        <v>26</v>
      </c>
      <c r="G754" s="53"/>
    </row>
    <row r="755">
      <c r="A755" s="49">
        <v>44520.50614914352</v>
      </c>
      <c r="B755" s="50">
        <v>44520.6311200925</v>
      </c>
      <c r="C755" s="51">
        <v>1.056</v>
      </c>
      <c r="D755" s="51">
        <v>68.0</v>
      </c>
      <c r="E755" s="52" t="s">
        <v>25</v>
      </c>
      <c r="F755" s="52" t="s">
        <v>26</v>
      </c>
      <c r="G755" s="53"/>
    </row>
    <row r="756">
      <c r="A756" s="49">
        <v>44520.516581435186</v>
      </c>
      <c r="B756" s="50">
        <v>44520.6415547916</v>
      </c>
      <c r="C756" s="51">
        <v>1.056</v>
      </c>
      <c r="D756" s="51">
        <v>68.0</v>
      </c>
      <c r="E756" s="52" t="s">
        <v>25</v>
      </c>
      <c r="F756" s="52" t="s">
        <v>26</v>
      </c>
      <c r="G756" s="53"/>
    </row>
    <row r="757">
      <c r="A757" s="49">
        <v>44520.526999849535</v>
      </c>
      <c r="B757" s="50">
        <v>44520.6519755092</v>
      </c>
      <c r="C757" s="51">
        <v>1.056</v>
      </c>
      <c r="D757" s="51">
        <v>68.0</v>
      </c>
      <c r="E757" s="52" t="s">
        <v>25</v>
      </c>
      <c r="F757" s="52" t="s">
        <v>26</v>
      </c>
      <c r="G757" s="53"/>
    </row>
    <row r="758">
      <c r="A758" s="49">
        <v>44520.53743311342</v>
      </c>
      <c r="B758" s="50">
        <v>44520.6624083333</v>
      </c>
      <c r="C758" s="51">
        <v>1.056</v>
      </c>
      <c r="D758" s="51">
        <v>68.0</v>
      </c>
      <c r="E758" s="52" t="s">
        <v>25</v>
      </c>
      <c r="F758" s="52" t="s">
        <v>26</v>
      </c>
      <c r="G758" s="53"/>
    </row>
    <row r="759">
      <c r="A759" s="49">
        <v>44520.54785700231</v>
      </c>
      <c r="B759" s="50">
        <v>44520.6728303125</v>
      </c>
      <c r="C759" s="51">
        <v>1.056</v>
      </c>
      <c r="D759" s="51">
        <v>68.0</v>
      </c>
      <c r="E759" s="52" t="s">
        <v>25</v>
      </c>
      <c r="F759" s="52" t="s">
        <v>26</v>
      </c>
      <c r="G759" s="53"/>
    </row>
    <row r="760">
      <c r="A760" s="49">
        <v>44520.55827538195</v>
      </c>
      <c r="B760" s="50">
        <v>44520.6832524189</v>
      </c>
      <c r="C760" s="51">
        <v>1.056</v>
      </c>
      <c r="D760" s="51">
        <v>68.0</v>
      </c>
      <c r="E760" s="52" t="s">
        <v>25</v>
      </c>
      <c r="F760" s="52" t="s">
        <v>26</v>
      </c>
      <c r="G760" s="53"/>
    </row>
    <row r="761">
      <c r="A761" s="49">
        <v>44520.568696365735</v>
      </c>
      <c r="B761" s="50">
        <v>44520.6936735879</v>
      </c>
      <c r="C761" s="51">
        <v>1.056</v>
      </c>
      <c r="D761" s="51">
        <v>69.0</v>
      </c>
      <c r="E761" s="52" t="s">
        <v>25</v>
      </c>
      <c r="F761" s="52" t="s">
        <v>26</v>
      </c>
      <c r="G761" s="53"/>
    </row>
    <row r="762">
      <c r="A762" s="49">
        <v>44520.57911842593</v>
      </c>
      <c r="B762" s="50">
        <v>44520.7040956597</v>
      </c>
      <c r="C762" s="51">
        <v>1.056</v>
      </c>
      <c r="D762" s="51">
        <v>68.0</v>
      </c>
      <c r="E762" s="52" t="s">
        <v>25</v>
      </c>
      <c r="F762" s="52" t="s">
        <v>26</v>
      </c>
      <c r="G762" s="53"/>
    </row>
    <row r="763">
      <c r="A763" s="49">
        <v>44520.58953193287</v>
      </c>
      <c r="B763" s="50">
        <v>44520.7145159027</v>
      </c>
      <c r="C763" s="51">
        <v>1.056</v>
      </c>
      <c r="D763" s="51">
        <v>68.0</v>
      </c>
      <c r="E763" s="52" t="s">
        <v>25</v>
      </c>
      <c r="F763" s="52" t="s">
        <v>26</v>
      </c>
      <c r="G763" s="53"/>
    </row>
    <row r="764">
      <c r="A764" s="49">
        <v>44520.59996037037</v>
      </c>
      <c r="B764" s="50">
        <v>44520.7249369907</v>
      </c>
      <c r="C764" s="51">
        <v>1.056</v>
      </c>
      <c r="D764" s="51">
        <v>68.0</v>
      </c>
      <c r="E764" s="52" t="s">
        <v>25</v>
      </c>
      <c r="F764" s="52" t="s">
        <v>26</v>
      </c>
      <c r="G764" s="53"/>
    </row>
    <row r="765">
      <c r="A765" s="49">
        <v>44520.61037664352</v>
      </c>
      <c r="B765" s="50">
        <v>44520.7353593865</v>
      </c>
      <c r="C765" s="51">
        <v>1.056</v>
      </c>
      <c r="D765" s="51">
        <v>68.0</v>
      </c>
      <c r="E765" s="52" t="s">
        <v>25</v>
      </c>
      <c r="F765" s="52" t="s">
        <v>26</v>
      </c>
      <c r="G765" s="53"/>
    </row>
    <row r="766">
      <c r="A766" s="49">
        <v>44520.62080659722</v>
      </c>
      <c r="B766" s="50">
        <v>44520.7457820949</v>
      </c>
      <c r="C766" s="51">
        <v>1.056</v>
      </c>
      <c r="D766" s="51">
        <v>68.0</v>
      </c>
      <c r="E766" s="52" t="s">
        <v>25</v>
      </c>
      <c r="F766" s="52" t="s">
        <v>26</v>
      </c>
      <c r="G766" s="53"/>
    </row>
    <row r="767">
      <c r="A767" s="49">
        <v>44520.631221828706</v>
      </c>
      <c r="B767" s="50">
        <v>44520.7562015393</v>
      </c>
      <c r="C767" s="51">
        <v>1.056</v>
      </c>
      <c r="D767" s="51">
        <v>69.0</v>
      </c>
      <c r="E767" s="52" t="s">
        <v>25</v>
      </c>
      <c r="F767" s="52" t="s">
        <v>26</v>
      </c>
      <c r="G767" s="53"/>
    </row>
    <row r="768">
      <c r="A768" s="49">
        <v>44520.64165543982</v>
      </c>
      <c r="B768" s="50">
        <v>44520.7666240625</v>
      </c>
      <c r="C768" s="51">
        <v>1.056</v>
      </c>
      <c r="D768" s="51">
        <v>68.0</v>
      </c>
      <c r="E768" s="52" t="s">
        <v>25</v>
      </c>
      <c r="F768" s="52" t="s">
        <v>26</v>
      </c>
      <c r="G768" s="53"/>
    </row>
    <row r="769">
      <c r="A769" s="49">
        <v>44520.652064953705</v>
      </c>
      <c r="B769" s="50">
        <v>44520.777045868</v>
      </c>
      <c r="C769" s="51">
        <v>1.056</v>
      </c>
      <c r="D769" s="51">
        <v>68.0</v>
      </c>
      <c r="E769" s="52" t="s">
        <v>25</v>
      </c>
      <c r="F769" s="52" t="s">
        <v>26</v>
      </c>
      <c r="G769" s="53"/>
    </row>
    <row r="770">
      <c r="A770" s="49">
        <v>44520.66249553241</v>
      </c>
      <c r="B770" s="50">
        <v>44520.7874760879</v>
      </c>
      <c r="C770" s="51">
        <v>1.056</v>
      </c>
      <c r="D770" s="51">
        <v>69.0</v>
      </c>
      <c r="E770" s="52" t="s">
        <v>25</v>
      </c>
      <c r="F770" s="52" t="s">
        <v>26</v>
      </c>
      <c r="G770" s="53"/>
    </row>
    <row r="771">
      <c r="A771" s="49">
        <v>44520.67292182871</v>
      </c>
      <c r="B771" s="50">
        <v>44520.7978964583</v>
      </c>
      <c r="C771" s="51">
        <v>1.055</v>
      </c>
      <c r="D771" s="51">
        <v>68.0</v>
      </c>
      <c r="E771" s="52" t="s">
        <v>25</v>
      </c>
      <c r="F771" s="52" t="s">
        <v>26</v>
      </c>
      <c r="G771" s="53"/>
    </row>
    <row r="772">
      <c r="A772" s="49">
        <v>44520.68333487269</v>
      </c>
      <c r="B772" s="50">
        <v>44520.8083166435</v>
      </c>
      <c r="C772" s="51">
        <v>1.055</v>
      </c>
      <c r="D772" s="51">
        <v>68.0</v>
      </c>
      <c r="E772" s="52" t="s">
        <v>25</v>
      </c>
      <c r="F772" s="52" t="s">
        <v>26</v>
      </c>
      <c r="G772" s="53"/>
    </row>
    <row r="773">
      <c r="A773" s="49">
        <v>44520.69376144676</v>
      </c>
      <c r="B773" s="50">
        <v>44520.8187376388</v>
      </c>
      <c r="C773" s="51">
        <v>1.055</v>
      </c>
      <c r="D773" s="51">
        <v>69.0</v>
      </c>
      <c r="E773" s="52" t="s">
        <v>25</v>
      </c>
      <c r="F773" s="52" t="s">
        <v>26</v>
      </c>
      <c r="G773" s="53"/>
    </row>
    <row r="774">
      <c r="A774" s="49">
        <v>44520.70418703704</v>
      </c>
      <c r="B774" s="50">
        <v>44520.8291683217</v>
      </c>
      <c r="C774" s="51">
        <v>1.055</v>
      </c>
      <c r="D774" s="51">
        <v>68.0</v>
      </c>
      <c r="E774" s="52" t="s">
        <v>25</v>
      </c>
      <c r="F774" s="52" t="s">
        <v>26</v>
      </c>
      <c r="G774" s="53"/>
    </row>
    <row r="775">
      <c r="A775" s="49">
        <v>44520.71460287037</v>
      </c>
      <c r="B775" s="50">
        <v>44520.8395883796</v>
      </c>
      <c r="C775" s="51">
        <v>1.055</v>
      </c>
      <c r="D775" s="51">
        <v>69.0</v>
      </c>
      <c r="E775" s="52" t="s">
        <v>25</v>
      </c>
      <c r="F775" s="52" t="s">
        <v>26</v>
      </c>
      <c r="G775" s="53"/>
    </row>
    <row r="776">
      <c r="A776" s="49">
        <v>44520.72504554398</v>
      </c>
      <c r="B776" s="50">
        <v>44520.8500216551</v>
      </c>
      <c r="C776" s="51">
        <v>1.055</v>
      </c>
      <c r="D776" s="51">
        <v>68.0</v>
      </c>
      <c r="E776" s="52" t="s">
        <v>25</v>
      </c>
      <c r="F776" s="52" t="s">
        <v>26</v>
      </c>
      <c r="G776" s="53"/>
    </row>
    <row r="777">
      <c r="A777" s="49">
        <v>44520.735460578704</v>
      </c>
      <c r="B777" s="50">
        <v>44520.8604416319</v>
      </c>
      <c r="C777" s="51">
        <v>1.055</v>
      </c>
      <c r="D777" s="51">
        <v>68.0</v>
      </c>
      <c r="E777" s="52" t="s">
        <v>25</v>
      </c>
      <c r="F777" s="52" t="s">
        <v>26</v>
      </c>
      <c r="G777" s="53"/>
    </row>
    <row r="778">
      <c r="A778" s="49">
        <v>44520.745884502314</v>
      </c>
      <c r="B778" s="50">
        <v>44520.8708606134</v>
      </c>
      <c r="C778" s="51">
        <v>1.055</v>
      </c>
      <c r="D778" s="51">
        <v>69.0</v>
      </c>
      <c r="E778" s="52" t="s">
        <v>25</v>
      </c>
      <c r="F778" s="52" t="s">
        <v>26</v>
      </c>
      <c r="G778" s="53"/>
    </row>
    <row r="779">
      <c r="A779" s="49">
        <v>44520.75630545139</v>
      </c>
      <c r="B779" s="50">
        <v>44520.8812811689</v>
      </c>
      <c r="C779" s="51">
        <v>1.055</v>
      </c>
      <c r="D779" s="51">
        <v>69.0</v>
      </c>
      <c r="E779" s="52" t="s">
        <v>25</v>
      </c>
      <c r="F779" s="52" t="s">
        <v>26</v>
      </c>
      <c r="G779" s="53"/>
    </row>
    <row r="780">
      <c r="A780" s="49">
        <v>44520.76673225695</v>
      </c>
      <c r="B780" s="50">
        <v>44520.89170228</v>
      </c>
      <c r="C780" s="51">
        <v>1.055</v>
      </c>
      <c r="D780" s="51">
        <v>69.0</v>
      </c>
      <c r="E780" s="52" t="s">
        <v>25</v>
      </c>
      <c r="F780" s="52" t="s">
        <v>26</v>
      </c>
      <c r="G780" s="53"/>
    </row>
    <row r="781">
      <c r="A781" s="49">
        <v>44520.77714244213</v>
      </c>
      <c r="B781" s="50">
        <v>44520.9021250925</v>
      </c>
      <c r="C781" s="51">
        <v>1.055</v>
      </c>
      <c r="D781" s="51">
        <v>69.0</v>
      </c>
      <c r="E781" s="52" t="s">
        <v>25</v>
      </c>
      <c r="F781" s="52" t="s">
        <v>26</v>
      </c>
      <c r="G781" s="53"/>
    </row>
    <row r="782">
      <c r="A782" s="49">
        <v>44520.78756946759</v>
      </c>
      <c r="B782" s="50">
        <v>44520.9125460185</v>
      </c>
      <c r="C782" s="51">
        <v>1.055</v>
      </c>
      <c r="D782" s="51">
        <v>69.0</v>
      </c>
      <c r="E782" s="52" t="s">
        <v>25</v>
      </c>
      <c r="F782" s="52" t="s">
        <v>26</v>
      </c>
      <c r="G782" s="53"/>
    </row>
    <row r="783">
      <c r="A783" s="49">
        <v>44520.7979921875</v>
      </c>
      <c r="B783" s="50">
        <v>44520.9229690856</v>
      </c>
      <c r="C783" s="51">
        <v>1.055</v>
      </c>
      <c r="D783" s="51">
        <v>69.0</v>
      </c>
      <c r="E783" s="52" t="s">
        <v>25</v>
      </c>
      <c r="F783" s="52" t="s">
        <v>26</v>
      </c>
      <c r="G783" s="53"/>
    </row>
    <row r="784">
      <c r="A784" s="49">
        <v>44520.80843275463</v>
      </c>
      <c r="B784" s="50">
        <v>44520.9334126736</v>
      </c>
      <c r="C784" s="51">
        <v>1.055</v>
      </c>
      <c r="D784" s="51">
        <v>69.0</v>
      </c>
      <c r="E784" s="52" t="s">
        <v>25</v>
      </c>
      <c r="F784" s="52" t="s">
        <v>26</v>
      </c>
      <c r="G784" s="53"/>
    </row>
    <row r="785">
      <c r="A785" s="49">
        <v>44520.8188605787</v>
      </c>
      <c r="B785" s="50">
        <v>44520.9438349421</v>
      </c>
      <c r="C785" s="51">
        <v>1.055</v>
      </c>
      <c r="D785" s="51">
        <v>69.0</v>
      </c>
      <c r="E785" s="52" t="s">
        <v>25</v>
      </c>
      <c r="F785" s="52" t="s">
        <v>26</v>
      </c>
      <c r="G785" s="53"/>
    </row>
    <row r="786">
      <c r="A786" s="49">
        <v>44520.82928021991</v>
      </c>
      <c r="B786" s="50">
        <v>44520.9542556018</v>
      </c>
      <c r="C786" s="51">
        <v>1.055</v>
      </c>
      <c r="D786" s="51">
        <v>69.0</v>
      </c>
      <c r="E786" s="52" t="s">
        <v>25</v>
      </c>
      <c r="F786" s="52" t="s">
        <v>26</v>
      </c>
      <c r="G786" s="53"/>
    </row>
    <row r="787">
      <c r="A787" s="49">
        <v>44520.839694305556</v>
      </c>
      <c r="B787" s="50">
        <v>44520.9646751273</v>
      </c>
      <c r="C787" s="51">
        <v>1.055</v>
      </c>
      <c r="D787" s="51">
        <v>69.0</v>
      </c>
      <c r="E787" s="52" t="s">
        <v>25</v>
      </c>
      <c r="F787" s="52" t="s">
        <v>26</v>
      </c>
      <c r="G787" s="53"/>
    </row>
    <row r="788">
      <c r="A788" s="49">
        <v>44520.85012462963</v>
      </c>
      <c r="B788" s="50">
        <v>44520.9750964583</v>
      </c>
      <c r="C788" s="51">
        <v>1.055</v>
      </c>
      <c r="D788" s="51">
        <v>69.0</v>
      </c>
      <c r="E788" s="52" t="s">
        <v>25</v>
      </c>
      <c r="F788" s="52" t="s">
        <v>26</v>
      </c>
      <c r="G788" s="53"/>
    </row>
    <row r="789">
      <c r="A789" s="49">
        <v>44520.86054710648</v>
      </c>
      <c r="B789" s="50">
        <v>44520.9855173842</v>
      </c>
      <c r="C789" s="51">
        <v>1.054</v>
      </c>
      <c r="D789" s="51">
        <v>69.0</v>
      </c>
      <c r="E789" s="52" t="s">
        <v>25</v>
      </c>
      <c r="F789" s="52" t="s">
        <v>26</v>
      </c>
      <c r="G789" s="53"/>
    </row>
    <row r="790">
      <c r="A790" s="49">
        <v>44520.87096616898</v>
      </c>
      <c r="B790" s="50">
        <v>44520.9959373611</v>
      </c>
      <c r="C790" s="51">
        <v>1.054</v>
      </c>
      <c r="D790" s="51">
        <v>69.0</v>
      </c>
      <c r="E790" s="52" t="s">
        <v>25</v>
      </c>
      <c r="F790" s="52" t="s">
        <v>26</v>
      </c>
      <c r="G790" s="53"/>
    </row>
    <row r="791">
      <c r="A791" s="49">
        <v>44520.881379004626</v>
      </c>
      <c r="B791" s="50">
        <v>44521.0063577546</v>
      </c>
      <c r="C791" s="51">
        <v>1.054</v>
      </c>
      <c r="D791" s="51">
        <v>69.0</v>
      </c>
      <c r="E791" s="52" t="s">
        <v>25</v>
      </c>
      <c r="F791" s="52" t="s">
        <v>26</v>
      </c>
      <c r="G791" s="53"/>
    </row>
    <row r="792">
      <c r="A792" s="49">
        <v>44520.89180359954</v>
      </c>
      <c r="B792" s="50">
        <v>44521.016779456</v>
      </c>
      <c r="C792" s="51">
        <v>1.054</v>
      </c>
      <c r="D792" s="51">
        <v>69.0</v>
      </c>
      <c r="E792" s="52" t="s">
        <v>25</v>
      </c>
      <c r="F792" s="52" t="s">
        <v>26</v>
      </c>
      <c r="G792" s="53"/>
    </row>
    <row r="793">
      <c r="A793" s="49">
        <v>44520.90222150463</v>
      </c>
      <c r="B793" s="50">
        <v>44521.0271984838</v>
      </c>
      <c r="C793" s="51">
        <v>1.054</v>
      </c>
      <c r="D793" s="51">
        <v>69.0</v>
      </c>
      <c r="E793" s="52" t="s">
        <v>25</v>
      </c>
      <c r="F793" s="52" t="s">
        <v>26</v>
      </c>
      <c r="G793" s="53"/>
    </row>
    <row r="794">
      <c r="A794" s="49">
        <v>44520.91264519676</v>
      </c>
      <c r="B794" s="50">
        <v>44521.037619699</v>
      </c>
      <c r="C794" s="51">
        <v>1.054</v>
      </c>
      <c r="D794" s="51">
        <v>69.0</v>
      </c>
      <c r="E794" s="52" t="s">
        <v>25</v>
      </c>
      <c r="F794" s="52" t="s">
        <v>26</v>
      </c>
      <c r="G794" s="53"/>
    </row>
    <row r="795">
      <c r="A795" s="49">
        <v>44520.92307636574</v>
      </c>
      <c r="B795" s="50">
        <v>44521.0480527893</v>
      </c>
      <c r="C795" s="51">
        <v>1.054</v>
      </c>
      <c r="D795" s="51">
        <v>69.0</v>
      </c>
      <c r="E795" s="52" t="s">
        <v>25</v>
      </c>
      <c r="F795" s="52" t="s">
        <v>26</v>
      </c>
      <c r="G795" s="53"/>
    </row>
    <row r="796">
      <c r="A796" s="49">
        <v>44520.93349340278</v>
      </c>
      <c r="B796" s="50">
        <v>44521.0584722106</v>
      </c>
      <c r="C796" s="51">
        <v>1.054</v>
      </c>
      <c r="D796" s="51">
        <v>68.0</v>
      </c>
      <c r="E796" s="52" t="s">
        <v>25</v>
      </c>
      <c r="F796" s="52" t="s">
        <v>26</v>
      </c>
      <c r="G796" s="53"/>
    </row>
    <row r="797">
      <c r="A797" s="49">
        <v>44520.94392987269</v>
      </c>
      <c r="B797" s="50">
        <v>44521.0689059953</v>
      </c>
      <c r="C797" s="51">
        <v>1.054</v>
      </c>
      <c r="D797" s="51">
        <v>68.0</v>
      </c>
      <c r="E797" s="52" t="s">
        <v>25</v>
      </c>
      <c r="F797" s="52" t="s">
        <v>26</v>
      </c>
      <c r="G797" s="53"/>
    </row>
    <row r="798">
      <c r="A798" s="49">
        <v>44520.95435741898</v>
      </c>
      <c r="B798" s="50">
        <v>44521.0793273726</v>
      </c>
      <c r="C798" s="51">
        <v>1.054</v>
      </c>
      <c r="D798" s="51">
        <v>68.0</v>
      </c>
      <c r="E798" s="52" t="s">
        <v>25</v>
      </c>
      <c r="F798" s="52" t="s">
        <v>26</v>
      </c>
      <c r="G798" s="53"/>
    </row>
    <row r="799">
      <c r="A799" s="49">
        <v>44520.96477990741</v>
      </c>
      <c r="B799" s="50">
        <v>44521.0897490393</v>
      </c>
      <c r="C799" s="51">
        <v>1.054</v>
      </c>
      <c r="D799" s="51">
        <v>68.0</v>
      </c>
      <c r="E799" s="52" t="s">
        <v>25</v>
      </c>
      <c r="F799" s="52" t="s">
        <v>26</v>
      </c>
      <c r="G799" s="53"/>
    </row>
    <row r="800">
      <c r="A800" s="49">
        <v>44520.97519215278</v>
      </c>
      <c r="B800" s="50">
        <v>44521.1001702777</v>
      </c>
      <c r="C800" s="51">
        <v>1.054</v>
      </c>
      <c r="D800" s="51">
        <v>68.0</v>
      </c>
      <c r="E800" s="52" t="s">
        <v>25</v>
      </c>
      <c r="F800" s="52" t="s">
        <v>26</v>
      </c>
      <c r="G800" s="53"/>
    </row>
    <row r="801">
      <c r="A801" s="49">
        <v>44520.985621678235</v>
      </c>
      <c r="B801" s="50">
        <v>44521.1105919097</v>
      </c>
      <c r="C801" s="51">
        <v>1.054</v>
      </c>
      <c r="D801" s="51">
        <v>68.0</v>
      </c>
      <c r="E801" s="52" t="s">
        <v>25</v>
      </c>
      <c r="F801" s="52" t="s">
        <v>26</v>
      </c>
      <c r="G801" s="53"/>
    </row>
    <row r="802">
      <c r="A802" s="49">
        <v>44520.99603135417</v>
      </c>
      <c r="B802" s="50">
        <v>44521.1210148148</v>
      </c>
      <c r="C802" s="51">
        <v>1.054</v>
      </c>
      <c r="D802" s="51">
        <v>69.0</v>
      </c>
      <c r="E802" s="52" t="s">
        <v>25</v>
      </c>
      <c r="F802" s="52" t="s">
        <v>26</v>
      </c>
      <c r="G802" s="53"/>
    </row>
    <row r="803">
      <c r="A803" s="49">
        <v>44521.006458564814</v>
      </c>
      <c r="B803" s="50">
        <v>44521.1314346759</v>
      </c>
      <c r="C803" s="51">
        <v>1.054</v>
      </c>
      <c r="D803" s="51">
        <v>69.0</v>
      </c>
      <c r="E803" s="52" t="s">
        <v>25</v>
      </c>
      <c r="F803" s="52" t="s">
        <v>26</v>
      </c>
      <c r="G803" s="53"/>
    </row>
    <row r="804">
      <c r="A804" s="49">
        <v>44521.016885474535</v>
      </c>
      <c r="B804" s="50">
        <v>44521.1418678472</v>
      </c>
      <c r="C804" s="51">
        <v>1.054</v>
      </c>
      <c r="D804" s="51">
        <v>68.0</v>
      </c>
      <c r="E804" s="52" t="s">
        <v>25</v>
      </c>
      <c r="F804" s="52" t="s">
        <v>26</v>
      </c>
      <c r="G804" s="53"/>
    </row>
    <row r="805">
      <c r="A805" s="49">
        <v>44521.0273130787</v>
      </c>
      <c r="B805" s="50">
        <v>44521.1522874652</v>
      </c>
      <c r="C805" s="51">
        <v>1.053</v>
      </c>
      <c r="D805" s="51">
        <v>68.0</v>
      </c>
      <c r="E805" s="52" t="s">
        <v>25</v>
      </c>
      <c r="F805" s="52" t="s">
        <v>26</v>
      </c>
      <c r="G805" s="53"/>
    </row>
    <row r="806">
      <c r="A806" s="49">
        <v>44521.03774137731</v>
      </c>
      <c r="B806" s="50">
        <v>44521.1627215393</v>
      </c>
      <c r="C806" s="51">
        <v>1.053</v>
      </c>
      <c r="D806" s="51">
        <v>68.0</v>
      </c>
      <c r="E806" s="52" t="s">
        <v>25</v>
      </c>
      <c r="F806" s="52" t="s">
        <v>26</v>
      </c>
      <c r="G806" s="53"/>
    </row>
    <row r="807">
      <c r="A807" s="49">
        <v>44521.0481784375</v>
      </c>
      <c r="B807" s="50">
        <v>44521.1731552546</v>
      </c>
      <c r="C807" s="51">
        <v>1.053</v>
      </c>
      <c r="D807" s="51">
        <v>68.0</v>
      </c>
      <c r="E807" s="52" t="s">
        <v>25</v>
      </c>
      <c r="F807" s="52" t="s">
        <v>26</v>
      </c>
      <c r="G807" s="53"/>
    </row>
    <row r="808">
      <c r="A808" s="49">
        <v>44521.0585999537</v>
      </c>
      <c r="B808" s="50">
        <v>44521.1835749884</v>
      </c>
      <c r="C808" s="51">
        <v>1.053</v>
      </c>
      <c r="D808" s="51">
        <v>68.0</v>
      </c>
      <c r="E808" s="52" t="s">
        <v>25</v>
      </c>
      <c r="F808" s="52" t="s">
        <v>26</v>
      </c>
      <c r="G808" s="53"/>
    </row>
    <row r="809">
      <c r="A809" s="49">
        <v>44521.06902215278</v>
      </c>
      <c r="B809" s="50">
        <v>44521.1939957291</v>
      </c>
      <c r="C809" s="51">
        <v>1.053</v>
      </c>
      <c r="D809" s="51">
        <v>68.0</v>
      </c>
      <c r="E809" s="52" t="s">
        <v>25</v>
      </c>
      <c r="F809" s="52" t="s">
        <v>26</v>
      </c>
      <c r="G809" s="53"/>
    </row>
    <row r="810">
      <c r="A810" s="49">
        <v>44521.0794906713</v>
      </c>
      <c r="B810" s="50">
        <v>44521.2044163078</v>
      </c>
      <c r="C810" s="51">
        <v>1.053</v>
      </c>
      <c r="D810" s="51">
        <v>68.0</v>
      </c>
      <c r="E810" s="52" t="s">
        <v>25</v>
      </c>
      <c r="F810" s="52" t="s">
        <v>26</v>
      </c>
      <c r="G810" s="53"/>
    </row>
    <row r="811">
      <c r="A811" s="49">
        <v>44521.08985809028</v>
      </c>
      <c r="B811" s="50">
        <v>44521.2148387615</v>
      </c>
      <c r="C811" s="51">
        <v>1.053</v>
      </c>
      <c r="D811" s="51">
        <v>68.0</v>
      </c>
      <c r="E811" s="52" t="s">
        <v>25</v>
      </c>
      <c r="F811" s="52" t="s">
        <v>26</v>
      </c>
      <c r="G811" s="53"/>
    </row>
    <row r="812">
      <c r="A812" s="49">
        <v>44521.10027957176</v>
      </c>
      <c r="B812" s="50">
        <v>44521.2252598263</v>
      </c>
      <c r="C812" s="51">
        <v>1.053</v>
      </c>
      <c r="D812" s="51">
        <v>68.0</v>
      </c>
      <c r="E812" s="52" t="s">
        <v>25</v>
      </c>
      <c r="F812" s="52" t="s">
        <v>26</v>
      </c>
      <c r="G812" s="53"/>
    </row>
    <row r="813">
      <c r="A813" s="49">
        <v>44521.11070672453</v>
      </c>
      <c r="B813" s="50">
        <v>44521.2356821412</v>
      </c>
      <c r="C813" s="51">
        <v>1.053</v>
      </c>
      <c r="D813" s="51">
        <v>68.0</v>
      </c>
      <c r="E813" s="52" t="s">
        <v>25</v>
      </c>
      <c r="F813" s="52" t="s">
        <v>26</v>
      </c>
      <c r="G813" s="53"/>
    </row>
    <row r="814">
      <c r="A814" s="49">
        <v>44521.121119814816</v>
      </c>
      <c r="B814" s="50">
        <v>44521.2461044097</v>
      </c>
      <c r="C814" s="51">
        <v>1.053</v>
      </c>
      <c r="D814" s="51">
        <v>68.0</v>
      </c>
      <c r="E814" s="52" t="s">
        <v>25</v>
      </c>
      <c r="F814" s="52" t="s">
        <v>26</v>
      </c>
      <c r="G814" s="53"/>
    </row>
    <row r="815">
      <c r="A815" s="49">
        <v>44521.13154537037</v>
      </c>
      <c r="B815" s="50">
        <v>44521.2565244907</v>
      </c>
      <c r="C815" s="51">
        <v>1.053</v>
      </c>
      <c r="D815" s="51">
        <v>68.0</v>
      </c>
      <c r="E815" s="52" t="s">
        <v>25</v>
      </c>
      <c r="F815" s="52" t="s">
        <v>26</v>
      </c>
      <c r="G815" s="53"/>
    </row>
    <row r="816">
      <c r="A816" s="49">
        <v>44521.1419855787</v>
      </c>
      <c r="B816" s="50">
        <v>44521.2669577662</v>
      </c>
      <c r="C816" s="51">
        <v>1.053</v>
      </c>
      <c r="D816" s="51">
        <v>68.0</v>
      </c>
      <c r="E816" s="52" t="s">
        <v>25</v>
      </c>
      <c r="F816" s="52" t="s">
        <v>26</v>
      </c>
      <c r="G816" s="53"/>
    </row>
    <row r="817">
      <c r="A817" s="49">
        <v>44521.15240619213</v>
      </c>
      <c r="B817" s="50">
        <v>44521.2773790393</v>
      </c>
      <c r="C817" s="51">
        <v>1.053</v>
      </c>
      <c r="D817" s="51">
        <v>68.0</v>
      </c>
      <c r="E817" s="52" t="s">
        <v>25</v>
      </c>
      <c r="F817" s="52" t="s">
        <v>26</v>
      </c>
      <c r="G817" s="53"/>
    </row>
    <row r="818">
      <c r="A818" s="49">
        <v>44521.16282402778</v>
      </c>
      <c r="B818" s="50">
        <v>44521.2878000231</v>
      </c>
      <c r="C818" s="51">
        <v>1.053</v>
      </c>
      <c r="D818" s="51">
        <v>68.0</v>
      </c>
      <c r="E818" s="52" t="s">
        <v>25</v>
      </c>
      <c r="F818" s="52" t="s">
        <v>26</v>
      </c>
      <c r="G818" s="53"/>
    </row>
    <row r="819">
      <c r="A819" s="49">
        <v>44521.173240856486</v>
      </c>
      <c r="B819" s="50">
        <v>44521.2982193518</v>
      </c>
      <c r="C819" s="51">
        <v>1.053</v>
      </c>
      <c r="D819" s="51">
        <v>68.0</v>
      </c>
      <c r="E819" s="52" t="s">
        <v>25</v>
      </c>
      <c r="F819" s="52" t="s">
        <v>26</v>
      </c>
      <c r="G819" s="53"/>
    </row>
    <row r="820">
      <c r="A820" s="49">
        <v>44521.18366688657</v>
      </c>
      <c r="B820" s="50">
        <v>44521.3086411574</v>
      </c>
      <c r="C820" s="51">
        <v>1.053</v>
      </c>
      <c r="D820" s="51">
        <v>68.0</v>
      </c>
      <c r="E820" s="52" t="s">
        <v>25</v>
      </c>
      <c r="F820" s="52" t="s">
        <v>26</v>
      </c>
      <c r="G820" s="53"/>
    </row>
    <row r="821">
      <c r="A821" s="49">
        <v>44521.19408046296</v>
      </c>
      <c r="B821" s="50">
        <v>44521.3190636574</v>
      </c>
      <c r="C821" s="51">
        <v>1.053</v>
      </c>
      <c r="D821" s="51">
        <v>68.0</v>
      </c>
      <c r="E821" s="52" t="s">
        <v>25</v>
      </c>
      <c r="F821" s="52" t="s">
        <v>26</v>
      </c>
      <c r="G821" s="53"/>
    </row>
    <row r="822">
      <c r="A822" s="49">
        <v>44521.20450665509</v>
      </c>
      <c r="B822" s="50">
        <v>44521.3294843865</v>
      </c>
      <c r="C822" s="51">
        <v>1.053</v>
      </c>
      <c r="D822" s="51">
        <v>68.0</v>
      </c>
      <c r="E822" s="52" t="s">
        <v>25</v>
      </c>
      <c r="F822" s="52" t="s">
        <v>26</v>
      </c>
      <c r="G822" s="53"/>
    </row>
    <row r="823">
      <c r="A823" s="49">
        <v>44521.214926342596</v>
      </c>
      <c r="B823" s="50">
        <v>44521.3399041087</v>
      </c>
      <c r="C823" s="51">
        <v>1.053</v>
      </c>
      <c r="D823" s="51">
        <v>68.0</v>
      </c>
      <c r="E823" s="52" t="s">
        <v>25</v>
      </c>
      <c r="F823" s="52" t="s">
        <v>26</v>
      </c>
      <c r="G823" s="53"/>
    </row>
    <row r="824">
      <c r="A824" s="49">
        <v>44521.22534896991</v>
      </c>
      <c r="B824" s="50">
        <v>44521.3503253356</v>
      </c>
      <c r="C824" s="51">
        <v>1.053</v>
      </c>
      <c r="D824" s="51">
        <v>68.0</v>
      </c>
      <c r="E824" s="52" t="s">
        <v>25</v>
      </c>
      <c r="F824" s="52" t="s">
        <v>26</v>
      </c>
      <c r="G824" s="53"/>
    </row>
    <row r="825">
      <c r="A825" s="49">
        <v>44521.235766875005</v>
      </c>
      <c r="B825" s="50">
        <v>44521.3607451967</v>
      </c>
      <c r="C825" s="51">
        <v>1.053</v>
      </c>
      <c r="D825" s="51">
        <v>68.0</v>
      </c>
      <c r="E825" s="52" t="s">
        <v>25</v>
      </c>
      <c r="F825" s="52" t="s">
        <v>26</v>
      </c>
      <c r="G825" s="53"/>
    </row>
    <row r="826">
      <c r="A826" s="49">
        <v>44521.24618690972</v>
      </c>
      <c r="B826" s="50">
        <v>44521.3711658564</v>
      </c>
      <c r="C826" s="51">
        <v>1.052</v>
      </c>
      <c r="D826" s="51">
        <v>68.0</v>
      </c>
      <c r="E826" s="52" t="s">
        <v>25</v>
      </c>
      <c r="F826" s="52" t="s">
        <v>26</v>
      </c>
      <c r="G826" s="53"/>
    </row>
    <row r="827">
      <c r="A827" s="49">
        <v>44521.25662402778</v>
      </c>
      <c r="B827" s="50">
        <v>44521.3816003125</v>
      </c>
      <c r="C827" s="51">
        <v>1.052</v>
      </c>
      <c r="D827" s="51">
        <v>68.0</v>
      </c>
      <c r="E827" s="52" t="s">
        <v>25</v>
      </c>
      <c r="F827" s="52" t="s">
        <v>26</v>
      </c>
      <c r="G827" s="53"/>
    </row>
    <row r="828">
      <c r="A828" s="49">
        <v>44521.26704929398</v>
      </c>
      <c r="B828" s="50">
        <v>44521.3920224189</v>
      </c>
      <c r="C828" s="51">
        <v>1.052</v>
      </c>
      <c r="D828" s="51">
        <v>68.0</v>
      </c>
      <c r="E828" s="52" t="s">
        <v>25</v>
      </c>
      <c r="F828" s="52" t="s">
        <v>26</v>
      </c>
      <c r="G828" s="53"/>
    </row>
    <row r="829">
      <c r="A829" s="49">
        <v>44521.27746681713</v>
      </c>
      <c r="B829" s="50">
        <v>44521.4024450347</v>
      </c>
      <c r="C829" s="51">
        <v>1.052</v>
      </c>
      <c r="D829" s="51">
        <v>68.0</v>
      </c>
      <c r="E829" s="52" t="s">
        <v>25</v>
      </c>
      <c r="F829" s="52" t="s">
        <v>26</v>
      </c>
      <c r="G829" s="53"/>
    </row>
    <row r="830">
      <c r="A830" s="49">
        <v>44521.287907962964</v>
      </c>
      <c r="B830" s="50">
        <v>44521.4128766666</v>
      </c>
      <c r="C830" s="51">
        <v>1.052</v>
      </c>
      <c r="D830" s="51">
        <v>68.0</v>
      </c>
      <c r="E830" s="52" t="s">
        <v>25</v>
      </c>
      <c r="F830" s="52" t="s">
        <v>26</v>
      </c>
      <c r="G830" s="53"/>
    </row>
    <row r="831">
      <c r="A831" s="49">
        <v>44521.29832111111</v>
      </c>
      <c r="B831" s="50">
        <v>44521.4232976504</v>
      </c>
      <c r="C831" s="51">
        <v>1.052</v>
      </c>
      <c r="D831" s="51">
        <v>68.0</v>
      </c>
      <c r="E831" s="52" t="s">
        <v>25</v>
      </c>
      <c r="F831" s="52" t="s">
        <v>26</v>
      </c>
      <c r="G831" s="53"/>
    </row>
    <row r="832">
      <c r="A832" s="49">
        <v>44521.30874331019</v>
      </c>
      <c r="B832" s="50">
        <v>44521.4337197222</v>
      </c>
      <c r="C832" s="51">
        <v>1.052</v>
      </c>
      <c r="D832" s="51">
        <v>68.0</v>
      </c>
      <c r="E832" s="52" t="s">
        <v>25</v>
      </c>
      <c r="F832" s="52" t="s">
        <v>26</v>
      </c>
      <c r="G832" s="53"/>
    </row>
    <row r="833">
      <c r="A833" s="49">
        <v>44521.31916196759</v>
      </c>
      <c r="B833" s="50">
        <v>44521.4441399536</v>
      </c>
      <c r="C833" s="51">
        <v>1.052</v>
      </c>
      <c r="D833" s="51">
        <v>68.0</v>
      </c>
      <c r="E833" s="52" t="s">
        <v>25</v>
      </c>
      <c r="F833" s="52" t="s">
        <v>26</v>
      </c>
      <c r="G833" s="53"/>
    </row>
    <row r="834">
      <c r="A834" s="49">
        <v>44521.32959171296</v>
      </c>
      <c r="B834" s="50">
        <v>44521.4545612615</v>
      </c>
      <c r="C834" s="51">
        <v>1.052</v>
      </c>
      <c r="D834" s="51">
        <v>68.0</v>
      </c>
      <c r="E834" s="52" t="s">
        <v>25</v>
      </c>
      <c r="F834" s="52" t="s">
        <v>26</v>
      </c>
      <c r="G834" s="53"/>
    </row>
    <row r="835">
      <c r="A835" s="49">
        <v>44521.340009224536</v>
      </c>
      <c r="B835" s="50">
        <v>44521.4649832291</v>
      </c>
      <c r="C835" s="51">
        <v>1.052</v>
      </c>
      <c r="D835" s="51">
        <v>68.0</v>
      </c>
      <c r="E835" s="52" t="s">
        <v>25</v>
      </c>
      <c r="F835" s="52" t="s">
        <v>26</v>
      </c>
      <c r="G835" s="53"/>
    </row>
    <row r="836">
      <c r="A836" s="49">
        <v>44521.3504306713</v>
      </c>
      <c r="B836" s="50">
        <v>44521.4754045949</v>
      </c>
      <c r="C836" s="51">
        <v>1.052</v>
      </c>
      <c r="D836" s="51">
        <v>68.0</v>
      </c>
      <c r="E836" s="52" t="s">
        <v>25</v>
      </c>
      <c r="F836" s="52" t="s">
        <v>26</v>
      </c>
      <c r="G836" s="53"/>
    </row>
    <row r="837">
      <c r="A837" s="49">
        <v>44521.36084405093</v>
      </c>
      <c r="B837" s="50">
        <v>44521.4858259259</v>
      </c>
      <c r="C837" s="51">
        <v>1.052</v>
      </c>
      <c r="D837" s="51">
        <v>68.0</v>
      </c>
      <c r="E837" s="52" t="s">
        <v>25</v>
      </c>
      <c r="F837" s="52" t="s">
        <v>26</v>
      </c>
      <c r="G837" s="53"/>
    </row>
    <row r="838">
      <c r="A838" s="49">
        <v>44521.37127498843</v>
      </c>
      <c r="B838" s="50">
        <v>44521.4962488657</v>
      </c>
      <c r="C838" s="51">
        <v>1.052</v>
      </c>
      <c r="D838" s="51">
        <v>68.0</v>
      </c>
      <c r="E838" s="52" t="s">
        <v>25</v>
      </c>
      <c r="F838" s="52" t="s">
        <v>26</v>
      </c>
      <c r="G838" s="53"/>
    </row>
    <row r="839">
      <c r="A839" s="49">
        <v>44521.38170017361</v>
      </c>
      <c r="B839" s="50">
        <v>44521.5066704166</v>
      </c>
      <c r="C839" s="51">
        <v>1.052</v>
      </c>
      <c r="D839" s="51">
        <v>68.0</v>
      </c>
      <c r="E839" s="52" t="s">
        <v>25</v>
      </c>
      <c r="F839" s="52" t="s">
        <v>26</v>
      </c>
      <c r="G839" s="53"/>
    </row>
    <row r="840">
      <c r="A840" s="49">
        <v>44521.39212715278</v>
      </c>
      <c r="B840" s="50">
        <v>44521.5170916087</v>
      </c>
      <c r="C840" s="51">
        <v>1.052</v>
      </c>
      <c r="D840" s="51">
        <v>68.0</v>
      </c>
      <c r="E840" s="52" t="s">
        <v>25</v>
      </c>
      <c r="F840" s="52" t="s">
        <v>26</v>
      </c>
      <c r="G840" s="53"/>
    </row>
    <row r="841">
      <c r="A841" s="49">
        <v>44521.40254127315</v>
      </c>
      <c r="B841" s="50">
        <v>44521.5275129398</v>
      </c>
      <c r="C841" s="51">
        <v>1.052</v>
      </c>
      <c r="D841" s="51">
        <v>68.0</v>
      </c>
      <c r="E841" s="52" t="s">
        <v>25</v>
      </c>
      <c r="F841" s="52" t="s">
        <v>26</v>
      </c>
      <c r="G841" s="53"/>
    </row>
    <row r="842">
      <c r="A842" s="49">
        <v>44521.412950694445</v>
      </c>
      <c r="B842" s="50">
        <v>44521.5379342013</v>
      </c>
      <c r="C842" s="51">
        <v>1.052</v>
      </c>
      <c r="D842" s="51">
        <v>68.0</v>
      </c>
      <c r="E842" s="52" t="s">
        <v>25</v>
      </c>
      <c r="F842" s="52" t="s">
        <v>26</v>
      </c>
      <c r="G842" s="53"/>
    </row>
    <row r="843">
      <c r="A843" s="49">
        <v>44521.423396122686</v>
      </c>
      <c r="B843" s="50">
        <v>44521.5483784143</v>
      </c>
      <c r="C843" s="51">
        <v>1.052</v>
      </c>
      <c r="D843" s="51">
        <v>69.0</v>
      </c>
      <c r="E843" s="52" t="s">
        <v>25</v>
      </c>
      <c r="F843" s="52" t="s">
        <v>26</v>
      </c>
      <c r="G843" s="53"/>
    </row>
    <row r="844">
      <c r="A844" s="49">
        <v>44521.43382189814</v>
      </c>
      <c r="B844" s="50">
        <v>44521.5587976851</v>
      </c>
      <c r="C844" s="51">
        <v>1.052</v>
      </c>
      <c r="D844" s="51">
        <v>68.0</v>
      </c>
      <c r="E844" s="52" t="s">
        <v>25</v>
      </c>
      <c r="F844" s="52" t="s">
        <v>26</v>
      </c>
      <c r="G844" s="53"/>
    </row>
    <row r="845">
      <c r="A845" s="49">
        <v>44521.44424537037</v>
      </c>
      <c r="B845" s="50">
        <v>44521.5692198495</v>
      </c>
      <c r="C845" s="51">
        <v>1.051</v>
      </c>
      <c r="D845" s="51">
        <v>68.0</v>
      </c>
      <c r="E845" s="52" t="s">
        <v>25</v>
      </c>
      <c r="F845" s="52" t="s">
        <v>26</v>
      </c>
      <c r="G845" s="53"/>
    </row>
    <row r="846">
      <c r="A846" s="49">
        <v>44521.454660752315</v>
      </c>
      <c r="B846" s="50">
        <v>44521.5796395717</v>
      </c>
      <c r="C846" s="51">
        <v>1.051</v>
      </c>
      <c r="D846" s="51">
        <v>68.0</v>
      </c>
      <c r="E846" s="52" t="s">
        <v>25</v>
      </c>
      <c r="F846" s="52" t="s">
        <v>26</v>
      </c>
      <c r="G846" s="53"/>
    </row>
    <row r="847">
      <c r="A847" s="49">
        <v>44521.46507789352</v>
      </c>
      <c r="B847" s="50">
        <v>44521.5900601041</v>
      </c>
      <c r="C847" s="51">
        <v>1.052</v>
      </c>
      <c r="D847" s="51">
        <v>68.0</v>
      </c>
      <c r="E847" s="52" t="s">
        <v>25</v>
      </c>
      <c r="F847" s="52" t="s">
        <v>26</v>
      </c>
      <c r="G847" s="53"/>
    </row>
    <row r="848">
      <c r="A848" s="49">
        <v>44521.47550818287</v>
      </c>
      <c r="B848" s="50">
        <v>44521.600480405</v>
      </c>
      <c r="C848" s="51">
        <v>1.051</v>
      </c>
      <c r="D848" s="51">
        <v>68.0</v>
      </c>
      <c r="E848" s="52" t="s">
        <v>25</v>
      </c>
      <c r="F848" s="52" t="s">
        <v>26</v>
      </c>
      <c r="G848" s="53"/>
    </row>
    <row r="849">
      <c r="A849" s="49">
        <v>44521.48592413194</v>
      </c>
      <c r="B849" s="50">
        <v>44521.6109005208</v>
      </c>
      <c r="C849" s="51">
        <v>1.051</v>
      </c>
      <c r="D849" s="51">
        <v>68.0</v>
      </c>
      <c r="E849" s="52" t="s">
        <v>25</v>
      </c>
      <c r="F849" s="52" t="s">
        <v>26</v>
      </c>
      <c r="G849" s="53"/>
    </row>
    <row r="850">
      <c r="A850" s="49">
        <v>44521.49633981481</v>
      </c>
      <c r="B850" s="50">
        <v>44521.6213217824</v>
      </c>
      <c r="C850" s="51">
        <v>1.051</v>
      </c>
      <c r="D850" s="51">
        <v>68.0</v>
      </c>
      <c r="E850" s="52" t="s">
        <v>25</v>
      </c>
      <c r="F850" s="52" t="s">
        <v>26</v>
      </c>
      <c r="G850" s="53"/>
    </row>
    <row r="851">
      <c r="A851" s="49">
        <v>44521.50676939815</v>
      </c>
      <c r="B851" s="50">
        <v>44521.6317421759</v>
      </c>
      <c r="C851" s="51">
        <v>1.051</v>
      </c>
      <c r="D851" s="51">
        <v>68.0</v>
      </c>
      <c r="E851" s="52" t="s">
        <v>25</v>
      </c>
      <c r="F851" s="52" t="s">
        <v>26</v>
      </c>
      <c r="G851" s="53"/>
    </row>
    <row r="852">
      <c r="A852" s="49">
        <v>44521.517182615746</v>
      </c>
      <c r="B852" s="50">
        <v>44521.6421619097</v>
      </c>
      <c r="C852" s="51">
        <v>1.051</v>
      </c>
      <c r="D852" s="51">
        <v>68.0</v>
      </c>
      <c r="E852" s="52" t="s">
        <v>25</v>
      </c>
      <c r="F852" s="52" t="s">
        <v>26</v>
      </c>
      <c r="G852" s="53"/>
    </row>
    <row r="853">
      <c r="A853" s="49">
        <v>44521.527607870376</v>
      </c>
      <c r="B853" s="50">
        <v>44521.6525843865</v>
      </c>
      <c r="C853" s="51">
        <v>1.051</v>
      </c>
      <c r="D853" s="51">
        <v>68.0</v>
      </c>
      <c r="E853" s="52" t="s">
        <v>25</v>
      </c>
      <c r="F853" s="52" t="s">
        <v>26</v>
      </c>
      <c r="G853" s="53"/>
    </row>
    <row r="854">
      <c r="A854" s="49">
        <v>44521.538025393515</v>
      </c>
      <c r="B854" s="50">
        <v>44521.6630056597</v>
      </c>
      <c r="C854" s="51">
        <v>1.051</v>
      </c>
      <c r="D854" s="51">
        <v>68.0</v>
      </c>
      <c r="E854" s="52" t="s">
        <v>25</v>
      </c>
      <c r="F854" s="52" t="s">
        <v>26</v>
      </c>
      <c r="G854" s="53"/>
    </row>
    <row r="855">
      <c r="A855" s="49">
        <v>44521.548458958336</v>
      </c>
      <c r="B855" s="50">
        <v>44521.6734258449</v>
      </c>
      <c r="C855" s="51">
        <v>1.051</v>
      </c>
      <c r="D855" s="51">
        <v>68.0</v>
      </c>
      <c r="E855" s="52" t="s">
        <v>25</v>
      </c>
      <c r="F855" s="52" t="s">
        <v>26</v>
      </c>
      <c r="G855" s="53"/>
    </row>
    <row r="856">
      <c r="A856" s="49">
        <v>44521.55887230324</v>
      </c>
      <c r="B856" s="50">
        <v>44521.6838490856</v>
      </c>
      <c r="C856" s="51">
        <v>1.051</v>
      </c>
      <c r="D856" s="51">
        <v>68.0</v>
      </c>
      <c r="E856" s="52" t="s">
        <v>25</v>
      </c>
      <c r="F856" s="52" t="s">
        <v>26</v>
      </c>
      <c r="G856" s="53"/>
    </row>
    <row r="857">
      <c r="A857" s="49">
        <v>44521.56930054398</v>
      </c>
      <c r="B857" s="50">
        <v>44521.6942697916</v>
      </c>
      <c r="C857" s="51">
        <v>1.051</v>
      </c>
      <c r="D857" s="51">
        <v>68.0</v>
      </c>
      <c r="E857" s="52" t="s">
        <v>25</v>
      </c>
      <c r="F857" s="52" t="s">
        <v>26</v>
      </c>
      <c r="G857" s="53"/>
    </row>
    <row r="858">
      <c r="A858" s="49">
        <v>44521.57973353009</v>
      </c>
      <c r="B858" s="50">
        <v>44521.7047143055</v>
      </c>
      <c r="C858" s="51">
        <v>1.051</v>
      </c>
      <c r="D858" s="51">
        <v>68.0</v>
      </c>
      <c r="E858" s="52" t="s">
        <v>25</v>
      </c>
      <c r="F858" s="52" t="s">
        <v>26</v>
      </c>
      <c r="G858" s="53"/>
    </row>
    <row r="859">
      <c r="A859" s="49">
        <v>44521.590160775464</v>
      </c>
      <c r="B859" s="50">
        <v>44521.7151352777</v>
      </c>
      <c r="C859" s="51">
        <v>1.051</v>
      </c>
      <c r="D859" s="51">
        <v>68.0</v>
      </c>
      <c r="E859" s="52" t="s">
        <v>25</v>
      </c>
      <c r="F859" s="52" t="s">
        <v>26</v>
      </c>
      <c r="G859" s="53"/>
    </row>
    <row r="860">
      <c r="A860" s="49">
        <v>44521.60058068287</v>
      </c>
      <c r="B860" s="50">
        <v>44521.7255566203</v>
      </c>
      <c r="C860" s="51">
        <v>1.051</v>
      </c>
      <c r="D860" s="51">
        <v>68.0</v>
      </c>
      <c r="E860" s="52" t="s">
        <v>25</v>
      </c>
      <c r="F860" s="52" t="s">
        <v>26</v>
      </c>
      <c r="G860" s="53"/>
    </row>
    <row r="861">
      <c r="A861" s="49">
        <v>44521.61100417824</v>
      </c>
      <c r="B861" s="50">
        <v>44521.7359781712</v>
      </c>
      <c r="C861" s="51">
        <v>1.051</v>
      </c>
      <c r="D861" s="51">
        <v>68.0</v>
      </c>
      <c r="E861" s="52" t="s">
        <v>25</v>
      </c>
      <c r="F861" s="52" t="s">
        <v>26</v>
      </c>
      <c r="G861" s="53"/>
    </row>
    <row r="862">
      <c r="A862" s="49">
        <v>44521.62142304398</v>
      </c>
      <c r="B862" s="50">
        <v>44521.7464006134</v>
      </c>
      <c r="C862" s="51">
        <v>1.051</v>
      </c>
      <c r="D862" s="51">
        <v>68.0</v>
      </c>
      <c r="E862" s="52" t="s">
        <v>25</v>
      </c>
      <c r="F862" s="52" t="s">
        <v>26</v>
      </c>
      <c r="G862" s="53"/>
    </row>
    <row r="863">
      <c r="A863" s="49">
        <v>44521.63184894676</v>
      </c>
      <c r="B863" s="50">
        <v>44521.7568204629</v>
      </c>
      <c r="C863" s="51">
        <v>1.051</v>
      </c>
      <c r="D863" s="51">
        <v>68.0</v>
      </c>
      <c r="E863" s="52" t="s">
        <v>25</v>
      </c>
      <c r="F863" s="52" t="s">
        <v>26</v>
      </c>
      <c r="G863" s="53"/>
    </row>
    <row r="864">
      <c r="A864" s="49">
        <v>44521.64226133101</v>
      </c>
      <c r="B864" s="50">
        <v>44521.7672411342</v>
      </c>
      <c r="C864" s="51">
        <v>1.051</v>
      </c>
      <c r="D864" s="51">
        <v>68.0</v>
      </c>
      <c r="E864" s="52" t="s">
        <v>25</v>
      </c>
      <c r="F864" s="52" t="s">
        <v>26</v>
      </c>
      <c r="G864" s="53"/>
    </row>
    <row r="865">
      <c r="A865" s="49">
        <v>44521.65269340278</v>
      </c>
      <c r="B865" s="50">
        <v>44521.7776642592</v>
      </c>
      <c r="C865" s="51">
        <v>1.051</v>
      </c>
      <c r="D865" s="51">
        <v>68.0</v>
      </c>
      <c r="E865" s="52" t="s">
        <v>25</v>
      </c>
      <c r="F865" s="52" t="s">
        <v>26</v>
      </c>
      <c r="G865" s="53"/>
    </row>
    <row r="866">
      <c r="A866" s="49">
        <v>44521.663099537036</v>
      </c>
      <c r="B866" s="50">
        <v>44521.7880846296</v>
      </c>
      <c r="C866" s="51">
        <v>1.051</v>
      </c>
      <c r="D866" s="51">
        <v>68.0</v>
      </c>
      <c r="E866" s="52" t="s">
        <v>25</v>
      </c>
      <c r="F866" s="52" t="s">
        <v>26</v>
      </c>
      <c r="G866" s="53"/>
    </row>
    <row r="867">
      <c r="A867" s="49">
        <v>44521.673521585646</v>
      </c>
      <c r="B867" s="50">
        <v>44521.7985060185</v>
      </c>
      <c r="C867" s="51">
        <v>1.05</v>
      </c>
      <c r="D867" s="51">
        <v>68.0</v>
      </c>
      <c r="E867" s="52" t="s">
        <v>25</v>
      </c>
      <c r="F867" s="52" t="s">
        <v>26</v>
      </c>
      <c r="G867" s="53"/>
    </row>
    <row r="868">
      <c r="A868" s="49">
        <v>44521.68395056713</v>
      </c>
      <c r="B868" s="50">
        <v>44521.8089282175</v>
      </c>
      <c r="C868" s="51">
        <v>1.05</v>
      </c>
      <c r="D868" s="51">
        <v>68.0</v>
      </c>
      <c r="E868" s="52" t="s">
        <v>25</v>
      </c>
      <c r="F868" s="52" t="s">
        <v>26</v>
      </c>
      <c r="G868" s="53"/>
    </row>
    <row r="869">
      <c r="A869" s="49">
        <v>44521.694388090276</v>
      </c>
      <c r="B869" s="50">
        <v>44521.8193598148</v>
      </c>
      <c r="C869" s="51">
        <v>1.05</v>
      </c>
      <c r="D869" s="51">
        <v>68.0</v>
      </c>
      <c r="E869" s="52" t="s">
        <v>25</v>
      </c>
      <c r="F869" s="52" t="s">
        <v>26</v>
      </c>
      <c r="G869" s="53"/>
    </row>
    <row r="870">
      <c r="A870" s="49">
        <v>44521.70481201389</v>
      </c>
      <c r="B870" s="50">
        <v>44521.8297932175</v>
      </c>
      <c r="C870" s="51">
        <v>1.05</v>
      </c>
      <c r="D870" s="51">
        <v>68.0</v>
      </c>
      <c r="E870" s="52" t="s">
        <v>25</v>
      </c>
      <c r="F870" s="52" t="s">
        <v>26</v>
      </c>
      <c r="G870" s="53"/>
    </row>
    <row r="871">
      <c r="A871" s="49">
        <v>44521.71524819444</v>
      </c>
      <c r="B871" s="50">
        <v>44521.8402147916</v>
      </c>
      <c r="C871" s="51">
        <v>1.05</v>
      </c>
      <c r="D871" s="51">
        <v>68.0</v>
      </c>
      <c r="E871" s="52" t="s">
        <v>25</v>
      </c>
      <c r="F871" s="52" t="s">
        <v>26</v>
      </c>
      <c r="G871" s="53"/>
    </row>
    <row r="872">
      <c r="A872" s="49">
        <v>44521.72566253472</v>
      </c>
      <c r="B872" s="50">
        <v>44521.8506354282</v>
      </c>
      <c r="C872" s="51">
        <v>1.05</v>
      </c>
      <c r="D872" s="51">
        <v>68.0</v>
      </c>
      <c r="E872" s="52" t="s">
        <v>25</v>
      </c>
      <c r="F872" s="52" t="s">
        <v>26</v>
      </c>
      <c r="G872" s="53"/>
    </row>
    <row r="873">
      <c r="A873" s="49">
        <v>44521.73607270833</v>
      </c>
      <c r="B873" s="50">
        <v>44521.861055787</v>
      </c>
      <c r="C873" s="51">
        <v>1.05</v>
      </c>
      <c r="D873" s="51">
        <v>68.0</v>
      </c>
      <c r="E873" s="52" t="s">
        <v>25</v>
      </c>
      <c r="F873" s="52" t="s">
        <v>26</v>
      </c>
      <c r="G873" s="53"/>
    </row>
    <row r="874">
      <c r="A874" s="49">
        <v>44521.746512893515</v>
      </c>
      <c r="B874" s="50">
        <v>44521.8714879398</v>
      </c>
      <c r="C874" s="51">
        <v>1.05</v>
      </c>
      <c r="D874" s="51">
        <v>68.0</v>
      </c>
      <c r="E874" s="52" t="s">
        <v>25</v>
      </c>
      <c r="F874" s="52" t="s">
        <v>26</v>
      </c>
      <c r="G874" s="53"/>
    </row>
    <row r="875">
      <c r="A875" s="49">
        <v>44521.75693243055</v>
      </c>
      <c r="B875" s="50">
        <v>44521.8819092361</v>
      </c>
      <c r="C875" s="51">
        <v>1.05</v>
      </c>
      <c r="D875" s="51">
        <v>68.0</v>
      </c>
      <c r="E875" s="52" t="s">
        <v>25</v>
      </c>
      <c r="F875" s="52" t="s">
        <v>26</v>
      </c>
      <c r="G875" s="53"/>
    </row>
    <row r="876">
      <c r="A876" s="49">
        <v>44521.76735527778</v>
      </c>
      <c r="B876" s="50">
        <v>44521.8923324421</v>
      </c>
      <c r="C876" s="51">
        <v>1.05</v>
      </c>
      <c r="D876" s="51">
        <v>68.0</v>
      </c>
      <c r="E876" s="52" t="s">
        <v>25</v>
      </c>
      <c r="F876" s="52" t="s">
        <v>26</v>
      </c>
      <c r="G876" s="53"/>
    </row>
    <row r="877">
      <c r="A877" s="49">
        <v>44521.777816030095</v>
      </c>
      <c r="B877" s="50">
        <v>44521.9027878125</v>
      </c>
      <c r="C877" s="51">
        <v>1.05</v>
      </c>
      <c r="D877" s="51">
        <v>68.0</v>
      </c>
      <c r="E877" s="52" t="s">
        <v>25</v>
      </c>
      <c r="F877" s="52" t="s">
        <v>26</v>
      </c>
      <c r="G877" s="53"/>
    </row>
    <row r="878">
      <c r="A878" s="49">
        <v>44521.78823740741</v>
      </c>
      <c r="B878" s="50">
        <v>44521.9132197685</v>
      </c>
      <c r="C878" s="51">
        <v>1.05</v>
      </c>
      <c r="D878" s="51">
        <v>68.0</v>
      </c>
      <c r="E878" s="52" t="s">
        <v>25</v>
      </c>
      <c r="F878" s="52" t="s">
        <v>26</v>
      </c>
      <c r="G878" s="53"/>
    </row>
    <row r="879">
      <c r="A879" s="49">
        <v>44521.79866530093</v>
      </c>
      <c r="B879" s="50">
        <v>44521.9236410995</v>
      </c>
      <c r="C879" s="51">
        <v>1.05</v>
      </c>
      <c r="D879" s="51">
        <v>68.0</v>
      </c>
      <c r="E879" s="52" t="s">
        <v>25</v>
      </c>
      <c r="F879" s="52" t="s">
        <v>26</v>
      </c>
      <c r="G879" s="53"/>
    </row>
    <row r="880">
      <c r="A880" s="49">
        <v>44521.809080046296</v>
      </c>
      <c r="B880" s="50">
        <v>44521.9340613773</v>
      </c>
      <c r="C880" s="51">
        <v>1.05</v>
      </c>
      <c r="D880" s="51">
        <v>68.0</v>
      </c>
      <c r="E880" s="52" t="s">
        <v>25</v>
      </c>
      <c r="F880" s="52" t="s">
        <v>26</v>
      </c>
      <c r="G880" s="53"/>
    </row>
    <row r="881">
      <c r="A881" s="49">
        <v>44521.81950305555</v>
      </c>
      <c r="B881" s="50">
        <v>44521.9444818287</v>
      </c>
      <c r="C881" s="51">
        <v>1.05</v>
      </c>
      <c r="D881" s="51">
        <v>68.0</v>
      </c>
      <c r="E881" s="52" t="s">
        <v>25</v>
      </c>
      <c r="F881" s="52" t="s">
        <v>26</v>
      </c>
      <c r="G881" s="53"/>
    </row>
    <row r="882">
      <c r="A882" s="49">
        <v>44521.829929467596</v>
      </c>
      <c r="B882" s="50">
        <v>44521.9549020254</v>
      </c>
      <c r="C882" s="51">
        <v>1.05</v>
      </c>
      <c r="D882" s="51">
        <v>68.0</v>
      </c>
      <c r="E882" s="52" t="s">
        <v>25</v>
      </c>
      <c r="F882" s="52" t="s">
        <v>26</v>
      </c>
      <c r="G882" s="53"/>
    </row>
    <row r="883">
      <c r="A883" s="49">
        <v>44521.84035918981</v>
      </c>
      <c r="B883" s="50">
        <v>44521.965335405</v>
      </c>
      <c r="C883" s="51">
        <v>1.05</v>
      </c>
      <c r="D883" s="51">
        <v>68.0</v>
      </c>
      <c r="E883" s="52" t="s">
        <v>25</v>
      </c>
      <c r="F883" s="52" t="s">
        <v>26</v>
      </c>
      <c r="G883" s="53"/>
    </row>
    <row r="884">
      <c r="A884" s="49">
        <v>44521.85077788195</v>
      </c>
      <c r="B884" s="50">
        <v>44521.9757549652</v>
      </c>
      <c r="C884" s="51">
        <v>1.05</v>
      </c>
      <c r="D884" s="51">
        <v>68.0</v>
      </c>
      <c r="E884" s="52" t="s">
        <v>25</v>
      </c>
      <c r="F884" s="52" t="s">
        <v>26</v>
      </c>
      <c r="G884" s="53"/>
    </row>
    <row r="885">
      <c r="A885" s="49">
        <v>44521.86121679399</v>
      </c>
      <c r="B885" s="50">
        <v>44521.9861879398</v>
      </c>
      <c r="C885" s="51">
        <v>1.05</v>
      </c>
      <c r="D885" s="51">
        <v>68.0</v>
      </c>
      <c r="E885" s="52" t="s">
        <v>25</v>
      </c>
      <c r="F885" s="52" t="s">
        <v>26</v>
      </c>
      <c r="G885" s="53"/>
    </row>
    <row r="886">
      <c r="A886" s="49">
        <v>44521.87162925926</v>
      </c>
      <c r="B886" s="50">
        <v>44521.9966099189</v>
      </c>
      <c r="C886" s="51">
        <v>1.049</v>
      </c>
      <c r="D886" s="51">
        <v>68.0</v>
      </c>
      <c r="E886" s="52" t="s">
        <v>25</v>
      </c>
      <c r="F886" s="52" t="s">
        <v>26</v>
      </c>
      <c r="G886" s="53"/>
    </row>
    <row r="887">
      <c r="A887" s="49">
        <v>44521.882049629625</v>
      </c>
      <c r="B887" s="50">
        <v>44522.0070306481</v>
      </c>
      <c r="C887" s="51">
        <v>1.049</v>
      </c>
      <c r="D887" s="51">
        <v>68.0</v>
      </c>
      <c r="E887" s="52" t="s">
        <v>25</v>
      </c>
      <c r="F887" s="52" t="s">
        <v>26</v>
      </c>
      <c r="G887" s="53"/>
    </row>
    <row r="888">
      <c r="A888" s="49">
        <v>44521.89247219908</v>
      </c>
      <c r="B888" s="50">
        <v>44522.0174517939</v>
      </c>
      <c r="C888" s="51">
        <v>1.049</v>
      </c>
      <c r="D888" s="51">
        <v>68.0</v>
      </c>
      <c r="E888" s="52" t="s">
        <v>25</v>
      </c>
      <c r="F888" s="52" t="s">
        <v>26</v>
      </c>
      <c r="G888" s="53"/>
    </row>
    <row r="889">
      <c r="A889" s="49">
        <v>44521.90290199074</v>
      </c>
      <c r="B889" s="50">
        <v>44522.0278836921</v>
      </c>
      <c r="C889" s="51">
        <v>1.049</v>
      </c>
      <c r="D889" s="51">
        <v>68.0</v>
      </c>
      <c r="E889" s="52" t="s">
        <v>25</v>
      </c>
      <c r="F889" s="52" t="s">
        <v>26</v>
      </c>
      <c r="G889" s="53"/>
    </row>
    <row r="890">
      <c r="A890" s="49">
        <v>44521.913328090275</v>
      </c>
      <c r="B890" s="50">
        <v>44522.0383057523</v>
      </c>
      <c r="C890" s="51">
        <v>1.049</v>
      </c>
      <c r="D890" s="51">
        <v>68.0</v>
      </c>
      <c r="E890" s="52" t="s">
        <v>25</v>
      </c>
      <c r="F890" s="52" t="s">
        <v>26</v>
      </c>
      <c r="G890" s="53"/>
    </row>
    <row r="891">
      <c r="A891" s="49">
        <v>44521.92375241898</v>
      </c>
      <c r="B891" s="50">
        <v>44522.0487269907</v>
      </c>
      <c r="C891" s="51">
        <v>1.049</v>
      </c>
      <c r="D891" s="51">
        <v>68.0</v>
      </c>
      <c r="E891" s="52" t="s">
        <v>25</v>
      </c>
      <c r="F891" s="52" t="s">
        <v>26</v>
      </c>
      <c r="G891" s="53"/>
    </row>
    <row r="892">
      <c r="A892" s="49">
        <v>44521.93417329861</v>
      </c>
      <c r="B892" s="50">
        <v>44522.0591493402</v>
      </c>
      <c r="C892" s="51">
        <v>1.049</v>
      </c>
      <c r="D892" s="51">
        <v>68.0</v>
      </c>
      <c r="E892" s="52" t="s">
        <v>25</v>
      </c>
      <c r="F892" s="52" t="s">
        <v>26</v>
      </c>
      <c r="G892" s="53"/>
    </row>
    <row r="893">
      <c r="A893" s="49">
        <v>44521.9445899537</v>
      </c>
      <c r="B893" s="50">
        <v>44522.0695698379</v>
      </c>
      <c r="C893" s="51">
        <v>1.049</v>
      </c>
      <c r="D893" s="51">
        <v>68.0</v>
      </c>
      <c r="E893" s="52" t="s">
        <v>25</v>
      </c>
      <c r="F893" s="52" t="s">
        <v>26</v>
      </c>
      <c r="G893" s="53"/>
    </row>
    <row r="894">
      <c r="A894" s="49">
        <v>44521.95502011574</v>
      </c>
      <c r="B894" s="50">
        <v>44522.0799893518</v>
      </c>
      <c r="C894" s="51">
        <v>1.049</v>
      </c>
      <c r="D894" s="51">
        <v>68.0</v>
      </c>
      <c r="E894" s="52" t="s">
        <v>25</v>
      </c>
      <c r="F894" s="52" t="s">
        <v>26</v>
      </c>
      <c r="G894" s="53"/>
    </row>
    <row r="895">
      <c r="A895" s="49">
        <v>44521.96544101852</v>
      </c>
      <c r="B895" s="50">
        <v>44522.0904096296</v>
      </c>
      <c r="C895" s="51">
        <v>1.049</v>
      </c>
      <c r="D895" s="51">
        <v>68.0</v>
      </c>
      <c r="E895" s="52" t="s">
        <v>25</v>
      </c>
      <c r="F895" s="52" t="s">
        <v>26</v>
      </c>
      <c r="G895" s="53"/>
    </row>
    <row r="896">
      <c r="A896" s="49">
        <v>44521.97585761574</v>
      </c>
      <c r="B896" s="50">
        <v>44522.1008287847</v>
      </c>
      <c r="C896" s="51">
        <v>1.049</v>
      </c>
      <c r="D896" s="51">
        <v>68.0</v>
      </c>
      <c r="E896" s="52" t="s">
        <v>25</v>
      </c>
      <c r="F896" s="52" t="s">
        <v>26</v>
      </c>
      <c r="G896" s="53"/>
    </row>
    <row r="897">
      <c r="A897" s="49">
        <v>44521.986279537035</v>
      </c>
      <c r="B897" s="50">
        <v>44522.1112489467</v>
      </c>
      <c r="C897" s="51">
        <v>1.049</v>
      </c>
      <c r="D897" s="51">
        <v>68.0</v>
      </c>
      <c r="E897" s="52" t="s">
        <v>25</v>
      </c>
      <c r="F897" s="52" t="s">
        <v>26</v>
      </c>
      <c r="G897" s="53"/>
    </row>
    <row r="898">
      <c r="A898" s="49">
        <v>44521.99669383102</v>
      </c>
      <c r="B898" s="50">
        <v>44522.121668912</v>
      </c>
      <c r="C898" s="51">
        <v>1.049</v>
      </c>
      <c r="D898" s="51">
        <v>68.0</v>
      </c>
      <c r="E898" s="52" t="s">
        <v>25</v>
      </c>
      <c r="F898" s="52" t="s">
        <v>26</v>
      </c>
      <c r="G898" s="53"/>
    </row>
    <row r="899">
      <c r="A899" s="49">
        <v>44522.00711038194</v>
      </c>
      <c r="B899" s="50">
        <v>44522.1320897222</v>
      </c>
      <c r="C899" s="51">
        <v>1.049</v>
      </c>
      <c r="D899" s="51">
        <v>68.0</v>
      </c>
      <c r="E899" s="52" t="s">
        <v>25</v>
      </c>
      <c r="F899" s="52" t="s">
        <v>26</v>
      </c>
      <c r="G899" s="53"/>
    </row>
    <row r="900">
      <c r="A900" s="49">
        <v>44522.01753607639</v>
      </c>
      <c r="B900" s="50">
        <v>44522.1425109027</v>
      </c>
      <c r="C900" s="51">
        <v>1.049</v>
      </c>
      <c r="D900" s="51">
        <v>68.0</v>
      </c>
      <c r="E900" s="52" t="s">
        <v>25</v>
      </c>
      <c r="F900" s="52" t="s">
        <v>26</v>
      </c>
      <c r="G900" s="53"/>
    </row>
    <row r="901">
      <c r="A901" s="49">
        <v>44522.02796663194</v>
      </c>
      <c r="B901" s="50">
        <v>44522.1529417824</v>
      </c>
      <c r="C901" s="51">
        <v>1.049</v>
      </c>
      <c r="D901" s="51">
        <v>68.0</v>
      </c>
      <c r="E901" s="52" t="s">
        <v>25</v>
      </c>
      <c r="F901" s="52" t="s">
        <v>26</v>
      </c>
      <c r="G901" s="53"/>
    </row>
    <row r="902">
      <c r="A902" s="49">
        <v>44522.03838967593</v>
      </c>
      <c r="B902" s="50">
        <v>44522.1633626157</v>
      </c>
      <c r="C902" s="51">
        <v>1.049</v>
      </c>
      <c r="D902" s="51">
        <v>68.0</v>
      </c>
      <c r="E902" s="52" t="s">
        <v>25</v>
      </c>
      <c r="F902" s="52" t="s">
        <v>26</v>
      </c>
      <c r="G902" s="53"/>
    </row>
    <row r="903">
      <c r="A903" s="49">
        <v>44522.048815173606</v>
      </c>
      <c r="B903" s="50">
        <v>44522.1737846643</v>
      </c>
      <c r="C903" s="51">
        <v>1.049</v>
      </c>
      <c r="D903" s="51">
        <v>68.0</v>
      </c>
      <c r="E903" s="52" t="s">
        <v>25</v>
      </c>
      <c r="F903" s="52" t="s">
        <v>26</v>
      </c>
      <c r="G903" s="53"/>
    </row>
    <row r="904">
      <c r="A904" s="49">
        <v>44522.059240567134</v>
      </c>
      <c r="B904" s="50">
        <v>44522.1842060763</v>
      </c>
      <c r="C904" s="51">
        <v>1.049</v>
      </c>
      <c r="D904" s="51">
        <v>68.0</v>
      </c>
      <c r="E904" s="52" t="s">
        <v>25</v>
      </c>
      <c r="F904" s="52" t="s">
        <v>26</v>
      </c>
      <c r="G904" s="53"/>
    </row>
    <row r="905">
      <c r="A905" s="49">
        <v>44522.06965230324</v>
      </c>
      <c r="B905" s="50">
        <v>44522.1946263194</v>
      </c>
      <c r="C905" s="51">
        <v>1.049</v>
      </c>
      <c r="D905" s="51">
        <v>68.0</v>
      </c>
      <c r="E905" s="52" t="s">
        <v>25</v>
      </c>
      <c r="F905" s="52" t="s">
        <v>26</v>
      </c>
      <c r="G905" s="53"/>
    </row>
    <row r="906">
      <c r="A906" s="49">
        <v>44522.08007575231</v>
      </c>
      <c r="B906" s="50">
        <v>44522.2050444328</v>
      </c>
      <c r="C906" s="51">
        <v>1.049</v>
      </c>
      <c r="D906" s="51">
        <v>68.0</v>
      </c>
      <c r="E906" s="52" t="s">
        <v>25</v>
      </c>
      <c r="F906" s="52" t="s">
        <v>26</v>
      </c>
      <c r="G906" s="53"/>
    </row>
    <row r="907">
      <c r="A907" s="49">
        <v>44522.090487650465</v>
      </c>
      <c r="B907" s="50">
        <v>44522.2154642939</v>
      </c>
      <c r="C907" s="51">
        <v>1.049</v>
      </c>
      <c r="D907" s="51">
        <v>68.0</v>
      </c>
      <c r="E907" s="52" t="s">
        <v>25</v>
      </c>
      <c r="F907" s="52" t="s">
        <v>26</v>
      </c>
      <c r="G907" s="53"/>
    </row>
    <row r="908">
      <c r="A908" s="49">
        <v>44522.10091650463</v>
      </c>
      <c r="B908" s="50">
        <v>44522.2258854745</v>
      </c>
      <c r="C908" s="51">
        <v>1.049</v>
      </c>
      <c r="D908" s="51">
        <v>68.0</v>
      </c>
      <c r="E908" s="52" t="s">
        <v>25</v>
      </c>
      <c r="F908" s="52" t="s">
        <v>26</v>
      </c>
      <c r="G908" s="53"/>
    </row>
    <row r="909">
      <c r="A909" s="49">
        <v>44522.111327314815</v>
      </c>
      <c r="B909" s="50">
        <v>44522.2363071759</v>
      </c>
      <c r="C909" s="51">
        <v>1.048</v>
      </c>
      <c r="D909" s="51">
        <v>68.0</v>
      </c>
      <c r="E909" s="52" t="s">
        <v>25</v>
      </c>
      <c r="F909" s="52" t="s">
        <v>26</v>
      </c>
      <c r="G909" s="53"/>
    </row>
    <row r="910">
      <c r="A910" s="49">
        <v>44522.121779444446</v>
      </c>
      <c r="B910" s="50">
        <v>44522.2467516087</v>
      </c>
      <c r="C910" s="51">
        <v>1.048</v>
      </c>
      <c r="D910" s="51">
        <v>68.0</v>
      </c>
      <c r="E910" s="52" t="s">
        <v>25</v>
      </c>
      <c r="F910" s="52" t="s">
        <v>26</v>
      </c>
      <c r="G910" s="53"/>
    </row>
    <row r="911">
      <c r="A911" s="49">
        <v>44522.13219134259</v>
      </c>
      <c r="B911" s="50">
        <v>44522.2571724421</v>
      </c>
      <c r="C911" s="51">
        <v>1.048</v>
      </c>
      <c r="D911" s="51">
        <v>68.0</v>
      </c>
      <c r="E911" s="52" t="s">
        <v>25</v>
      </c>
      <c r="F911" s="52" t="s">
        <v>26</v>
      </c>
      <c r="G911" s="53"/>
    </row>
    <row r="912">
      <c r="A912" s="49">
        <v>44522.142620150466</v>
      </c>
      <c r="B912" s="50">
        <v>44522.2675954166</v>
      </c>
      <c r="C912" s="51">
        <v>1.048</v>
      </c>
      <c r="D912" s="51">
        <v>68.0</v>
      </c>
      <c r="E912" s="52" t="s">
        <v>25</v>
      </c>
      <c r="F912" s="52" t="s">
        <v>26</v>
      </c>
      <c r="G912" s="53"/>
    </row>
    <row r="913">
      <c r="A913" s="49">
        <v>44522.15303663195</v>
      </c>
      <c r="B913" s="50">
        <v>44522.2780170023</v>
      </c>
      <c r="C913" s="51">
        <v>1.048</v>
      </c>
      <c r="D913" s="51">
        <v>68.0</v>
      </c>
      <c r="E913" s="52" t="s">
        <v>25</v>
      </c>
      <c r="F913" s="52" t="s">
        <v>26</v>
      </c>
      <c r="G913" s="53"/>
    </row>
    <row r="914">
      <c r="A914" s="49">
        <v>44522.163465590274</v>
      </c>
      <c r="B914" s="50">
        <v>44522.2884377893</v>
      </c>
      <c r="C914" s="51">
        <v>1.048</v>
      </c>
      <c r="D914" s="51">
        <v>68.0</v>
      </c>
      <c r="E914" s="52" t="s">
        <v>25</v>
      </c>
      <c r="F914" s="52" t="s">
        <v>26</v>
      </c>
      <c r="G914" s="53"/>
    </row>
    <row r="915">
      <c r="A915" s="49">
        <v>44522.17387417824</v>
      </c>
      <c r="B915" s="50">
        <v>44522.2988585069</v>
      </c>
      <c r="C915" s="51">
        <v>1.048</v>
      </c>
      <c r="D915" s="51">
        <v>68.0</v>
      </c>
      <c r="E915" s="52" t="s">
        <v>25</v>
      </c>
      <c r="F915" s="52" t="s">
        <v>26</v>
      </c>
      <c r="G915" s="53"/>
    </row>
    <row r="916">
      <c r="A916" s="49">
        <v>44522.18430271991</v>
      </c>
      <c r="B916" s="50">
        <v>44522.3092810532</v>
      </c>
      <c r="C916" s="51">
        <v>1.048</v>
      </c>
      <c r="D916" s="51">
        <v>68.0</v>
      </c>
      <c r="E916" s="52" t="s">
        <v>25</v>
      </c>
      <c r="F916" s="52" t="s">
        <v>26</v>
      </c>
      <c r="G916" s="53"/>
    </row>
    <row r="917">
      <c r="A917" s="49">
        <v>44522.19474193287</v>
      </c>
      <c r="B917" s="50">
        <v>44522.319714155</v>
      </c>
      <c r="C917" s="51">
        <v>1.048</v>
      </c>
      <c r="D917" s="51">
        <v>68.0</v>
      </c>
      <c r="E917" s="52" t="s">
        <v>25</v>
      </c>
      <c r="F917" s="52" t="s">
        <v>26</v>
      </c>
      <c r="G917" s="53"/>
    </row>
    <row r="918">
      <c r="A918" s="49">
        <v>44522.20516881945</v>
      </c>
      <c r="B918" s="50">
        <v>44522.3301370486</v>
      </c>
      <c r="C918" s="51">
        <v>1.048</v>
      </c>
      <c r="D918" s="51">
        <v>68.0</v>
      </c>
      <c r="E918" s="52" t="s">
        <v>25</v>
      </c>
      <c r="F918" s="52" t="s">
        <v>26</v>
      </c>
      <c r="G918" s="53"/>
    </row>
    <row r="919">
      <c r="A919" s="49">
        <v>44522.2155899537</v>
      </c>
      <c r="B919" s="50">
        <v>44522.3405578703</v>
      </c>
      <c r="C919" s="51">
        <v>1.048</v>
      </c>
      <c r="D919" s="51">
        <v>68.0</v>
      </c>
      <c r="E919" s="52" t="s">
        <v>25</v>
      </c>
      <c r="F919" s="52" t="s">
        <v>26</v>
      </c>
      <c r="G919" s="53"/>
    </row>
    <row r="920">
      <c r="A920" s="49">
        <v>44522.226004247685</v>
      </c>
      <c r="B920" s="50">
        <v>44522.350978287</v>
      </c>
      <c r="C920" s="51">
        <v>1.048</v>
      </c>
      <c r="D920" s="51">
        <v>68.0</v>
      </c>
      <c r="E920" s="52" t="s">
        <v>25</v>
      </c>
      <c r="F920" s="52" t="s">
        <v>26</v>
      </c>
      <c r="G920" s="53"/>
    </row>
    <row r="921">
      <c r="A921" s="49">
        <v>44522.236414872685</v>
      </c>
      <c r="B921" s="50">
        <v>44522.3613996527</v>
      </c>
      <c r="C921" s="51">
        <v>1.048</v>
      </c>
      <c r="D921" s="51">
        <v>68.0</v>
      </c>
      <c r="E921" s="52" t="s">
        <v>25</v>
      </c>
      <c r="F921" s="52" t="s">
        <v>26</v>
      </c>
      <c r="G921" s="53"/>
    </row>
    <row r="922">
      <c r="A922" s="49">
        <v>44522.24685445602</v>
      </c>
      <c r="B922" s="50">
        <v>44522.3718193287</v>
      </c>
      <c r="C922" s="51">
        <v>1.048</v>
      </c>
      <c r="D922" s="51">
        <v>68.0</v>
      </c>
      <c r="E922" s="52" t="s">
        <v>25</v>
      </c>
      <c r="F922" s="52" t="s">
        <v>26</v>
      </c>
      <c r="G922" s="53"/>
    </row>
    <row r="923">
      <c r="A923" s="49">
        <v>44522.257263217594</v>
      </c>
      <c r="B923" s="50">
        <v>44522.3822388773</v>
      </c>
      <c r="C923" s="51">
        <v>1.048</v>
      </c>
      <c r="D923" s="51">
        <v>68.0</v>
      </c>
      <c r="E923" s="52" t="s">
        <v>25</v>
      </c>
      <c r="F923" s="52" t="s">
        <v>26</v>
      </c>
      <c r="G923" s="53"/>
    </row>
    <row r="924">
      <c r="A924" s="49">
        <v>44522.26767877315</v>
      </c>
      <c r="B924" s="50">
        <v>44522.3926591898</v>
      </c>
      <c r="C924" s="51">
        <v>1.048</v>
      </c>
      <c r="D924" s="51">
        <v>68.0</v>
      </c>
      <c r="E924" s="52" t="s">
        <v>25</v>
      </c>
      <c r="F924" s="52" t="s">
        <v>26</v>
      </c>
      <c r="G924" s="53"/>
    </row>
    <row r="925">
      <c r="A925" s="49">
        <v>44522.27810589121</v>
      </c>
      <c r="B925" s="50">
        <v>44522.4030805439</v>
      </c>
      <c r="C925" s="51">
        <v>1.048</v>
      </c>
      <c r="D925" s="51">
        <v>68.0</v>
      </c>
      <c r="E925" s="52" t="s">
        <v>25</v>
      </c>
      <c r="F925" s="52" t="s">
        <v>26</v>
      </c>
      <c r="G925" s="53"/>
    </row>
    <row r="926">
      <c r="A926" s="49">
        <v>44522.28852497685</v>
      </c>
      <c r="B926" s="50">
        <v>44522.4134996064</v>
      </c>
      <c r="C926" s="51">
        <v>1.048</v>
      </c>
      <c r="D926" s="51">
        <v>68.0</v>
      </c>
      <c r="E926" s="52" t="s">
        <v>25</v>
      </c>
      <c r="F926" s="52" t="s">
        <v>26</v>
      </c>
      <c r="G926" s="53"/>
    </row>
    <row r="927">
      <c r="A927" s="49">
        <v>44522.29894277778</v>
      </c>
      <c r="B927" s="50">
        <v>44522.423920324</v>
      </c>
      <c r="C927" s="51">
        <v>1.048</v>
      </c>
      <c r="D927" s="51">
        <v>68.0</v>
      </c>
      <c r="E927" s="52" t="s">
        <v>25</v>
      </c>
      <c r="F927" s="52" t="s">
        <v>26</v>
      </c>
      <c r="G927" s="53"/>
    </row>
    <row r="928">
      <c r="A928" s="49">
        <v>44522.309358900464</v>
      </c>
      <c r="B928" s="50">
        <v>44522.4343418865</v>
      </c>
      <c r="C928" s="51">
        <v>1.048</v>
      </c>
      <c r="D928" s="51">
        <v>68.0</v>
      </c>
      <c r="E928" s="52" t="s">
        <v>25</v>
      </c>
      <c r="F928" s="52" t="s">
        <v>26</v>
      </c>
      <c r="G928" s="53"/>
    </row>
    <row r="929">
      <c r="A929" s="49">
        <v>44522.319784837964</v>
      </c>
      <c r="B929" s="50">
        <v>44522.4447631365</v>
      </c>
      <c r="C929" s="51">
        <v>1.048</v>
      </c>
      <c r="D929" s="51">
        <v>68.0</v>
      </c>
      <c r="E929" s="52" t="s">
        <v>25</v>
      </c>
      <c r="F929" s="52" t="s">
        <v>26</v>
      </c>
      <c r="G929" s="53"/>
    </row>
    <row r="930">
      <c r="A930" s="49">
        <v>44522.33022377315</v>
      </c>
      <c r="B930" s="50">
        <v>44522.4551973611</v>
      </c>
      <c r="C930" s="51">
        <v>1.048</v>
      </c>
      <c r="D930" s="51">
        <v>68.0</v>
      </c>
      <c r="E930" s="52" t="s">
        <v>25</v>
      </c>
      <c r="F930" s="52" t="s">
        <v>26</v>
      </c>
      <c r="G930" s="53"/>
    </row>
    <row r="931">
      <c r="A931" s="49">
        <v>44522.34064185186</v>
      </c>
      <c r="B931" s="50">
        <v>44522.4656183449</v>
      </c>
      <c r="C931" s="51">
        <v>1.048</v>
      </c>
      <c r="D931" s="51">
        <v>68.0</v>
      </c>
      <c r="E931" s="52" t="s">
        <v>25</v>
      </c>
      <c r="F931" s="52" t="s">
        <v>26</v>
      </c>
      <c r="G931" s="53"/>
    </row>
    <row r="932">
      <c r="A932" s="49">
        <v>44522.35106833333</v>
      </c>
      <c r="B932" s="50">
        <v>44522.4760405902</v>
      </c>
      <c r="C932" s="51">
        <v>1.047</v>
      </c>
      <c r="D932" s="51">
        <v>68.0</v>
      </c>
      <c r="E932" s="52" t="s">
        <v>25</v>
      </c>
      <c r="F932" s="52" t="s">
        <v>26</v>
      </c>
      <c r="G932" s="53"/>
    </row>
    <row r="933">
      <c r="A933" s="49">
        <v>44522.361487002316</v>
      </c>
      <c r="B933" s="50">
        <v>44522.4864604745</v>
      </c>
      <c r="C933" s="51">
        <v>1.047</v>
      </c>
      <c r="D933" s="51">
        <v>68.0</v>
      </c>
      <c r="E933" s="52" t="s">
        <v>25</v>
      </c>
      <c r="F933" s="52" t="s">
        <v>26</v>
      </c>
      <c r="G933" s="53"/>
    </row>
    <row r="934">
      <c r="A934" s="49">
        <v>44522.37191822917</v>
      </c>
      <c r="B934" s="50">
        <v>44522.4968940046</v>
      </c>
      <c r="C934" s="51">
        <v>1.047</v>
      </c>
      <c r="D934" s="51">
        <v>68.0</v>
      </c>
      <c r="E934" s="52" t="s">
        <v>25</v>
      </c>
      <c r="F934" s="52" t="s">
        <v>26</v>
      </c>
      <c r="G934" s="53"/>
    </row>
    <row r="935">
      <c r="A935" s="49">
        <v>44522.38233716435</v>
      </c>
      <c r="B935" s="50">
        <v>44522.507315243</v>
      </c>
      <c r="C935" s="51">
        <v>1.047</v>
      </c>
      <c r="D935" s="51">
        <v>68.0</v>
      </c>
      <c r="E935" s="52" t="s">
        <v>25</v>
      </c>
      <c r="F935" s="52" t="s">
        <v>26</v>
      </c>
      <c r="G935" s="53"/>
    </row>
    <row r="936">
      <c r="A936" s="49">
        <v>44522.392761041665</v>
      </c>
      <c r="B936" s="50">
        <v>44522.5177366898</v>
      </c>
      <c r="C936" s="51">
        <v>1.047</v>
      </c>
      <c r="D936" s="51">
        <v>68.0</v>
      </c>
      <c r="E936" s="52" t="s">
        <v>25</v>
      </c>
      <c r="F936" s="52" t="s">
        <v>26</v>
      </c>
      <c r="G936" s="53"/>
    </row>
    <row r="937">
      <c r="A937" s="49">
        <v>44522.40319755787</v>
      </c>
      <c r="B937" s="50">
        <v>44522.5281688657</v>
      </c>
      <c r="C937" s="51">
        <v>1.047</v>
      </c>
      <c r="D937" s="51">
        <v>68.0</v>
      </c>
      <c r="E937" s="52" t="s">
        <v>25</v>
      </c>
      <c r="F937" s="52" t="s">
        <v>26</v>
      </c>
      <c r="G937" s="53"/>
    </row>
    <row r="938">
      <c r="A938" s="49">
        <v>44522.41362020833</v>
      </c>
      <c r="B938" s="50">
        <v>44522.5386019328</v>
      </c>
      <c r="C938" s="51">
        <v>1.047</v>
      </c>
      <c r="D938" s="51">
        <v>68.0</v>
      </c>
      <c r="E938" s="52" t="s">
        <v>25</v>
      </c>
      <c r="F938" s="52" t="s">
        <v>26</v>
      </c>
      <c r="G938" s="53"/>
    </row>
    <row r="939">
      <c r="A939" s="49">
        <v>44522.42405756944</v>
      </c>
      <c r="B939" s="50">
        <v>44522.5490239467</v>
      </c>
      <c r="C939" s="51">
        <v>1.047</v>
      </c>
      <c r="D939" s="51">
        <v>68.0</v>
      </c>
      <c r="E939" s="52" t="s">
        <v>25</v>
      </c>
      <c r="F939" s="52" t="s">
        <v>26</v>
      </c>
      <c r="G939" s="53"/>
    </row>
    <row r="940">
      <c r="A940" s="49">
        <v>44522.434472361114</v>
      </c>
      <c r="B940" s="50">
        <v>44522.5594447222</v>
      </c>
      <c r="C940" s="51">
        <v>1.047</v>
      </c>
      <c r="D940" s="51">
        <v>68.0</v>
      </c>
      <c r="E940" s="52" t="s">
        <v>25</v>
      </c>
      <c r="F940" s="52" t="s">
        <v>26</v>
      </c>
      <c r="G940" s="53"/>
    </row>
    <row r="941">
      <c r="A941" s="49">
        <v>44522.444896597226</v>
      </c>
      <c r="B941" s="50">
        <v>44522.5698660879</v>
      </c>
      <c r="C941" s="51">
        <v>1.047</v>
      </c>
      <c r="D941" s="51">
        <v>68.0</v>
      </c>
      <c r="E941" s="52" t="s">
        <v>25</v>
      </c>
      <c r="F941" s="52" t="s">
        <v>26</v>
      </c>
      <c r="G941" s="53"/>
    </row>
    <row r="942">
      <c r="A942" s="49">
        <v>44522.455304884264</v>
      </c>
      <c r="B942" s="50">
        <v>44522.5802870486</v>
      </c>
      <c r="C942" s="51">
        <v>1.047</v>
      </c>
      <c r="D942" s="51">
        <v>68.0</v>
      </c>
      <c r="E942" s="52" t="s">
        <v>25</v>
      </c>
      <c r="F942" s="52" t="s">
        <v>26</v>
      </c>
      <c r="G942" s="53"/>
    </row>
    <row r="943">
      <c r="A943" s="49">
        <v>44522.46573297454</v>
      </c>
      <c r="B943" s="50">
        <v>44522.5907093634</v>
      </c>
      <c r="C943" s="51">
        <v>1.047</v>
      </c>
      <c r="D943" s="51">
        <v>68.0</v>
      </c>
      <c r="E943" s="52" t="s">
        <v>25</v>
      </c>
      <c r="F943" s="52" t="s">
        <v>26</v>
      </c>
      <c r="G943" s="53"/>
    </row>
    <row r="944">
      <c r="A944" s="49">
        <v>44522.47615717593</v>
      </c>
      <c r="B944" s="50">
        <v>44522.6011295601</v>
      </c>
      <c r="C944" s="51">
        <v>1.047</v>
      </c>
      <c r="D944" s="51">
        <v>68.0</v>
      </c>
      <c r="E944" s="52" t="s">
        <v>25</v>
      </c>
      <c r="F944" s="52" t="s">
        <v>26</v>
      </c>
      <c r="G944" s="53"/>
    </row>
    <row r="945">
      <c r="A945" s="49">
        <v>44522.48657376158</v>
      </c>
      <c r="B945" s="50">
        <v>44522.6115510532</v>
      </c>
      <c r="C945" s="51">
        <v>1.047</v>
      </c>
      <c r="D945" s="51">
        <v>68.0</v>
      </c>
      <c r="E945" s="52" t="s">
        <v>25</v>
      </c>
      <c r="F945" s="52" t="s">
        <v>26</v>
      </c>
      <c r="G945" s="53"/>
    </row>
    <row r="946">
      <c r="A946" s="49">
        <v>44522.496992789354</v>
      </c>
      <c r="B946" s="50">
        <v>44522.6219729166</v>
      </c>
      <c r="C946" s="51">
        <v>1.047</v>
      </c>
      <c r="D946" s="51">
        <v>68.0</v>
      </c>
      <c r="E946" s="52" t="s">
        <v>25</v>
      </c>
      <c r="F946" s="52" t="s">
        <v>26</v>
      </c>
      <c r="G946" s="53"/>
    </row>
    <row r="947">
      <c r="A947" s="49">
        <v>44522.50743048611</v>
      </c>
      <c r="B947" s="50">
        <v>44522.632406655</v>
      </c>
      <c r="C947" s="51">
        <v>1.047</v>
      </c>
      <c r="D947" s="51">
        <v>68.0</v>
      </c>
      <c r="E947" s="52" t="s">
        <v>25</v>
      </c>
      <c r="F947" s="52" t="s">
        <v>26</v>
      </c>
      <c r="G947" s="53"/>
    </row>
    <row r="948">
      <c r="A948" s="49">
        <v>44522.517847916664</v>
      </c>
      <c r="B948" s="50">
        <v>44522.6428285995</v>
      </c>
      <c r="C948" s="51">
        <v>1.047</v>
      </c>
      <c r="D948" s="51">
        <v>68.0</v>
      </c>
      <c r="E948" s="52" t="s">
        <v>25</v>
      </c>
      <c r="F948" s="52" t="s">
        <v>26</v>
      </c>
      <c r="G948" s="53"/>
    </row>
    <row r="949">
      <c r="A949" s="49">
        <v>44522.52827487269</v>
      </c>
      <c r="B949" s="50">
        <v>44522.6532498842</v>
      </c>
      <c r="C949" s="51">
        <v>1.047</v>
      </c>
      <c r="D949" s="51">
        <v>68.0</v>
      </c>
      <c r="E949" s="52" t="s">
        <v>25</v>
      </c>
      <c r="F949" s="52" t="s">
        <v>26</v>
      </c>
      <c r="G949" s="53"/>
    </row>
    <row r="950">
      <c r="A950" s="49">
        <v>44522.538692789356</v>
      </c>
      <c r="B950" s="50">
        <v>44522.6636700925</v>
      </c>
      <c r="C950" s="51">
        <v>1.047</v>
      </c>
      <c r="D950" s="51">
        <v>68.0</v>
      </c>
      <c r="E950" s="52" t="s">
        <v>25</v>
      </c>
      <c r="F950" s="52" t="s">
        <v>26</v>
      </c>
      <c r="G950" s="53"/>
    </row>
    <row r="951">
      <c r="A951" s="49">
        <v>44522.54911186342</v>
      </c>
      <c r="B951" s="50">
        <v>44522.6740899305</v>
      </c>
      <c r="C951" s="51">
        <v>1.047</v>
      </c>
      <c r="D951" s="51">
        <v>68.0</v>
      </c>
      <c r="E951" s="52" t="s">
        <v>25</v>
      </c>
      <c r="F951" s="52" t="s">
        <v>26</v>
      </c>
      <c r="G951" s="53"/>
    </row>
    <row r="952">
      <c r="A952" s="49">
        <v>44522.55953673611</v>
      </c>
      <c r="B952" s="50">
        <v>44522.6845122222</v>
      </c>
      <c r="C952" s="51">
        <v>1.047</v>
      </c>
      <c r="D952" s="51">
        <v>68.0</v>
      </c>
      <c r="E952" s="52" t="s">
        <v>25</v>
      </c>
      <c r="F952" s="52" t="s">
        <v>26</v>
      </c>
      <c r="G952" s="53"/>
    </row>
    <row r="953">
      <c r="A953" s="49">
        <v>44522.56995739583</v>
      </c>
      <c r="B953" s="50">
        <v>44522.6949344675</v>
      </c>
      <c r="C953" s="51">
        <v>1.047</v>
      </c>
      <c r="D953" s="51">
        <v>68.0</v>
      </c>
      <c r="E953" s="52" t="s">
        <v>25</v>
      </c>
      <c r="F953" s="52" t="s">
        <v>26</v>
      </c>
      <c r="G953" s="53"/>
    </row>
    <row r="954">
      <c r="A954" s="49">
        <v>44522.58038483796</v>
      </c>
      <c r="B954" s="50">
        <v>44522.7053565509</v>
      </c>
      <c r="C954" s="51">
        <v>1.047</v>
      </c>
      <c r="D954" s="51">
        <v>68.0</v>
      </c>
      <c r="E954" s="52" t="s">
        <v>25</v>
      </c>
      <c r="F954" s="52" t="s">
        <v>26</v>
      </c>
      <c r="G954" s="53"/>
    </row>
    <row r="955">
      <c r="A955" s="49">
        <v>44522.59079966435</v>
      </c>
      <c r="B955" s="50">
        <v>44522.71578</v>
      </c>
      <c r="C955" s="51">
        <v>1.047</v>
      </c>
      <c r="D955" s="51">
        <v>68.0</v>
      </c>
      <c r="E955" s="52" t="s">
        <v>25</v>
      </c>
      <c r="F955" s="52" t="s">
        <v>26</v>
      </c>
      <c r="G955" s="53"/>
    </row>
    <row r="956">
      <c r="A956" s="49">
        <v>44522.60122378472</v>
      </c>
      <c r="B956" s="50">
        <v>44522.7262000925</v>
      </c>
      <c r="C956" s="51">
        <v>1.047</v>
      </c>
      <c r="D956" s="51">
        <v>68.0</v>
      </c>
      <c r="E956" s="52" t="s">
        <v>25</v>
      </c>
      <c r="F956" s="52" t="s">
        <v>26</v>
      </c>
      <c r="G956" s="53"/>
    </row>
    <row r="957">
      <c r="A957" s="49">
        <v>44522.61164004629</v>
      </c>
      <c r="B957" s="50">
        <v>44522.7366207523</v>
      </c>
      <c r="C957" s="51">
        <v>1.046</v>
      </c>
      <c r="D957" s="51">
        <v>68.0</v>
      </c>
      <c r="E957" s="52" t="s">
        <v>25</v>
      </c>
      <c r="F957" s="52" t="s">
        <v>26</v>
      </c>
      <c r="G957" s="53"/>
    </row>
    <row r="958">
      <c r="A958" s="49">
        <v>44522.622066435186</v>
      </c>
      <c r="B958" s="50">
        <v>44522.7470419212</v>
      </c>
      <c r="C958" s="51">
        <v>1.046</v>
      </c>
      <c r="D958" s="51">
        <v>68.0</v>
      </c>
      <c r="E958" s="52" t="s">
        <v>25</v>
      </c>
      <c r="F958" s="52" t="s">
        <v>26</v>
      </c>
      <c r="G958" s="53"/>
    </row>
    <row r="959">
      <c r="A959" s="49">
        <v>44522.632485891205</v>
      </c>
      <c r="B959" s="50">
        <v>44522.7574607291</v>
      </c>
      <c r="C959" s="51">
        <v>1.046</v>
      </c>
      <c r="D959" s="51">
        <v>68.0</v>
      </c>
      <c r="E959" s="52" t="s">
        <v>25</v>
      </c>
      <c r="F959" s="52" t="s">
        <v>26</v>
      </c>
      <c r="G959" s="53"/>
    </row>
    <row r="960">
      <c r="A960" s="49">
        <v>44522.64291390046</v>
      </c>
      <c r="B960" s="50">
        <v>44522.7678939004</v>
      </c>
      <c r="C960" s="51">
        <v>1.046</v>
      </c>
      <c r="D960" s="51">
        <v>68.0</v>
      </c>
      <c r="E960" s="52" t="s">
        <v>25</v>
      </c>
      <c r="F960" s="52" t="s">
        <v>26</v>
      </c>
      <c r="G960" s="53"/>
    </row>
    <row r="961">
      <c r="A961" s="49">
        <v>44522.65333449074</v>
      </c>
      <c r="B961" s="50">
        <v>44522.7783161921</v>
      </c>
      <c r="C961" s="51">
        <v>1.046</v>
      </c>
      <c r="D961" s="51">
        <v>68.0</v>
      </c>
      <c r="E961" s="52" t="s">
        <v>25</v>
      </c>
      <c r="F961" s="52" t="s">
        <v>26</v>
      </c>
      <c r="G961" s="53"/>
    </row>
    <row r="962">
      <c r="A962" s="49">
        <v>44522.66375663194</v>
      </c>
      <c r="B962" s="50">
        <v>44522.7887374884</v>
      </c>
      <c r="C962" s="51">
        <v>1.046</v>
      </c>
      <c r="D962" s="51">
        <v>68.0</v>
      </c>
      <c r="E962" s="52" t="s">
        <v>25</v>
      </c>
      <c r="F962" s="52" t="s">
        <v>26</v>
      </c>
      <c r="G962" s="53"/>
    </row>
    <row r="963">
      <c r="A963" s="49">
        <v>44522.67417570602</v>
      </c>
      <c r="B963" s="50">
        <v>44522.7991601504</v>
      </c>
      <c r="C963" s="51">
        <v>1.046</v>
      </c>
      <c r="D963" s="51">
        <v>68.0</v>
      </c>
      <c r="E963" s="52" t="s">
        <v>25</v>
      </c>
      <c r="F963" s="52" t="s">
        <v>26</v>
      </c>
      <c r="G963" s="53"/>
    </row>
    <row r="964">
      <c r="A964" s="49">
        <v>44522.684602187495</v>
      </c>
      <c r="B964" s="50">
        <v>44522.8095823726</v>
      </c>
      <c r="C964" s="51">
        <v>1.046</v>
      </c>
      <c r="D964" s="51">
        <v>68.0</v>
      </c>
      <c r="E964" s="52" t="s">
        <v>25</v>
      </c>
      <c r="F964" s="52" t="s">
        <v>26</v>
      </c>
      <c r="G964" s="53"/>
    </row>
    <row r="965">
      <c r="A965" s="49">
        <v>44522.69503162037</v>
      </c>
      <c r="B965" s="50">
        <v>44522.8200031249</v>
      </c>
      <c r="C965" s="51">
        <v>1.046</v>
      </c>
      <c r="D965" s="51">
        <v>68.0</v>
      </c>
      <c r="E965" s="52" t="s">
        <v>25</v>
      </c>
      <c r="F965" s="52" t="s">
        <v>26</v>
      </c>
      <c r="G965" s="53"/>
    </row>
    <row r="966">
      <c r="A966" s="49">
        <v>44522.70544857639</v>
      </c>
      <c r="B966" s="50">
        <v>44522.8304231481</v>
      </c>
      <c r="C966" s="51">
        <v>1.046</v>
      </c>
      <c r="D966" s="51">
        <v>68.0</v>
      </c>
      <c r="E966" s="52" t="s">
        <v>25</v>
      </c>
      <c r="F966" s="52" t="s">
        <v>26</v>
      </c>
      <c r="G966" s="53"/>
    </row>
    <row r="967">
      <c r="A967" s="49">
        <v>44522.7158700463</v>
      </c>
      <c r="B967" s="50">
        <v>44522.8408457291</v>
      </c>
      <c r="C967" s="51">
        <v>1.046</v>
      </c>
      <c r="D967" s="51">
        <v>68.0</v>
      </c>
      <c r="E967" s="52" t="s">
        <v>25</v>
      </c>
      <c r="F967" s="52" t="s">
        <v>26</v>
      </c>
      <c r="G967" s="53"/>
    </row>
    <row r="968">
      <c r="A968" s="49">
        <v>44522.72628650463</v>
      </c>
      <c r="B968" s="50">
        <v>44522.8512676157</v>
      </c>
      <c r="C968" s="51">
        <v>1.046</v>
      </c>
      <c r="D968" s="51">
        <v>68.0</v>
      </c>
      <c r="E968" s="52" t="s">
        <v>25</v>
      </c>
      <c r="F968" s="52" t="s">
        <v>26</v>
      </c>
      <c r="G968" s="53"/>
    </row>
    <row r="969">
      <c r="A969" s="49">
        <v>44522.736707222226</v>
      </c>
      <c r="B969" s="50">
        <v>44522.8616872222</v>
      </c>
      <c r="C969" s="51">
        <v>1.046</v>
      </c>
      <c r="D969" s="51">
        <v>68.0</v>
      </c>
      <c r="E969" s="52" t="s">
        <v>25</v>
      </c>
      <c r="F969" s="52" t="s">
        <v>26</v>
      </c>
      <c r="G969" s="53"/>
    </row>
    <row r="970">
      <c r="A970" s="49">
        <v>44522.74713365741</v>
      </c>
      <c r="B970" s="50">
        <v>44522.8721067245</v>
      </c>
      <c r="C970" s="51">
        <v>1.046</v>
      </c>
      <c r="D970" s="51">
        <v>68.0</v>
      </c>
      <c r="E970" s="52" t="s">
        <v>25</v>
      </c>
      <c r="F970" s="52" t="s">
        <v>26</v>
      </c>
      <c r="G970" s="53"/>
    </row>
    <row r="971">
      <c r="A971" s="49">
        <v>44522.75754832176</v>
      </c>
      <c r="B971" s="50">
        <v>44522.8825275</v>
      </c>
      <c r="C971" s="51">
        <v>1.046</v>
      </c>
      <c r="D971" s="51">
        <v>68.0</v>
      </c>
      <c r="E971" s="52" t="s">
        <v>25</v>
      </c>
      <c r="F971" s="52" t="s">
        <v>26</v>
      </c>
      <c r="G971" s="53"/>
    </row>
    <row r="972">
      <c r="A972" s="49">
        <v>44522.767972789356</v>
      </c>
      <c r="B972" s="50">
        <v>44522.8929480671</v>
      </c>
      <c r="C972" s="51">
        <v>1.046</v>
      </c>
      <c r="D972" s="51">
        <v>68.0</v>
      </c>
      <c r="E972" s="52" t="s">
        <v>25</v>
      </c>
      <c r="F972" s="52" t="s">
        <v>26</v>
      </c>
      <c r="G972" s="53"/>
    </row>
    <row r="973">
      <c r="A973" s="49">
        <v>44522.77839011574</v>
      </c>
      <c r="B973" s="50">
        <v>44522.9033691203</v>
      </c>
      <c r="C973" s="51">
        <v>1.046</v>
      </c>
      <c r="D973" s="51">
        <v>68.0</v>
      </c>
      <c r="E973" s="52" t="s">
        <v>25</v>
      </c>
      <c r="F973" s="52" t="s">
        <v>26</v>
      </c>
      <c r="G973" s="53"/>
    </row>
    <row r="974">
      <c r="A974" s="49">
        <v>44522.78880822917</v>
      </c>
      <c r="B974" s="50">
        <v>44522.9137894444</v>
      </c>
      <c r="C974" s="51">
        <v>1.046</v>
      </c>
      <c r="D974" s="51">
        <v>68.0</v>
      </c>
      <c r="E974" s="52" t="s">
        <v>25</v>
      </c>
      <c r="F974" s="52" t="s">
        <v>26</v>
      </c>
      <c r="G974" s="53"/>
    </row>
    <row r="975">
      <c r="A975" s="49">
        <v>44522.79924702546</v>
      </c>
      <c r="B975" s="50">
        <v>44522.9242220717</v>
      </c>
      <c r="C975" s="51">
        <v>1.046</v>
      </c>
      <c r="D975" s="51">
        <v>68.0</v>
      </c>
      <c r="E975" s="52" t="s">
        <v>25</v>
      </c>
      <c r="F975" s="52" t="s">
        <v>26</v>
      </c>
      <c r="G975" s="53"/>
    </row>
    <row r="976">
      <c r="A976" s="49">
        <v>44522.80966584491</v>
      </c>
      <c r="B976" s="50">
        <v>44522.93464478</v>
      </c>
      <c r="C976" s="51">
        <v>1.046</v>
      </c>
      <c r="D976" s="51">
        <v>68.0</v>
      </c>
      <c r="E976" s="52" t="s">
        <v>25</v>
      </c>
      <c r="F976" s="52" t="s">
        <v>26</v>
      </c>
      <c r="G976" s="53"/>
    </row>
    <row r="977">
      <c r="A977" s="49">
        <v>44522.820087569446</v>
      </c>
      <c r="B977" s="50">
        <v>44522.9450662499</v>
      </c>
      <c r="C977" s="51">
        <v>1.046</v>
      </c>
      <c r="D977" s="51">
        <v>68.0</v>
      </c>
      <c r="E977" s="52" t="s">
        <v>25</v>
      </c>
      <c r="F977" s="52" t="s">
        <v>26</v>
      </c>
      <c r="G977" s="53"/>
    </row>
    <row r="978">
      <c r="A978" s="49">
        <v>44522.83051353009</v>
      </c>
      <c r="B978" s="50">
        <v>44522.9554859606</v>
      </c>
      <c r="C978" s="51">
        <v>1.046</v>
      </c>
      <c r="D978" s="51">
        <v>68.0</v>
      </c>
      <c r="E978" s="52" t="s">
        <v>25</v>
      </c>
      <c r="F978" s="52" t="s">
        <v>26</v>
      </c>
      <c r="G978" s="53"/>
    </row>
    <row r="979">
      <c r="A979" s="49">
        <v>44522.840925972225</v>
      </c>
      <c r="B979" s="50">
        <v>44522.9659050115</v>
      </c>
      <c r="C979" s="51">
        <v>1.046</v>
      </c>
      <c r="D979" s="51">
        <v>68.0</v>
      </c>
      <c r="E979" s="52" t="s">
        <v>25</v>
      </c>
      <c r="F979" s="52" t="s">
        <v>26</v>
      </c>
      <c r="G979" s="53"/>
    </row>
    <row r="980">
      <c r="A980" s="49">
        <v>44522.851352604164</v>
      </c>
      <c r="B980" s="50">
        <v>44522.9763259606</v>
      </c>
      <c r="C980" s="51">
        <v>1.046</v>
      </c>
      <c r="D980" s="51">
        <v>68.0</v>
      </c>
      <c r="E980" s="52" t="s">
        <v>25</v>
      </c>
      <c r="F980" s="52" t="s">
        <v>26</v>
      </c>
      <c r="G980" s="53"/>
    </row>
    <row r="981">
      <c r="A981" s="49">
        <v>44522.861768981486</v>
      </c>
      <c r="B981" s="50">
        <v>44522.9867494212</v>
      </c>
      <c r="C981" s="51">
        <v>1.046</v>
      </c>
      <c r="D981" s="51">
        <v>68.0</v>
      </c>
      <c r="E981" s="52" t="s">
        <v>25</v>
      </c>
      <c r="F981" s="52" t="s">
        <v>26</v>
      </c>
      <c r="G981" s="53"/>
    </row>
    <row r="982">
      <c r="A982" s="49">
        <v>44522.872185844906</v>
      </c>
      <c r="B982" s="50">
        <v>44522.9971697569</v>
      </c>
      <c r="C982" s="51">
        <v>1.046</v>
      </c>
      <c r="D982" s="51">
        <v>68.0</v>
      </c>
      <c r="E982" s="52" t="s">
        <v>25</v>
      </c>
      <c r="F982" s="52" t="s">
        <v>26</v>
      </c>
      <c r="G982" s="53"/>
    </row>
    <row r="983">
      <c r="A983" s="49">
        <v>44522.882607141204</v>
      </c>
      <c r="B983" s="50">
        <v>44523.0075892013</v>
      </c>
      <c r="C983" s="51">
        <v>1.046</v>
      </c>
      <c r="D983" s="51">
        <v>68.0</v>
      </c>
      <c r="E983" s="52" t="s">
        <v>25</v>
      </c>
      <c r="F983" s="52" t="s">
        <v>26</v>
      </c>
      <c r="G983" s="53"/>
    </row>
    <row r="984">
      <c r="A984" s="49">
        <v>44522.89304490741</v>
      </c>
      <c r="B984" s="50">
        <v>44523.0180112384</v>
      </c>
      <c r="C984" s="51">
        <v>1.046</v>
      </c>
      <c r="D984" s="51">
        <v>68.0</v>
      </c>
      <c r="E984" s="52" t="s">
        <v>25</v>
      </c>
      <c r="F984" s="52" t="s">
        <v>26</v>
      </c>
      <c r="G984" s="53"/>
    </row>
    <row r="985">
      <c r="A985" s="49">
        <v>44522.90345131945</v>
      </c>
      <c r="B985" s="50">
        <v>44523.028431412</v>
      </c>
      <c r="C985" s="51">
        <v>1.046</v>
      </c>
      <c r="D985" s="51">
        <v>68.0</v>
      </c>
      <c r="E985" s="52" t="s">
        <v>25</v>
      </c>
      <c r="F985" s="52" t="s">
        <v>26</v>
      </c>
      <c r="G985" s="53"/>
    </row>
    <row r="986">
      <c r="A986" s="49">
        <v>44522.91388842593</v>
      </c>
      <c r="B986" s="50">
        <v>44523.0388628703</v>
      </c>
      <c r="C986" s="51">
        <v>1.045</v>
      </c>
      <c r="D986" s="51">
        <v>68.0</v>
      </c>
      <c r="E986" s="52" t="s">
        <v>25</v>
      </c>
      <c r="F986" s="52" t="s">
        <v>26</v>
      </c>
      <c r="G986" s="53"/>
    </row>
    <row r="987">
      <c r="A987" s="49">
        <v>44522.924303101856</v>
      </c>
      <c r="B987" s="50">
        <v>44523.049284537</v>
      </c>
      <c r="C987" s="51">
        <v>1.045</v>
      </c>
      <c r="D987" s="51">
        <v>68.0</v>
      </c>
      <c r="E987" s="52" t="s">
        <v>25</v>
      </c>
      <c r="F987" s="52" t="s">
        <v>26</v>
      </c>
      <c r="G987" s="53"/>
    </row>
    <row r="988">
      <c r="A988" s="49">
        <v>44522.93474369213</v>
      </c>
      <c r="B988" s="50">
        <v>44523.0597166666</v>
      </c>
      <c r="C988" s="51">
        <v>1.045</v>
      </c>
      <c r="D988" s="51">
        <v>68.0</v>
      </c>
      <c r="E988" s="52" t="s">
        <v>25</v>
      </c>
      <c r="F988" s="52" t="s">
        <v>26</v>
      </c>
      <c r="G988" s="53"/>
    </row>
    <row r="989">
      <c r="A989" s="49">
        <v>44522.94516135417</v>
      </c>
      <c r="B989" s="50">
        <v>44523.0701370717</v>
      </c>
      <c r="C989" s="51">
        <v>1.045</v>
      </c>
      <c r="D989" s="51">
        <v>68.0</v>
      </c>
      <c r="E989" s="52" t="s">
        <v>25</v>
      </c>
      <c r="F989" s="52" t="s">
        <v>26</v>
      </c>
      <c r="G989" s="53"/>
    </row>
    <row r="990">
      <c r="A990" s="49">
        <v>44522.9555875</v>
      </c>
      <c r="B990" s="50">
        <v>44523.0805701388</v>
      </c>
      <c r="C990" s="51">
        <v>1.045</v>
      </c>
      <c r="D990" s="51">
        <v>68.0</v>
      </c>
      <c r="E990" s="52" t="s">
        <v>25</v>
      </c>
      <c r="F990" s="52" t="s">
        <v>26</v>
      </c>
      <c r="G990" s="53"/>
    </row>
    <row r="991">
      <c r="A991" s="49">
        <v>44522.96601409723</v>
      </c>
      <c r="B991" s="50">
        <v>44523.0909917476</v>
      </c>
      <c r="C991" s="51">
        <v>1.045</v>
      </c>
      <c r="D991" s="51">
        <v>68.0</v>
      </c>
      <c r="E991" s="52" t="s">
        <v>25</v>
      </c>
      <c r="F991" s="52" t="s">
        <v>26</v>
      </c>
      <c r="G991" s="53"/>
    </row>
    <row r="992">
      <c r="A992" s="49">
        <v>44522.97643084491</v>
      </c>
      <c r="B992" s="50">
        <v>44523.1014123148</v>
      </c>
      <c r="C992" s="51">
        <v>1.045</v>
      </c>
      <c r="D992" s="51">
        <v>68.0</v>
      </c>
      <c r="E992" s="52" t="s">
        <v>25</v>
      </c>
      <c r="F992" s="52" t="s">
        <v>26</v>
      </c>
      <c r="G992" s="53"/>
    </row>
    <row r="993">
      <c r="A993" s="49">
        <v>44522.986862025464</v>
      </c>
      <c r="B993" s="50">
        <v>44523.1118307175</v>
      </c>
      <c r="C993" s="51">
        <v>1.045</v>
      </c>
      <c r="D993" s="51">
        <v>68.0</v>
      </c>
      <c r="E993" s="52" t="s">
        <v>25</v>
      </c>
      <c r="F993" s="52" t="s">
        <v>26</v>
      </c>
      <c r="G993" s="53"/>
    </row>
    <row r="994">
      <c r="A994" s="49">
        <v>44522.9972787963</v>
      </c>
      <c r="B994" s="50">
        <v>44523.1222525347</v>
      </c>
      <c r="C994" s="51">
        <v>1.045</v>
      </c>
      <c r="D994" s="51">
        <v>68.0</v>
      </c>
      <c r="E994" s="52" t="s">
        <v>25</v>
      </c>
      <c r="F994" s="52" t="s">
        <v>26</v>
      </c>
      <c r="G994" s="53"/>
    </row>
    <row r="995">
      <c r="A995" s="49">
        <v>44523.007705462966</v>
      </c>
      <c r="B995" s="50">
        <v>44523.1326712615</v>
      </c>
      <c r="C995" s="51">
        <v>1.045</v>
      </c>
      <c r="D995" s="51">
        <v>68.0</v>
      </c>
      <c r="E995" s="52" t="s">
        <v>25</v>
      </c>
      <c r="F995" s="52" t="s">
        <v>26</v>
      </c>
      <c r="G995" s="53"/>
    </row>
    <row r="996">
      <c r="A996" s="49">
        <v>44523.01810681713</v>
      </c>
      <c r="B996" s="50">
        <v>44523.1430918518</v>
      </c>
      <c r="C996" s="51">
        <v>1.045</v>
      </c>
      <c r="D996" s="51">
        <v>68.0</v>
      </c>
      <c r="E996" s="52" t="s">
        <v>25</v>
      </c>
      <c r="F996" s="52" t="s">
        <v>26</v>
      </c>
      <c r="G996" s="53"/>
    </row>
    <row r="997">
      <c r="A997" s="49">
        <v>44523.02853707176</v>
      </c>
      <c r="B997" s="50">
        <v>44523.153511412</v>
      </c>
      <c r="C997" s="51">
        <v>1.045</v>
      </c>
      <c r="D997" s="51">
        <v>68.0</v>
      </c>
      <c r="E997" s="52" t="s">
        <v>25</v>
      </c>
      <c r="F997" s="52" t="s">
        <v>26</v>
      </c>
      <c r="G997" s="53"/>
    </row>
    <row r="998">
      <c r="A998" s="49">
        <v>44523.03895915509</v>
      </c>
      <c r="B998" s="50">
        <v>44523.1639322569</v>
      </c>
      <c r="C998" s="51">
        <v>1.045</v>
      </c>
      <c r="D998" s="51">
        <v>68.0</v>
      </c>
      <c r="E998" s="52" t="s">
        <v>25</v>
      </c>
      <c r="F998" s="52" t="s">
        <v>26</v>
      </c>
      <c r="G998" s="53"/>
    </row>
    <row r="999">
      <c r="A999" s="49">
        <v>44523.04937653935</v>
      </c>
      <c r="B999" s="50">
        <v>44523.1743532407</v>
      </c>
      <c r="C999" s="51">
        <v>1.045</v>
      </c>
      <c r="D999" s="51">
        <v>68.0</v>
      </c>
      <c r="E999" s="52" t="s">
        <v>25</v>
      </c>
      <c r="F999" s="52" t="s">
        <v>26</v>
      </c>
      <c r="G999" s="53"/>
    </row>
    <row r="1000">
      <c r="A1000" s="49">
        <v>44523.05979629629</v>
      </c>
      <c r="B1000" s="50">
        <v>44523.1847733101</v>
      </c>
      <c r="C1000" s="51">
        <v>1.045</v>
      </c>
      <c r="D1000" s="51">
        <v>68.0</v>
      </c>
      <c r="E1000" s="52" t="s">
        <v>25</v>
      </c>
      <c r="F1000" s="52" t="s">
        <v>26</v>
      </c>
      <c r="G1000" s="53"/>
    </row>
    <row r="1001">
      <c r="A1001" s="49">
        <v>44523.070211342594</v>
      </c>
      <c r="B1001" s="50">
        <v>44523.1951932986</v>
      </c>
      <c r="C1001" s="51">
        <v>1.045</v>
      </c>
      <c r="D1001" s="51">
        <v>68.0</v>
      </c>
      <c r="E1001" s="52" t="s">
        <v>25</v>
      </c>
      <c r="F1001" s="52" t="s">
        <v>26</v>
      </c>
      <c r="G1001" s="53"/>
    </row>
    <row r="1002">
      <c r="A1002" s="49">
        <v>44523.08064515046</v>
      </c>
      <c r="B1002" s="50">
        <v>44523.2056151504</v>
      </c>
      <c r="C1002" s="51">
        <v>1.045</v>
      </c>
      <c r="D1002" s="51">
        <v>68.0</v>
      </c>
      <c r="E1002" s="52" t="s">
        <v>25</v>
      </c>
      <c r="F1002" s="52" t="s">
        <v>26</v>
      </c>
      <c r="G1002" s="53"/>
    </row>
    <row r="1003">
      <c r="A1003" s="49">
        <v>44523.0910652662</v>
      </c>
      <c r="B1003" s="50">
        <v>44523.2160364351</v>
      </c>
      <c r="C1003" s="51">
        <v>1.045</v>
      </c>
      <c r="D1003" s="51">
        <v>68.0</v>
      </c>
      <c r="E1003" s="52" t="s">
        <v>25</v>
      </c>
      <c r="F1003" s="52" t="s">
        <v>26</v>
      </c>
      <c r="G1003" s="53"/>
    </row>
    <row r="1004">
      <c r="A1004" s="49">
        <v>44523.10148182871</v>
      </c>
      <c r="B1004" s="50">
        <v>44523.2264582291</v>
      </c>
      <c r="C1004" s="51">
        <v>1.045</v>
      </c>
      <c r="D1004" s="51">
        <v>68.0</v>
      </c>
      <c r="E1004" s="52" t="s">
        <v>25</v>
      </c>
      <c r="F1004" s="52" t="s">
        <v>26</v>
      </c>
      <c r="G1004" s="53"/>
    </row>
    <row r="1005">
      <c r="A1005" s="49">
        <v>44523.111905868056</v>
      </c>
      <c r="B1005" s="50">
        <v>44523.2368785763</v>
      </c>
      <c r="C1005" s="51">
        <v>1.045</v>
      </c>
      <c r="D1005" s="51">
        <v>68.0</v>
      </c>
      <c r="E1005" s="52" t="s">
        <v>25</v>
      </c>
      <c r="F1005" s="52" t="s">
        <v>26</v>
      </c>
      <c r="G1005" s="53"/>
    </row>
    <row r="1006">
      <c r="A1006" s="49">
        <v>44523.1223197338</v>
      </c>
      <c r="B1006" s="50">
        <v>44523.2472997453</v>
      </c>
      <c r="C1006" s="51">
        <v>1.045</v>
      </c>
      <c r="D1006" s="51">
        <v>68.0</v>
      </c>
      <c r="E1006" s="52" t="s">
        <v>25</v>
      </c>
      <c r="F1006" s="52" t="s">
        <v>26</v>
      </c>
      <c r="G1006" s="53"/>
    </row>
    <row r="1007">
      <c r="A1007" s="49">
        <v>44523.1327424537</v>
      </c>
      <c r="B1007" s="50">
        <v>44523.2577206249</v>
      </c>
      <c r="C1007" s="51">
        <v>1.045</v>
      </c>
      <c r="D1007" s="51">
        <v>68.0</v>
      </c>
      <c r="E1007" s="52" t="s">
        <v>25</v>
      </c>
      <c r="F1007" s="52" t="s">
        <v>26</v>
      </c>
      <c r="G1007" s="53"/>
    </row>
    <row r="1008">
      <c r="A1008" s="49">
        <v>44523.14317872685</v>
      </c>
      <c r="B1008" s="50">
        <v>44523.2681423726</v>
      </c>
      <c r="C1008" s="51">
        <v>1.045</v>
      </c>
      <c r="D1008" s="51">
        <v>68.0</v>
      </c>
      <c r="E1008" s="52" t="s">
        <v>25</v>
      </c>
      <c r="F1008" s="52" t="s">
        <v>26</v>
      </c>
      <c r="G1008" s="53"/>
    </row>
    <row r="1009">
      <c r="A1009" s="49">
        <v>44523.15358067129</v>
      </c>
      <c r="B1009" s="50">
        <v>44523.2785639467</v>
      </c>
      <c r="C1009" s="51">
        <v>1.045</v>
      </c>
      <c r="D1009" s="51">
        <v>68.0</v>
      </c>
      <c r="E1009" s="52" t="s">
        <v>25</v>
      </c>
      <c r="F1009" s="52" t="s">
        <v>26</v>
      </c>
      <c r="G1009" s="53"/>
    </row>
    <row r="1010">
      <c r="A1010" s="49">
        <v>44523.16401998843</v>
      </c>
      <c r="B1010" s="50">
        <v>44523.2889857175</v>
      </c>
      <c r="C1010" s="51">
        <v>1.044</v>
      </c>
      <c r="D1010" s="51">
        <v>68.0</v>
      </c>
      <c r="E1010" s="52" t="s">
        <v>25</v>
      </c>
      <c r="F1010" s="52" t="s">
        <v>26</v>
      </c>
      <c r="G1010" s="53"/>
    </row>
    <row r="1011">
      <c r="A1011" s="49">
        <v>44523.17443005787</v>
      </c>
      <c r="B1011" s="50">
        <v>44523.2994068865</v>
      </c>
      <c r="C1011" s="51">
        <v>1.044</v>
      </c>
      <c r="D1011" s="51">
        <v>68.0</v>
      </c>
      <c r="E1011" s="52" t="s">
        <v>25</v>
      </c>
      <c r="F1011" s="52" t="s">
        <v>26</v>
      </c>
      <c r="G1011" s="53"/>
    </row>
    <row r="1012">
      <c r="A1012" s="49">
        <v>44523.18485991898</v>
      </c>
      <c r="B1012" s="50">
        <v>44523.3098285416</v>
      </c>
      <c r="C1012" s="51">
        <v>1.044</v>
      </c>
      <c r="D1012" s="51">
        <v>68.0</v>
      </c>
      <c r="E1012" s="52" t="s">
        <v>25</v>
      </c>
      <c r="F1012" s="52" t="s">
        <v>26</v>
      </c>
      <c r="G1012" s="53"/>
    </row>
    <row r="1013">
      <c r="A1013" s="49">
        <v>44523.19528297454</v>
      </c>
      <c r="B1013" s="50">
        <v>44523.3202515393</v>
      </c>
      <c r="C1013" s="51">
        <v>1.044</v>
      </c>
      <c r="D1013" s="51">
        <v>68.0</v>
      </c>
      <c r="E1013" s="52" t="s">
        <v>25</v>
      </c>
      <c r="F1013" s="52" t="s">
        <v>26</v>
      </c>
      <c r="G1013" s="53"/>
    </row>
    <row r="1014">
      <c r="A1014" s="49">
        <v>44523.20569863426</v>
      </c>
      <c r="B1014" s="50">
        <v>44523.3306839583</v>
      </c>
      <c r="C1014" s="51">
        <v>1.044</v>
      </c>
      <c r="D1014" s="51">
        <v>68.0</v>
      </c>
      <c r="E1014" s="52" t="s">
        <v>25</v>
      </c>
      <c r="F1014" s="52" t="s">
        <v>26</v>
      </c>
      <c r="G1014" s="53"/>
    </row>
    <row r="1015">
      <c r="A1015" s="49">
        <v>44523.216137905096</v>
      </c>
      <c r="B1015" s="50">
        <v>44523.3411056944</v>
      </c>
      <c r="C1015" s="51">
        <v>1.044</v>
      </c>
      <c r="D1015" s="51">
        <v>68.0</v>
      </c>
      <c r="E1015" s="52" t="s">
        <v>25</v>
      </c>
      <c r="F1015" s="52" t="s">
        <v>26</v>
      </c>
      <c r="G1015" s="53"/>
    </row>
    <row r="1016">
      <c r="A1016" s="49">
        <v>44523.226551631946</v>
      </c>
      <c r="B1016" s="50">
        <v>44523.3515280092</v>
      </c>
      <c r="C1016" s="51">
        <v>1.044</v>
      </c>
      <c r="D1016" s="51">
        <v>68.0</v>
      </c>
      <c r="E1016" s="52" t="s">
        <v>25</v>
      </c>
      <c r="F1016" s="52" t="s">
        <v>26</v>
      </c>
      <c r="G1016" s="53"/>
    </row>
    <row r="1017">
      <c r="A1017" s="49">
        <v>44523.236976851855</v>
      </c>
      <c r="B1017" s="50">
        <v>44523.3619493518</v>
      </c>
      <c r="C1017" s="51">
        <v>1.044</v>
      </c>
      <c r="D1017" s="51">
        <v>68.0</v>
      </c>
      <c r="E1017" s="52" t="s">
        <v>25</v>
      </c>
      <c r="F1017" s="52" t="s">
        <v>26</v>
      </c>
      <c r="G1017" s="53"/>
    </row>
    <row r="1018">
      <c r="A1018" s="49">
        <v>44523.24739701389</v>
      </c>
      <c r="B1018" s="50">
        <v>44523.3723697569</v>
      </c>
      <c r="C1018" s="51">
        <v>1.044</v>
      </c>
      <c r="D1018" s="51">
        <v>68.0</v>
      </c>
      <c r="E1018" s="52" t="s">
        <v>25</v>
      </c>
      <c r="F1018" s="52" t="s">
        <v>26</v>
      </c>
      <c r="G1018" s="53"/>
    </row>
    <row r="1019">
      <c r="A1019" s="49">
        <v>44523.257833020834</v>
      </c>
      <c r="B1019" s="50">
        <v>44523.3828014236</v>
      </c>
      <c r="C1019" s="51">
        <v>1.044</v>
      </c>
      <c r="D1019" s="51">
        <v>68.0</v>
      </c>
      <c r="E1019" s="52" t="s">
        <v>25</v>
      </c>
      <c r="F1019" s="52" t="s">
        <v>26</v>
      </c>
      <c r="G1019" s="53"/>
    </row>
    <row r="1020">
      <c r="A1020" s="49">
        <v>44523.268251828704</v>
      </c>
      <c r="B1020" s="50">
        <v>44523.3932223032</v>
      </c>
      <c r="C1020" s="51">
        <v>1.044</v>
      </c>
      <c r="D1020" s="51">
        <v>68.0</v>
      </c>
      <c r="E1020" s="52" t="s">
        <v>25</v>
      </c>
      <c r="F1020" s="52" t="s">
        <v>26</v>
      </c>
      <c r="G1020" s="53"/>
    </row>
    <row r="1021">
      <c r="A1021" s="49">
        <v>44523.27866981481</v>
      </c>
      <c r="B1021" s="50">
        <v>44523.4036437962</v>
      </c>
      <c r="C1021" s="51">
        <v>1.044</v>
      </c>
      <c r="D1021" s="51">
        <v>68.0</v>
      </c>
      <c r="E1021" s="52" t="s">
        <v>25</v>
      </c>
      <c r="F1021" s="52" t="s">
        <v>26</v>
      </c>
      <c r="G1021" s="53"/>
    </row>
    <row r="1022">
      <c r="A1022" s="49">
        <v>44523.28909547454</v>
      </c>
      <c r="B1022" s="50">
        <v>44523.414065868</v>
      </c>
      <c r="C1022" s="51">
        <v>1.044</v>
      </c>
      <c r="D1022" s="51">
        <v>68.0</v>
      </c>
      <c r="E1022" s="52" t="s">
        <v>25</v>
      </c>
      <c r="F1022" s="52" t="s">
        <v>26</v>
      </c>
      <c r="G1022" s="53"/>
    </row>
    <row r="1023">
      <c r="A1023" s="49">
        <v>44523.299512488426</v>
      </c>
      <c r="B1023" s="50">
        <v>44523.4244882638</v>
      </c>
      <c r="C1023" s="51">
        <v>1.044</v>
      </c>
      <c r="D1023" s="51">
        <v>68.0</v>
      </c>
      <c r="E1023" s="52" t="s">
        <v>25</v>
      </c>
      <c r="F1023" s="52" t="s">
        <v>26</v>
      </c>
      <c r="G1023" s="53"/>
    </row>
    <row r="1024">
      <c r="A1024" s="49">
        <v>44523.30993046296</v>
      </c>
      <c r="B1024" s="50">
        <v>44523.4349078819</v>
      </c>
      <c r="C1024" s="51">
        <v>1.044</v>
      </c>
      <c r="D1024" s="51">
        <v>68.0</v>
      </c>
      <c r="E1024" s="52" t="s">
        <v>25</v>
      </c>
      <c r="F1024" s="52" t="s">
        <v>26</v>
      </c>
      <c r="G1024" s="53"/>
    </row>
    <row r="1025">
      <c r="A1025" s="49">
        <v>44523.32036730324</v>
      </c>
      <c r="B1025" s="50">
        <v>44523.4453391782</v>
      </c>
      <c r="C1025" s="51">
        <v>1.044</v>
      </c>
      <c r="D1025" s="51">
        <v>68.0</v>
      </c>
      <c r="E1025" s="52" t="s">
        <v>25</v>
      </c>
      <c r="F1025" s="52" t="s">
        <v>26</v>
      </c>
      <c r="G1025" s="53"/>
    </row>
    <row r="1026">
      <c r="A1026" s="49">
        <v>44523.33078480324</v>
      </c>
      <c r="B1026" s="50">
        <v>44523.455761331</v>
      </c>
      <c r="C1026" s="51">
        <v>1.044</v>
      </c>
      <c r="D1026" s="51">
        <v>68.0</v>
      </c>
      <c r="E1026" s="52" t="s">
        <v>25</v>
      </c>
      <c r="F1026" s="52" t="s">
        <v>26</v>
      </c>
      <c r="G1026" s="53"/>
    </row>
    <row r="1027">
      <c r="A1027" s="49">
        <v>44523.34120631944</v>
      </c>
      <c r="B1027" s="50">
        <v>44523.4661830208</v>
      </c>
      <c r="C1027" s="51">
        <v>1.044</v>
      </c>
      <c r="D1027" s="51">
        <v>68.0</v>
      </c>
      <c r="E1027" s="52" t="s">
        <v>25</v>
      </c>
      <c r="F1027" s="52" t="s">
        <v>26</v>
      </c>
      <c r="G1027" s="53"/>
    </row>
    <row r="1028">
      <c r="A1028" s="49">
        <v>44523.35163208333</v>
      </c>
      <c r="B1028" s="50">
        <v>44523.4766038657</v>
      </c>
      <c r="C1028" s="51">
        <v>1.044</v>
      </c>
      <c r="D1028" s="51">
        <v>68.0</v>
      </c>
      <c r="E1028" s="52" t="s">
        <v>25</v>
      </c>
      <c r="F1028" s="52" t="s">
        <v>26</v>
      </c>
      <c r="G1028" s="53"/>
    </row>
    <row r="1029">
      <c r="A1029" s="49">
        <v>44523.36208202546</v>
      </c>
      <c r="B1029" s="50">
        <v>44523.4870345717</v>
      </c>
      <c r="C1029" s="51">
        <v>1.044</v>
      </c>
      <c r="D1029" s="51">
        <v>68.0</v>
      </c>
      <c r="E1029" s="52" t="s">
        <v>25</v>
      </c>
      <c r="F1029" s="52" t="s">
        <v>26</v>
      </c>
      <c r="G1029" s="53"/>
    </row>
    <row r="1030">
      <c r="A1030" s="49">
        <v>44523.372480949074</v>
      </c>
      <c r="B1030" s="50">
        <v>44523.4974559837</v>
      </c>
      <c r="C1030" s="51">
        <v>1.044</v>
      </c>
      <c r="D1030" s="51">
        <v>68.0</v>
      </c>
      <c r="E1030" s="52" t="s">
        <v>25</v>
      </c>
      <c r="F1030" s="52" t="s">
        <v>26</v>
      </c>
      <c r="G1030" s="53"/>
    </row>
    <row r="1031">
      <c r="A1031" s="49">
        <v>44523.38290538194</v>
      </c>
      <c r="B1031" s="50">
        <v>44523.5078767939</v>
      </c>
      <c r="C1031" s="51">
        <v>1.044</v>
      </c>
      <c r="D1031" s="51">
        <v>68.0</v>
      </c>
      <c r="E1031" s="52" t="s">
        <v>25</v>
      </c>
      <c r="F1031" s="52" t="s">
        <v>26</v>
      </c>
      <c r="G1031" s="53"/>
    </row>
    <row r="1032">
      <c r="A1032" s="49">
        <v>44523.39333574074</v>
      </c>
      <c r="B1032" s="50">
        <v>44523.5183095254</v>
      </c>
      <c r="C1032" s="51">
        <v>1.044</v>
      </c>
      <c r="D1032" s="51">
        <v>68.0</v>
      </c>
      <c r="E1032" s="52" t="s">
        <v>25</v>
      </c>
      <c r="F1032" s="52" t="s">
        <v>26</v>
      </c>
      <c r="G1032" s="53"/>
    </row>
    <row r="1033">
      <c r="A1033" s="49">
        <v>44523.40375894676</v>
      </c>
      <c r="B1033" s="50">
        <v>44523.5287298842</v>
      </c>
      <c r="C1033" s="51">
        <v>1.044</v>
      </c>
      <c r="D1033" s="51">
        <v>68.0</v>
      </c>
      <c r="E1033" s="52" t="s">
        <v>25</v>
      </c>
      <c r="F1033" s="52" t="s">
        <v>26</v>
      </c>
      <c r="G1033" s="53"/>
    </row>
    <row r="1034">
      <c r="A1034" s="49">
        <v>44523.4141787963</v>
      </c>
      <c r="B1034" s="50">
        <v>44523.5391503124</v>
      </c>
      <c r="C1034" s="51">
        <v>1.044</v>
      </c>
      <c r="D1034" s="51">
        <v>68.0</v>
      </c>
      <c r="E1034" s="52" t="s">
        <v>25</v>
      </c>
      <c r="F1034" s="52" t="s">
        <v>26</v>
      </c>
      <c r="G1034" s="53"/>
    </row>
    <row r="1035">
      <c r="A1035" s="49">
        <v>44523.424592407406</v>
      </c>
      <c r="B1035" s="50">
        <v>44523.549571493</v>
      </c>
      <c r="C1035" s="51">
        <v>1.043</v>
      </c>
      <c r="D1035" s="51">
        <v>68.0</v>
      </c>
      <c r="E1035" s="52" t="s">
        <v>25</v>
      </c>
      <c r="F1035" s="52" t="s">
        <v>26</v>
      </c>
      <c r="G1035" s="53"/>
    </row>
    <row r="1036">
      <c r="A1036" s="49">
        <v>44523.4350190625</v>
      </c>
      <c r="B1036" s="50">
        <v>44523.5599940046</v>
      </c>
      <c r="C1036" s="51">
        <v>1.044</v>
      </c>
      <c r="D1036" s="51">
        <v>68.0</v>
      </c>
      <c r="E1036" s="52" t="s">
        <v>25</v>
      </c>
      <c r="F1036" s="52" t="s">
        <v>26</v>
      </c>
      <c r="G1036" s="53"/>
    </row>
    <row r="1037">
      <c r="A1037" s="49">
        <v>44523.445437939816</v>
      </c>
      <c r="B1037" s="50">
        <v>44523.5704145486</v>
      </c>
      <c r="C1037" s="51">
        <v>1.044</v>
      </c>
      <c r="D1037" s="51">
        <v>68.0</v>
      </c>
      <c r="E1037" s="52" t="s">
        <v>25</v>
      </c>
      <c r="F1037" s="52" t="s">
        <v>26</v>
      </c>
      <c r="G1037" s="53"/>
    </row>
    <row r="1038">
      <c r="A1038" s="49">
        <v>44523.455863298615</v>
      </c>
      <c r="B1038" s="50">
        <v>44523.5808356481</v>
      </c>
      <c r="C1038" s="51">
        <v>1.044</v>
      </c>
      <c r="D1038" s="51">
        <v>68.0</v>
      </c>
      <c r="E1038" s="52" t="s">
        <v>25</v>
      </c>
      <c r="F1038" s="52" t="s">
        <v>26</v>
      </c>
      <c r="G1038" s="53"/>
    </row>
    <row r="1039">
      <c r="A1039" s="49">
        <v>44523.466284780094</v>
      </c>
      <c r="B1039" s="50">
        <v>44523.5912569675</v>
      </c>
      <c r="C1039" s="51">
        <v>1.044</v>
      </c>
      <c r="D1039" s="51">
        <v>68.0</v>
      </c>
      <c r="E1039" s="52" t="s">
        <v>25</v>
      </c>
      <c r="F1039" s="52" t="s">
        <v>26</v>
      </c>
      <c r="G1039" s="53"/>
    </row>
    <row r="1040">
      <c r="A1040" s="49">
        <v>44523.4767062037</v>
      </c>
      <c r="B1040" s="50">
        <v>44523.6016776388</v>
      </c>
      <c r="C1040" s="51">
        <v>1.043</v>
      </c>
      <c r="D1040" s="51">
        <v>68.0</v>
      </c>
      <c r="E1040" s="52" t="s">
        <v>25</v>
      </c>
      <c r="F1040" s="52" t="s">
        <v>26</v>
      </c>
      <c r="G1040" s="53"/>
    </row>
    <row r="1041">
      <c r="A1041" s="49">
        <v>44523.48713204861</v>
      </c>
      <c r="B1041" s="50">
        <v>44523.6121112384</v>
      </c>
      <c r="C1041" s="51">
        <v>1.043</v>
      </c>
      <c r="D1041" s="51">
        <v>68.0</v>
      </c>
      <c r="E1041" s="52" t="s">
        <v>25</v>
      </c>
      <c r="F1041" s="52" t="s">
        <v>26</v>
      </c>
      <c r="G1041" s="53"/>
    </row>
    <row r="1042">
      <c r="A1042" s="49">
        <v>44523.49767353009</v>
      </c>
      <c r="B1042" s="50">
        <v>44523.6225440972</v>
      </c>
      <c r="C1042" s="51">
        <v>1.043</v>
      </c>
      <c r="D1042" s="51">
        <v>68.0</v>
      </c>
      <c r="E1042" s="52" t="s">
        <v>25</v>
      </c>
      <c r="F1042" s="52" t="s">
        <v>26</v>
      </c>
      <c r="G1042" s="53"/>
    </row>
    <row r="1043">
      <c r="A1043" s="49">
        <v>44523.50799293982</v>
      </c>
      <c r="B1043" s="50">
        <v>44523.6329644212</v>
      </c>
      <c r="C1043" s="51">
        <v>1.043</v>
      </c>
      <c r="D1043" s="51">
        <v>68.0</v>
      </c>
      <c r="E1043" s="52" t="s">
        <v>25</v>
      </c>
      <c r="F1043" s="52" t="s">
        <v>26</v>
      </c>
      <c r="G1043" s="53"/>
    </row>
    <row r="1044">
      <c r="A1044" s="49">
        <v>44523.518414583334</v>
      </c>
      <c r="B1044" s="50">
        <v>44523.6433862962</v>
      </c>
      <c r="C1044" s="51">
        <v>1.043</v>
      </c>
      <c r="D1044" s="51">
        <v>68.0</v>
      </c>
      <c r="E1044" s="52" t="s">
        <v>25</v>
      </c>
      <c r="F1044" s="52" t="s">
        <v>26</v>
      </c>
      <c r="G1044" s="53"/>
    </row>
    <row r="1045">
      <c r="A1045" s="49">
        <v>44523.52882939814</v>
      </c>
      <c r="B1045" s="50">
        <v>44523.6538050462</v>
      </c>
      <c r="C1045" s="51">
        <v>1.043</v>
      </c>
      <c r="D1045" s="51">
        <v>68.0</v>
      </c>
      <c r="E1045" s="52" t="s">
        <v>25</v>
      </c>
      <c r="F1045" s="52" t="s">
        <v>26</v>
      </c>
      <c r="G1045" s="53"/>
    </row>
    <row r="1046">
      <c r="A1046" s="49">
        <v>44523.53925581019</v>
      </c>
      <c r="B1046" s="50">
        <v>44523.6642259606</v>
      </c>
      <c r="C1046" s="51">
        <v>1.043</v>
      </c>
      <c r="D1046" s="51">
        <v>68.0</v>
      </c>
      <c r="E1046" s="52" t="s">
        <v>25</v>
      </c>
      <c r="F1046" s="52" t="s">
        <v>26</v>
      </c>
      <c r="G1046" s="53"/>
    </row>
    <row r="1047">
      <c r="A1047" s="49">
        <v>44523.54967976852</v>
      </c>
      <c r="B1047" s="50">
        <v>44523.6746492245</v>
      </c>
      <c r="C1047" s="51">
        <v>1.043</v>
      </c>
      <c r="D1047" s="51">
        <v>68.0</v>
      </c>
      <c r="E1047" s="52" t="s">
        <v>25</v>
      </c>
      <c r="F1047" s="52" t="s">
        <v>26</v>
      </c>
      <c r="G1047" s="53"/>
    </row>
    <row r="1048">
      <c r="A1048" s="49">
        <v>44523.56010377315</v>
      </c>
      <c r="B1048" s="50">
        <v>44523.6850701736</v>
      </c>
      <c r="C1048" s="51">
        <v>1.043</v>
      </c>
      <c r="D1048" s="51">
        <v>68.0</v>
      </c>
      <c r="E1048" s="52" t="s">
        <v>25</v>
      </c>
      <c r="F1048" s="52" t="s">
        <v>26</v>
      </c>
      <c r="G1048" s="53"/>
    </row>
    <row r="1049">
      <c r="A1049" s="49">
        <v>44523.57050821759</v>
      </c>
      <c r="B1049" s="50">
        <v>44523.695489618</v>
      </c>
      <c r="C1049" s="51">
        <v>1.043</v>
      </c>
      <c r="D1049" s="51">
        <v>68.0</v>
      </c>
      <c r="E1049" s="52" t="s">
        <v>25</v>
      </c>
      <c r="F1049" s="52" t="s">
        <v>26</v>
      </c>
      <c r="G1049" s="53"/>
    </row>
    <row r="1050">
      <c r="A1050" s="49">
        <v>44523.580941215274</v>
      </c>
      <c r="B1050" s="50">
        <v>44523.7059122453</v>
      </c>
      <c r="C1050" s="51">
        <v>1.043</v>
      </c>
      <c r="D1050" s="51">
        <v>67.0</v>
      </c>
      <c r="E1050" s="52" t="s">
        <v>25</v>
      </c>
      <c r="F1050" s="52" t="s">
        <v>26</v>
      </c>
      <c r="G1050" s="53"/>
    </row>
    <row r="1051">
      <c r="A1051" s="49">
        <v>44523.59136795139</v>
      </c>
      <c r="B1051" s="50">
        <v>44523.7163332523</v>
      </c>
      <c r="C1051" s="51">
        <v>1.043</v>
      </c>
      <c r="D1051" s="51">
        <v>68.0</v>
      </c>
      <c r="E1051" s="52" t="s">
        <v>25</v>
      </c>
      <c r="F1051" s="52" t="s">
        <v>26</v>
      </c>
      <c r="G1051" s="53"/>
    </row>
    <row r="1052">
      <c r="A1052" s="49">
        <v>44523.601782638885</v>
      </c>
      <c r="B1052" s="50">
        <v>44523.7267529398</v>
      </c>
      <c r="C1052" s="51">
        <v>1.043</v>
      </c>
      <c r="D1052" s="51">
        <v>67.0</v>
      </c>
      <c r="E1052" s="52" t="s">
        <v>25</v>
      </c>
      <c r="F1052" s="52" t="s">
        <v>26</v>
      </c>
      <c r="G1052" s="53"/>
    </row>
    <row r="1053">
      <c r="A1053" s="49">
        <v>44523.6122024537</v>
      </c>
      <c r="B1053" s="50">
        <v>44523.7371727083</v>
      </c>
      <c r="C1053" s="51">
        <v>1.043</v>
      </c>
      <c r="D1053" s="51">
        <v>68.0</v>
      </c>
      <c r="E1053" s="52" t="s">
        <v>25</v>
      </c>
      <c r="F1053" s="52" t="s">
        <v>26</v>
      </c>
      <c r="G1053" s="53"/>
    </row>
    <row r="1054">
      <c r="A1054" s="49">
        <v>44523.62261715278</v>
      </c>
      <c r="B1054" s="50">
        <v>44523.7475939351</v>
      </c>
      <c r="C1054" s="51">
        <v>1.043</v>
      </c>
      <c r="D1054" s="51">
        <v>67.0</v>
      </c>
      <c r="E1054" s="52" t="s">
        <v>25</v>
      </c>
      <c r="F1054" s="52" t="s">
        <v>26</v>
      </c>
      <c r="G1054" s="53"/>
    </row>
    <row r="1055">
      <c r="A1055" s="49">
        <v>44523.6330525</v>
      </c>
      <c r="B1055" s="50">
        <v>44523.7580157407</v>
      </c>
      <c r="C1055" s="51">
        <v>1.043</v>
      </c>
      <c r="D1055" s="51">
        <v>68.0</v>
      </c>
      <c r="E1055" s="52" t="s">
        <v>25</v>
      </c>
      <c r="F1055" s="52" t="s">
        <v>26</v>
      </c>
      <c r="G1055" s="53"/>
    </row>
    <row r="1056">
      <c r="A1056" s="49">
        <v>44523.64348077546</v>
      </c>
      <c r="B1056" s="50">
        <v>44523.7684371643</v>
      </c>
      <c r="C1056" s="51">
        <v>1.043</v>
      </c>
      <c r="D1056" s="51">
        <v>67.0</v>
      </c>
      <c r="E1056" s="52" t="s">
        <v>25</v>
      </c>
      <c r="F1056" s="52" t="s">
        <v>26</v>
      </c>
      <c r="G1056" s="53"/>
    </row>
    <row r="1057">
      <c r="A1057" s="49">
        <v>44523.65388370371</v>
      </c>
      <c r="B1057" s="50">
        <v>44523.7788585185</v>
      </c>
      <c r="C1057" s="51">
        <v>1.043</v>
      </c>
      <c r="D1057" s="51">
        <v>67.0</v>
      </c>
      <c r="E1057" s="52" t="s">
        <v>25</v>
      </c>
      <c r="F1057" s="52" t="s">
        <v>26</v>
      </c>
      <c r="G1057" s="53"/>
    </row>
    <row r="1058">
      <c r="A1058" s="49">
        <v>44523.66430914352</v>
      </c>
      <c r="B1058" s="50">
        <v>44523.7892807291</v>
      </c>
      <c r="C1058" s="51">
        <v>1.043</v>
      </c>
      <c r="D1058" s="51">
        <v>67.0</v>
      </c>
      <c r="E1058" s="52" t="s">
        <v>25</v>
      </c>
      <c r="F1058" s="52" t="s">
        <v>26</v>
      </c>
      <c r="G1058" s="53"/>
    </row>
    <row r="1059">
      <c r="A1059" s="49">
        <v>44523.67515052084</v>
      </c>
      <c r="B1059" s="50">
        <v>44523.7997037615</v>
      </c>
      <c r="C1059" s="51">
        <v>1.043</v>
      </c>
      <c r="D1059" s="51">
        <v>67.0</v>
      </c>
      <c r="E1059" s="52" t="s">
        <v>25</v>
      </c>
      <c r="F1059" s="52" t="s">
        <v>26</v>
      </c>
      <c r="G1059" s="53"/>
    </row>
    <row r="1060">
      <c r="A1060" s="49">
        <v>44523.68516385417</v>
      </c>
      <c r="B1060" s="50">
        <v>44523.8101380902</v>
      </c>
      <c r="C1060" s="51">
        <v>1.043</v>
      </c>
      <c r="D1060" s="51">
        <v>67.0</v>
      </c>
      <c r="E1060" s="52" t="s">
        <v>25</v>
      </c>
      <c r="F1060" s="52" t="s">
        <v>26</v>
      </c>
      <c r="G1060" s="53"/>
    </row>
    <row r="1061">
      <c r="A1061" s="49">
        <v>44523.69559175926</v>
      </c>
      <c r="B1061" s="50">
        <v>44523.8205592592</v>
      </c>
      <c r="C1061" s="51">
        <v>1.043</v>
      </c>
      <c r="D1061" s="51">
        <v>67.0</v>
      </c>
      <c r="E1061" s="52" t="s">
        <v>25</v>
      </c>
      <c r="F1061" s="52" t="s">
        <v>26</v>
      </c>
      <c r="G1061" s="53"/>
    </row>
    <row r="1062">
      <c r="A1062" s="49">
        <v>44523.70600895833</v>
      </c>
      <c r="B1062" s="50">
        <v>44523.8309805555</v>
      </c>
      <c r="C1062" s="51">
        <v>1.043</v>
      </c>
      <c r="D1062" s="51">
        <v>67.0</v>
      </c>
      <c r="E1062" s="52" t="s">
        <v>25</v>
      </c>
      <c r="F1062" s="52" t="s">
        <v>26</v>
      </c>
      <c r="G1062" s="53"/>
    </row>
    <row r="1063">
      <c r="A1063" s="49">
        <v>44523.716450486114</v>
      </c>
      <c r="B1063" s="50">
        <v>44523.8414012847</v>
      </c>
      <c r="C1063" s="51">
        <v>1.042</v>
      </c>
      <c r="D1063" s="51">
        <v>67.0</v>
      </c>
      <c r="E1063" s="52" t="s">
        <v>25</v>
      </c>
      <c r="F1063" s="52" t="s">
        <v>26</v>
      </c>
      <c r="G1063" s="53"/>
    </row>
    <row r="1064">
      <c r="A1064" s="49">
        <v>44523.72685358796</v>
      </c>
      <c r="B1064" s="50">
        <v>44523.8518228356</v>
      </c>
      <c r="C1064" s="51">
        <v>1.042</v>
      </c>
      <c r="D1064" s="51">
        <v>67.0</v>
      </c>
      <c r="E1064" s="52" t="s">
        <v>25</v>
      </c>
      <c r="F1064" s="52" t="s">
        <v>26</v>
      </c>
      <c r="G1064" s="53"/>
    </row>
    <row r="1065">
      <c r="A1065" s="49">
        <v>44523.73729340278</v>
      </c>
      <c r="B1065" s="50">
        <v>44523.8622551388</v>
      </c>
      <c r="C1065" s="51">
        <v>1.042</v>
      </c>
      <c r="D1065" s="51">
        <v>67.0</v>
      </c>
      <c r="E1065" s="52" t="s">
        <v>25</v>
      </c>
      <c r="F1065" s="52" t="s">
        <v>26</v>
      </c>
      <c r="G1065" s="53"/>
    </row>
    <row r="1066">
      <c r="A1066" s="49">
        <v>44523.74771880787</v>
      </c>
      <c r="B1066" s="50">
        <v>44523.8726772453</v>
      </c>
      <c r="C1066" s="51">
        <v>1.042</v>
      </c>
      <c r="D1066" s="51">
        <v>67.0</v>
      </c>
      <c r="E1066" s="52" t="s">
        <v>25</v>
      </c>
      <c r="F1066" s="52" t="s">
        <v>26</v>
      </c>
      <c r="G1066" s="53"/>
    </row>
    <row r="1067">
      <c r="A1067" s="49">
        <v>44523.75813440973</v>
      </c>
      <c r="B1067" s="50">
        <v>44523.8830982407</v>
      </c>
      <c r="C1067" s="51">
        <v>1.042</v>
      </c>
      <c r="D1067" s="51">
        <v>67.0</v>
      </c>
      <c r="E1067" s="52" t="s">
        <v>25</v>
      </c>
      <c r="F1067" s="52" t="s">
        <v>26</v>
      </c>
      <c r="G1067" s="53"/>
    </row>
    <row r="1068">
      <c r="A1068" s="49">
        <v>44523.76855702546</v>
      </c>
      <c r="B1068" s="50">
        <v>44523.8935189351</v>
      </c>
      <c r="C1068" s="51">
        <v>1.042</v>
      </c>
      <c r="D1068" s="51">
        <v>67.0</v>
      </c>
      <c r="E1068" s="52" t="s">
        <v>25</v>
      </c>
      <c r="F1068" s="52" t="s">
        <v>26</v>
      </c>
      <c r="G1068" s="53"/>
    </row>
    <row r="1069">
      <c r="A1069" s="49">
        <v>44523.77897082176</v>
      </c>
      <c r="B1069" s="50">
        <v>44523.9039391203</v>
      </c>
      <c r="C1069" s="51">
        <v>1.042</v>
      </c>
      <c r="D1069" s="51">
        <v>67.0</v>
      </c>
      <c r="E1069" s="52" t="s">
        <v>25</v>
      </c>
      <c r="F1069" s="52" t="s">
        <v>26</v>
      </c>
      <c r="G1069" s="53"/>
    </row>
    <row r="1070">
      <c r="A1070" s="49">
        <v>44523.789395011576</v>
      </c>
      <c r="B1070" s="50">
        <v>44523.9143592592</v>
      </c>
      <c r="C1070" s="51">
        <v>1.042</v>
      </c>
      <c r="D1070" s="51">
        <v>67.0</v>
      </c>
      <c r="E1070" s="52" t="s">
        <v>25</v>
      </c>
      <c r="F1070" s="52" t="s">
        <v>26</v>
      </c>
      <c r="G1070" s="53"/>
    </row>
    <row r="1071">
      <c r="A1071" s="49">
        <v>44523.79981222222</v>
      </c>
      <c r="B1071" s="50">
        <v>44523.9247783333</v>
      </c>
      <c r="C1071" s="51">
        <v>1.042</v>
      </c>
      <c r="D1071" s="51">
        <v>67.0</v>
      </c>
      <c r="E1071" s="52" t="s">
        <v>25</v>
      </c>
      <c r="F1071" s="52" t="s">
        <v>26</v>
      </c>
      <c r="G1071" s="53"/>
    </row>
    <row r="1072">
      <c r="A1072" s="49">
        <v>44523.8102442824</v>
      </c>
      <c r="B1072" s="50">
        <v>44523.9351993749</v>
      </c>
      <c r="C1072" s="51">
        <v>1.042</v>
      </c>
      <c r="D1072" s="51">
        <v>67.0</v>
      </c>
      <c r="E1072" s="52" t="s">
        <v>25</v>
      </c>
      <c r="F1072" s="52" t="s">
        <v>26</v>
      </c>
      <c r="G1072" s="53"/>
    </row>
    <row r="1073">
      <c r="A1073" s="49">
        <v>44523.82142003472</v>
      </c>
      <c r="B1073" s="50">
        <v>44523.9456203703</v>
      </c>
      <c r="C1073" s="51">
        <v>1.042</v>
      </c>
      <c r="D1073" s="51">
        <v>67.0</v>
      </c>
      <c r="E1073" s="52" t="s">
        <v>25</v>
      </c>
      <c r="F1073" s="52" t="s">
        <v>26</v>
      </c>
      <c r="G1073" s="53"/>
    </row>
    <row r="1074">
      <c r="A1074" s="49">
        <v>44523.831065983795</v>
      </c>
      <c r="B1074" s="50">
        <v>44523.9560425</v>
      </c>
      <c r="C1074" s="51">
        <v>1.042</v>
      </c>
      <c r="D1074" s="51">
        <v>67.0</v>
      </c>
      <c r="E1074" s="52" t="s">
        <v>25</v>
      </c>
      <c r="F1074" s="52" t="s">
        <v>26</v>
      </c>
      <c r="G1074" s="53"/>
    </row>
    <row r="1075">
      <c r="A1075" s="49">
        <v>44523.841495347224</v>
      </c>
      <c r="B1075" s="50">
        <v>44523.9664642476</v>
      </c>
      <c r="C1075" s="51">
        <v>1.042</v>
      </c>
      <c r="D1075" s="51">
        <v>67.0</v>
      </c>
      <c r="E1075" s="52" t="s">
        <v>25</v>
      </c>
      <c r="F1075" s="52" t="s">
        <v>26</v>
      </c>
      <c r="G1075" s="53"/>
    </row>
    <row r="1076">
      <c r="A1076" s="49">
        <v>44523.851917418986</v>
      </c>
      <c r="B1076" s="50">
        <v>44523.9768862962</v>
      </c>
      <c r="C1076" s="51">
        <v>1.042</v>
      </c>
      <c r="D1076" s="51">
        <v>67.0</v>
      </c>
      <c r="E1076" s="52" t="s">
        <v>25</v>
      </c>
      <c r="F1076" s="52" t="s">
        <v>26</v>
      </c>
      <c r="G1076" s="53"/>
    </row>
    <row r="1077">
      <c r="A1077" s="49">
        <v>44523.862331435186</v>
      </c>
      <c r="B1077" s="50">
        <v>44523.9873069328</v>
      </c>
      <c r="C1077" s="51">
        <v>1.042</v>
      </c>
      <c r="D1077" s="51">
        <v>67.0</v>
      </c>
      <c r="E1077" s="52" t="s">
        <v>25</v>
      </c>
      <c r="F1077" s="52" t="s">
        <v>26</v>
      </c>
      <c r="G1077" s="53"/>
    </row>
    <row r="1078">
      <c r="A1078" s="49">
        <v>44523.872759861115</v>
      </c>
      <c r="B1078" s="50">
        <v>44523.9977256134</v>
      </c>
      <c r="C1078" s="51">
        <v>1.042</v>
      </c>
      <c r="D1078" s="51">
        <v>67.0</v>
      </c>
      <c r="E1078" s="52" t="s">
        <v>25</v>
      </c>
      <c r="F1078" s="52" t="s">
        <v>26</v>
      </c>
      <c r="G1078" s="53"/>
    </row>
    <row r="1079">
      <c r="A1079" s="49">
        <v>44523.88317847222</v>
      </c>
      <c r="B1079" s="50">
        <v>44524.0081467824</v>
      </c>
      <c r="C1079" s="51">
        <v>1.042</v>
      </c>
      <c r="D1079" s="51">
        <v>67.0</v>
      </c>
      <c r="E1079" s="52" t="s">
        <v>25</v>
      </c>
      <c r="F1079" s="52" t="s">
        <v>26</v>
      </c>
      <c r="G1079" s="53"/>
    </row>
    <row r="1080">
      <c r="A1080" s="49">
        <v>44523.89360430556</v>
      </c>
      <c r="B1080" s="50">
        <v>44524.0185690625</v>
      </c>
      <c r="C1080" s="51">
        <v>1.042</v>
      </c>
      <c r="D1080" s="51">
        <v>67.0</v>
      </c>
      <c r="E1080" s="52" t="s">
        <v>25</v>
      </c>
      <c r="F1080" s="52" t="s">
        <v>26</v>
      </c>
      <c r="G1080" s="53"/>
    </row>
    <row r="1081">
      <c r="A1081" s="49">
        <v>44523.90401277778</v>
      </c>
      <c r="B1081" s="50">
        <v>44524.0289890162</v>
      </c>
      <c r="C1081" s="51">
        <v>1.042</v>
      </c>
      <c r="D1081" s="51">
        <v>67.0</v>
      </c>
      <c r="E1081" s="52" t="s">
        <v>25</v>
      </c>
      <c r="F1081" s="52" t="s">
        <v>26</v>
      </c>
      <c r="G1081" s="53"/>
    </row>
    <row r="1082">
      <c r="A1082" s="49">
        <v>44523.91443813658</v>
      </c>
      <c r="B1082" s="50">
        <v>44524.0394101157</v>
      </c>
      <c r="C1082" s="51">
        <v>1.042</v>
      </c>
      <c r="D1082" s="51">
        <v>67.0</v>
      </c>
      <c r="E1082" s="52" t="s">
        <v>25</v>
      </c>
      <c r="F1082" s="52" t="s">
        <v>26</v>
      </c>
      <c r="G1082" s="53"/>
    </row>
    <row r="1083">
      <c r="A1083" s="49">
        <v>44523.92487495371</v>
      </c>
      <c r="B1083" s="50">
        <v>44524.0498445138</v>
      </c>
      <c r="C1083" s="51">
        <v>1.042</v>
      </c>
      <c r="D1083" s="51">
        <v>67.0</v>
      </c>
      <c r="E1083" s="52" t="s">
        <v>25</v>
      </c>
      <c r="F1083" s="52" t="s">
        <v>26</v>
      </c>
      <c r="G1083" s="53"/>
    </row>
    <row r="1084">
      <c r="A1084" s="49">
        <v>44523.93530572917</v>
      </c>
      <c r="B1084" s="50">
        <v>44524.0602773611</v>
      </c>
      <c r="C1084" s="51">
        <v>1.042</v>
      </c>
      <c r="D1084" s="51">
        <v>67.0</v>
      </c>
      <c r="E1084" s="52" t="s">
        <v>25</v>
      </c>
      <c r="F1084" s="52" t="s">
        <v>26</v>
      </c>
      <c r="G1084" s="53"/>
    </row>
    <row r="1085">
      <c r="A1085" s="49">
        <v>44523.94573020833</v>
      </c>
      <c r="B1085" s="50">
        <v>44524.0707003819</v>
      </c>
      <c r="C1085" s="51">
        <v>1.042</v>
      </c>
      <c r="D1085" s="51">
        <v>67.0</v>
      </c>
      <c r="E1085" s="52" t="s">
        <v>25</v>
      </c>
      <c r="F1085" s="52" t="s">
        <v>26</v>
      </c>
      <c r="G1085" s="53"/>
    </row>
    <row r="1086">
      <c r="A1086" s="49">
        <v>44523.956146331024</v>
      </c>
      <c r="B1086" s="50">
        <v>44524.0811211226</v>
      </c>
      <c r="C1086" s="51">
        <v>1.042</v>
      </c>
      <c r="D1086" s="51">
        <v>67.0</v>
      </c>
      <c r="E1086" s="52" t="s">
        <v>25</v>
      </c>
      <c r="F1086" s="52" t="s">
        <v>26</v>
      </c>
      <c r="G1086" s="53"/>
    </row>
    <row r="1087">
      <c r="A1087" s="49">
        <v>44523.966579837965</v>
      </c>
      <c r="B1087" s="50">
        <v>44524.0915430208</v>
      </c>
      <c r="C1087" s="51">
        <v>1.042</v>
      </c>
      <c r="D1087" s="51">
        <v>67.0</v>
      </c>
      <c r="E1087" s="52" t="s">
        <v>25</v>
      </c>
      <c r="F1087" s="52" t="s">
        <v>26</v>
      </c>
      <c r="G1087" s="53"/>
    </row>
    <row r="1088">
      <c r="A1088" s="49">
        <v>44523.97699452547</v>
      </c>
      <c r="B1088" s="50">
        <v>44524.1019622453</v>
      </c>
      <c r="C1088" s="51">
        <v>1.042</v>
      </c>
      <c r="D1088" s="51">
        <v>67.0</v>
      </c>
      <c r="E1088" s="52" t="s">
        <v>25</v>
      </c>
      <c r="F1088" s="52" t="s">
        <v>26</v>
      </c>
      <c r="G1088" s="53"/>
    </row>
    <row r="1089">
      <c r="A1089" s="49">
        <v>44523.98741328703</v>
      </c>
      <c r="B1089" s="50">
        <v>44524.1123855902</v>
      </c>
      <c r="C1089" s="51">
        <v>1.042</v>
      </c>
      <c r="D1089" s="51">
        <v>67.0</v>
      </c>
      <c r="E1089" s="52" t="s">
        <v>25</v>
      </c>
      <c r="F1089" s="52" t="s">
        <v>26</v>
      </c>
      <c r="G1089" s="53"/>
    </row>
    <row r="1090">
      <c r="A1090" s="49">
        <v>44523.99784108796</v>
      </c>
      <c r="B1090" s="50">
        <v>44524.1228070138</v>
      </c>
      <c r="C1090" s="51">
        <v>1.042</v>
      </c>
      <c r="D1090" s="51">
        <v>67.0</v>
      </c>
      <c r="E1090" s="52" t="s">
        <v>25</v>
      </c>
      <c r="F1090" s="52" t="s">
        <v>26</v>
      </c>
      <c r="G1090" s="53"/>
    </row>
    <row r="1091">
      <c r="A1091" s="49">
        <v>44524.008291157406</v>
      </c>
      <c r="B1091" s="50">
        <v>44524.1332280439</v>
      </c>
      <c r="C1091" s="51">
        <v>1.042</v>
      </c>
      <c r="D1091" s="51">
        <v>67.0</v>
      </c>
      <c r="E1091" s="52" t="s">
        <v>25</v>
      </c>
      <c r="F1091" s="52" t="s">
        <v>26</v>
      </c>
      <c r="G1091" s="53"/>
    </row>
    <row r="1092">
      <c r="A1092" s="49">
        <v>44524.018684849536</v>
      </c>
      <c r="B1092" s="50">
        <v>44524.1436494328</v>
      </c>
      <c r="C1092" s="51">
        <v>1.041</v>
      </c>
      <c r="D1092" s="51">
        <v>67.0</v>
      </c>
      <c r="E1092" s="52" t="s">
        <v>25</v>
      </c>
      <c r="F1092" s="52" t="s">
        <v>26</v>
      </c>
      <c r="G1092" s="53"/>
    </row>
    <row r="1093">
      <c r="A1093" s="49">
        <v>44524.02910611111</v>
      </c>
      <c r="B1093" s="50">
        <v>44524.1540702893</v>
      </c>
      <c r="C1093" s="51">
        <v>1.042</v>
      </c>
      <c r="D1093" s="51">
        <v>67.0</v>
      </c>
      <c r="E1093" s="52" t="s">
        <v>25</v>
      </c>
      <c r="F1093" s="52" t="s">
        <v>26</v>
      </c>
      <c r="G1093" s="53"/>
    </row>
    <row r="1094">
      <c r="A1094" s="49">
        <v>44524.03951899306</v>
      </c>
      <c r="B1094" s="50">
        <v>44524.1644898379</v>
      </c>
      <c r="C1094" s="51">
        <v>1.042</v>
      </c>
      <c r="D1094" s="51">
        <v>67.0</v>
      </c>
      <c r="E1094" s="52" t="s">
        <v>25</v>
      </c>
      <c r="F1094" s="52" t="s">
        <v>26</v>
      </c>
      <c r="G1094" s="53"/>
    </row>
    <row r="1095">
      <c r="A1095" s="49">
        <v>44524.04994131945</v>
      </c>
      <c r="B1095" s="50">
        <v>44524.1749116898</v>
      </c>
      <c r="C1095" s="51">
        <v>1.041</v>
      </c>
      <c r="D1095" s="51">
        <v>67.0</v>
      </c>
      <c r="E1095" s="52" t="s">
        <v>25</v>
      </c>
      <c r="F1095" s="52" t="s">
        <v>26</v>
      </c>
      <c r="G1095" s="53"/>
    </row>
    <row r="1096">
      <c r="A1096" s="49">
        <v>44524.06036337963</v>
      </c>
      <c r="B1096" s="50">
        <v>44524.1853322453</v>
      </c>
      <c r="C1096" s="51">
        <v>1.041</v>
      </c>
      <c r="D1096" s="51">
        <v>67.0</v>
      </c>
      <c r="E1096" s="52" t="s">
        <v>25</v>
      </c>
      <c r="F1096" s="52" t="s">
        <v>26</v>
      </c>
      <c r="G1096" s="53"/>
    </row>
    <row r="1097">
      <c r="A1097" s="49">
        <v>44524.07078734954</v>
      </c>
      <c r="B1097" s="50">
        <v>44524.1957540277</v>
      </c>
      <c r="C1097" s="51">
        <v>1.042</v>
      </c>
      <c r="D1097" s="51">
        <v>67.0</v>
      </c>
      <c r="E1097" s="52" t="s">
        <v>25</v>
      </c>
      <c r="F1097" s="52" t="s">
        <v>26</v>
      </c>
      <c r="G1097" s="53"/>
    </row>
    <row r="1098">
      <c r="A1098" s="49">
        <v>44524.08121145834</v>
      </c>
      <c r="B1098" s="50">
        <v>44524.2061759722</v>
      </c>
      <c r="C1098" s="51">
        <v>1.041</v>
      </c>
      <c r="D1098" s="51">
        <v>67.0</v>
      </c>
      <c r="E1098" s="52" t="s">
        <v>25</v>
      </c>
      <c r="F1098" s="52" t="s">
        <v>26</v>
      </c>
      <c r="G1098" s="53"/>
    </row>
    <row r="1099">
      <c r="A1099" s="49">
        <v>44524.09164800926</v>
      </c>
      <c r="B1099" s="50">
        <v>44524.2166090277</v>
      </c>
      <c r="C1099" s="51">
        <v>1.041</v>
      </c>
      <c r="D1099" s="51">
        <v>67.0</v>
      </c>
      <c r="E1099" s="52" t="s">
        <v>25</v>
      </c>
      <c r="F1099" s="52" t="s">
        <v>26</v>
      </c>
      <c r="G1099" s="53"/>
    </row>
    <row r="1100">
      <c r="A1100" s="49">
        <v>44524.10205729167</v>
      </c>
      <c r="B1100" s="50">
        <v>44524.2270307754</v>
      </c>
      <c r="C1100" s="51">
        <v>1.041</v>
      </c>
      <c r="D1100" s="51">
        <v>67.0</v>
      </c>
      <c r="E1100" s="52" t="s">
        <v>25</v>
      </c>
      <c r="F1100" s="52" t="s">
        <v>26</v>
      </c>
      <c r="G1100" s="53"/>
    </row>
    <row r="1101">
      <c r="A1101" s="49">
        <v>44524.11250108796</v>
      </c>
      <c r="B1101" s="50">
        <v>44524.2374630787</v>
      </c>
      <c r="C1101" s="51">
        <v>1.042</v>
      </c>
      <c r="D1101" s="51">
        <v>67.0</v>
      </c>
      <c r="E1101" s="52" t="s">
        <v>25</v>
      </c>
      <c r="F1101" s="52" t="s">
        <v>26</v>
      </c>
      <c r="G1101" s="53"/>
    </row>
    <row r="1102">
      <c r="A1102" s="49">
        <v>44524.122930682875</v>
      </c>
      <c r="B1102" s="50">
        <v>44524.2478965046</v>
      </c>
      <c r="C1102" s="51">
        <v>1.041</v>
      </c>
      <c r="D1102" s="51">
        <v>67.0</v>
      </c>
      <c r="E1102" s="52" t="s">
        <v>25</v>
      </c>
      <c r="F1102" s="52" t="s">
        <v>26</v>
      </c>
      <c r="G1102" s="53"/>
    </row>
    <row r="1103">
      <c r="A1103" s="49">
        <v>44524.13335105324</v>
      </c>
      <c r="B1103" s="50">
        <v>44524.2583186574</v>
      </c>
      <c r="C1103" s="51">
        <v>1.042</v>
      </c>
      <c r="D1103" s="51">
        <v>67.0</v>
      </c>
      <c r="E1103" s="52" t="s">
        <v>25</v>
      </c>
      <c r="F1103" s="52" t="s">
        <v>26</v>
      </c>
      <c r="G1103" s="53"/>
    </row>
    <row r="1104">
      <c r="A1104" s="49">
        <v>44524.14376957176</v>
      </c>
      <c r="B1104" s="50">
        <v>44524.2687397337</v>
      </c>
      <c r="C1104" s="51">
        <v>1.041</v>
      </c>
      <c r="D1104" s="51">
        <v>67.0</v>
      </c>
      <c r="E1104" s="52" t="s">
        <v>25</v>
      </c>
      <c r="F1104" s="52" t="s">
        <v>26</v>
      </c>
      <c r="G1104" s="53"/>
    </row>
    <row r="1105">
      <c r="A1105" s="49">
        <v>44524.154186458334</v>
      </c>
      <c r="B1105" s="50">
        <v>44524.2791593518</v>
      </c>
      <c r="C1105" s="51">
        <v>1.041</v>
      </c>
      <c r="D1105" s="51">
        <v>67.0</v>
      </c>
      <c r="E1105" s="52" t="s">
        <v>25</v>
      </c>
      <c r="F1105" s="52" t="s">
        <v>26</v>
      </c>
      <c r="G1105" s="53"/>
    </row>
    <row r="1106">
      <c r="A1106" s="49">
        <v>44524.16460858796</v>
      </c>
      <c r="B1106" s="50">
        <v>44524.2895812615</v>
      </c>
      <c r="C1106" s="51">
        <v>1.041</v>
      </c>
      <c r="D1106" s="51">
        <v>67.0</v>
      </c>
      <c r="E1106" s="52" t="s">
        <v>25</v>
      </c>
      <c r="F1106" s="52" t="s">
        <v>26</v>
      </c>
      <c r="G1106" s="53"/>
    </row>
    <row r="1107">
      <c r="A1107" s="49">
        <v>44524.175029351856</v>
      </c>
      <c r="B1107" s="50">
        <v>44524.3000014351</v>
      </c>
      <c r="C1107" s="51">
        <v>1.041</v>
      </c>
      <c r="D1107" s="51">
        <v>67.0</v>
      </c>
      <c r="E1107" s="52" t="s">
        <v>25</v>
      </c>
      <c r="F1107" s="52" t="s">
        <v>26</v>
      </c>
      <c r="G1107" s="53"/>
    </row>
    <row r="1108">
      <c r="A1108" s="49">
        <v>44524.18545521991</v>
      </c>
      <c r="B1108" s="50">
        <v>44524.3104235185</v>
      </c>
      <c r="C1108" s="51">
        <v>1.041</v>
      </c>
      <c r="D1108" s="51">
        <v>67.0</v>
      </c>
      <c r="E1108" s="52" t="s">
        <v>25</v>
      </c>
      <c r="F1108" s="52" t="s">
        <v>26</v>
      </c>
      <c r="G1108" s="53"/>
    </row>
    <row r="1109">
      <c r="A1109" s="49">
        <v>44524.19590049768</v>
      </c>
      <c r="B1109" s="50">
        <v>44524.3208669328</v>
      </c>
      <c r="C1109" s="51">
        <v>1.041</v>
      </c>
      <c r="D1109" s="51">
        <v>67.0</v>
      </c>
      <c r="E1109" s="52" t="s">
        <v>25</v>
      </c>
      <c r="F1109" s="52" t="s">
        <v>26</v>
      </c>
      <c r="G1109" s="53"/>
    </row>
    <row r="1110">
      <c r="A1110" s="49">
        <v>44524.206328935186</v>
      </c>
      <c r="B1110" s="50">
        <v>44524.3312888657</v>
      </c>
      <c r="C1110" s="51">
        <v>1.041</v>
      </c>
      <c r="D1110" s="51">
        <v>67.0</v>
      </c>
      <c r="E1110" s="52" t="s">
        <v>25</v>
      </c>
      <c r="F1110" s="52" t="s">
        <v>26</v>
      </c>
      <c r="G1110" s="53"/>
    </row>
    <row r="1111">
      <c r="A1111" s="49">
        <v>44524.21674604167</v>
      </c>
      <c r="B1111" s="50">
        <v>44524.3417099652</v>
      </c>
      <c r="C1111" s="51">
        <v>1.041</v>
      </c>
      <c r="D1111" s="51">
        <v>67.0</v>
      </c>
      <c r="E1111" s="52" t="s">
        <v>25</v>
      </c>
      <c r="F1111" s="52" t="s">
        <v>26</v>
      </c>
      <c r="G1111" s="53"/>
    </row>
    <row r="1112">
      <c r="A1112" s="49">
        <v>44524.227172743056</v>
      </c>
      <c r="B1112" s="50">
        <v>44524.3521418749</v>
      </c>
      <c r="C1112" s="51">
        <v>1.041</v>
      </c>
      <c r="D1112" s="51">
        <v>67.0</v>
      </c>
      <c r="E1112" s="52" t="s">
        <v>25</v>
      </c>
      <c r="F1112" s="52" t="s">
        <v>26</v>
      </c>
      <c r="G1112" s="53"/>
    </row>
    <row r="1113">
      <c r="A1113" s="49">
        <v>44524.237594791666</v>
      </c>
      <c r="B1113" s="50">
        <v>44524.3625624768</v>
      </c>
      <c r="C1113" s="51">
        <v>1.041</v>
      </c>
      <c r="D1113" s="51">
        <v>67.0</v>
      </c>
      <c r="E1113" s="52" t="s">
        <v>25</v>
      </c>
      <c r="F1113" s="52" t="s">
        <v>26</v>
      </c>
      <c r="G1113" s="53"/>
    </row>
    <row r="1114">
      <c r="A1114" s="49">
        <v>44524.24801548611</v>
      </c>
      <c r="B1114" s="50">
        <v>44524.3729818055</v>
      </c>
      <c r="C1114" s="51">
        <v>1.041</v>
      </c>
      <c r="D1114" s="51">
        <v>67.0</v>
      </c>
      <c r="E1114" s="52" t="s">
        <v>25</v>
      </c>
      <c r="F1114" s="52" t="s">
        <v>26</v>
      </c>
      <c r="G1114" s="53"/>
    </row>
    <row r="1115">
      <c r="A1115" s="49">
        <v>44524.258460729165</v>
      </c>
      <c r="B1115" s="50">
        <v>44524.3834052314</v>
      </c>
      <c r="C1115" s="51">
        <v>1.041</v>
      </c>
      <c r="D1115" s="51">
        <v>67.0</v>
      </c>
      <c r="E1115" s="52" t="s">
        <v>25</v>
      </c>
      <c r="F1115" s="52" t="s">
        <v>26</v>
      </c>
      <c r="G1115" s="53"/>
    </row>
    <row r="1116">
      <c r="A1116" s="49">
        <v>44524.26885636574</v>
      </c>
      <c r="B1116" s="50">
        <v>44524.3938267013</v>
      </c>
      <c r="C1116" s="51">
        <v>1.041</v>
      </c>
      <c r="D1116" s="51">
        <v>67.0</v>
      </c>
      <c r="E1116" s="52" t="s">
        <v>25</v>
      </c>
      <c r="F1116" s="52" t="s">
        <v>26</v>
      </c>
      <c r="G1116" s="53"/>
    </row>
    <row r="1117">
      <c r="A1117" s="49">
        <v>44524.2792862037</v>
      </c>
      <c r="B1117" s="50">
        <v>44524.4042492361</v>
      </c>
      <c r="C1117" s="51">
        <v>1.041</v>
      </c>
      <c r="D1117" s="51">
        <v>67.0</v>
      </c>
      <c r="E1117" s="52" t="s">
        <v>25</v>
      </c>
      <c r="F1117" s="52" t="s">
        <v>26</v>
      </c>
      <c r="G1117" s="53"/>
    </row>
    <row r="1118">
      <c r="A1118" s="49">
        <v>44524.2897009375</v>
      </c>
      <c r="B1118" s="50">
        <v>44524.414669456</v>
      </c>
      <c r="C1118" s="51">
        <v>1.041</v>
      </c>
      <c r="D1118" s="51">
        <v>67.0</v>
      </c>
      <c r="E1118" s="52" t="s">
        <v>25</v>
      </c>
      <c r="F1118" s="52" t="s">
        <v>26</v>
      </c>
      <c r="G1118" s="53"/>
    </row>
    <row r="1119">
      <c r="A1119" s="49">
        <v>44524.30012525463</v>
      </c>
      <c r="B1119" s="50">
        <v>44524.4250917129</v>
      </c>
      <c r="C1119" s="51">
        <v>1.041</v>
      </c>
      <c r="D1119" s="51">
        <v>67.0</v>
      </c>
      <c r="E1119" s="52" t="s">
        <v>25</v>
      </c>
      <c r="F1119" s="52" t="s">
        <v>26</v>
      </c>
      <c r="G1119" s="53"/>
    </row>
    <row r="1120">
      <c r="A1120" s="49">
        <v>44524.310538391204</v>
      </c>
      <c r="B1120" s="50">
        <v>44524.43551353</v>
      </c>
      <c r="C1120" s="51">
        <v>1.041</v>
      </c>
      <c r="D1120" s="51">
        <v>67.0</v>
      </c>
      <c r="E1120" s="52" t="s">
        <v>25</v>
      </c>
      <c r="F1120" s="52" t="s">
        <v>26</v>
      </c>
      <c r="G1120" s="53"/>
    </row>
    <row r="1121">
      <c r="A1121" s="49">
        <v>44524.32096293982</v>
      </c>
      <c r="B1121" s="50">
        <v>44524.4459331944</v>
      </c>
      <c r="C1121" s="51">
        <v>1.041</v>
      </c>
      <c r="D1121" s="51">
        <v>67.0</v>
      </c>
      <c r="E1121" s="52" t="s">
        <v>25</v>
      </c>
      <c r="F1121" s="52" t="s">
        <v>26</v>
      </c>
      <c r="G1121" s="53"/>
    </row>
    <row r="1122">
      <c r="A1122" s="49">
        <v>44524.33138887731</v>
      </c>
      <c r="B1122" s="50">
        <v>44524.4563532175</v>
      </c>
      <c r="C1122" s="51">
        <v>1.041</v>
      </c>
      <c r="D1122" s="51">
        <v>67.0</v>
      </c>
      <c r="E1122" s="52" t="s">
        <v>25</v>
      </c>
      <c r="F1122" s="52" t="s">
        <v>26</v>
      </c>
      <c r="G1122" s="53"/>
    </row>
    <row r="1123">
      <c r="A1123" s="49">
        <v>44524.34181520833</v>
      </c>
      <c r="B1123" s="50">
        <v>44524.4667860879</v>
      </c>
      <c r="C1123" s="51">
        <v>1.041</v>
      </c>
      <c r="D1123" s="51">
        <v>67.0</v>
      </c>
      <c r="E1123" s="52" t="s">
        <v>25</v>
      </c>
      <c r="F1123" s="52" t="s">
        <v>26</v>
      </c>
      <c r="G1123" s="53"/>
    </row>
    <row r="1124">
      <c r="A1124" s="49">
        <v>44524.35224349537</v>
      </c>
      <c r="B1124" s="50">
        <v>44524.4772066666</v>
      </c>
      <c r="C1124" s="51">
        <v>1.041</v>
      </c>
      <c r="D1124" s="51">
        <v>67.0</v>
      </c>
      <c r="E1124" s="52" t="s">
        <v>25</v>
      </c>
      <c r="F1124" s="52" t="s">
        <v>26</v>
      </c>
      <c r="G1124" s="53"/>
    </row>
    <row r="1125">
      <c r="A1125" s="49">
        <v>44524.36266196759</v>
      </c>
      <c r="B1125" s="50">
        <v>44524.4876276157</v>
      </c>
      <c r="C1125" s="51">
        <v>1.041</v>
      </c>
      <c r="D1125" s="51">
        <v>67.0</v>
      </c>
      <c r="E1125" s="52" t="s">
        <v>25</v>
      </c>
      <c r="F1125" s="52" t="s">
        <v>26</v>
      </c>
      <c r="G1125" s="53"/>
    </row>
    <row r="1126">
      <c r="A1126" s="49">
        <v>44524.373082708335</v>
      </c>
      <c r="B1126" s="50">
        <v>44524.498050787</v>
      </c>
      <c r="C1126" s="51">
        <v>1.041</v>
      </c>
      <c r="D1126" s="51">
        <v>67.0</v>
      </c>
      <c r="E1126" s="52" t="s">
        <v>25</v>
      </c>
      <c r="F1126" s="52" t="s">
        <v>26</v>
      </c>
      <c r="G1126" s="53"/>
    </row>
    <row r="1127">
      <c r="A1127" s="49">
        <v>44524.38351277778</v>
      </c>
      <c r="B1127" s="50">
        <v>44524.5084717129</v>
      </c>
      <c r="C1127" s="51">
        <v>1.041</v>
      </c>
      <c r="D1127" s="51">
        <v>67.0</v>
      </c>
      <c r="E1127" s="52" t="s">
        <v>25</v>
      </c>
      <c r="F1127" s="52" t="s">
        <v>26</v>
      </c>
      <c r="G1127" s="53"/>
    </row>
    <row r="1128">
      <c r="A1128" s="49">
        <v>44524.39392899306</v>
      </c>
      <c r="B1128" s="50">
        <v>44524.5188920486</v>
      </c>
      <c r="C1128" s="51">
        <v>1.041</v>
      </c>
      <c r="D1128" s="51">
        <v>67.0</v>
      </c>
      <c r="E1128" s="52" t="s">
        <v>25</v>
      </c>
      <c r="F1128" s="52" t="s">
        <v>26</v>
      </c>
      <c r="G1128" s="53"/>
    </row>
    <row r="1129">
      <c r="A1129" s="49">
        <v>44524.40435152777</v>
      </c>
      <c r="B1129" s="50">
        <v>44524.5293139814</v>
      </c>
      <c r="C1129" s="51">
        <v>1.04</v>
      </c>
      <c r="D1129" s="51">
        <v>67.0</v>
      </c>
      <c r="E1129" s="52" t="s">
        <v>25</v>
      </c>
      <c r="F1129" s="52" t="s">
        <v>26</v>
      </c>
      <c r="G1129" s="53"/>
    </row>
    <row r="1130">
      <c r="A1130" s="49">
        <v>44524.41476738426</v>
      </c>
      <c r="B1130" s="50">
        <v>44524.5397330671</v>
      </c>
      <c r="C1130" s="51">
        <v>1.04</v>
      </c>
      <c r="D1130" s="51">
        <v>67.0</v>
      </c>
      <c r="E1130" s="52" t="s">
        <v>25</v>
      </c>
      <c r="F1130" s="52" t="s">
        <v>26</v>
      </c>
      <c r="G1130" s="53"/>
    </row>
    <row r="1131">
      <c r="A1131" s="49">
        <v>44524.42517804398</v>
      </c>
      <c r="B1131" s="50">
        <v>44524.5501537962</v>
      </c>
      <c r="C1131" s="51">
        <v>1.04</v>
      </c>
      <c r="D1131" s="51">
        <v>67.0</v>
      </c>
      <c r="E1131" s="52" t="s">
        <v>25</v>
      </c>
      <c r="F1131" s="52" t="s">
        <v>26</v>
      </c>
      <c r="G1131" s="53"/>
    </row>
    <row r="1132">
      <c r="A1132" s="49">
        <v>44524.43561255787</v>
      </c>
      <c r="B1132" s="50">
        <v>44524.5605755555</v>
      </c>
      <c r="C1132" s="51">
        <v>1.04</v>
      </c>
      <c r="D1132" s="51">
        <v>67.0</v>
      </c>
      <c r="E1132" s="52" t="s">
        <v>25</v>
      </c>
      <c r="F1132" s="52" t="s">
        <v>26</v>
      </c>
      <c r="G1132" s="53"/>
    </row>
    <row r="1133">
      <c r="A1133" s="49">
        <v>44524.446022233795</v>
      </c>
      <c r="B1133" s="50">
        <v>44524.5709964004</v>
      </c>
      <c r="C1133" s="51">
        <v>1.041</v>
      </c>
      <c r="D1133" s="51">
        <v>67.0</v>
      </c>
      <c r="E1133" s="52" t="s">
        <v>25</v>
      </c>
      <c r="F1133" s="52" t="s">
        <v>26</v>
      </c>
      <c r="G1133" s="53"/>
    </row>
    <row r="1134">
      <c r="A1134" s="49">
        <v>44524.45645922454</v>
      </c>
      <c r="B1134" s="50">
        <v>44524.5814301504</v>
      </c>
      <c r="C1134" s="51">
        <v>1.04</v>
      </c>
      <c r="D1134" s="51">
        <v>67.0</v>
      </c>
      <c r="E1134" s="52" t="s">
        <v>25</v>
      </c>
      <c r="F1134" s="52" t="s">
        <v>26</v>
      </c>
      <c r="G1134" s="53"/>
    </row>
    <row r="1135">
      <c r="A1135" s="49">
        <v>44524.466878437495</v>
      </c>
      <c r="B1135" s="50">
        <v>44524.5918509259</v>
      </c>
      <c r="C1135" s="51">
        <v>1.04</v>
      </c>
      <c r="D1135" s="51">
        <v>67.0</v>
      </c>
      <c r="E1135" s="52" t="s">
        <v>25</v>
      </c>
      <c r="F1135" s="52" t="s">
        <v>26</v>
      </c>
      <c r="G1135" s="53"/>
    </row>
    <row r="1136">
      <c r="A1136" s="49">
        <v>44524.477305416665</v>
      </c>
      <c r="B1136" s="50">
        <v>44524.6022725925</v>
      </c>
      <c r="C1136" s="51">
        <v>1.04</v>
      </c>
      <c r="D1136" s="51">
        <v>67.0</v>
      </c>
      <c r="E1136" s="52" t="s">
        <v>25</v>
      </c>
      <c r="F1136" s="52" t="s">
        <v>26</v>
      </c>
      <c r="G1136" s="53"/>
    </row>
    <row r="1137">
      <c r="A1137" s="49">
        <v>44524.487727141204</v>
      </c>
      <c r="B1137" s="50">
        <v>44524.6126944097</v>
      </c>
      <c r="C1137" s="51">
        <v>1.04</v>
      </c>
      <c r="D1137" s="51">
        <v>67.0</v>
      </c>
      <c r="E1137" s="52" t="s">
        <v>25</v>
      </c>
      <c r="F1137" s="52" t="s">
        <v>26</v>
      </c>
      <c r="G1137" s="53"/>
    </row>
    <row r="1138">
      <c r="A1138" s="49">
        <v>44524.498151493055</v>
      </c>
      <c r="B1138" s="50">
        <v>44524.6231153125</v>
      </c>
      <c r="C1138" s="51">
        <v>1.04</v>
      </c>
      <c r="D1138" s="51">
        <v>67.0</v>
      </c>
      <c r="E1138" s="52" t="s">
        <v>25</v>
      </c>
      <c r="F1138" s="52" t="s">
        <v>26</v>
      </c>
      <c r="G1138" s="53"/>
    </row>
    <row r="1139">
      <c r="A1139" s="49">
        <v>44524.508572418985</v>
      </c>
      <c r="B1139" s="50">
        <v>44524.6335385069</v>
      </c>
      <c r="C1139" s="51">
        <v>1.04</v>
      </c>
      <c r="D1139" s="51">
        <v>67.0</v>
      </c>
      <c r="E1139" s="52" t="s">
        <v>25</v>
      </c>
      <c r="F1139" s="52" t="s">
        <v>26</v>
      </c>
      <c r="G1139" s="53"/>
    </row>
    <row r="1140">
      <c r="A1140" s="49">
        <v>44524.51899545139</v>
      </c>
      <c r="B1140" s="50">
        <v>44524.6439606365</v>
      </c>
      <c r="C1140" s="51">
        <v>1.04</v>
      </c>
      <c r="D1140" s="51">
        <v>67.0</v>
      </c>
      <c r="E1140" s="52" t="s">
        <v>25</v>
      </c>
      <c r="F1140" s="52" t="s">
        <v>26</v>
      </c>
      <c r="G1140" s="53"/>
    </row>
    <row r="1141">
      <c r="A1141" s="49">
        <v>44524.529423252316</v>
      </c>
      <c r="B1141" s="50">
        <v>44524.6543931481</v>
      </c>
      <c r="C1141" s="51">
        <v>1.04</v>
      </c>
      <c r="D1141" s="51">
        <v>67.0</v>
      </c>
      <c r="E1141" s="52" t="s">
        <v>25</v>
      </c>
      <c r="F1141" s="52" t="s">
        <v>26</v>
      </c>
      <c r="G1141" s="53"/>
    </row>
    <row r="1142">
      <c r="A1142" s="49">
        <v>44524.53984915509</v>
      </c>
      <c r="B1142" s="50">
        <v>44524.6648153356</v>
      </c>
      <c r="C1142" s="51">
        <v>1.04</v>
      </c>
      <c r="D1142" s="51">
        <v>67.0</v>
      </c>
      <c r="E1142" s="52" t="s">
        <v>25</v>
      </c>
      <c r="F1142" s="52" t="s">
        <v>26</v>
      </c>
      <c r="G1142" s="53"/>
    </row>
    <row r="1143">
      <c r="A1143" s="49">
        <v>44524.55026798611</v>
      </c>
      <c r="B1143" s="50">
        <v>44524.6752360185</v>
      </c>
      <c r="C1143" s="51">
        <v>1.04</v>
      </c>
      <c r="D1143" s="51">
        <v>67.0</v>
      </c>
      <c r="E1143" s="52" t="s">
        <v>25</v>
      </c>
      <c r="F1143" s="52" t="s">
        <v>26</v>
      </c>
      <c r="G1143" s="53"/>
    </row>
    <row r="1144">
      <c r="A1144" s="49">
        <v>44524.56069583334</v>
      </c>
      <c r="B1144" s="50">
        <v>44524.6856574768</v>
      </c>
      <c r="C1144" s="51">
        <v>1.04</v>
      </c>
      <c r="D1144" s="51">
        <v>67.0</v>
      </c>
      <c r="E1144" s="52" t="s">
        <v>25</v>
      </c>
      <c r="F1144" s="52" t="s">
        <v>26</v>
      </c>
      <c r="G1144" s="53"/>
    </row>
    <row r="1145">
      <c r="A1145" s="49">
        <v>44524.571116273146</v>
      </c>
      <c r="B1145" s="50">
        <v>44524.6960789814</v>
      </c>
      <c r="C1145" s="51">
        <v>1.04</v>
      </c>
      <c r="D1145" s="51">
        <v>67.0</v>
      </c>
      <c r="E1145" s="52" t="s">
        <v>25</v>
      </c>
      <c r="F1145" s="52" t="s">
        <v>26</v>
      </c>
      <c r="G1145" s="53"/>
    </row>
    <row r="1146">
      <c r="A1146" s="49">
        <v>44524.581536087964</v>
      </c>
      <c r="B1146" s="50">
        <v>44524.706498912</v>
      </c>
      <c r="C1146" s="51">
        <v>1.04</v>
      </c>
      <c r="D1146" s="51">
        <v>67.0</v>
      </c>
      <c r="E1146" s="52" t="s">
        <v>25</v>
      </c>
      <c r="F1146" s="52" t="s">
        <v>26</v>
      </c>
      <c r="G1146" s="53"/>
    </row>
    <row r="1147">
      <c r="A1147" s="49">
        <v>44524.591946053246</v>
      </c>
      <c r="B1147" s="50">
        <v>44524.7169200925</v>
      </c>
      <c r="C1147" s="51">
        <v>1.04</v>
      </c>
      <c r="D1147" s="51">
        <v>67.0</v>
      </c>
      <c r="E1147" s="52" t="s">
        <v>25</v>
      </c>
      <c r="F1147" s="52" t="s">
        <v>26</v>
      </c>
      <c r="G1147" s="53"/>
    </row>
    <row r="1148">
      <c r="A1148" s="49">
        <v>44524.602373217596</v>
      </c>
      <c r="B1148" s="50">
        <v>44524.7273407175</v>
      </c>
      <c r="C1148" s="51">
        <v>1.04</v>
      </c>
      <c r="D1148" s="51">
        <v>67.0</v>
      </c>
      <c r="E1148" s="52" t="s">
        <v>25</v>
      </c>
      <c r="F1148" s="52" t="s">
        <v>26</v>
      </c>
      <c r="G1148" s="53"/>
    </row>
    <row r="1149">
      <c r="A1149" s="49">
        <v>44524.61278747686</v>
      </c>
      <c r="B1149" s="50">
        <v>44524.7377638078</v>
      </c>
      <c r="C1149" s="51">
        <v>1.04</v>
      </c>
      <c r="D1149" s="51">
        <v>67.0</v>
      </c>
      <c r="E1149" s="52" t="s">
        <v>25</v>
      </c>
      <c r="F1149" s="52" t="s">
        <v>26</v>
      </c>
      <c r="G1149" s="53"/>
    </row>
    <row r="1150">
      <c r="A1150" s="49">
        <v>44524.62321491898</v>
      </c>
      <c r="B1150" s="50">
        <v>44524.7481851504</v>
      </c>
      <c r="C1150" s="51">
        <v>1.04</v>
      </c>
      <c r="D1150" s="51">
        <v>67.0</v>
      </c>
      <c r="E1150" s="52" t="s">
        <v>25</v>
      </c>
      <c r="F1150" s="52" t="s">
        <v>26</v>
      </c>
      <c r="G1150" s="53"/>
    </row>
    <row r="1151">
      <c r="A1151" s="49">
        <v>44524.633637719904</v>
      </c>
      <c r="B1151" s="50">
        <v>44524.7586066666</v>
      </c>
      <c r="C1151" s="51">
        <v>1.04</v>
      </c>
      <c r="D1151" s="51">
        <v>67.0</v>
      </c>
      <c r="E1151" s="52" t="s">
        <v>25</v>
      </c>
      <c r="F1151" s="52" t="s">
        <v>26</v>
      </c>
      <c r="G1151" s="53"/>
    </row>
    <row r="1152">
      <c r="A1152" s="49">
        <v>44524.644057453705</v>
      </c>
      <c r="B1152" s="50">
        <v>44524.7690289467</v>
      </c>
      <c r="C1152" s="51">
        <v>1.04</v>
      </c>
      <c r="D1152" s="51">
        <v>67.0</v>
      </c>
      <c r="E1152" s="52" t="s">
        <v>25</v>
      </c>
      <c r="F1152" s="52" t="s">
        <v>26</v>
      </c>
      <c r="G1152" s="53"/>
    </row>
    <row r="1153">
      <c r="A1153" s="49">
        <v>44524.654476192125</v>
      </c>
      <c r="B1153" s="50">
        <v>44524.7794505092</v>
      </c>
      <c r="C1153" s="51">
        <v>1.04</v>
      </c>
      <c r="D1153" s="51">
        <v>67.0</v>
      </c>
      <c r="E1153" s="52" t="s">
        <v>25</v>
      </c>
      <c r="F1153" s="52" t="s">
        <v>26</v>
      </c>
      <c r="G1153" s="53"/>
    </row>
    <row r="1154">
      <c r="A1154" s="49">
        <v>44524.664912824075</v>
      </c>
      <c r="B1154" s="50">
        <v>44524.7898829166</v>
      </c>
      <c r="C1154" s="51">
        <v>1.04</v>
      </c>
      <c r="D1154" s="51">
        <v>67.0</v>
      </c>
      <c r="E1154" s="52" t="s">
        <v>25</v>
      </c>
      <c r="F1154" s="52" t="s">
        <v>26</v>
      </c>
      <c r="G1154" s="53"/>
    </row>
    <row r="1155">
      <c r="A1155" s="49">
        <v>44524.67533704861</v>
      </c>
      <c r="B1155" s="50">
        <v>44524.8003034606</v>
      </c>
      <c r="C1155" s="51">
        <v>1.04</v>
      </c>
      <c r="D1155" s="51">
        <v>67.0</v>
      </c>
      <c r="E1155" s="52" t="s">
        <v>25</v>
      </c>
      <c r="F1155" s="52" t="s">
        <v>26</v>
      </c>
      <c r="G1155" s="53"/>
    </row>
    <row r="1156">
      <c r="A1156" s="49">
        <v>44524.685758946755</v>
      </c>
      <c r="B1156" s="50">
        <v>44524.8107226967</v>
      </c>
      <c r="C1156" s="51">
        <v>1.04</v>
      </c>
      <c r="D1156" s="51">
        <v>67.0</v>
      </c>
      <c r="E1156" s="52" t="s">
        <v>25</v>
      </c>
      <c r="F1156" s="52" t="s">
        <v>26</v>
      </c>
      <c r="G1156" s="53"/>
    </row>
    <row r="1157">
      <c r="A1157" s="49">
        <v>44524.69617354167</v>
      </c>
      <c r="B1157" s="50">
        <v>44524.8211435185</v>
      </c>
      <c r="C1157" s="51">
        <v>1.04</v>
      </c>
      <c r="D1157" s="51">
        <v>67.0</v>
      </c>
      <c r="E1157" s="52" t="s">
        <v>25</v>
      </c>
      <c r="F1157" s="52" t="s">
        <v>26</v>
      </c>
      <c r="G1157" s="53"/>
    </row>
    <row r="1158">
      <c r="A1158" s="49">
        <v>44524.706603506944</v>
      </c>
      <c r="B1158" s="50">
        <v>44524.8315650694</v>
      </c>
      <c r="C1158" s="51">
        <v>1.04</v>
      </c>
      <c r="D1158" s="51">
        <v>66.0</v>
      </c>
      <c r="E1158" s="52" t="s">
        <v>25</v>
      </c>
      <c r="F1158" s="52" t="s">
        <v>26</v>
      </c>
      <c r="G1158" s="53"/>
    </row>
    <row r="1159">
      <c r="A1159" s="49">
        <v>44524.71701386574</v>
      </c>
      <c r="B1159" s="50">
        <v>44524.8419851273</v>
      </c>
      <c r="C1159" s="51">
        <v>1.04</v>
      </c>
      <c r="D1159" s="51">
        <v>67.0</v>
      </c>
      <c r="E1159" s="52" t="s">
        <v>25</v>
      </c>
      <c r="F1159" s="52" t="s">
        <v>26</v>
      </c>
      <c r="G1159" s="53"/>
    </row>
    <row r="1160">
      <c r="A1160" s="49">
        <v>44524.727440787035</v>
      </c>
      <c r="B1160" s="50">
        <v>44524.8524070949</v>
      </c>
      <c r="C1160" s="51">
        <v>1.04</v>
      </c>
      <c r="D1160" s="51">
        <v>66.0</v>
      </c>
      <c r="E1160" s="52" t="s">
        <v>25</v>
      </c>
      <c r="F1160" s="52" t="s">
        <v>26</v>
      </c>
      <c r="G1160" s="53"/>
    </row>
    <row r="1161">
      <c r="A1161" s="49">
        <v>44524.73786400463</v>
      </c>
      <c r="B1161" s="50">
        <v>44524.8628302199</v>
      </c>
      <c r="C1161" s="51">
        <v>1.04</v>
      </c>
      <c r="D1161" s="51">
        <v>66.0</v>
      </c>
      <c r="E1161" s="52" t="s">
        <v>25</v>
      </c>
      <c r="F1161" s="52" t="s">
        <v>26</v>
      </c>
      <c r="G1161" s="53"/>
    </row>
    <row r="1162">
      <c r="A1162" s="49">
        <v>44524.748285231486</v>
      </c>
      <c r="B1162" s="50">
        <v>44524.8732510648</v>
      </c>
      <c r="C1162" s="51">
        <v>1.04</v>
      </c>
      <c r="D1162" s="51">
        <v>67.0</v>
      </c>
      <c r="E1162" s="52" t="s">
        <v>25</v>
      </c>
      <c r="F1162" s="52" t="s">
        <v>26</v>
      </c>
      <c r="G1162" s="53"/>
    </row>
    <row r="1163">
      <c r="A1163" s="49">
        <v>44524.75869766204</v>
      </c>
      <c r="B1163" s="50">
        <v>44524.8836737847</v>
      </c>
      <c r="C1163" s="51">
        <v>1.04</v>
      </c>
      <c r="D1163" s="51">
        <v>66.0</v>
      </c>
      <c r="E1163" s="52" t="s">
        <v>25</v>
      </c>
      <c r="F1163" s="52" t="s">
        <v>26</v>
      </c>
      <c r="G1163" s="53"/>
    </row>
    <row r="1164">
      <c r="A1164" s="49">
        <v>44524.769127604166</v>
      </c>
      <c r="B1164" s="50">
        <v>44524.8940963078</v>
      </c>
      <c r="C1164" s="51">
        <v>1.04</v>
      </c>
      <c r="D1164" s="51">
        <v>67.0</v>
      </c>
      <c r="E1164" s="52" t="s">
        <v>25</v>
      </c>
      <c r="F1164" s="52" t="s">
        <v>26</v>
      </c>
      <c r="G1164" s="53"/>
    </row>
    <row r="1165">
      <c r="A1165" s="49">
        <v>44524.77955173611</v>
      </c>
      <c r="B1165" s="50">
        <v>44524.9045169907</v>
      </c>
      <c r="C1165" s="51">
        <v>1.04</v>
      </c>
      <c r="D1165" s="51">
        <v>66.0</v>
      </c>
      <c r="E1165" s="52" t="s">
        <v>25</v>
      </c>
      <c r="F1165" s="52" t="s">
        <v>26</v>
      </c>
      <c r="G1165" s="53"/>
    </row>
    <row r="1166">
      <c r="A1166" s="49">
        <v>44524.78996707176</v>
      </c>
      <c r="B1166" s="50">
        <v>44524.9149363657</v>
      </c>
      <c r="C1166" s="51">
        <v>1.04</v>
      </c>
      <c r="D1166" s="51">
        <v>66.0</v>
      </c>
      <c r="E1166" s="52" t="s">
        <v>25</v>
      </c>
      <c r="F1166" s="52" t="s">
        <v>26</v>
      </c>
      <c r="G1166" s="53"/>
    </row>
    <row r="1167">
      <c r="A1167" s="49">
        <v>44524.800388159725</v>
      </c>
      <c r="B1167" s="50">
        <v>44524.9253581481</v>
      </c>
      <c r="C1167" s="51">
        <v>1.04</v>
      </c>
      <c r="D1167" s="51">
        <v>66.0</v>
      </c>
      <c r="E1167" s="52" t="s">
        <v>25</v>
      </c>
      <c r="F1167" s="52" t="s">
        <v>26</v>
      </c>
      <c r="G1167" s="53"/>
    </row>
    <row r="1168">
      <c r="A1168" s="49">
        <v>44524.810808298615</v>
      </c>
      <c r="B1168" s="50">
        <v>44524.9357802199</v>
      </c>
      <c r="C1168" s="51">
        <v>1.04</v>
      </c>
      <c r="D1168" s="51">
        <v>66.0</v>
      </c>
      <c r="E1168" s="52" t="s">
        <v>25</v>
      </c>
      <c r="F1168" s="52" t="s">
        <v>26</v>
      </c>
      <c r="G1168" s="53"/>
    </row>
    <row r="1169">
      <c r="A1169" s="49">
        <v>44524.82123556713</v>
      </c>
      <c r="B1169" s="50">
        <v>44524.9462020254</v>
      </c>
      <c r="C1169" s="51">
        <v>1.04</v>
      </c>
      <c r="D1169" s="51">
        <v>66.0</v>
      </c>
      <c r="E1169" s="52" t="s">
        <v>25</v>
      </c>
      <c r="F1169" s="52" t="s">
        <v>26</v>
      </c>
      <c r="G1169" s="53"/>
    </row>
    <row r="1170">
      <c r="A1170" s="49">
        <v>44524.83165518519</v>
      </c>
      <c r="B1170" s="50">
        <v>44524.9566217245</v>
      </c>
      <c r="C1170" s="51">
        <v>1.04</v>
      </c>
      <c r="D1170" s="51">
        <v>66.0</v>
      </c>
      <c r="E1170" s="52" t="s">
        <v>25</v>
      </c>
      <c r="F1170" s="52" t="s">
        <v>26</v>
      </c>
      <c r="G1170" s="53"/>
    </row>
    <row r="1171">
      <c r="A1171" s="49">
        <v>44524.842073368054</v>
      </c>
      <c r="B1171" s="50">
        <v>44524.9670411574</v>
      </c>
      <c r="C1171" s="51">
        <v>1.04</v>
      </c>
      <c r="D1171" s="51">
        <v>66.0</v>
      </c>
      <c r="E1171" s="52" t="s">
        <v>25</v>
      </c>
      <c r="F1171" s="52" t="s">
        <v>26</v>
      </c>
      <c r="G1171" s="53"/>
    </row>
    <row r="1172">
      <c r="A1172" s="49">
        <v>44524.85248775463</v>
      </c>
      <c r="B1172" s="50">
        <v>44524.9774617476</v>
      </c>
      <c r="C1172" s="51">
        <v>1.04</v>
      </c>
      <c r="D1172" s="51">
        <v>66.0</v>
      </c>
      <c r="E1172" s="52" t="s">
        <v>25</v>
      </c>
      <c r="F1172" s="52" t="s">
        <v>26</v>
      </c>
      <c r="G1172" s="53"/>
    </row>
    <row r="1173">
      <c r="A1173" s="49">
        <v>44524.86291172454</v>
      </c>
      <c r="B1173" s="50">
        <v>44524.9878820833</v>
      </c>
      <c r="C1173" s="51">
        <v>1.04</v>
      </c>
      <c r="D1173" s="51">
        <v>66.0</v>
      </c>
      <c r="E1173" s="52" t="s">
        <v>25</v>
      </c>
      <c r="F1173" s="52" t="s">
        <v>26</v>
      </c>
      <c r="G1173" s="53"/>
    </row>
    <row r="1174">
      <c r="A1174" s="49">
        <v>44524.87333311343</v>
      </c>
      <c r="B1174" s="50">
        <v>44524.9983037152</v>
      </c>
      <c r="C1174" s="51">
        <v>1.04</v>
      </c>
      <c r="D1174" s="51">
        <v>66.0</v>
      </c>
      <c r="E1174" s="52" t="s">
        <v>25</v>
      </c>
      <c r="F1174" s="52" t="s">
        <v>26</v>
      </c>
      <c r="G1174" s="53"/>
    </row>
    <row r="1175">
      <c r="A1175" s="49">
        <v>44524.88375166667</v>
      </c>
      <c r="B1175" s="50">
        <v>44525.0087249305</v>
      </c>
      <c r="C1175" s="51">
        <v>1.04</v>
      </c>
      <c r="D1175" s="51">
        <v>66.0</v>
      </c>
      <c r="E1175" s="52" t="s">
        <v>25</v>
      </c>
      <c r="F1175" s="52" t="s">
        <v>26</v>
      </c>
      <c r="G1175" s="53"/>
    </row>
    <row r="1176">
      <c r="A1176" s="49">
        <v>44524.89417560185</v>
      </c>
      <c r="B1176" s="50">
        <v>44525.019145081</v>
      </c>
      <c r="C1176" s="51">
        <v>1.039</v>
      </c>
      <c r="D1176" s="51">
        <v>66.0</v>
      </c>
      <c r="E1176" s="52" t="s">
        <v>25</v>
      </c>
      <c r="F1176" s="52" t="s">
        <v>26</v>
      </c>
      <c r="G1176" s="53"/>
    </row>
    <row r="1177">
      <c r="A1177" s="49">
        <v>44524.90459837963</v>
      </c>
      <c r="B1177" s="50">
        <v>44525.0295660879</v>
      </c>
      <c r="C1177" s="51">
        <v>1.04</v>
      </c>
      <c r="D1177" s="51">
        <v>66.0</v>
      </c>
      <c r="E1177" s="52" t="s">
        <v>25</v>
      </c>
      <c r="F1177" s="52" t="s">
        <v>26</v>
      </c>
      <c r="G1177" s="53"/>
    </row>
    <row r="1178">
      <c r="A1178" s="49">
        <v>44524.915021967594</v>
      </c>
      <c r="B1178" s="50">
        <v>44525.0399873379</v>
      </c>
      <c r="C1178" s="51">
        <v>1.039</v>
      </c>
      <c r="D1178" s="51">
        <v>66.0</v>
      </c>
      <c r="E1178" s="52" t="s">
        <v>25</v>
      </c>
      <c r="F1178" s="52" t="s">
        <v>26</v>
      </c>
      <c r="G1178" s="53"/>
    </row>
    <row r="1179">
      <c r="A1179" s="49">
        <v>44524.92543461805</v>
      </c>
      <c r="B1179" s="50">
        <v>44525.0504070486</v>
      </c>
      <c r="C1179" s="51">
        <v>1.039</v>
      </c>
      <c r="D1179" s="51">
        <v>66.0</v>
      </c>
      <c r="E1179" s="52" t="s">
        <v>25</v>
      </c>
      <c r="F1179" s="52" t="s">
        <v>26</v>
      </c>
      <c r="G1179" s="53"/>
    </row>
    <row r="1180">
      <c r="A1180" s="49">
        <v>44524.9358528125</v>
      </c>
      <c r="B1180" s="50">
        <v>44525.0608261458</v>
      </c>
      <c r="C1180" s="51">
        <v>1.04</v>
      </c>
      <c r="D1180" s="51">
        <v>66.0</v>
      </c>
      <c r="E1180" s="52" t="s">
        <v>25</v>
      </c>
      <c r="F1180" s="52" t="s">
        <v>26</v>
      </c>
      <c r="G1180" s="53"/>
    </row>
    <row r="1181">
      <c r="A1181" s="49">
        <v>44524.94627137731</v>
      </c>
      <c r="B1181" s="50">
        <v>44525.0712479513</v>
      </c>
      <c r="C1181" s="51">
        <v>1.039</v>
      </c>
      <c r="D1181" s="51">
        <v>66.0</v>
      </c>
      <c r="E1181" s="52" t="s">
        <v>25</v>
      </c>
      <c r="F1181" s="52" t="s">
        <v>26</v>
      </c>
      <c r="G1181" s="53"/>
    </row>
    <row r="1182">
      <c r="A1182" s="49">
        <v>44524.9566942824</v>
      </c>
      <c r="B1182" s="50">
        <v>44525.0816693055</v>
      </c>
      <c r="C1182" s="51">
        <v>1.039</v>
      </c>
      <c r="D1182" s="51">
        <v>66.0</v>
      </c>
      <c r="E1182" s="52" t="s">
        <v>25</v>
      </c>
      <c r="F1182" s="52" t="s">
        <v>26</v>
      </c>
      <c r="G1182" s="53"/>
    </row>
    <row r="1183">
      <c r="A1183" s="49">
        <v>44524.96711844907</v>
      </c>
      <c r="B1183" s="50">
        <v>44525.0920921759</v>
      </c>
      <c r="C1183" s="51">
        <v>1.04</v>
      </c>
      <c r="D1183" s="51">
        <v>66.0</v>
      </c>
      <c r="E1183" s="52" t="s">
        <v>25</v>
      </c>
      <c r="F1183" s="52" t="s">
        <v>26</v>
      </c>
      <c r="G1183" s="53"/>
    </row>
    <row r="1184">
      <c r="A1184" s="49">
        <v>44524.977542673616</v>
      </c>
      <c r="B1184" s="50">
        <v>44525.1025122916</v>
      </c>
      <c r="C1184" s="51">
        <v>1.039</v>
      </c>
      <c r="D1184" s="51">
        <v>66.0</v>
      </c>
      <c r="E1184" s="52" t="s">
        <v>25</v>
      </c>
      <c r="F1184" s="52" t="s">
        <v>26</v>
      </c>
      <c r="G1184" s="53"/>
    </row>
    <row r="1185">
      <c r="A1185" s="49">
        <v>44524.98796490741</v>
      </c>
      <c r="B1185" s="50">
        <v>44525.1129331134</v>
      </c>
      <c r="C1185" s="51">
        <v>1.039</v>
      </c>
      <c r="D1185" s="51">
        <v>66.0</v>
      </c>
      <c r="E1185" s="52" t="s">
        <v>25</v>
      </c>
      <c r="F1185" s="52" t="s">
        <v>26</v>
      </c>
      <c r="G1185" s="53"/>
    </row>
    <row r="1186">
      <c r="A1186" s="49">
        <v>44524.99839248843</v>
      </c>
      <c r="B1186" s="50">
        <v>44525.1233534606</v>
      </c>
      <c r="C1186" s="51">
        <v>1.039</v>
      </c>
      <c r="D1186" s="51">
        <v>66.0</v>
      </c>
      <c r="E1186" s="52" t="s">
        <v>25</v>
      </c>
      <c r="F1186" s="52" t="s">
        <v>26</v>
      </c>
      <c r="G1186" s="53"/>
    </row>
    <row r="1187">
      <c r="A1187" s="49">
        <v>44525.00880646991</v>
      </c>
      <c r="B1187" s="50">
        <v>44525.133774375</v>
      </c>
      <c r="C1187" s="51">
        <v>1.039</v>
      </c>
      <c r="D1187" s="51">
        <v>66.0</v>
      </c>
      <c r="E1187" s="52" t="s">
        <v>25</v>
      </c>
      <c r="F1187" s="52" t="s">
        <v>26</v>
      </c>
      <c r="G1187" s="53"/>
    </row>
    <row r="1188">
      <c r="A1188" s="49">
        <v>44525.0192377662</v>
      </c>
      <c r="B1188" s="50">
        <v>44525.1441959722</v>
      </c>
      <c r="C1188" s="51">
        <v>1.039</v>
      </c>
      <c r="D1188" s="51">
        <v>66.0</v>
      </c>
      <c r="E1188" s="52" t="s">
        <v>25</v>
      </c>
      <c r="F1188" s="52" t="s">
        <v>26</v>
      </c>
      <c r="G1188" s="53"/>
    </row>
    <row r="1189">
      <c r="A1189" s="49">
        <v>44525.02966033565</v>
      </c>
      <c r="B1189" s="50">
        <v>44525.1546157754</v>
      </c>
      <c r="C1189" s="51">
        <v>1.039</v>
      </c>
      <c r="D1189" s="51">
        <v>66.0</v>
      </c>
      <c r="E1189" s="52" t="s">
        <v>25</v>
      </c>
      <c r="F1189" s="52" t="s">
        <v>26</v>
      </c>
      <c r="G1189" s="53"/>
    </row>
    <row r="1190">
      <c r="A1190" s="49">
        <v>44525.0400812963</v>
      </c>
      <c r="B1190" s="50">
        <v>44525.1650487037</v>
      </c>
      <c r="C1190" s="51">
        <v>1.039</v>
      </c>
      <c r="D1190" s="51">
        <v>66.0</v>
      </c>
      <c r="E1190" s="52" t="s">
        <v>25</v>
      </c>
      <c r="F1190" s="52" t="s">
        <v>26</v>
      </c>
      <c r="G1190" s="53"/>
    </row>
    <row r="1191">
      <c r="A1191" s="49">
        <v>44525.050490821755</v>
      </c>
      <c r="B1191" s="50">
        <v>44525.1754688541</v>
      </c>
      <c r="C1191" s="51">
        <v>1.039</v>
      </c>
      <c r="D1191" s="51">
        <v>66.0</v>
      </c>
      <c r="E1191" s="52" t="s">
        <v>25</v>
      </c>
      <c r="F1191" s="52" t="s">
        <v>26</v>
      </c>
      <c r="G1191" s="53"/>
    </row>
    <row r="1192">
      <c r="A1192" s="49">
        <v>44525.06093375</v>
      </c>
      <c r="B1192" s="50">
        <v>44525.1859031828</v>
      </c>
      <c r="C1192" s="51">
        <v>1.039</v>
      </c>
      <c r="D1192" s="51">
        <v>66.0</v>
      </c>
      <c r="E1192" s="52" t="s">
        <v>25</v>
      </c>
      <c r="F1192" s="52" t="s">
        <v>26</v>
      </c>
      <c r="G1192" s="53"/>
    </row>
    <row r="1193">
      <c r="A1193" s="49">
        <v>44525.0713494213</v>
      </c>
      <c r="B1193" s="50">
        <v>44525.1963227546</v>
      </c>
      <c r="C1193" s="51">
        <v>1.039</v>
      </c>
      <c r="D1193" s="51">
        <v>66.0</v>
      </c>
      <c r="E1193" s="52" t="s">
        <v>25</v>
      </c>
      <c r="F1193" s="52" t="s">
        <v>26</v>
      </c>
      <c r="G1193" s="53"/>
    </row>
    <row r="1194">
      <c r="A1194" s="49">
        <v>44525.08177428241</v>
      </c>
      <c r="B1194" s="50">
        <v>44525.2067445254</v>
      </c>
      <c r="C1194" s="51">
        <v>1.039</v>
      </c>
      <c r="D1194" s="51">
        <v>66.0</v>
      </c>
      <c r="E1194" s="52" t="s">
        <v>25</v>
      </c>
      <c r="F1194" s="52" t="s">
        <v>26</v>
      </c>
      <c r="G1194" s="53"/>
    </row>
    <row r="1195">
      <c r="A1195" s="49">
        <v>44525.09218690972</v>
      </c>
      <c r="B1195" s="50">
        <v>44525.2171662152</v>
      </c>
      <c r="C1195" s="51">
        <v>1.039</v>
      </c>
      <c r="D1195" s="51">
        <v>66.0</v>
      </c>
      <c r="E1195" s="52" t="s">
        <v>25</v>
      </c>
      <c r="F1195" s="52" t="s">
        <v>26</v>
      </c>
      <c r="G1195" s="53"/>
    </row>
    <row r="1196">
      <c r="A1196" s="49">
        <v>44525.102615324075</v>
      </c>
      <c r="B1196" s="50">
        <v>44525.2275866782</v>
      </c>
      <c r="C1196" s="51">
        <v>1.039</v>
      </c>
      <c r="D1196" s="51">
        <v>66.0</v>
      </c>
      <c r="E1196" s="52" t="s">
        <v>25</v>
      </c>
      <c r="F1196" s="52" t="s">
        <v>26</v>
      </c>
      <c r="G1196" s="53"/>
    </row>
    <row r="1197">
      <c r="A1197" s="49">
        <v>44525.1130596875</v>
      </c>
      <c r="B1197" s="50">
        <v>44525.2380320254</v>
      </c>
      <c r="C1197" s="51">
        <v>1.039</v>
      </c>
      <c r="D1197" s="51">
        <v>66.0</v>
      </c>
      <c r="E1197" s="52" t="s">
        <v>25</v>
      </c>
      <c r="F1197" s="52" t="s">
        <v>26</v>
      </c>
      <c r="G1197" s="53"/>
    </row>
    <row r="1198">
      <c r="A1198" s="49">
        <v>44525.12348966435</v>
      </c>
      <c r="B1198" s="50">
        <v>44525.2484536689</v>
      </c>
      <c r="C1198" s="51">
        <v>1.039</v>
      </c>
      <c r="D1198" s="51">
        <v>66.0</v>
      </c>
      <c r="E1198" s="52" t="s">
        <v>25</v>
      </c>
      <c r="F1198" s="52" t="s">
        <v>26</v>
      </c>
      <c r="G1198" s="53"/>
    </row>
    <row r="1199">
      <c r="A1199" s="49">
        <v>44525.13390030093</v>
      </c>
      <c r="B1199" s="50">
        <v>44525.25887625</v>
      </c>
      <c r="C1199" s="51">
        <v>1.039</v>
      </c>
      <c r="D1199" s="51">
        <v>66.0</v>
      </c>
      <c r="E1199" s="52" t="s">
        <v>25</v>
      </c>
      <c r="F1199" s="52" t="s">
        <v>26</v>
      </c>
      <c r="G1199" s="53"/>
    </row>
    <row r="1200">
      <c r="A1200" s="49">
        <v>44525.14432983796</v>
      </c>
      <c r="B1200" s="50">
        <v>44525.2692977314</v>
      </c>
      <c r="C1200" s="51">
        <v>1.039</v>
      </c>
      <c r="D1200" s="51">
        <v>66.0</v>
      </c>
      <c r="E1200" s="52" t="s">
        <v>25</v>
      </c>
      <c r="F1200" s="52" t="s">
        <v>26</v>
      </c>
      <c r="G1200" s="53"/>
    </row>
    <row r="1201">
      <c r="A1201" s="49">
        <v>44525.1547631713</v>
      </c>
      <c r="B1201" s="50">
        <v>44525.2797293171</v>
      </c>
      <c r="C1201" s="51">
        <v>1.039</v>
      </c>
      <c r="D1201" s="51">
        <v>66.0</v>
      </c>
      <c r="E1201" s="52" t="s">
        <v>25</v>
      </c>
      <c r="F1201" s="52" t="s">
        <v>26</v>
      </c>
      <c r="G1201" s="53"/>
    </row>
    <row r="1202">
      <c r="A1202" s="49">
        <v>44525.16517299769</v>
      </c>
      <c r="B1202" s="50">
        <v>44525.2901503356</v>
      </c>
      <c r="C1202" s="51">
        <v>1.039</v>
      </c>
      <c r="D1202" s="51">
        <v>66.0</v>
      </c>
      <c r="E1202" s="52" t="s">
        <v>25</v>
      </c>
      <c r="F1202" s="52" t="s">
        <v>26</v>
      </c>
      <c r="G1202" s="53"/>
    </row>
    <row r="1203">
      <c r="A1203" s="49">
        <v>44525.17560011574</v>
      </c>
      <c r="B1203" s="50">
        <v>44525.300570868</v>
      </c>
      <c r="C1203" s="51">
        <v>1.039</v>
      </c>
      <c r="D1203" s="51">
        <v>66.0</v>
      </c>
      <c r="E1203" s="52" t="s">
        <v>25</v>
      </c>
      <c r="F1203" s="52" t="s">
        <v>26</v>
      </c>
      <c r="G1203" s="53"/>
    </row>
    <row r="1204">
      <c r="A1204" s="49">
        <v>44525.186020891204</v>
      </c>
      <c r="B1204" s="50">
        <v>44525.3109923032</v>
      </c>
      <c r="C1204" s="51">
        <v>1.039</v>
      </c>
      <c r="D1204" s="51">
        <v>66.0</v>
      </c>
      <c r="E1204" s="52" t="s">
        <v>25</v>
      </c>
      <c r="F1204" s="52" t="s">
        <v>26</v>
      </c>
      <c r="G1204" s="53"/>
    </row>
    <row r="1205">
      <c r="A1205" s="49">
        <v>44525.19643190972</v>
      </c>
      <c r="B1205" s="50">
        <v>44525.3214124189</v>
      </c>
      <c r="C1205" s="51">
        <v>1.039</v>
      </c>
      <c r="D1205" s="51">
        <v>66.0</v>
      </c>
      <c r="E1205" s="52" t="s">
        <v>25</v>
      </c>
      <c r="F1205" s="52" t="s">
        <v>26</v>
      </c>
      <c r="G1205" s="53"/>
    </row>
    <row r="1206">
      <c r="A1206" s="49">
        <v>44525.206865925924</v>
      </c>
      <c r="B1206" s="50">
        <v>44525.3318311574</v>
      </c>
      <c r="C1206" s="51">
        <v>1.039</v>
      </c>
      <c r="D1206" s="51">
        <v>66.0</v>
      </c>
      <c r="E1206" s="52" t="s">
        <v>25</v>
      </c>
      <c r="F1206" s="52" t="s">
        <v>26</v>
      </c>
      <c r="G1206" s="53"/>
    </row>
    <row r="1207">
      <c r="A1207" s="49">
        <v>44525.2172817824</v>
      </c>
      <c r="B1207" s="50">
        <v>44525.3422632523</v>
      </c>
      <c r="C1207" s="51">
        <v>1.039</v>
      </c>
      <c r="D1207" s="51">
        <v>66.0</v>
      </c>
      <c r="E1207" s="52" t="s">
        <v>25</v>
      </c>
      <c r="F1207" s="52" t="s">
        <v>26</v>
      </c>
      <c r="G1207" s="53"/>
    </row>
    <row r="1208">
      <c r="A1208" s="49">
        <v>44525.227718483795</v>
      </c>
      <c r="B1208" s="50">
        <v>44525.352685405</v>
      </c>
      <c r="C1208" s="51">
        <v>1.039</v>
      </c>
      <c r="D1208" s="51">
        <v>66.0</v>
      </c>
      <c r="E1208" s="52" t="s">
        <v>25</v>
      </c>
      <c r="F1208" s="52" t="s">
        <v>26</v>
      </c>
      <c r="G1208" s="53"/>
    </row>
    <row r="1209">
      <c r="A1209" s="49">
        <v>44525.23813324074</v>
      </c>
      <c r="B1209" s="50">
        <v>44525.3631049884</v>
      </c>
      <c r="C1209" s="51">
        <v>1.039</v>
      </c>
      <c r="D1209" s="51">
        <v>66.0</v>
      </c>
      <c r="E1209" s="52" t="s">
        <v>25</v>
      </c>
      <c r="F1209" s="52" t="s">
        <v>26</v>
      </c>
      <c r="G1209" s="53"/>
    </row>
    <row r="1210">
      <c r="A1210" s="49">
        <v>44525.248559467596</v>
      </c>
      <c r="B1210" s="50">
        <v>44525.3735276041</v>
      </c>
      <c r="C1210" s="51">
        <v>1.039</v>
      </c>
      <c r="D1210" s="51">
        <v>66.0</v>
      </c>
      <c r="E1210" s="52" t="s">
        <v>25</v>
      </c>
      <c r="F1210" s="52" t="s">
        <v>26</v>
      </c>
      <c r="G1210" s="53"/>
    </row>
    <row r="1211">
      <c r="A1211" s="49">
        <v>44525.25898099537</v>
      </c>
      <c r="B1211" s="50">
        <v>44525.3839602546</v>
      </c>
      <c r="C1211" s="51">
        <v>1.039</v>
      </c>
      <c r="D1211" s="51">
        <v>66.0</v>
      </c>
      <c r="E1211" s="52" t="s">
        <v>25</v>
      </c>
      <c r="F1211" s="52" t="s">
        <v>26</v>
      </c>
      <c r="G1211" s="53"/>
    </row>
    <row r="1212">
      <c r="A1212" s="49">
        <v>44525.26941579861</v>
      </c>
      <c r="B1212" s="50">
        <v>44525.3943808333</v>
      </c>
      <c r="C1212" s="51">
        <v>1.039</v>
      </c>
      <c r="D1212" s="51">
        <v>66.0</v>
      </c>
      <c r="E1212" s="52" t="s">
        <v>25</v>
      </c>
      <c r="F1212" s="52" t="s">
        <v>26</v>
      </c>
      <c r="G1212" s="53"/>
    </row>
    <row r="1213">
      <c r="A1213" s="49">
        <v>44525.27983678241</v>
      </c>
      <c r="B1213" s="50">
        <v>44525.4048026504</v>
      </c>
      <c r="C1213" s="51">
        <v>1.039</v>
      </c>
      <c r="D1213" s="51">
        <v>66.0</v>
      </c>
      <c r="E1213" s="52" t="s">
        <v>25</v>
      </c>
      <c r="F1213" s="52" t="s">
        <v>26</v>
      </c>
      <c r="G1213" s="53"/>
    </row>
    <row r="1214">
      <c r="A1214" s="49">
        <v>44525.290243020834</v>
      </c>
      <c r="B1214" s="50">
        <v>44525.4152239583</v>
      </c>
      <c r="C1214" s="51">
        <v>1.039</v>
      </c>
      <c r="D1214" s="51">
        <v>66.0</v>
      </c>
      <c r="E1214" s="52" t="s">
        <v>25</v>
      </c>
      <c r="F1214" s="52" t="s">
        <v>26</v>
      </c>
      <c r="G1214" s="53"/>
    </row>
    <row r="1215">
      <c r="A1215" s="49">
        <v>44525.3006721412</v>
      </c>
      <c r="B1215" s="50">
        <v>44525.4256460763</v>
      </c>
      <c r="C1215" s="51">
        <v>1.039</v>
      </c>
      <c r="D1215" s="51">
        <v>66.0</v>
      </c>
      <c r="E1215" s="52" t="s">
        <v>25</v>
      </c>
      <c r="F1215" s="52" t="s">
        <v>26</v>
      </c>
      <c r="G1215" s="53"/>
    </row>
    <row r="1216">
      <c r="A1216" s="49">
        <v>44525.3111035301</v>
      </c>
      <c r="B1216" s="50">
        <v>44525.4360793287</v>
      </c>
      <c r="C1216" s="51">
        <v>1.038</v>
      </c>
      <c r="D1216" s="51">
        <v>66.0</v>
      </c>
      <c r="E1216" s="52" t="s">
        <v>25</v>
      </c>
      <c r="F1216" s="52" t="s">
        <v>26</v>
      </c>
      <c r="G1216" s="53"/>
    </row>
    <row r="1217">
      <c r="A1217" s="49">
        <v>44525.32152353009</v>
      </c>
      <c r="B1217" s="50">
        <v>44525.4465003935</v>
      </c>
      <c r="C1217" s="51">
        <v>1.039</v>
      </c>
      <c r="D1217" s="51">
        <v>66.0</v>
      </c>
      <c r="E1217" s="52" t="s">
        <v>25</v>
      </c>
      <c r="F1217" s="52" t="s">
        <v>26</v>
      </c>
      <c r="G1217" s="53"/>
    </row>
    <row r="1218">
      <c r="A1218" s="49">
        <v>44525.33193758102</v>
      </c>
      <c r="B1218" s="50">
        <v>44525.4569218518</v>
      </c>
      <c r="C1218" s="51">
        <v>1.038</v>
      </c>
      <c r="D1218" s="51">
        <v>66.0</v>
      </c>
      <c r="E1218" s="52" t="s">
        <v>25</v>
      </c>
      <c r="F1218" s="52" t="s">
        <v>26</v>
      </c>
      <c r="G1218" s="53"/>
    </row>
    <row r="1219">
      <c r="A1219" s="49">
        <v>44525.34236865741</v>
      </c>
      <c r="B1219" s="50">
        <v>44525.4673441203</v>
      </c>
      <c r="C1219" s="51">
        <v>1.038</v>
      </c>
      <c r="D1219" s="51">
        <v>66.0</v>
      </c>
      <c r="E1219" s="52" t="s">
        <v>25</v>
      </c>
      <c r="F1219" s="52" t="s">
        <v>26</v>
      </c>
      <c r="G1219" s="53"/>
    </row>
    <row r="1220">
      <c r="A1220" s="49">
        <v>44525.352781875</v>
      </c>
      <c r="B1220" s="50">
        <v>44525.4777636458</v>
      </c>
      <c r="C1220" s="51">
        <v>1.038</v>
      </c>
      <c r="D1220" s="51">
        <v>66.0</v>
      </c>
      <c r="E1220" s="52" t="s">
        <v>25</v>
      </c>
      <c r="F1220" s="52" t="s">
        <v>26</v>
      </c>
      <c r="G1220" s="53"/>
    </row>
    <row r="1221">
      <c r="A1221" s="49">
        <v>44525.36321244213</v>
      </c>
      <c r="B1221" s="50">
        <v>44525.4881825347</v>
      </c>
      <c r="C1221" s="51">
        <v>1.038</v>
      </c>
      <c r="D1221" s="51">
        <v>66.0</v>
      </c>
      <c r="E1221" s="52" t="s">
        <v>25</v>
      </c>
      <c r="F1221" s="52" t="s">
        <v>26</v>
      </c>
      <c r="G1221" s="53"/>
    </row>
    <row r="1222">
      <c r="A1222" s="49">
        <v>44525.37363221065</v>
      </c>
      <c r="B1222" s="50">
        <v>44525.4986020486</v>
      </c>
      <c r="C1222" s="51">
        <v>1.038</v>
      </c>
      <c r="D1222" s="51">
        <v>66.0</v>
      </c>
      <c r="E1222" s="52" t="s">
        <v>25</v>
      </c>
      <c r="F1222" s="52" t="s">
        <v>26</v>
      </c>
      <c r="G1222" s="53"/>
    </row>
    <row r="1223">
      <c r="A1223" s="49">
        <v>44525.38404993055</v>
      </c>
      <c r="B1223" s="50">
        <v>44525.5090232407</v>
      </c>
      <c r="C1223" s="51">
        <v>1.038</v>
      </c>
      <c r="D1223" s="51">
        <v>66.0</v>
      </c>
      <c r="E1223" s="52" t="s">
        <v>25</v>
      </c>
      <c r="F1223" s="52" t="s">
        <v>26</v>
      </c>
      <c r="G1223" s="53"/>
    </row>
    <row r="1224">
      <c r="A1224" s="49">
        <v>44525.39447233797</v>
      </c>
      <c r="B1224" s="50">
        <v>44525.5194447569</v>
      </c>
      <c r="C1224" s="51">
        <v>1.038</v>
      </c>
      <c r="D1224" s="51">
        <v>66.0</v>
      </c>
      <c r="E1224" s="52" t="s">
        <v>25</v>
      </c>
      <c r="F1224" s="52" t="s">
        <v>26</v>
      </c>
      <c r="G1224" s="53"/>
    </row>
    <row r="1225">
      <c r="A1225" s="49">
        <v>44525.404902939816</v>
      </c>
      <c r="B1225" s="50">
        <v>44525.5298656365</v>
      </c>
      <c r="C1225" s="51">
        <v>1.038</v>
      </c>
      <c r="D1225" s="51">
        <v>66.0</v>
      </c>
      <c r="E1225" s="52" t="s">
        <v>25</v>
      </c>
      <c r="F1225" s="52" t="s">
        <v>26</v>
      </c>
      <c r="G1225" s="53"/>
    </row>
    <row r="1226">
      <c r="A1226" s="49">
        <v>44525.41530976852</v>
      </c>
      <c r="B1226" s="50">
        <v>44525.5402865972</v>
      </c>
      <c r="C1226" s="51">
        <v>1.038</v>
      </c>
      <c r="D1226" s="51">
        <v>66.0</v>
      </c>
      <c r="E1226" s="52" t="s">
        <v>25</v>
      </c>
      <c r="F1226" s="52" t="s">
        <v>26</v>
      </c>
      <c r="G1226" s="53"/>
    </row>
    <row r="1227">
      <c r="A1227" s="49">
        <v>44525.42573722222</v>
      </c>
      <c r="B1227" s="50">
        <v>44525.5507169444</v>
      </c>
      <c r="C1227" s="51">
        <v>1.038</v>
      </c>
      <c r="D1227" s="51">
        <v>66.0</v>
      </c>
      <c r="E1227" s="52" t="s">
        <v>25</v>
      </c>
      <c r="F1227" s="52" t="s">
        <v>26</v>
      </c>
      <c r="G1227" s="53"/>
    </row>
    <row r="1228">
      <c r="A1228" s="49">
        <v>44525.43616603009</v>
      </c>
      <c r="B1228" s="50">
        <v>44525.5611375463</v>
      </c>
      <c r="C1228" s="51">
        <v>1.038</v>
      </c>
      <c r="D1228" s="51">
        <v>66.0</v>
      </c>
      <c r="E1228" s="52" t="s">
        <v>25</v>
      </c>
      <c r="F1228" s="52" t="s">
        <v>26</v>
      </c>
      <c r="G1228" s="53"/>
    </row>
    <row r="1229">
      <c r="A1229" s="49">
        <v>44525.446589432875</v>
      </c>
      <c r="B1229" s="50">
        <v>44525.5715703819</v>
      </c>
      <c r="C1229" s="51">
        <v>1.038</v>
      </c>
      <c r="D1229" s="51">
        <v>66.0</v>
      </c>
      <c r="E1229" s="52" t="s">
        <v>25</v>
      </c>
      <c r="F1229" s="52" t="s">
        <v>26</v>
      </c>
      <c r="G1229" s="53"/>
    </row>
    <row r="1230">
      <c r="A1230" s="49">
        <v>44525.45702393519</v>
      </c>
      <c r="B1230" s="50">
        <v>44525.5820054629</v>
      </c>
      <c r="C1230" s="51">
        <v>1.038</v>
      </c>
      <c r="D1230" s="51">
        <v>66.0</v>
      </c>
      <c r="E1230" s="52" t="s">
        <v>25</v>
      </c>
      <c r="F1230" s="52" t="s">
        <v>26</v>
      </c>
      <c r="G1230" s="53"/>
    </row>
    <row r="1231">
      <c r="A1231" s="49">
        <v>44525.46745328704</v>
      </c>
      <c r="B1231" s="50">
        <v>44525.5924262731</v>
      </c>
      <c r="C1231" s="51">
        <v>1.038</v>
      </c>
      <c r="D1231" s="51">
        <v>66.0</v>
      </c>
      <c r="E1231" s="52" t="s">
        <v>25</v>
      </c>
      <c r="F1231" s="52" t="s">
        <v>26</v>
      </c>
      <c r="G1231" s="53"/>
    </row>
    <row r="1232">
      <c r="A1232" s="49">
        <v>44525.47786429398</v>
      </c>
      <c r="B1232" s="50">
        <v>44525.6028459259</v>
      </c>
      <c r="C1232" s="51">
        <v>1.038</v>
      </c>
      <c r="D1232" s="51">
        <v>66.0</v>
      </c>
      <c r="E1232" s="52" t="s">
        <v>25</v>
      </c>
      <c r="F1232" s="52" t="s">
        <v>26</v>
      </c>
      <c r="G1232" s="53"/>
    </row>
    <row r="1233">
      <c r="A1233" s="49">
        <v>44525.48829259259</v>
      </c>
      <c r="B1233" s="50">
        <v>44525.6132673958</v>
      </c>
      <c r="C1233" s="51">
        <v>1.038</v>
      </c>
      <c r="D1233" s="51">
        <v>66.0</v>
      </c>
      <c r="E1233" s="52" t="s">
        <v>25</v>
      </c>
      <c r="F1233" s="52" t="s">
        <v>26</v>
      </c>
      <c r="G1233" s="53"/>
    </row>
    <row r="1234">
      <c r="A1234" s="49">
        <v>44525.49872125</v>
      </c>
      <c r="B1234" s="50">
        <v>44525.6236996296</v>
      </c>
      <c r="C1234" s="51">
        <v>1.038</v>
      </c>
      <c r="D1234" s="51">
        <v>66.0</v>
      </c>
      <c r="E1234" s="52" t="s">
        <v>25</v>
      </c>
      <c r="F1234" s="52" t="s">
        <v>26</v>
      </c>
      <c r="G1234" s="53"/>
    </row>
    <row r="1235">
      <c r="A1235" s="49">
        <v>44525.50914755787</v>
      </c>
      <c r="B1235" s="50">
        <v>44525.6341201273</v>
      </c>
      <c r="C1235" s="51">
        <v>1.038</v>
      </c>
      <c r="D1235" s="51">
        <v>66.0</v>
      </c>
      <c r="E1235" s="52" t="s">
        <v>25</v>
      </c>
      <c r="F1235" s="52" t="s">
        <v>26</v>
      </c>
      <c r="G1235" s="53"/>
    </row>
    <row r="1236">
      <c r="A1236" s="49">
        <v>44525.519563449074</v>
      </c>
      <c r="B1236" s="50">
        <v>44525.6445417939</v>
      </c>
      <c r="C1236" s="51">
        <v>1.038</v>
      </c>
      <c r="D1236" s="51">
        <v>66.0</v>
      </c>
      <c r="E1236" s="52" t="s">
        <v>25</v>
      </c>
      <c r="F1236" s="52" t="s">
        <v>26</v>
      </c>
      <c r="G1236" s="53"/>
    </row>
    <row r="1237">
      <c r="A1237" s="49">
        <v>44525.529990173614</v>
      </c>
      <c r="B1237" s="50">
        <v>44525.6549639467</v>
      </c>
      <c r="C1237" s="51">
        <v>1.038</v>
      </c>
      <c r="D1237" s="51">
        <v>66.0</v>
      </c>
      <c r="E1237" s="52" t="s">
        <v>25</v>
      </c>
      <c r="F1237" s="52" t="s">
        <v>26</v>
      </c>
      <c r="G1237" s="53"/>
    </row>
    <row r="1238">
      <c r="A1238" s="49">
        <v>44525.54040815972</v>
      </c>
      <c r="B1238" s="50">
        <v>44525.6653843634</v>
      </c>
      <c r="C1238" s="51">
        <v>1.038</v>
      </c>
      <c r="D1238" s="51">
        <v>66.0</v>
      </c>
      <c r="E1238" s="52" t="s">
        <v>25</v>
      </c>
      <c r="F1238" s="52" t="s">
        <v>26</v>
      </c>
      <c r="G1238" s="53"/>
    </row>
    <row r="1239">
      <c r="A1239" s="49">
        <v>44525.550831030094</v>
      </c>
      <c r="B1239" s="50">
        <v>44525.6758059837</v>
      </c>
      <c r="C1239" s="51">
        <v>1.038</v>
      </c>
      <c r="D1239" s="51">
        <v>66.0</v>
      </c>
      <c r="E1239" s="52" t="s">
        <v>25</v>
      </c>
      <c r="F1239" s="52" t="s">
        <v>26</v>
      </c>
      <c r="G1239" s="53"/>
    </row>
    <row r="1240">
      <c r="A1240" s="49">
        <v>44525.561253576394</v>
      </c>
      <c r="B1240" s="50">
        <v>44525.6862279282</v>
      </c>
      <c r="C1240" s="51">
        <v>1.038</v>
      </c>
      <c r="D1240" s="51">
        <v>66.0</v>
      </c>
      <c r="E1240" s="52" t="s">
        <v>25</v>
      </c>
      <c r="F1240" s="52" t="s">
        <v>26</v>
      </c>
      <c r="G1240" s="53"/>
    </row>
    <row r="1241">
      <c r="A1241" s="49">
        <v>44525.571679444445</v>
      </c>
      <c r="B1241" s="50">
        <v>44525.6966496874</v>
      </c>
      <c r="C1241" s="51">
        <v>1.038</v>
      </c>
      <c r="D1241" s="51">
        <v>66.0</v>
      </c>
      <c r="E1241" s="52" t="s">
        <v>25</v>
      </c>
      <c r="F1241" s="52" t="s">
        <v>26</v>
      </c>
      <c r="G1241" s="53"/>
    </row>
    <row r="1242">
      <c r="A1242" s="49">
        <v>44525.58211037037</v>
      </c>
      <c r="B1242" s="50">
        <v>44525.7070826273</v>
      </c>
      <c r="C1242" s="51">
        <v>1.038</v>
      </c>
      <c r="D1242" s="51">
        <v>66.0</v>
      </c>
      <c r="E1242" s="52" t="s">
        <v>25</v>
      </c>
      <c r="F1242" s="52" t="s">
        <v>26</v>
      </c>
      <c r="G1242" s="53"/>
    </row>
    <row r="1243">
      <c r="A1243" s="49">
        <v>44525.592529201385</v>
      </c>
      <c r="B1243" s="50">
        <v>44525.7175023611</v>
      </c>
      <c r="C1243" s="51">
        <v>1.038</v>
      </c>
      <c r="D1243" s="51">
        <v>66.0</v>
      </c>
      <c r="E1243" s="52" t="s">
        <v>25</v>
      </c>
      <c r="F1243" s="52" t="s">
        <v>26</v>
      </c>
      <c r="G1243" s="53"/>
    </row>
    <row r="1244">
      <c r="A1244" s="49">
        <v>44525.60294768518</v>
      </c>
      <c r="B1244" s="50">
        <v>44525.7279238541</v>
      </c>
      <c r="C1244" s="51">
        <v>1.038</v>
      </c>
      <c r="D1244" s="51">
        <v>66.0</v>
      </c>
      <c r="E1244" s="52" t="s">
        <v>25</v>
      </c>
      <c r="F1244" s="52" t="s">
        <v>26</v>
      </c>
      <c r="G1244" s="53"/>
    </row>
    <row r="1245">
      <c r="A1245" s="49">
        <v>44525.61336942129</v>
      </c>
      <c r="B1245" s="50">
        <v>44525.738343993</v>
      </c>
      <c r="C1245" s="51">
        <v>1.038</v>
      </c>
      <c r="D1245" s="51">
        <v>66.0</v>
      </c>
      <c r="E1245" s="52" t="s">
        <v>25</v>
      </c>
      <c r="F1245" s="52" t="s">
        <v>26</v>
      </c>
      <c r="G1245" s="53"/>
    </row>
    <row r="1246">
      <c r="A1246" s="49">
        <v>44525.62379402778</v>
      </c>
      <c r="B1246" s="50">
        <v>44525.7487665162</v>
      </c>
      <c r="C1246" s="51">
        <v>1.038</v>
      </c>
      <c r="D1246" s="51">
        <v>66.0</v>
      </c>
      <c r="E1246" s="52" t="s">
        <v>25</v>
      </c>
      <c r="F1246" s="52" t="s">
        <v>26</v>
      </c>
      <c r="G1246" s="53"/>
    </row>
    <row r="1247">
      <c r="A1247" s="49">
        <v>44525.63421498843</v>
      </c>
      <c r="B1247" s="50">
        <v>44525.7591891666</v>
      </c>
      <c r="C1247" s="51">
        <v>1.038</v>
      </c>
      <c r="D1247" s="51">
        <v>66.0</v>
      </c>
      <c r="E1247" s="52" t="s">
        <v>25</v>
      </c>
      <c r="F1247" s="52" t="s">
        <v>26</v>
      </c>
      <c r="G1247" s="53"/>
    </row>
    <row r="1248">
      <c r="A1248" s="49">
        <v>44525.644666215274</v>
      </c>
      <c r="B1248" s="50">
        <v>44525.7696099652</v>
      </c>
      <c r="C1248" s="51">
        <v>1.038</v>
      </c>
      <c r="D1248" s="51">
        <v>66.0</v>
      </c>
      <c r="E1248" s="52" t="s">
        <v>25</v>
      </c>
      <c r="F1248" s="52" t="s">
        <v>26</v>
      </c>
      <c r="G1248" s="53"/>
    </row>
    <row r="1249">
      <c r="A1249" s="49">
        <v>44525.65505579861</v>
      </c>
      <c r="B1249" s="50">
        <v>44525.7800292129</v>
      </c>
      <c r="C1249" s="51">
        <v>1.038</v>
      </c>
      <c r="D1249" s="51">
        <v>66.0</v>
      </c>
      <c r="E1249" s="52" t="s">
        <v>25</v>
      </c>
      <c r="F1249" s="52" t="s">
        <v>26</v>
      </c>
      <c r="G1249" s="53"/>
    </row>
    <row r="1250">
      <c r="A1250" s="49">
        <v>44525.66547310185</v>
      </c>
      <c r="B1250" s="50">
        <v>44525.7904501157</v>
      </c>
      <c r="C1250" s="51">
        <v>1.038</v>
      </c>
      <c r="D1250" s="51">
        <v>66.0</v>
      </c>
      <c r="E1250" s="52" t="s">
        <v>25</v>
      </c>
      <c r="F1250" s="52" t="s">
        <v>26</v>
      </c>
      <c r="G1250" s="53"/>
    </row>
    <row r="1251">
      <c r="A1251" s="49">
        <v>44525.67589690972</v>
      </c>
      <c r="B1251" s="50">
        <v>44525.8008718634</v>
      </c>
      <c r="C1251" s="51">
        <v>1.038</v>
      </c>
      <c r="D1251" s="51">
        <v>66.0</v>
      </c>
      <c r="E1251" s="52" t="s">
        <v>25</v>
      </c>
      <c r="F1251" s="52" t="s">
        <v>26</v>
      </c>
      <c r="G1251" s="53"/>
    </row>
    <row r="1252">
      <c r="A1252" s="49">
        <v>44525.68632832176</v>
      </c>
      <c r="B1252" s="50">
        <v>44525.8113057754</v>
      </c>
      <c r="C1252" s="51">
        <v>1.038</v>
      </c>
      <c r="D1252" s="51">
        <v>66.0</v>
      </c>
      <c r="E1252" s="52" t="s">
        <v>25</v>
      </c>
      <c r="F1252" s="52" t="s">
        <v>26</v>
      </c>
      <c r="G1252" s="53"/>
    </row>
    <row r="1253">
      <c r="A1253" s="49">
        <v>44525.6967603588</v>
      </c>
      <c r="B1253" s="50">
        <v>44525.8217272916</v>
      </c>
      <c r="C1253" s="51">
        <v>1.038</v>
      </c>
      <c r="D1253" s="51">
        <v>66.0</v>
      </c>
      <c r="E1253" s="52" t="s">
        <v>25</v>
      </c>
      <c r="F1253" s="52" t="s">
        <v>26</v>
      </c>
      <c r="G1253" s="53"/>
    </row>
    <row r="1254">
      <c r="A1254" s="49">
        <v>44525.70718372685</v>
      </c>
      <c r="B1254" s="50">
        <v>44525.8321592361</v>
      </c>
      <c r="C1254" s="51">
        <v>1.038</v>
      </c>
      <c r="D1254" s="51">
        <v>66.0</v>
      </c>
      <c r="E1254" s="52" t="s">
        <v>25</v>
      </c>
      <c r="F1254" s="52" t="s">
        <v>26</v>
      </c>
      <c r="G1254" s="53"/>
    </row>
    <row r="1255">
      <c r="A1255" s="49">
        <v>44525.717620868054</v>
      </c>
      <c r="B1255" s="50">
        <v>44525.8425929976</v>
      </c>
      <c r="C1255" s="51">
        <v>1.038</v>
      </c>
      <c r="D1255" s="51">
        <v>66.0</v>
      </c>
      <c r="E1255" s="52" t="s">
        <v>25</v>
      </c>
      <c r="F1255" s="52" t="s">
        <v>26</v>
      </c>
      <c r="G1255" s="53"/>
    </row>
    <row r="1256">
      <c r="A1256" s="49">
        <v>44525.72803329861</v>
      </c>
      <c r="B1256" s="50">
        <v>44525.8530132523</v>
      </c>
      <c r="C1256" s="51">
        <v>1.038</v>
      </c>
      <c r="D1256" s="51">
        <v>66.0</v>
      </c>
      <c r="E1256" s="52" t="s">
        <v>25</v>
      </c>
      <c r="F1256" s="52" t="s">
        <v>26</v>
      </c>
      <c r="G1256" s="53"/>
    </row>
    <row r="1257">
      <c r="A1257" s="49">
        <v>44525.7384615162</v>
      </c>
      <c r="B1257" s="50">
        <v>44525.8634342361</v>
      </c>
      <c r="C1257" s="51">
        <v>1.038</v>
      </c>
      <c r="D1257" s="51">
        <v>66.0</v>
      </c>
      <c r="E1257" s="52" t="s">
        <v>25</v>
      </c>
      <c r="F1257" s="52" t="s">
        <v>26</v>
      </c>
      <c r="G1257" s="53"/>
    </row>
    <row r="1258">
      <c r="A1258" s="49">
        <v>44525.74887236111</v>
      </c>
      <c r="B1258" s="50">
        <v>44525.8738548032</v>
      </c>
      <c r="C1258" s="51">
        <v>1.038</v>
      </c>
      <c r="D1258" s="51">
        <v>66.0</v>
      </c>
      <c r="E1258" s="52" t="s">
        <v>25</v>
      </c>
      <c r="F1258" s="52" t="s">
        <v>26</v>
      </c>
      <c r="G1258" s="53"/>
    </row>
    <row r="1259">
      <c r="A1259" s="49">
        <v>44525.75929707176</v>
      </c>
      <c r="B1259" s="50">
        <v>44525.884276655</v>
      </c>
      <c r="C1259" s="51">
        <v>1.038</v>
      </c>
      <c r="D1259" s="51">
        <v>66.0</v>
      </c>
      <c r="E1259" s="52" t="s">
        <v>25</v>
      </c>
      <c r="F1259" s="52" t="s">
        <v>26</v>
      </c>
      <c r="G1259" s="53"/>
    </row>
    <row r="1260">
      <c r="A1260" s="49">
        <v>44525.76972318287</v>
      </c>
      <c r="B1260" s="50">
        <v>44525.894696956</v>
      </c>
      <c r="C1260" s="51">
        <v>1.038</v>
      </c>
      <c r="D1260" s="51">
        <v>66.0</v>
      </c>
      <c r="E1260" s="52" t="s">
        <v>25</v>
      </c>
      <c r="F1260" s="52" t="s">
        <v>26</v>
      </c>
      <c r="G1260" s="53"/>
    </row>
    <row r="1261">
      <c r="A1261" s="49">
        <v>44525.780135636574</v>
      </c>
      <c r="B1261" s="50">
        <v>44525.9051183217</v>
      </c>
      <c r="C1261" s="51">
        <v>1.037</v>
      </c>
      <c r="D1261" s="51">
        <v>66.0</v>
      </c>
      <c r="E1261" s="52" t="s">
        <v>25</v>
      </c>
      <c r="F1261" s="52" t="s">
        <v>26</v>
      </c>
      <c r="G1261" s="53"/>
    </row>
    <row r="1262">
      <c r="A1262" s="49">
        <v>44525.79056418981</v>
      </c>
      <c r="B1262" s="50">
        <v>44525.9155395023</v>
      </c>
      <c r="C1262" s="51">
        <v>1.037</v>
      </c>
      <c r="D1262" s="51">
        <v>66.0</v>
      </c>
      <c r="E1262" s="52" t="s">
        <v>25</v>
      </c>
      <c r="F1262" s="52" t="s">
        <v>26</v>
      </c>
      <c r="G1262" s="53"/>
    </row>
    <row r="1263">
      <c r="A1263" s="49">
        <v>44525.80098662037</v>
      </c>
      <c r="B1263" s="50">
        <v>44525.9259603356</v>
      </c>
      <c r="C1263" s="51">
        <v>1.038</v>
      </c>
      <c r="D1263" s="51">
        <v>66.0</v>
      </c>
      <c r="E1263" s="52" t="s">
        <v>25</v>
      </c>
      <c r="F1263" s="52" t="s">
        <v>26</v>
      </c>
      <c r="G1263" s="53"/>
    </row>
    <row r="1264">
      <c r="A1264" s="49">
        <v>44525.81140104167</v>
      </c>
      <c r="B1264" s="50">
        <v>44525.9363821759</v>
      </c>
      <c r="C1264" s="51">
        <v>1.037</v>
      </c>
      <c r="D1264" s="51">
        <v>66.0</v>
      </c>
      <c r="E1264" s="52" t="s">
        <v>25</v>
      </c>
      <c r="F1264" s="52" t="s">
        <v>26</v>
      </c>
      <c r="G1264" s="53"/>
    </row>
    <row r="1265">
      <c r="A1265" s="49">
        <v>44525.821824189814</v>
      </c>
      <c r="B1265" s="50">
        <v>44525.9468032175</v>
      </c>
      <c r="C1265" s="51">
        <v>1.038</v>
      </c>
      <c r="D1265" s="51">
        <v>66.0</v>
      </c>
      <c r="E1265" s="52" t="s">
        <v>25</v>
      </c>
      <c r="F1265" s="52" t="s">
        <v>26</v>
      </c>
      <c r="G1265" s="53"/>
    </row>
    <row r="1266">
      <c r="A1266" s="49">
        <v>44525.832251747684</v>
      </c>
      <c r="B1266" s="50">
        <v>44525.9572244213</v>
      </c>
      <c r="C1266" s="51">
        <v>1.037</v>
      </c>
      <c r="D1266" s="51">
        <v>66.0</v>
      </c>
      <c r="E1266" s="52" t="s">
        <v>25</v>
      </c>
      <c r="F1266" s="52" t="s">
        <v>26</v>
      </c>
      <c r="G1266" s="53"/>
    </row>
    <row r="1267">
      <c r="A1267" s="49">
        <v>44525.84266141204</v>
      </c>
      <c r="B1267" s="50">
        <v>44525.9676452893</v>
      </c>
      <c r="C1267" s="51">
        <v>1.038</v>
      </c>
      <c r="D1267" s="51">
        <v>66.0</v>
      </c>
      <c r="E1267" s="52" t="s">
        <v>25</v>
      </c>
      <c r="F1267" s="52" t="s">
        <v>26</v>
      </c>
      <c r="G1267" s="53"/>
    </row>
    <row r="1268">
      <c r="A1268" s="49">
        <v>44525.85308627315</v>
      </c>
      <c r="B1268" s="50">
        <v>44525.9780652662</v>
      </c>
      <c r="C1268" s="51">
        <v>1.037</v>
      </c>
      <c r="D1268" s="51">
        <v>66.0</v>
      </c>
      <c r="E1268" s="52" t="s">
        <v>25</v>
      </c>
      <c r="F1268" s="52" t="s">
        <v>26</v>
      </c>
      <c r="G1268" s="53"/>
    </row>
    <row r="1269">
      <c r="A1269" s="49">
        <v>44525.863515590274</v>
      </c>
      <c r="B1269" s="50">
        <v>44525.9884885069</v>
      </c>
      <c r="C1269" s="51">
        <v>1.037</v>
      </c>
      <c r="D1269" s="51">
        <v>66.0</v>
      </c>
      <c r="E1269" s="52" t="s">
        <v>25</v>
      </c>
      <c r="F1269" s="52" t="s">
        <v>26</v>
      </c>
      <c r="G1269" s="53"/>
    </row>
    <row r="1270">
      <c r="A1270" s="49">
        <v>44525.873930243055</v>
      </c>
      <c r="B1270" s="50">
        <v>44525.9989101273</v>
      </c>
      <c r="C1270" s="51">
        <v>1.037</v>
      </c>
      <c r="D1270" s="51">
        <v>66.0</v>
      </c>
      <c r="E1270" s="52" t="s">
        <v>25</v>
      </c>
      <c r="F1270" s="52" t="s">
        <v>26</v>
      </c>
      <c r="G1270" s="53"/>
    </row>
    <row r="1271">
      <c r="A1271" s="49">
        <v>44525.88435789352</v>
      </c>
      <c r="B1271" s="50">
        <v>44526.0093325115</v>
      </c>
      <c r="C1271" s="51">
        <v>1.037</v>
      </c>
      <c r="D1271" s="51">
        <v>66.0</v>
      </c>
      <c r="E1271" s="52" t="s">
        <v>25</v>
      </c>
      <c r="F1271" s="52" t="s">
        <v>26</v>
      </c>
      <c r="G1271" s="53"/>
    </row>
    <row r="1272">
      <c r="A1272" s="49">
        <v>44525.89478611111</v>
      </c>
      <c r="B1272" s="50">
        <v>44526.0197545254</v>
      </c>
      <c r="C1272" s="51">
        <v>1.037</v>
      </c>
      <c r="D1272" s="51">
        <v>66.0</v>
      </c>
      <c r="E1272" s="52" t="s">
        <v>25</v>
      </c>
      <c r="F1272" s="52" t="s">
        <v>26</v>
      </c>
      <c r="G1272" s="53"/>
    </row>
    <row r="1273">
      <c r="A1273" s="49">
        <v>44525.90519733797</v>
      </c>
      <c r="B1273" s="50">
        <v>44526.0301756828</v>
      </c>
      <c r="C1273" s="51">
        <v>1.037</v>
      </c>
      <c r="D1273" s="51">
        <v>66.0</v>
      </c>
      <c r="E1273" s="52" t="s">
        <v>25</v>
      </c>
      <c r="F1273" s="52" t="s">
        <v>26</v>
      </c>
      <c r="G1273" s="53"/>
    </row>
    <row r="1274">
      <c r="A1274" s="49">
        <v>44525.915623865745</v>
      </c>
      <c r="B1274" s="50">
        <v>44526.0405965856</v>
      </c>
      <c r="C1274" s="51">
        <v>1.037</v>
      </c>
      <c r="D1274" s="51">
        <v>66.0</v>
      </c>
      <c r="E1274" s="52" t="s">
        <v>25</v>
      </c>
      <c r="F1274" s="52" t="s">
        <v>26</v>
      </c>
      <c r="G1274" s="53"/>
    </row>
    <row r="1275">
      <c r="A1275" s="49">
        <v>44525.92603618056</v>
      </c>
      <c r="B1275" s="50">
        <v>44526.0510162615</v>
      </c>
      <c r="C1275" s="51">
        <v>1.037</v>
      </c>
      <c r="D1275" s="51">
        <v>66.0</v>
      </c>
      <c r="E1275" s="52" t="s">
        <v>25</v>
      </c>
      <c r="F1275" s="52" t="s">
        <v>26</v>
      </c>
      <c r="G1275" s="53"/>
    </row>
    <row r="1276">
      <c r="A1276" s="49">
        <v>44525.93646703704</v>
      </c>
      <c r="B1276" s="50">
        <v>44526.0614366435</v>
      </c>
      <c r="C1276" s="51">
        <v>1.037</v>
      </c>
      <c r="D1276" s="51">
        <v>66.0</v>
      </c>
      <c r="E1276" s="52" t="s">
        <v>25</v>
      </c>
      <c r="F1276" s="52" t="s">
        <v>26</v>
      </c>
      <c r="G1276" s="53"/>
    </row>
    <row r="1277">
      <c r="A1277" s="49">
        <v>44525.9468778588</v>
      </c>
      <c r="B1277" s="50">
        <v>44526.0718569907</v>
      </c>
      <c r="C1277" s="51">
        <v>1.037</v>
      </c>
      <c r="D1277" s="51">
        <v>66.0</v>
      </c>
      <c r="E1277" s="52" t="s">
        <v>25</v>
      </c>
      <c r="F1277" s="52" t="s">
        <v>26</v>
      </c>
      <c r="G1277" s="53"/>
    </row>
    <row r="1278">
      <c r="A1278" s="49">
        <v>44525.95730050926</v>
      </c>
      <c r="B1278" s="50">
        <v>44526.0822786111</v>
      </c>
      <c r="C1278" s="51">
        <v>1.037</v>
      </c>
      <c r="D1278" s="51">
        <v>66.0</v>
      </c>
      <c r="E1278" s="52" t="s">
        <v>25</v>
      </c>
      <c r="F1278" s="52" t="s">
        <v>26</v>
      </c>
      <c r="G1278" s="53"/>
    </row>
    <row r="1279">
      <c r="A1279" s="49">
        <v>44525.967719849534</v>
      </c>
      <c r="B1279" s="50">
        <v>44526.0926978587</v>
      </c>
      <c r="C1279" s="51">
        <v>1.037</v>
      </c>
      <c r="D1279" s="51">
        <v>66.0</v>
      </c>
      <c r="E1279" s="52" t="s">
        <v>25</v>
      </c>
      <c r="F1279" s="52" t="s">
        <v>26</v>
      </c>
      <c r="G1279" s="53"/>
    </row>
    <row r="1280">
      <c r="A1280" s="49">
        <v>44525.978143796296</v>
      </c>
      <c r="B1280" s="50">
        <v>44526.1031181828</v>
      </c>
      <c r="C1280" s="51">
        <v>1.037</v>
      </c>
      <c r="D1280" s="51">
        <v>66.0</v>
      </c>
      <c r="E1280" s="52" t="s">
        <v>25</v>
      </c>
      <c r="F1280" s="52" t="s">
        <v>26</v>
      </c>
      <c r="G1280" s="53"/>
    </row>
    <row r="1281">
      <c r="A1281" s="49">
        <v>44525.98856640046</v>
      </c>
      <c r="B1281" s="50">
        <v>44526.1135395601</v>
      </c>
      <c r="C1281" s="51">
        <v>1.037</v>
      </c>
      <c r="D1281" s="51">
        <v>66.0</v>
      </c>
      <c r="E1281" s="52" t="s">
        <v>25</v>
      </c>
      <c r="F1281" s="52" t="s">
        <v>26</v>
      </c>
      <c r="G1281" s="53"/>
    </row>
    <row r="1282">
      <c r="A1282" s="49">
        <v>44525.9989844213</v>
      </c>
      <c r="B1282" s="50">
        <v>44526.1239599537</v>
      </c>
      <c r="C1282" s="51">
        <v>1.037</v>
      </c>
      <c r="D1282" s="51">
        <v>66.0</v>
      </c>
      <c r="E1282" s="52" t="s">
        <v>25</v>
      </c>
      <c r="F1282" s="52" t="s">
        <v>26</v>
      </c>
      <c r="G1282" s="53"/>
    </row>
    <row r="1283">
      <c r="A1283" s="49">
        <v>44526.00940796296</v>
      </c>
      <c r="B1283" s="50">
        <v>44526.1343820254</v>
      </c>
      <c r="C1283" s="51">
        <v>1.037</v>
      </c>
      <c r="D1283" s="51">
        <v>66.0</v>
      </c>
      <c r="E1283" s="52" t="s">
        <v>25</v>
      </c>
      <c r="F1283" s="52" t="s">
        <v>26</v>
      </c>
      <c r="G1283" s="53"/>
    </row>
    <row r="1284">
      <c r="A1284" s="49">
        <v>44526.01983049768</v>
      </c>
      <c r="B1284" s="50">
        <v>44526.1448040162</v>
      </c>
      <c r="C1284" s="51">
        <v>1.037</v>
      </c>
      <c r="D1284" s="51">
        <v>66.0</v>
      </c>
      <c r="E1284" s="52" t="s">
        <v>25</v>
      </c>
      <c r="F1284" s="52" t="s">
        <v>26</v>
      </c>
      <c r="G1284" s="53"/>
    </row>
    <row r="1285">
      <c r="A1285" s="49">
        <v>44526.03024190972</v>
      </c>
      <c r="B1285" s="50">
        <v>44526.1552250347</v>
      </c>
      <c r="C1285" s="51">
        <v>1.037</v>
      </c>
      <c r="D1285" s="51">
        <v>66.0</v>
      </c>
      <c r="E1285" s="52" t="s">
        <v>25</v>
      </c>
      <c r="F1285" s="52" t="s">
        <v>26</v>
      </c>
      <c r="G1285" s="53"/>
    </row>
    <row r="1286">
      <c r="A1286" s="49">
        <v>44526.04068178241</v>
      </c>
      <c r="B1286" s="50">
        <v>44526.1656591666</v>
      </c>
      <c r="C1286" s="51">
        <v>1.037</v>
      </c>
      <c r="D1286" s="51">
        <v>66.0</v>
      </c>
      <c r="E1286" s="52" t="s">
        <v>25</v>
      </c>
      <c r="F1286" s="52" t="s">
        <v>26</v>
      </c>
      <c r="G1286" s="53"/>
    </row>
    <row r="1287">
      <c r="A1287" s="49">
        <v>44526.05109835648</v>
      </c>
      <c r="B1287" s="50">
        <v>44526.1760792592</v>
      </c>
      <c r="C1287" s="51">
        <v>1.037</v>
      </c>
      <c r="D1287" s="51">
        <v>66.0</v>
      </c>
      <c r="E1287" s="52" t="s">
        <v>25</v>
      </c>
      <c r="F1287" s="52" t="s">
        <v>26</v>
      </c>
      <c r="G1287" s="53"/>
    </row>
    <row r="1288">
      <c r="A1288" s="49">
        <v>44526.06151884259</v>
      </c>
      <c r="B1288" s="50">
        <v>44526.1864996759</v>
      </c>
      <c r="C1288" s="51">
        <v>1.037</v>
      </c>
      <c r="D1288" s="51">
        <v>65.0</v>
      </c>
      <c r="E1288" s="52" t="s">
        <v>25</v>
      </c>
      <c r="F1288" s="52" t="s">
        <v>26</v>
      </c>
      <c r="G1288" s="53"/>
    </row>
    <row r="1289">
      <c r="A1289" s="49">
        <v>44526.07194925926</v>
      </c>
      <c r="B1289" s="50">
        <v>44526.1969222453</v>
      </c>
      <c r="C1289" s="51">
        <v>1.037</v>
      </c>
      <c r="D1289" s="51">
        <v>66.0</v>
      </c>
      <c r="E1289" s="52" t="s">
        <v>25</v>
      </c>
      <c r="F1289" s="52" t="s">
        <v>26</v>
      </c>
      <c r="G1289" s="53"/>
    </row>
    <row r="1290">
      <c r="A1290" s="49">
        <v>44526.08236266204</v>
      </c>
      <c r="B1290" s="50">
        <v>44526.2073434722</v>
      </c>
      <c r="C1290" s="51">
        <v>1.037</v>
      </c>
      <c r="D1290" s="51">
        <v>65.0</v>
      </c>
      <c r="E1290" s="52" t="s">
        <v>25</v>
      </c>
      <c r="F1290" s="52" t="s">
        <v>26</v>
      </c>
      <c r="G1290" s="53"/>
    </row>
    <row r="1291">
      <c r="A1291" s="49">
        <v>44526.09278875</v>
      </c>
      <c r="B1291" s="50">
        <v>44526.2177673495</v>
      </c>
      <c r="C1291" s="51">
        <v>1.037</v>
      </c>
      <c r="D1291" s="51">
        <v>65.0</v>
      </c>
      <c r="E1291" s="52" t="s">
        <v>25</v>
      </c>
      <c r="F1291" s="52" t="s">
        <v>26</v>
      </c>
      <c r="G1291" s="53"/>
    </row>
    <row r="1292">
      <c r="A1292" s="49">
        <v>44526.10321170139</v>
      </c>
      <c r="B1292" s="50">
        <v>44526.2281867824</v>
      </c>
      <c r="C1292" s="51">
        <v>1.037</v>
      </c>
      <c r="D1292" s="51">
        <v>66.0</v>
      </c>
      <c r="E1292" s="52" t="s">
        <v>25</v>
      </c>
      <c r="F1292" s="52" t="s">
        <v>26</v>
      </c>
      <c r="G1292" s="53"/>
    </row>
    <row r="1293">
      <c r="A1293" s="49">
        <v>44526.11363554398</v>
      </c>
      <c r="B1293" s="50">
        <v>44526.2386091319</v>
      </c>
      <c r="C1293" s="51">
        <v>1.037</v>
      </c>
      <c r="D1293" s="51">
        <v>66.0</v>
      </c>
      <c r="E1293" s="52" t="s">
        <v>25</v>
      </c>
      <c r="F1293" s="52" t="s">
        <v>26</v>
      </c>
      <c r="G1293" s="53"/>
    </row>
    <row r="1294">
      <c r="A1294" s="49">
        <v>44526.124058657406</v>
      </c>
      <c r="B1294" s="50">
        <v>44526.2490301967</v>
      </c>
      <c r="C1294" s="51">
        <v>1.037</v>
      </c>
      <c r="D1294" s="51">
        <v>66.0</v>
      </c>
      <c r="E1294" s="52" t="s">
        <v>25</v>
      </c>
      <c r="F1294" s="52" t="s">
        <v>26</v>
      </c>
      <c r="G1294" s="53"/>
    </row>
    <row r="1295">
      <c r="A1295" s="49">
        <v>44526.13447311343</v>
      </c>
      <c r="B1295" s="50">
        <v>44526.2594504398</v>
      </c>
      <c r="C1295" s="51">
        <v>1.037</v>
      </c>
      <c r="D1295" s="51">
        <v>65.0</v>
      </c>
      <c r="E1295" s="52" t="s">
        <v>25</v>
      </c>
      <c r="F1295" s="52" t="s">
        <v>26</v>
      </c>
      <c r="G1295" s="53"/>
    </row>
    <row r="1296">
      <c r="A1296" s="49">
        <v>44526.14489888889</v>
      </c>
      <c r="B1296" s="50">
        <v>44526.2698728472</v>
      </c>
      <c r="C1296" s="51">
        <v>1.037</v>
      </c>
      <c r="D1296" s="51">
        <v>65.0</v>
      </c>
      <c r="E1296" s="52" t="s">
        <v>25</v>
      </c>
      <c r="F1296" s="52" t="s">
        <v>26</v>
      </c>
      <c r="G1296" s="53"/>
    </row>
    <row r="1297">
      <c r="A1297" s="49">
        <v>44526.15532046296</v>
      </c>
      <c r="B1297" s="50">
        <v>44526.2802946296</v>
      </c>
      <c r="C1297" s="51">
        <v>1.037</v>
      </c>
      <c r="D1297" s="51">
        <v>65.0</v>
      </c>
      <c r="E1297" s="52" t="s">
        <v>25</v>
      </c>
      <c r="F1297" s="52" t="s">
        <v>26</v>
      </c>
      <c r="G1297" s="53"/>
    </row>
    <row r="1298">
      <c r="A1298" s="49">
        <v>44526.1657466551</v>
      </c>
      <c r="B1298" s="50">
        <v>44526.290715</v>
      </c>
      <c r="C1298" s="51">
        <v>1.037</v>
      </c>
      <c r="D1298" s="51">
        <v>66.0</v>
      </c>
      <c r="E1298" s="52" t="s">
        <v>25</v>
      </c>
      <c r="F1298" s="52" t="s">
        <v>26</v>
      </c>
      <c r="G1298" s="53"/>
    </row>
    <row r="1299">
      <c r="A1299" s="49">
        <v>44526.17615271991</v>
      </c>
      <c r="B1299" s="50">
        <v>44526.3011347453</v>
      </c>
      <c r="C1299" s="51">
        <v>1.037</v>
      </c>
      <c r="D1299" s="51">
        <v>66.0</v>
      </c>
      <c r="E1299" s="52" t="s">
        <v>25</v>
      </c>
      <c r="F1299" s="52" t="s">
        <v>26</v>
      </c>
      <c r="G1299" s="53"/>
    </row>
    <row r="1300">
      <c r="A1300" s="49">
        <v>44526.18658386574</v>
      </c>
      <c r="B1300" s="50">
        <v>44526.3115566898</v>
      </c>
      <c r="C1300" s="51">
        <v>1.037</v>
      </c>
      <c r="D1300" s="51">
        <v>66.0</v>
      </c>
      <c r="E1300" s="52" t="s">
        <v>25</v>
      </c>
      <c r="F1300" s="52" t="s">
        <v>26</v>
      </c>
      <c r="G1300" s="53"/>
    </row>
    <row r="1301">
      <c r="A1301" s="49">
        <v>44526.19700876158</v>
      </c>
      <c r="B1301" s="50">
        <v>44526.3219775462</v>
      </c>
      <c r="C1301" s="51">
        <v>1.037</v>
      </c>
      <c r="D1301" s="51">
        <v>66.0</v>
      </c>
      <c r="E1301" s="52" t="s">
        <v>25</v>
      </c>
      <c r="F1301" s="52" t="s">
        <v>26</v>
      </c>
      <c r="G1301" s="53"/>
    </row>
    <row r="1302">
      <c r="A1302" s="49">
        <v>44526.20741886574</v>
      </c>
      <c r="B1302" s="50">
        <v>44526.3323992939</v>
      </c>
      <c r="C1302" s="51">
        <v>1.037</v>
      </c>
      <c r="D1302" s="51">
        <v>65.0</v>
      </c>
      <c r="E1302" s="52" t="s">
        <v>25</v>
      </c>
      <c r="F1302" s="52" t="s">
        <v>26</v>
      </c>
      <c r="G1302" s="53"/>
    </row>
    <row r="1303">
      <c r="A1303" s="49">
        <v>44526.21785434028</v>
      </c>
      <c r="B1303" s="50">
        <v>44526.3428330671</v>
      </c>
      <c r="C1303" s="51">
        <v>1.037</v>
      </c>
      <c r="D1303" s="51">
        <v>65.0</v>
      </c>
      <c r="E1303" s="52" t="s">
        <v>25</v>
      </c>
      <c r="F1303" s="52" t="s">
        <v>26</v>
      </c>
      <c r="G1303" s="53"/>
    </row>
    <row r="1304">
      <c r="A1304" s="49">
        <v>44526.22828243056</v>
      </c>
      <c r="B1304" s="50">
        <v>44526.3532549652</v>
      </c>
      <c r="C1304" s="51">
        <v>1.037</v>
      </c>
      <c r="D1304" s="51">
        <v>66.0</v>
      </c>
      <c r="E1304" s="52" t="s">
        <v>25</v>
      </c>
      <c r="F1304" s="52" t="s">
        <v>26</v>
      </c>
      <c r="G1304" s="53"/>
    </row>
    <row r="1305">
      <c r="A1305" s="49">
        <v>44526.238714444444</v>
      </c>
      <c r="B1305" s="50">
        <v>44526.3636874189</v>
      </c>
      <c r="C1305" s="51">
        <v>1.037</v>
      </c>
      <c r="D1305" s="51">
        <v>65.0</v>
      </c>
      <c r="E1305" s="52" t="s">
        <v>25</v>
      </c>
      <c r="F1305" s="52" t="s">
        <v>26</v>
      </c>
      <c r="G1305" s="53"/>
    </row>
    <row r="1306">
      <c r="A1306" s="49">
        <v>44526.249134513884</v>
      </c>
      <c r="B1306" s="50">
        <v>44526.3741084606</v>
      </c>
      <c r="C1306" s="51">
        <v>1.037</v>
      </c>
      <c r="D1306" s="51">
        <v>66.0</v>
      </c>
      <c r="E1306" s="52" t="s">
        <v>25</v>
      </c>
      <c r="F1306" s="52" t="s">
        <v>26</v>
      </c>
      <c r="G1306" s="53"/>
    </row>
    <row r="1307">
      <c r="A1307" s="49">
        <v>44526.25954849537</v>
      </c>
      <c r="B1307" s="50">
        <v>44526.3845292708</v>
      </c>
      <c r="C1307" s="51">
        <v>1.037</v>
      </c>
      <c r="D1307" s="51">
        <v>66.0</v>
      </c>
      <c r="E1307" s="52" t="s">
        <v>25</v>
      </c>
      <c r="F1307" s="52" t="s">
        <v>26</v>
      </c>
      <c r="G1307" s="53"/>
    </row>
    <row r="1308">
      <c r="A1308" s="49">
        <v>44526.26997780093</v>
      </c>
      <c r="B1308" s="50">
        <v>44526.3949515393</v>
      </c>
      <c r="C1308" s="51">
        <v>1.037</v>
      </c>
      <c r="D1308" s="51">
        <v>66.0</v>
      </c>
      <c r="E1308" s="52" t="s">
        <v>25</v>
      </c>
      <c r="F1308" s="52" t="s">
        <v>26</v>
      </c>
      <c r="G1308" s="53"/>
    </row>
    <row r="1309">
      <c r="A1309" s="49">
        <v>44526.2803896875</v>
      </c>
      <c r="B1309" s="50">
        <v>44526.4053714814</v>
      </c>
      <c r="C1309" s="51">
        <v>1.037</v>
      </c>
      <c r="D1309" s="51">
        <v>66.0</v>
      </c>
      <c r="E1309" s="52" t="s">
        <v>25</v>
      </c>
      <c r="F1309" s="52" t="s">
        <v>26</v>
      </c>
      <c r="G1309" s="53"/>
    </row>
    <row r="1310">
      <c r="A1310" s="49">
        <v>44526.290818124995</v>
      </c>
      <c r="B1310" s="50">
        <v>44526.4157933217</v>
      </c>
      <c r="C1310" s="51">
        <v>1.037</v>
      </c>
      <c r="D1310" s="51">
        <v>66.0</v>
      </c>
      <c r="E1310" s="52" t="s">
        <v>25</v>
      </c>
      <c r="F1310" s="52" t="s">
        <v>26</v>
      </c>
      <c r="G1310" s="53"/>
    </row>
    <row r="1311">
      <c r="A1311" s="49">
        <v>44526.301234756946</v>
      </c>
      <c r="B1311" s="50">
        <v>44526.4262155787</v>
      </c>
      <c r="C1311" s="51">
        <v>1.037</v>
      </c>
      <c r="D1311" s="51">
        <v>65.0</v>
      </c>
      <c r="E1311" s="52" t="s">
        <v>25</v>
      </c>
      <c r="F1311" s="52" t="s">
        <v>26</v>
      </c>
      <c r="G1311" s="53"/>
    </row>
    <row r="1312">
      <c r="A1312" s="49">
        <v>44526.311663622684</v>
      </c>
      <c r="B1312" s="50">
        <v>44526.4366356134</v>
      </c>
      <c r="C1312" s="51">
        <v>1.037</v>
      </c>
      <c r="D1312" s="51">
        <v>66.0</v>
      </c>
      <c r="E1312" s="52" t="s">
        <v>25</v>
      </c>
      <c r="F1312" s="52" t="s">
        <v>26</v>
      </c>
      <c r="G1312" s="53"/>
    </row>
    <row r="1313">
      <c r="A1313" s="49">
        <v>44526.32208158565</v>
      </c>
      <c r="B1313" s="50">
        <v>44526.4470552893</v>
      </c>
      <c r="C1313" s="51">
        <v>1.037</v>
      </c>
      <c r="D1313" s="51">
        <v>66.0</v>
      </c>
      <c r="E1313" s="52" t="s">
        <v>25</v>
      </c>
      <c r="F1313" s="52" t="s">
        <v>26</v>
      </c>
      <c r="G1313" s="53"/>
    </row>
    <row r="1314">
      <c r="A1314" s="49">
        <v>44526.33250076389</v>
      </c>
      <c r="B1314" s="50">
        <v>44526.4574759606</v>
      </c>
      <c r="C1314" s="51">
        <v>1.037</v>
      </c>
      <c r="D1314" s="51">
        <v>66.0</v>
      </c>
      <c r="E1314" s="52" t="s">
        <v>25</v>
      </c>
      <c r="F1314" s="52" t="s">
        <v>26</v>
      </c>
      <c r="G1314" s="53"/>
    </row>
    <row r="1315">
      <c r="A1315" s="49">
        <v>44526.34292332176</v>
      </c>
      <c r="B1315" s="50">
        <v>44526.467896956</v>
      </c>
      <c r="C1315" s="51">
        <v>1.037</v>
      </c>
      <c r="D1315" s="51">
        <v>65.0</v>
      </c>
      <c r="E1315" s="52" t="s">
        <v>25</v>
      </c>
      <c r="F1315" s="52" t="s">
        <v>26</v>
      </c>
      <c r="G1315" s="53"/>
    </row>
    <row r="1316">
      <c r="A1316" s="49">
        <v>44526.353361284724</v>
      </c>
      <c r="B1316" s="50">
        <v>44526.4783307638</v>
      </c>
      <c r="C1316" s="51">
        <v>1.036</v>
      </c>
      <c r="D1316" s="51">
        <v>65.0</v>
      </c>
      <c r="E1316" s="52" t="s">
        <v>25</v>
      </c>
      <c r="F1316" s="52" t="s">
        <v>26</v>
      </c>
      <c r="G1316" s="53"/>
    </row>
    <row r="1317">
      <c r="A1317" s="49">
        <v>44526.363766678245</v>
      </c>
      <c r="B1317" s="50">
        <v>44526.4887519212</v>
      </c>
      <c r="C1317" s="51">
        <v>1.036</v>
      </c>
      <c r="D1317" s="51">
        <v>65.0</v>
      </c>
      <c r="E1317" s="52" t="s">
        <v>25</v>
      </c>
      <c r="F1317" s="52" t="s">
        <v>26</v>
      </c>
      <c r="G1317" s="53"/>
    </row>
    <row r="1318">
      <c r="A1318" s="49">
        <v>44526.37419591435</v>
      </c>
      <c r="B1318" s="50">
        <v>44526.4991734606</v>
      </c>
      <c r="C1318" s="51">
        <v>1.037</v>
      </c>
      <c r="D1318" s="51">
        <v>65.0</v>
      </c>
      <c r="E1318" s="52" t="s">
        <v>25</v>
      </c>
      <c r="F1318" s="52" t="s">
        <v>26</v>
      </c>
      <c r="G1318" s="53"/>
    </row>
    <row r="1319">
      <c r="A1319" s="49">
        <v>44526.3846112037</v>
      </c>
      <c r="B1319" s="50">
        <v>44526.5095950462</v>
      </c>
      <c r="C1319" s="51">
        <v>1.036</v>
      </c>
      <c r="D1319" s="51">
        <v>65.0</v>
      </c>
      <c r="E1319" s="52" t="s">
        <v>25</v>
      </c>
      <c r="F1319" s="52" t="s">
        <v>26</v>
      </c>
      <c r="G1319" s="53"/>
    </row>
    <row r="1320">
      <c r="A1320" s="49">
        <v>44526.395044907404</v>
      </c>
      <c r="B1320" s="50">
        <v>44526.5200147222</v>
      </c>
      <c r="C1320" s="51">
        <v>1.036</v>
      </c>
      <c r="D1320" s="51">
        <v>65.0</v>
      </c>
      <c r="E1320" s="52" t="s">
        <v>25</v>
      </c>
      <c r="F1320" s="52" t="s">
        <v>26</v>
      </c>
      <c r="G1320" s="53"/>
    </row>
    <row r="1321">
      <c r="A1321" s="49">
        <v>44526.40546234953</v>
      </c>
      <c r="B1321" s="50">
        <v>44526.5304348842</v>
      </c>
      <c r="C1321" s="51">
        <v>1.036</v>
      </c>
      <c r="D1321" s="51">
        <v>65.0</v>
      </c>
      <c r="E1321" s="52" t="s">
        <v>25</v>
      </c>
      <c r="F1321" s="52" t="s">
        <v>26</v>
      </c>
      <c r="G1321" s="53"/>
    </row>
    <row r="1322">
      <c r="A1322" s="49">
        <v>44526.415888020834</v>
      </c>
      <c r="B1322" s="50">
        <v>44526.5408679513</v>
      </c>
      <c r="C1322" s="51">
        <v>1.036</v>
      </c>
      <c r="D1322" s="51">
        <v>65.0</v>
      </c>
      <c r="E1322" s="52" t="s">
        <v>25</v>
      </c>
      <c r="F1322" s="52" t="s">
        <v>26</v>
      </c>
      <c r="G1322" s="53"/>
    </row>
    <row r="1323">
      <c r="A1323" s="49">
        <v>44526.426336296296</v>
      </c>
      <c r="B1323" s="50">
        <v>44526.5513115393</v>
      </c>
      <c r="C1323" s="51">
        <v>1.036</v>
      </c>
      <c r="D1323" s="51">
        <v>65.0</v>
      </c>
      <c r="E1323" s="52" t="s">
        <v>25</v>
      </c>
      <c r="F1323" s="52" t="s">
        <v>26</v>
      </c>
      <c r="G1323" s="53"/>
    </row>
    <row r="1324">
      <c r="A1324" s="49">
        <v>44526.43676347222</v>
      </c>
      <c r="B1324" s="50">
        <v>44526.5617319328</v>
      </c>
      <c r="C1324" s="51">
        <v>1.036</v>
      </c>
      <c r="D1324" s="51">
        <v>65.0</v>
      </c>
      <c r="E1324" s="52" t="s">
        <v>25</v>
      </c>
      <c r="F1324" s="52" t="s">
        <v>26</v>
      </c>
      <c r="G1324" s="53"/>
    </row>
    <row r="1325">
      <c r="A1325" s="49">
        <v>44526.4471971875</v>
      </c>
      <c r="B1325" s="50">
        <v>44526.5721667592</v>
      </c>
      <c r="C1325" s="51">
        <v>1.037</v>
      </c>
      <c r="D1325" s="51">
        <v>65.0</v>
      </c>
      <c r="E1325" s="52" t="s">
        <v>25</v>
      </c>
      <c r="F1325" s="52" t="s">
        <v>26</v>
      </c>
      <c r="G1325" s="53"/>
    </row>
    <row r="1326">
      <c r="A1326" s="49">
        <v>44526.457614467596</v>
      </c>
      <c r="B1326" s="50">
        <v>44526.5825880208</v>
      </c>
      <c r="C1326" s="51">
        <v>1.036</v>
      </c>
      <c r="D1326" s="51">
        <v>65.0</v>
      </c>
      <c r="E1326" s="52" t="s">
        <v>25</v>
      </c>
      <c r="F1326" s="52" t="s">
        <v>26</v>
      </c>
      <c r="G1326" s="53"/>
    </row>
    <row r="1327">
      <c r="A1327" s="49">
        <v>44526.46803966435</v>
      </c>
      <c r="B1327" s="50">
        <v>44526.5930085879</v>
      </c>
      <c r="C1327" s="51">
        <v>1.036</v>
      </c>
      <c r="D1327" s="51">
        <v>65.0</v>
      </c>
      <c r="E1327" s="52" t="s">
        <v>25</v>
      </c>
      <c r="F1327" s="52" t="s">
        <v>26</v>
      </c>
      <c r="G1327" s="53"/>
    </row>
    <row r="1328">
      <c r="A1328" s="49">
        <v>44526.47845704861</v>
      </c>
      <c r="B1328" s="50">
        <v>44526.6034292939</v>
      </c>
      <c r="C1328" s="51">
        <v>1.036</v>
      </c>
      <c r="D1328" s="51">
        <v>65.0</v>
      </c>
      <c r="E1328" s="52" t="s">
        <v>25</v>
      </c>
      <c r="F1328" s="52" t="s">
        <v>26</v>
      </c>
      <c r="G1328" s="53"/>
    </row>
    <row r="1329">
      <c r="A1329" s="49">
        <v>44526.488888402775</v>
      </c>
      <c r="B1329" s="50">
        <v>44526.6138518402</v>
      </c>
      <c r="C1329" s="51">
        <v>1.036</v>
      </c>
      <c r="D1329" s="51">
        <v>65.0</v>
      </c>
      <c r="E1329" s="52" t="s">
        <v>25</v>
      </c>
      <c r="F1329" s="52" t="s">
        <v>26</v>
      </c>
      <c r="G1329" s="53"/>
    </row>
    <row r="1330">
      <c r="A1330" s="49">
        <v>44526.499299814815</v>
      </c>
      <c r="B1330" s="50">
        <v>44526.6242731828</v>
      </c>
      <c r="C1330" s="51">
        <v>1.036</v>
      </c>
      <c r="D1330" s="51">
        <v>65.0</v>
      </c>
      <c r="E1330" s="52" t="s">
        <v>25</v>
      </c>
      <c r="F1330" s="52" t="s">
        <v>26</v>
      </c>
      <c r="G1330" s="53"/>
    </row>
    <row r="1331">
      <c r="A1331" s="49">
        <v>44526.50972665509</v>
      </c>
      <c r="B1331" s="50">
        <v>44526.6346937384</v>
      </c>
      <c r="C1331" s="51">
        <v>1.036</v>
      </c>
      <c r="D1331" s="51">
        <v>65.0</v>
      </c>
      <c r="E1331" s="52" t="s">
        <v>25</v>
      </c>
      <c r="F1331" s="52" t="s">
        <v>26</v>
      </c>
      <c r="G1331" s="53"/>
    </row>
    <row r="1332">
      <c r="A1332" s="49">
        <v>44526.52015108796</v>
      </c>
      <c r="B1332" s="50">
        <v>44526.6451160879</v>
      </c>
      <c r="C1332" s="51">
        <v>1.036</v>
      </c>
      <c r="D1332" s="51">
        <v>65.0</v>
      </c>
      <c r="E1332" s="52" t="s">
        <v>25</v>
      </c>
      <c r="F1332" s="52" t="s">
        <v>26</v>
      </c>
      <c r="G1332" s="53"/>
    </row>
    <row r="1333">
      <c r="A1333" s="49">
        <v>44526.53056945602</v>
      </c>
      <c r="B1333" s="50">
        <v>44526.6555365625</v>
      </c>
      <c r="C1333" s="51">
        <v>1.036</v>
      </c>
      <c r="D1333" s="51">
        <v>65.0</v>
      </c>
      <c r="E1333" s="52" t="s">
        <v>25</v>
      </c>
      <c r="F1333" s="52" t="s">
        <v>26</v>
      </c>
      <c r="G1333" s="53"/>
    </row>
    <row r="1334">
      <c r="A1334" s="49">
        <v>44526.540988865745</v>
      </c>
      <c r="B1334" s="50">
        <v>44526.6659583217</v>
      </c>
      <c r="C1334" s="51">
        <v>1.036</v>
      </c>
      <c r="D1334" s="51">
        <v>65.0</v>
      </c>
      <c r="E1334" s="52" t="s">
        <v>25</v>
      </c>
      <c r="F1334" s="52" t="s">
        <v>26</v>
      </c>
      <c r="G1334" s="53"/>
    </row>
    <row r="1335">
      <c r="A1335" s="49">
        <v>44526.5514153125</v>
      </c>
      <c r="B1335" s="50">
        <v>44526.6763923726</v>
      </c>
      <c r="C1335" s="51">
        <v>1.036</v>
      </c>
      <c r="D1335" s="51">
        <v>65.0</v>
      </c>
      <c r="E1335" s="52" t="s">
        <v>25</v>
      </c>
      <c r="F1335" s="52" t="s">
        <v>26</v>
      </c>
      <c r="G1335" s="53"/>
    </row>
    <row r="1336">
      <c r="A1336" s="49">
        <v>44526.56186515046</v>
      </c>
      <c r="B1336" s="50">
        <v>44526.6868263888</v>
      </c>
      <c r="C1336" s="51">
        <v>1.036</v>
      </c>
      <c r="D1336" s="51">
        <v>65.0</v>
      </c>
      <c r="E1336" s="52" t="s">
        <v>25</v>
      </c>
      <c r="F1336" s="52" t="s">
        <v>26</v>
      </c>
      <c r="G1336" s="53"/>
    </row>
    <row r="1337">
      <c r="A1337" s="49">
        <v>44526.572277280095</v>
      </c>
      <c r="B1337" s="50">
        <v>44526.697247199</v>
      </c>
      <c r="C1337" s="51">
        <v>1.036</v>
      </c>
      <c r="D1337" s="51">
        <v>65.0</v>
      </c>
      <c r="E1337" s="52" t="s">
        <v>25</v>
      </c>
      <c r="F1337" s="52" t="s">
        <v>26</v>
      </c>
      <c r="G1337" s="53"/>
    </row>
    <row r="1338">
      <c r="A1338" s="49">
        <v>44526.58269880787</v>
      </c>
      <c r="B1338" s="50">
        <v>44526.7076667592</v>
      </c>
      <c r="C1338" s="51">
        <v>1.036</v>
      </c>
      <c r="D1338" s="51">
        <v>65.0</v>
      </c>
      <c r="E1338" s="52" t="s">
        <v>25</v>
      </c>
      <c r="F1338" s="52" t="s">
        <v>26</v>
      </c>
      <c r="G1338" s="53"/>
    </row>
    <row r="1339">
      <c r="A1339" s="49">
        <v>44526.59311878472</v>
      </c>
      <c r="B1339" s="50">
        <v>44526.7180866087</v>
      </c>
      <c r="C1339" s="51">
        <v>1.036</v>
      </c>
      <c r="D1339" s="51">
        <v>65.0</v>
      </c>
      <c r="E1339" s="52" t="s">
        <v>25</v>
      </c>
      <c r="F1339" s="52" t="s">
        <v>26</v>
      </c>
      <c r="G1339" s="53"/>
    </row>
    <row r="1340">
      <c r="A1340" s="49">
        <v>44526.603535243055</v>
      </c>
      <c r="B1340" s="50">
        <v>44526.7285083449</v>
      </c>
      <c r="C1340" s="51">
        <v>1.036</v>
      </c>
      <c r="D1340" s="51">
        <v>65.0</v>
      </c>
      <c r="E1340" s="52" t="s">
        <v>25</v>
      </c>
      <c r="F1340" s="52" t="s">
        <v>26</v>
      </c>
      <c r="G1340" s="53"/>
    </row>
    <row r="1341">
      <c r="A1341" s="49">
        <v>44526.6139578125</v>
      </c>
      <c r="B1341" s="50">
        <v>44526.7389292129</v>
      </c>
      <c r="C1341" s="51">
        <v>1.036</v>
      </c>
      <c r="D1341" s="51">
        <v>65.0</v>
      </c>
      <c r="E1341" s="52" t="s">
        <v>25</v>
      </c>
      <c r="F1341" s="52" t="s">
        <v>26</v>
      </c>
      <c r="G1341" s="53"/>
    </row>
    <row r="1342">
      <c r="A1342" s="49">
        <v>44526.62437644676</v>
      </c>
      <c r="B1342" s="50">
        <v>44526.749349456</v>
      </c>
      <c r="C1342" s="51">
        <v>1.036</v>
      </c>
      <c r="D1342" s="51">
        <v>65.0</v>
      </c>
      <c r="E1342" s="52" t="s">
        <v>25</v>
      </c>
      <c r="F1342" s="52" t="s">
        <v>26</v>
      </c>
      <c r="G1342" s="53"/>
    </row>
    <row r="1343">
      <c r="A1343" s="49">
        <v>44526.63479445602</v>
      </c>
      <c r="B1343" s="50">
        <v>44526.7597711342</v>
      </c>
      <c r="C1343" s="51">
        <v>1.036</v>
      </c>
      <c r="D1343" s="51">
        <v>65.0</v>
      </c>
      <c r="E1343" s="52" t="s">
        <v>25</v>
      </c>
      <c r="F1343" s="52" t="s">
        <v>26</v>
      </c>
      <c r="G1343" s="53"/>
    </row>
    <row r="1344">
      <c r="A1344" s="49">
        <v>44526.645222604166</v>
      </c>
      <c r="B1344" s="50">
        <v>44526.7701939583</v>
      </c>
      <c r="C1344" s="51">
        <v>1.036</v>
      </c>
      <c r="D1344" s="51">
        <v>65.0</v>
      </c>
      <c r="E1344" s="52" t="s">
        <v>25</v>
      </c>
      <c r="F1344" s="52" t="s">
        <v>26</v>
      </c>
      <c r="G1344" s="53"/>
    </row>
    <row r="1345">
      <c r="A1345" s="49">
        <v>44526.65564354167</v>
      </c>
      <c r="B1345" s="50">
        <v>44526.7806156018</v>
      </c>
      <c r="C1345" s="51">
        <v>1.036</v>
      </c>
      <c r="D1345" s="51">
        <v>65.0</v>
      </c>
      <c r="E1345" s="52" t="s">
        <v>25</v>
      </c>
      <c r="F1345" s="52" t="s">
        <v>26</v>
      </c>
      <c r="G1345" s="53"/>
    </row>
    <row r="1346">
      <c r="A1346" s="49">
        <v>44526.66606585648</v>
      </c>
      <c r="B1346" s="50">
        <v>44526.7910349884</v>
      </c>
      <c r="C1346" s="51">
        <v>1.036</v>
      </c>
      <c r="D1346" s="51">
        <v>65.0</v>
      </c>
      <c r="E1346" s="52" t="s">
        <v>25</v>
      </c>
      <c r="F1346" s="52" t="s">
        <v>26</v>
      </c>
      <c r="G1346" s="53"/>
    </row>
    <row r="1347">
      <c r="A1347" s="49">
        <v>44526.67648407407</v>
      </c>
      <c r="B1347" s="50">
        <v>44526.8014562384</v>
      </c>
      <c r="C1347" s="51">
        <v>1.036</v>
      </c>
      <c r="D1347" s="51">
        <v>65.0</v>
      </c>
      <c r="E1347" s="52" t="s">
        <v>25</v>
      </c>
      <c r="F1347" s="52" t="s">
        <v>26</v>
      </c>
      <c r="G1347" s="53"/>
    </row>
    <row r="1348">
      <c r="A1348" s="49">
        <v>44526.68690784722</v>
      </c>
      <c r="B1348" s="50">
        <v>44526.8118778819</v>
      </c>
      <c r="C1348" s="51">
        <v>1.036</v>
      </c>
      <c r="D1348" s="51">
        <v>65.0</v>
      </c>
      <c r="E1348" s="52" t="s">
        <v>25</v>
      </c>
      <c r="F1348" s="52" t="s">
        <v>26</v>
      </c>
      <c r="G1348" s="53"/>
    </row>
    <row r="1349">
      <c r="A1349" s="49">
        <v>44526.69731984954</v>
      </c>
      <c r="B1349" s="50">
        <v>44526.8222972222</v>
      </c>
      <c r="C1349" s="51">
        <v>1.036</v>
      </c>
      <c r="D1349" s="51">
        <v>65.0</v>
      </c>
      <c r="E1349" s="52" t="s">
        <v>25</v>
      </c>
      <c r="F1349" s="52" t="s">
        <v>26</v>
      </c>
      <c r="G1349" s="53"/>
    </row>
    <row r="1350">
      <c r="A1350" s="49">
        <v>44526.70774167824</v>
      </c>
      <c r="B1350" s="50">
        <v>44526.8327170486</v>
      </c>
      <c r="C1350" s="51">
        <v>1.036</v>
      </c>
      <c r="D1350" s="51">
        <v>65.0</v>
      </c>
      <c r="E1350" s="52" t="s">
        <v>25</v>
      </c>
      <c r="F1350" s="52" t="s">
        <v>26</v>
      </c>
      <c r="G1350" s="53"/>
    </row>
    <row r="1351">
      <c r="A1351" s="49">
        <v>44526.718160335644</v>
      </c>
      <c r="B1351" s="50">
        <v>44526.8431379398</v>
      </c>
      <c r="C1351" s="51">
        <v>1.036</v>
      </c>
      <c r="D1351" s="51">
        <v>65.0</v>
      </c>
      <c r="E1351" s="52" t="s">
        <v>25</v>
      </c>
      <c r="F1351" s="52" t="s">
        <v>26</v>
      </c>
      <c r="G1351" s="53"/>
    </row>
    <row r="1352">
      <c r="A1352" s="49">
        <v>44526.72858733796</v>
      </c>
      <c r="B1352" s="50">
        <v>44526.8535591782</v>
      </c>
      <c r="C1352" s="51">
        <v>1.036</v>
      </c>
      <c r="D1352" s="51">
        <v>65.0</v>
      </c>
      <c r="E1352" s="52" t="s">
        <v>25</v>
      </c>
      <c r="F1352" s="52" t="s">
        <v>26</v>
      </c>
      <c r="G1352" s="53"/>
    </row>
    <row r="1353">
      <c r="A1353" s="49">
        <v>44526.73899769676</v>
      </c>
      <c r="B1353" s="50">
        <v>44526.8639818171</v>
      </c>
      <c r="C1353" s="51">
        <v>1.036</v>
      </c>
      <c r="D1353" s="51">
        <v>65.0</v>
      </c>
      <c r="E1353" s="52" t="s">
        <v>25</v>
      </c>
      <c r="F1353" s="52" t="s">
        <v>26</v>
      </c>
      <c r="G1353" s="53"/>
    </row>
    <row r="1354">
      <c r="A1354" s="49">
        <v>44526.7494228588</v>
      </c>
      <c r="B1354" s="50">
        <v>44526.8744035879</v>
      </c>
      <c r="C1354" s="51">
        <v>1.036</v>
      </c>
      <c r="D1354" s="51">
        <v>65.0</v>
      </c>
      <c r="E1354" s="52" t="s">
        <v>25</v>
      </c>
      <c r="F1354" s="52" t="s">
        <v>26</v>
      </c>
      <c r="G1354" s="53"/>
    </row>
    <row r="1355">
      <c r="A1355" s="49">
        <v>44526.759853888885</v>
      </c>
      <c r="B1355" s="50">
        <v>44526.8848231597</v>
      </c>
      <c r="C1355" s="51">
        <v>1.036</v>
      </c>
      <c r="D1355" s="51">
        <v>65.0</v>
      </c>
      <c r="E1355" s="52" t="s">
        <v>25</v>
      </c>
      <c r="F1355" s="52" t="s">
        <v>26</v>
      </c>
      <c r="G1355" s="53"/>
    </row>
    <row r="1356">
      <c r="A1356" s="49">
        <v>44526.770266747684</v>
      </c>
      <c r="B1356" s="50">
        <v>44526.8952439699</v>
      </c>
      <c r="C1356" s="51">
        <v>1.036</v>
      </c>
      <c r="D1356" s="51">
        <v>65.0</v>
      </c>
      <c r="E1356" s="52" t="s">
        <v>25</v>
      </c>
      <c r="F1356" s="52" t="s">
        <v>26</v>
      </c>
      <c r="G1356" s="53"/>
    </row>
    <row r="1357">
      <c r="A1357" s="49">
        <v>44526.78070043982</v>
      </c>
      <c r="B1357" s="50">
        <v>44526.9056774537</v>
      </c>
      <c r="C1357" s="51">
        <v>1.036</v>
      </c>
      <c r="D1357" s="51">
        <v>65.0</v>
      </c>
      <c r="E1357" s="52" t="s">
        <v>25</v>
      </c>
      <c r="F1357" s="52" t="s">
        <v>26</v>
      </c>
      <c r="G1357" s="53"/>
    </row>
    <row r="1358">
      <c r="A1358" s="49">
        <v>44526.791114328706</v>
      </c>
      <c r="B1358" s="50">
        <v>44526.9160979513</v>
      </c>
      <c r="C1358" s="51">
        <v>1.036</v>
      </c>
      <c r="D1358" s="51">
        <v>65.0</v>
      </c>
      <c r="E1358" s="52" t="s">
        <v>25</v>
      </c>
      <c r="F1358" s="52" t="s">
        <v>26</v>
      </c>
      <c r="G1358" s="53"/>
    </row>
    <row r="1359">
      <c r="A1359" s="49">
        <v>44526.801550069446</v>
      </c>
      <c r="B1359" s="50">
        <v>44526.9265296643</v>
      </c>
      <c r="C1359" s="51">
        <v>1.036</v>
      </c>
      <c r="D1359" s="51">
        <v>65.0</v>
      </c>
      <c r="E1359" s="52" t="s">
        <v>25</v>
      </c>
      <c r="F1359" s="52" t="s">
        <v>26</v>
      </c>
      <c r="G1359" s="53"/>
    </row>
    <row r="1360">
      <c r="A1360" s="49">
        <v>44526.811975370365</v>
      </c>
      <c r="B1360" s="50">
        <v>44526.9369497685</v>
      </c>
      <c r="C1360" s="51">
        <v>1.036</v>
      </c>
      <c r="D1360" s="51">
        <v>65.0</v>
      </c>
      <c r="E1360" s="52" t="s">
        <v>25</v>
      </c>
      <c r="F1360" s="52" t="s">
        <v>26</v>
      </c>
      <c r="G1360" s="53"/>
    </row>
    <row r="1361">
      <c r="A1361" s="49">
        <v>44526.82238971065</v>
      </c>
      <c r="B1361" s="50">
        <v>44526.9473696064</v>
      </c>
      <c r="C1361" s="51">
        <v>1.036</v>
      </c>
      <c r="D1361" s="51">
        <v>65.0</v>
      </c>
      <c r="E1361" s="52" t="s">
        <v>25</v>
      </c>
      <c r="F1361" s="52" t="s">
        <v>26</v>
      </c>
      <c r="G1361" s="53"/>
    </row>
    <row r="1362">
      <c r="A1362" s="49">
        <v>44526.83281770833</v>
      </c>
      <c r="B1362" s="50">
        <v>44526.9577906018</v>
      </c>
      <c r="C1362" s="51">
        <v>1.036</v>
      </c>
      <c r="D1362" s="51">
        <v>65.0</v>
      </c>
      <c r="E1362" s="52" t="s">
        <v>25</v>
      </c>
      <c r="F1362" s="52" t="s">
        <v>26</v>
      </c>
      <c r="G1362" s="53"/>
    </row>
    <row r="1363">
      <c r="A1363" s="49">
        <v>44526.843233900465</v>
      </c>
      <c r="B1363" s="50">
        <v>44526.9682125926</v>
      </c>
      <c r="C1363" s="51">
        <v>1.036</v>
      </c>
      <c r="D1363" s="51">
        <v>65.0</v>
      </c>
      <c r="E1363" s="52" t="s">
        <v>25</v>
      </c>
      <c r="F1363" s="52" t="s">
        <v>26</v>
      </c>
      <c r="G1363" s="53"/>
    </row>
    <row r="1364">
      <c r="A1364" s="49">
        <v>44526.85366001158</v>
      </c>
      <c r="B1364" s="50">
        <v>44526.9786351504</v>
      </c>
      <c r="C1364" s="51">
        <v>1.036</v>
      </c>
      <c r="D1364" s="51">
        <v>65.0</v>
      </c>
      <c r="E1364" s="52" t="s">
        <v>25</v>
      </c>
      <c r="F1364" s="52" t="s">
        <v>26</v>
      </c>
      <c r="G1364" s="53"/>
    </row>
    <row r="1365">
      <c r="A1365" s="49">
        <v>44526.864071724536</v>
      </c>
      <c r="B1365" s="50">
        <v>44526.9890561574</v>
      </c>
      <c r="C1365" s="51">
        <v>1.036</v>
      </c>
      <c r="D1365" s="51">
        <v>65.0</v>
      </c>
      <c r="E1365" s="52" t="s">
        <v>25</v>
      </c>
      <c r="F1365" s="52" t="s">
        <v>26</v>
      </c>
      <c r="G1365" s="53"/>
    </row>
    <row r="1366">
      <c r="A1366" s="49">
        <v>44526.87450318287</v>
      </c>
      <c r="B1366" s="50">
        <v>44526.9994785069</v>
      </c>
      <c r="C1366" s="51">
        <v>1.036</v>
      </c>
      <c r="D1366" s="51">
        <v>65.0</v>
      </c>
      <c r="E1366" s="52" t="s">
        <v>25</v>
      </c>
      <c r="F1366" s="52" t="s">
        <v>26</v>
      </c>
      <c r="G1366" s="53"/>
    </row>
    <row r="1367">
      <c r="A1367" s="49">
        <v>44526.88495340278</v>
      </c>
      <c r="B1367" s="50">
        <v>44527.0099230787</v>
      </c>
      <c r="C1367" s="51">
        <v>1.036</v>
      </c>
      <c r="D1367" s="51">
        <v>65.0</v>
      </c>
      <c r="E1367" s="52" t="s">
        <v>25</v>
      </c>
      <c r="F1367" s="52" t="s">
        <v>26</v>
      </c>
      <c r="G1367" s="53"/>
    </row>
    <row r="1368">
      <c r="A1368" s="49">
        <v>44526.8953650926</v>
      </c>
      <c r="B1368" s="50">
        <v>44527.0203443981</v>
      </c>
      <c r="C1368" s="51">
        <v>1.036</v>
      </c>
      <c r="D1368" s="51">
        <v>65.0</v>
      </c>
      <c r="E1368" s="52" t="s">
        <v>25</v>
      </c>
      <c r="F1368" s="52" t="s">
        <v>26</v>
      </c>
      <c r="G1368" s="53"/>
    </row>
    <row r="1369">
      <c r="A1369" s="49">
        <v>44526.90580201389</v>
      </c>
      <c r="B1369" s="50">
        <v>44527.03077603</v>
      </c>
      <c r="C1369" s="51">
        <v>1.036</v>
      </c>
      <c r="D1369" s="51">
        <v>65.0</v>
      </c>
      <c r="E1369" s="52" t="s">
        <v>25</v>
      </c>
      <c r="F1369" s="52" t="s">
        <v>26</v>
      </c>
      <c r="G1369" s="53"/>
    </row>
    <row r="1370">
      <c r="A1370" s="49">
        <v>44526.916221990745</v>
      </c>
      <c r="B1370" s="50">
        <v>44527.0411969444</v>
      </c>
      <c r="C1370" s="51">
        <v>1.036</v>
      </c>
      <c r="D1370" s="51">
        <v>65.0</v>
      </c>
      <c r="E1370" s="52" t="s">
        <v>25</v>
      </c>
      <c r="F1370" s="52" t="s">
        <v>26</v>
      </c>
      <c r="G1370" s="53"/>
    </row>
    <row r="1371">
      <c r="A1371" s="49">
        <v>44526.92665262731</v>
      </c>
      <c r="B1371" s="50">
        <v>44527.0516304976</v>
      </c>
      <c r="C1371" s="51">
        <v>1.035</v>
      </c>
      <c r="D1371" s="51">
        <v>65.0</v>
      </c>
      <c r="E1371" s="52" t="s">
        <v>25</v>
      </c>
      <c r="F1371" s="52" t="s">
        <v>26</v>
      </c>
      <c r="G1371" s="53"/>
    </row>
    <row r="1372">
      <c r="A1372" s="49">
        <v>44526.93707648148</v>
      </c>
      <c r="B1372" s="50">
        <v>44527.0620517245</v>
      </c>
      <c r="C1372" s="51">
        <v>1.036</v>
      </c>
      <c r="D1372" s="51">
        <v>65.0</v>
      </c>
      <c r="E1372" s="52" t="s">
        <v>25</v>
      </c>
      <c r="F1372" s="52" t="s">
        <v>26</v>
      </c>
      <c r="G1372" s="53"/>
    </row>
    <row r="1373">
      <c r="A1373" s="49">
        <v>44526.94750776621</v>
      </c>
      <c r="B1373" s="50">
        <v>44527.0724843171</v>
      </c>
      <c r="C1373" s="51">
        <v>1.035</v>
      </c>
      <c r="D1373" s="51">
        <v>65.0</v>
      </c>
      <c r="E1373" s="52" t="s">
        <v>25</v>
      </c>
      <c r="F1373" s="52" t="s">
        <v>26</v>
      </c>
      <c r="G1373" s="53"/>
    </row>
    <row r="1374">
      <c r="A1374" s="49">
        <v>44526.95793002315</v>
      </c>
      <c r="B1374" s="50">
        <v>44527.0829058912</v>
      </c>
      <c r="C1374" s="51">
        <v>1.035</v>
      </c>
      <c r="D1374" s="51">
        <v>65.0</v>
      </c>
      <c r="E1374" s="52" t="s">
        <v>25</v>
      </c>
      <c r="F1374" s="52" t="s">
        <v>26</v>
      </c>
      <c r="G1374" s="53"/>
    </row>
    <row r="1375">
      <c r="A1375" s="49">
        <v>44526.96834831018</v>
      </c>
      <c r="B1375" s="50">
        <v>44527.0933273958</v>
      </c>
      <c r="C1375" s="51">
        <v>1.035</v>
      </c>
      <c r="D1375" s="51">
        <v>65.0</v>
      </c>
      <c r="E1375" s="52" t="s">
        <v>25</v>
      </c>
      <c r="F1375" s="52" t="s">
        <v>26</v>
      </c>
      <c r="G1375" s="53"/>
    </row>
    <row r="1376">
      <c r="A1376" s="49">
        <v>44526.97877295139</v>
      </c>
      <c r="B1376" s="50">
        <v>44527.1037485069</v>
      </c>
      <c r="C1376" s="51">
        <v>1.035</v>
      </c>
      <c r="D1376" s="51">
        <v>65.0</v>
      </c>
      <c r="E1376" s="52" t="s">
        <v>25</v>
      </c>
      <c r="F1376" s="52" t="s">
        <v>26</v>
      </c>
      <c r="G1376" s="53"/>
    </row>
    <row r="1377">
      <c r="A1377" s="49">
        <v>44526.98919114583</v>
      </c>
      <c r="B1377" s="50">
        <v>44527.1141699305</v>
      </c>
      <c r="C1377" s="51">
        <v>1.035</v>
      </c>
      <c r="D1377" s="51">
        <v>65.0</v>
      </c>
      <c r="E1377" s="52" t="s">
        <v>25</v>
      </c>
      <c r="F1377" s="52" t="s">
        <v>26</v>
      </c>
      <c r="G1377" s="53"/>
    </row>
    <row r="1378">
      <c r="A1378" s="49">
        <v>44526.99964313657</v>
      </c>
      <c r="B1378" s="50">
        <v>44527.1246028472</v>
      </c>
      <c r="C1378" s="51">
        <v>1.035</v>
      </c>
      <c r="D1378" s="51">
        <v>65.0</v>
      </c>
      <c r="E1378" s="52" t="s">
        <v>25</v>
      </c>
      <c r="F1378" s="52" t="s">
        <v>26</v>
      </c>
      <c r="G1378" s="53"/>
    </row>
    <row r="1379">
      <c r="A1379" s="49">
        <v>44527.01005513889</v>
      </c>
      <c r="B1379" s="50">
        <v>44527.1350359143</v>
      </c>
      <c r="C1379" s="51">
        <v>1.035</v>
      </c>
      <c r="D1379" s="51">
        <v>65.0</v>
      </c>
      <c r="E1379" s="52" t="s">
        <v>25</v>
      </c>
      <c r="F1379" s="52" t="s">
        <v>26</v>
      </c>
      <c r="G1379" s="53"/>
    </row>
    <row r="1380">
      <c r="A1380" s="49">
        <v>44527.02047472222</v>
      </c>
      <c r="B1380" s="50">
        <v>44527.1454560995</v>
      </c>
      <c r="C1380" s="51">
        <v>1.035</v>
      </c>
      <c r="D1380" s="51">
        <v>65.0</v>
      </c>
      <c r="E1380" s="52" t="s">
        <v>25</v>
      </c>
      <c r="F1380" s="52" t="s">
        <v>26</v>
      </c>
      <c r="G1380" s="53"/>
    </row>
    <row r="1381">
      <c r="A1381" s="49">
        <v>44527.03090428241</v>
      </c>
      <c r="B1381" s="50">
        <v>44527.1558767361</v>
      </c>
      <c r="C1381" s="51">
        <v>1.035</v>
      </c>
      <c r="D1381" s="51">
        <v>65.0</v>
      </c>
      <c r="E1381" s="52" t="s">
        <v>25</v>
      </c>
      <c r="F1381" s="52" t="s">
        <v>26</v>
      </c>
      <c r="G1381" s="53"/>
    </row>
    <row r="1382">
      <c r="A1382" s="49">
        <v>44527.04132069444</v>
      </c>
      <c r="B1382" s="50">
        <v>44527.1662950347</v>
      </c>
      <c r="C1382" s="51">
        <v>1.035</v>
      </c>
      <c r="D1382" s="51">
        <v>65.0</v>
      </c>
      <c r="E1382" s="52" t="s">
        <v>25</v>
      </c>
      <c r="F1382" s="52" t="s">
        <v>26</v>
      </c>
      <c r="G1382" s="53"/>
    </row>
    <row r="1383">
      <c r="A1383" s="49">
        <v>44527.05174724537</v>
      </c>
      <c r="B1383" s="50">
        <v>44527.176716493</v>
      </c>
      <c r="C1383" s="51">
        <v>1.035</v>
      </c>
      <c r="D1383" s="51">
        <v>65.0</v>
      </c>
      <c r="E1383" s="52" t="s">
        <v>25</v>
      </c>
      <c r="F1383" s="52" t="s">
        <v>26</v>
      </c>
      <c r="G1383" s="53"/>
    </row>
    <row r="1384">
      <c r="A1384" s="49">
        <v>44527.06215592593</v>
      </c>
      <c r="B1384" s="50">
        <v>44527.1871370138</v>
      </c>
      <c r="C1384" s="51">
        <v>1.035</v>
      </c>
      <c r="D1384" s="51">
        <v>65.0</v>
      </c>
      <c r="E1384" s="52" t="s">
        <v>25</v>
      </c>
      <c r="F1384" s="52" t="s">
        <v>26</v>
      </c>
      <c r="G1384" s="53"/>
    </row>
    <row r="1385">
      <c r="A1385" s="49">
        <v>44527.0725740162</v>
      </c>
      <c r="B1385" s="50">
        <v>44527.1975586111</v>
      </c>
      <c r="C1385" s="51">
        <v>1.035</v>
      </c>
      <c r="D1385" s="51">
        <v>65.0</v>
      </c>
      <c r="E1385" s="52" t="s">
        <v>25</v>
      </c>
      <c r="F1385" s="52" t="s">
        <v>26</v>
      </c>
      <c r="G1385" s="53"/>
    </row>
    <row r="1386">
      <c r="A1386" s="49">
        <v>44527.08300798611</v>
      </c>
      <c r="B1386" s="50">
        <v>44527.2079810648</v>
      </c>
      <c r="C1386" s="51">
        <v>1.035</v>
      </c>
      <c r="D1386" s="51">
        <v>65.0</v>
      </c>
      <c r="E1386" s="52" t="s">
        <v>25</v>
      </c>
      <c r="F1386" s="52" t="s">
        <v>26</v>
      </c>
      <c r="G1386" s="53"/>
    </row>
    <row r="1387">
      <c r="A1387" s="49">
        <v>44527.09342559028</v>
      </c>
      <c r="B1387" s="50">
        <v>44527.2184025925</v>
      </c>
      <c r="C1387" s="51">
        <v>1.035</v>
      </c>
      <c r="D1387" s="51">
        <v>65.0</v>
      </c>
      <c r="E1387" s="52" t="s">
        <v>25</v>
      </c>
      <c r="F1387" s="52" t="s">
        <v>26</v>
      </c>
      <c r="G1387" s="53"/>
    </row>
    <row r="1388">
      <c r="A1388" s="49">
        <v>44527.10385111111</v>
      </c>
      <c r="B1388" s="50">
        <v>44527.2288227546</v>
      </c>
      <c r="C1388" s="51">
        <v>1.035</v>
      </c>
      <c r="D1388" s="51">
        <v>65.0</v>
      </c>
      <c r="E1388" s="52" t="s">
        <v>25</v>
      </c>
      <c r="F1388" s="52" t="s">
        <v>26</v>
      </c>
      <c r="G1388" s="53"/>
    </row>
    <row r="1389">
      <c r="A1389" s="49">
        <v>44527.11426084491</v>
      </c>
      <c r="B1389" s="50">
        <v>44527.239243125</v>
      </c>
      <c r="C1389" s="51">
        <v>1.035</v>
      </c>
      <c r="D1389" s="51">
        <v>65.0</v>
      </c>
      <c r="E1389" s="52" t="s">
        <v>25</v>
      </c>
      <c r="F1389" s="52" t="s">
        <v>26</v>
      </c>
      <c r="G1389" s="53"/>
    </row>
    <row r="1390">
      <c r="A1390" s="49">
        <v>44527.12468840278</v>
      </c>
      <c r="B1390" s="50">
        <v>44527.2496658564</v>
      </c>
      <c r="C1390" s="51">
        <v>1.035</v>
      </c>
      <c r="D1390" s="51">
        <v>65.0</v>
      </c>
      <c r="E1390" s="52" t="s">
        <v>25</v>
      </c>
      <c r="F1390" s="52" t="s">
        <v>26</v>
      </c>
      <c r="G1390" s="53"/>
    </row>
    <row r="1391">
      <c r="A1391" s="49">
        <v>44527.13510990741</v>
      </c>
      <c r="B1391" s="50">
        <v>44527.2600868981</v>
      </c>
      <c r="C1391" s="51">
        <v>1.035</v>
      </c>
      <c r="D1391" s="51">
        <v>65.0</v>
      </c>
      <c r="E1391" s="52" t="s">
        <v>25</v>
      </c>
      <c r="F1391" s="52" t="s">
        <v>26</v>
      </c>
      <c r="G1391" s="53"/>
    </row>
    <row r="1392">
      <c r="A1392" s="49">
        <v>44527.145527754634</v>
      </c>
      <c r="B1392" s="50">
        <v>44527.2705076967</v>
      </c>
      <c r="C1392" s="51">
        <v>1.035</v>
      </c>
      <c r="D1392" s="51">
        <v>65.0</v>
      </c>
      <c r="E1392" s="52" t="s">
        <v>25</v>
      </c>
      <c r="F1392" s="52" t="s">
        <v>26</v>
      </c>
      <c r="G1392" s="53"/>
    </row>
    <row r="1393">
      <c r="A1393" s="49">
        <v>44527.15595340278</v>
      </c>
      <c r="B1393" s="50">
        <v>44527.2809287962</v>
      </c>
      <c r="C1393" s="51">
        <v>1.035</v>
      </c>
      <c r="D1393" s="51">
        <v>65.0</v>
      </c>
      <c r="E1393" s="52" t="s">
        <v>25</v>
      </c>
      <c r="F1393" s="52" t="s">
        <v>26</v>
      </c>
      <c r="G1393" s="53"/>
    </row>
    <row r="1394">
      <c r="A1394" s="49">
        <v>44527.1663859838</v>
      </c>
      <c r="B1394" s="50">
        <v>44527.2913504976</v>
      </c>
      <c r="C1394" s="51">
        <v>1.035</v>
      </c>
      <c r="D1394" s="51">
        <v>65.0</v>
      </c>
      <c r="E1394" s="52" t="s">
        <v>25</v>
      </c>
      <c r="F1394" s="52" t="s">
        <v>26</v>
      </c>
      <c r="G1394" s="53"/>
    </row>
    <row r="1395">
      <c r="A1395" s="49">
        <v>44527.17678811343</v>
      </c>
      <c r="B1395" s="50">
        <v>44527.3017710069</v>
      </c>
      <c r="C1395" s="51">
        <v>1.035</v>
      </c>
      <c r="D1395" s="51">
        <v>65.0</v>
      </c>
      <c r="E1395" s="52" t="s">
        <v>25</v>
      </c>
      <c r="F1395" s="52" t="s">
        <v>26</v>
      </c>
      <c r="G1395" s="53"/>
    </row>
    <row r="1396">
      <c r="A1396" s="49">
        <v>44527.18721046296</v>
      </c>
      <c r="B1396" s="50">
        <v>44527.312192037</v>
      </c>
      <c r="C1396" s="51">
        <v>1.035</v>
      </c>
      <c r="D1396" s="51">
        <v>65.0</v>
      </c>
      <c r="E1396" s="52" t="s">
        <v>25</v>
      </c>
      <c r="F1396" s="52" t="s">
        <v>26</v>
      </c>
      <c r="G1396" s="53"/>
    </row>
    <row r="1397">
      <c r="A1397" s="49">
        <v>44527.19764105324</v>
      </c>
      <c r="B1397" s="50">
        <v>44527.322611956</v>
      </c>
      <c r="C1397" s="51">
        <v>1.035</v>
      </c>
      <c r="D1397" s="51">
        <v>65.0</v>
      </c>
      <c r="E1397" s="52" t="s">
        <v>25</v>
      </c>
      <c r="F1397" s="52" t="s">
        <v>26</v>
      </c>
      <c r="G1397" s="53"/>
    </row>
    <row r="1398">
      <c r="A1398" s="49">
        <v>44527.208060115736</v>
      </c>
      <c r="B1398" s="50">
        <v>44527.3330351041</v>
      </c>
      <c r="C1398" s="51">
        <v>1.035</v>
      </c>
      <c r="D1398" s="51">
        <v>65.0</v>
      </c>
      <c r="E1398" s="52" t="s">
        <v>25</v>
      </c>
      <c r="F1398" s="52" t="s">
        <v>26</v>
      </c>
      <c r="G1398" s="53"/>
    </row>
    <row r="1399">
      <c r="A1399" s="49">
        <v>44527.21848334491</v>
      </c>
      <c r="B1399" s="50">
        <v>44527.3434577546</v>
      </c>
      <c r="C1399" s="51">
        <v>1.035</v>
      </c>
      <c r="D1399" s="51">
        <v>65.0</v>
      </c>
      <c r="E1399" s="52" t="s">
        <v>25</v>
      </c>
      <c r="F1399" s="52" t="s">
        <v>26</v>
      </c>
      <c r="G1399" s="53"/>
    </row>
    <row r="1400">
      <c r="A1400" s="49">
        <v>44527.22890578704</v>
      </c>
      <c r="B1400" s="50">
        <v>44527.3538803819</v>
      </c>
      <c r="C1400" s="51">
        <v>1.035</v>
      </c>
      <c r="D1400" s="51">
        <v>65.0</v>
      </c>
      <c r="E1400" s="52" t="s">
        <v>25</v>
      </c>
      <c r="F1400" s="52" t="s">
        <v>26</v>
      </c>
      <c r="G1400" s="53"/>
    </row>
    <row r="1401">
      <c r="A1401" s="49">
        <v>44527.2393175926</v>
      </c>
      <c r="B1401" s="50">
        <v>44527.3643015393</v>
      </c>
      <c r="C1401" s="51">
        <v>1.035</v>
      </c>
      <c r="D1401" s="51">
        <v>65.0</v>
      </c>
      <c r="E1401" s="52" t="s">
        <v>25</v>
      </c>
      <c r="F1401" s="52" t="s">
        <v>26</v>
      </c>
      <c r="G1401" s="53"/>
    </row>
    <row r="1402">
      <c r="A1402" s="49">
        <v>44527.24974319444</v>
      </c>
      <c r="B1402" s="50">
        <v>44527.3747227546</v>
      </c>
      <c r="C1402" s="51">
        <v>1.035</v>
      </c>
      <c r="D1402" s="51">
        <v>65.0</v>
      </c>
      <c r="E1402" s="52" t="s">
        <v>25</v>
      </c>
      <c r="F1402" s="52" t="s">
        <v>26</v>
      </c>
      <c r="G1402" s="53"/>
    </row>
    <row r="1403">
      <c r="A1403" s="49">
        <v>44527.26016797454</v>
      </c>
      <c r="B1403" s="50">
        <v>44527.3851447337</v>
      </c>
      <c r="C1403" s="51">
        <v>1.035</v>
      </c>
      <c r="D1403" s="51">
        <v>65.0</v>
      </c>
      <c r="E1403" s="52" t="s">
        <v>25</v>
      </c>
      <c r="F1403" s="52" t="s">
        <v>26</v>
      </c>
      <c r="G1403" s="53"/>
    </row>
    <row r="1404">
      <c r="A1404" s="49">
        <v>44527.27059403935</v>
      </c>
      <c r="B1404" s="50">
        <v>44527.3955669675</v>
      </c>
      <c r="C1404" s="51">
        <v>1.035</v>
      </c>
      <c r="D1404" s="51">
        <v>65.0</v>
      </c>
      <c r="E1404" s="52" t="s">
        <v>25</v>
      </c>
      <c r="F1404" s="52" t="s">
        <v>26</v>
      </c>
      <c r="G1404" s="53"/>
    </row>
    <row r="1405">
      <c r="A1405" s="49">
        <v>44527.281016712965</v>
      </c>
      <c r="B1405" s="50">
        <v>44527.405989155</v>
      </c>
      <c r="C1405" s="51">
        <v>1.035</v>
      </c>
      <c r="D1405" s="51">
        <v>65.0</v>
      </c>
      <c r="E1405" s="52" t="s">
        <v>25</v>
      </c>
      <c r="F1405" s="52" t="s">
        <v>26</v>
      </c>
      <c r="G1405" s="53"/>
    </row>
    <row r="1406">
      <c r="A1406" s="49">
        <v>44527.29143964121</v>
      </c>
      <c r="B1406" s="50">
        <v>44527.4164092129</v>
      </c>
      <c r="C1406" s="51">
        <v>1.035</v>
      </c>
      <c r="D1406" s="51">
        <v>65.0</v>
      </c>
      <c r="E1406" s="52" t="s">
        <v>25</v>
      </c>
      <c r="F1406" s="52" t="s">
        <v>26</v>
      </c>
      <c r="G1406" s="53"/>
    </row>
    <row r="1407">
      <c r="A1407" s="49">
        <v>44527.301856875</v>
      </c>
      <c r="B1407" s="50">
        <v>44527.4268284143</v>
      </c>
      <c r="C1407" s="51">
        <v>1.035</v>
      </c>
      <c r="D1407" s="51">
        <v>65.0</v>
      </c>
      <c r="E1407" s="52" t="s">
        <v>25</v>
      </c>
      <c r="F1407" s="52" t="s">
        <v>26</v>
      </c>
      <c r="G1407" s="53"/>
    </row>
    <row r="1408">
      <c r="A1408" s="49">
        <v>44527.3122752662</v>
      </c>
      <c r="B1408" s="50">
        <v>44527.4372502662</v>
      </c>
      <c r="C1408" s="51">
        <v>1.035</v>
      </c>
      <c r="D1408" s="51">
        <v>65.0</v>
      </c>
      <c r="E1408" s="52" t="s">
        <v>25</v>
      </c>
      <c r="F1408" s="52" t="s">
        <v>26</v>
      </c>
      <c r="G1408" s="53"/>
    </row>
    <row r="1409">
      <c r="A1409" s="49">
        <v>44527.32269104167</v>
      </c>
      <c r="B1409" s="50">
        <v>44527.4476716666</v>
      </c>
      <c r="C1409" s="51">
        <v>1.035</v>
      </c>
      <c r="D1409" s="51">
        <v>65.0</v>
      </c>
      <c r="E1409" s="52" t="s">
        <v>25</v>
      </c>
      <c r="F1409" s="52" t="s">
        <v>26</v>
      </c>
      <c r="G1409" s="53"/>
    </row>
    <row r="1410">
      <c r="A1410" s="49">
        <v>44527.333125624995</v>
      </c>
      <c r="B1410" s="50">
        <v>44527.4580940277</v>
      </c>
      <c r="C1410" s="51">
        <v>1.035</v>
      </c>
      <c r="D1410" s="51">
        <v>65.0</v>
      </c>
      <c r="E1410" s="52" t="s">
        <v>25</v>
      </c>
      <c r="F1410" s="52" t="s">
        <v>26</v>
      </c>
      <c r="G1410" s="53"/>
    </row>
    <row r="1411">
      <c r="A1411" s="49">
        <v>44527.343544247684</v>
      </c>
      <c r="B1411" s="50">
        <v>44527.4685174537</v>
      </c>
      <c r="C1411" s="51">
        <v>1.035</v>
      </c>
      <c r="D1411" s="51">
        <v>65.0</v>
      </c>
      <c r="E1411" s="52" t="s">
        <v>25</v>
      </c>
      <c r="F1411" s="52" t="s">
        <v>26</v>
      </c>
      <c r="G1411" s="53"/>
    </row>
    <row r="1412">
      <c r="A1412" s="49">
        <v>44527.353959189815</v>
      </c>
      <c r="B1412" s="50">
        <v>44527.4789379745</v>
      </c>
      <c r="C1412" s="51">
        <v>1.035</v>
      </c>
      <c r="D1412" s="51">
        <v>65.0</v>
      </c>
      <c r="E1412" s="52" t="s">
        <v>25</v>
      </c>
      <c r="F1412" s="52" t="s">
        <v>26</v>
      </c>
      <c r="G1412" s="53"/>
    </row>
    <row r="1413">
      <c r="A1413" s="49">
        <v>44527.36437957176</v>
      </c>
      <c r="B1413" s="50">
        <v>44527.4893577083</v>
      </c>
      <c r="C1413" s="51">
        <v>1.035</v>
      </c>
      <c r="D1413" s="51">
        <v>65.0</v>
      </c>
      <c r="E1413" s="52" t="s">
        <v>25</v>
      </c>
      <c r="F1413" s="52" t="s">
        <v>26</v>
      </c>
      <c r="G1413" s="53"/>
    </row>
    <row r="1414">
      <c r="A1414" s="49">
        <v>44527.37481828703</v>
      </c>
      <c r="B1414" s="50">
        <v>44527.4997914814</v>
      </c>
      <c r="C1414" s="51">
        <v>1.035</v>
      </c>
      <c r="D1414" s="51">
        <v>65.0</v>
      </c>
      <c r="E1414" s="52" t="s">
        <v>25</v>
      </c>
      <c r="F1414" s="52" t="s">
        <v>26</v>
      </c>
      <c r="G1414" s="53"/>
    </row>
    <row r="1415">
      <c r="A1415" s="49">
        <v>44527.38523907408</v>
      </c>
      <c r="B1415" s="50">
        <v>44527.5102127083</v>
      </c>
      <c r="C1415" s="51">
        <v>1.035</v>
      </c>
      <c r="D1415" s="51">
        <v>65.0</v>
      </c>
      <c r="E1415" s="52" t="s">
        <v>25</v>
      </c>
      <c r="F1415" s="52" t="s">
        <v>26</v>
      </c>
      <c r="G1415" s="53"/>
    </row>
    <row r="1416">
      <c r="A1416" s="49">
        <v>44527.39565864584</v>
      </c>
      <c r="B1416" s="50">
        <v>44527.5206326504</v>
      </c>
      <c r="C1416" s="51">
        <v>1.035</v>
      </c>
      <c r="D1416" s="51">
        <v>65.0</v>
      </c>
      <c r="E1416" s="52" t="s">
        <v>25</v>
      </c>
      <c r="F1416" s="52" t="s">
        <v>26</v>
      </c>
      <c r="G1416" s="53"/>
    </row>
    <row r="1417">
      <c r="A1417" s="49">
        <v>44527.40608321759</v>
      </c>
      <c r="B1417" s="50">
        <v>44527.5310543171</v>
      </c>
      <c r="C1417" s="51">
        <v>1.034</v>
      </c>
      <c r="D1417" s="51">
        <v>65.0</v>
      </c>
      <c r="E1417" s="52" t="s">
        <v>25</v>
      </c>
      <c r="F1417" s="52" t="s">
        <v>26</v>
      </c>
      <c r="G1417" s="53"/>
    </row>
    <row r="1418">
      <c r="A1418" s="49">
        <v>44527.416497071754</v>
      </c>
      <c r="B1418" s="50">
        <v>44527.5414745833</v>
      </c>
      <c r="C1418" s="51">
        <v>1.035</v>
      </c>
      <c r="D1418" s="51">
        <v>65.0</v>
      </c>
      <c r="E1418" s="52" t="s">
        <v>25</v>
      </c>
      <c r="F1418" s="52" t="s">
        <v>26</v>
      </c>
      <c r="G1418" s="53"/>
    </row>
    <row r="1419">
      <c r="A1419" s="49">
        <v>44527.426911863426</v>
      </c>
      <c r="B1419" s="50">
        <v>44527.5518955092</v>
      </c>
      <c r="C1419" s="51">
        <v>1.034</v>
      </c>
      <c r="D1419" s="51">
        <v>65.0</v>
      </c>
      <c r="E1419" s="52" t="s">
        <v>25</v>
      </c>
      <c r="F1419" s="52" t="s">
        <v>26</v>
      </c>
      <c r="G1419" s="53"/>
    </row>
    <row r="1420">
      <c r="A1420" s="49">
        <v>44527.43734114584</v>
      </c>
      <c r="B1420" s="50">
        <v>44527.5623169907</v>
      </c>
      <c r="C1420" s="51">
        <v>1.035</v>
      </c>
      <c r="D1420" s="51">
        <v>65.0</v>
      </c>
      <c r="E1420" s="52" t="s">
        <v>25</v>
      </c>
      <c r="F1420" s="52" t="s">
        <v>26</v>
      </c>
      <c r="G1420" s="53"/>
    </row>
    <row r="1421">
      <c r="A1421" s="49">
        <v>44527.44776900463</v>
      </c>
      <c r="B1421" s="50">
        <v>44527.5727377893</v>
      </c>
      <c r="C1421" s="51">
        <v>1.035</v>
      </c>
      <c r="D1421" s="51">
        <v>65.0</v>
      </c>
      <c r="E1421" s="52" t="s">
        <v>25</v>
      </c>
      <c r="F1421" s="52" t="s">
        <v>26</v>
      </c>
      <c r="G1421" s="53"/>
    </row>
    <row r="1422">
      <c r="A1422" s="49">
        <v>44527.45820085648</v>
      </c>
      <c r="B1422" s="50">
        <v>44527.583180706</v>
      </c>
      <c r="C1422" s="51">
        <v>1.034</v>
      </c>
      <c r="D1422" s="51">
        <v>65.0</v>
      </c>
      <c r="E1422" s="52" t="s">
        <v>25</v>
      </c>
      <c r="F1422" s="52" t="s">
        <v>26</v>
      </c>
      <c r="G1422" s="53"/>
    </row>
    <row r="1423">
      <c r="A1423" s="49">
        <v>44527.46862864583</v>
      </c>
      <c r="B1423" s="50">
        <v>44527.5936021412</v>
      </c>
      <c r="C1423" s="51">
        <v>1.034</v>
      </c>
      <c r="D1423" s="51">
        <v>65.0</v>
      </c>
      <c r="E1423" s="52" t="s">
        <v>25</v>
      </c>
      <c r="F1423" s="52" t="s">
        <v>26</v>
      </c>
      <c r="G1423" s="53"/>
    </row>
    <row r="1424">
      <c r="A1424" s="49">
        <v>44527.47904453704</v>
      </c>
      <c r="B1424" s="50">
        <v>44527.6040213194</v>
      </c>
      <c r="C1424" s="51">
        <v>1.034</v>
      </c>
      <c r="D1424" s="51">
        <v>65.0</v>
      </c>
      <c r="E1424" s="52" t="s">
        <v>25</v>
      </c>
      <c r="F1424" s="52" t="s">
        <v>26</v>
      </c>
      <c r="G1424" s="53"/>
    </row>
    <row r="1425">
      <c r="A1425" s="49">
        <v>44527.489467314816</v>
      </c>
      <c r="B1425" s="50">
        <v>44527.6144413078</v>
      </c>
      <c r="C1425" s="51">
        <v>1.034</v>
      </c>
      <c r="D1425" s="51">
        <v>65.0</v>
      </c>
      <c r="E1425" s="52" t="s">
        <v>25</v>
      </c>
      <c r="F1425" s="52" t="s">
        <v>26</v>
      </c>
      <c r="G1425" s="53"/>
    </row>
    <row r="1426">
      <c r="A1426" s="49">
        <v>44527.49988413195</v>
      </c>
      <c r="B1426" s="50">
        <v>44527.6248611458</v>
      </c>
      <c r="C1426" s="51">
        <v>1.034</v>
      </c>
      <c r="D1426" s="51">
        <v>65.0</v>
      </c>
      <c r="E1426" s="52" t="s">
        <v>25</v>
      </c>
      <c r="F1426" s="52" t="s">
        <v>26</v>
      </c>
      <c r="G1426" s="53"/>
    </row>
    <row r="1427">
      <c r="A1427" s="49">
        <v>44527.51030974537</v>
      </c>
      <c r="B1427" s="50">
        <v>44527.6352831018</v>
      </c>
      <c r="C1427" s="51">
        <v>1.034</v>
      </c>
      <c r="D1427" s="51">
        <v>65.0</v>
      </c>
      <c r="E1427" s="52" t="s">
        <v>25</v>
      </c>
      <c r="F1427" s="52" t="s">
        <v>26</v>
      </c>
      <c r="G1427" s="53"/>
    </row>
    <row r="1428">
      <c r="A1428" s="49">
        <v>44527.52073502315</v>
      </c>
      <c r="B1428" s="50">
        <v>44527.6457039351</v>
      </c>
      <c r="C1428" s="51">
        <v>1.034</v>
      </c>
      <c r="D1428" s="51">
        <v>65.0</v>
      </c>
      <c r="E1428" s="52" t="s">
        <v>25</v>
      </c>
      <c r="F1428" s="52" t="s">
        <v>26</v>
      </c>
      <c r="G1428" s="53"/>
    </row>
    <row r="1429">
      <c r="A1429" s="49">
        <v>44527.53115501157</v>
      </c>
      <c r="B1429" s="50">
        <v>44527.6561249652</v>
      </c>
      <c r="C1429" s="51">
        <v>1.034</v>
      </c>
      <c r="D1429" s="51">
        <v>65.0</v>
      </c>
      <c r="E1429" s="52" t="s">
        <v>25</v>
      </c>
      <c r="F1429" s="52" t="s">
        <v>26</v>
      </c>
      <c r="G1429" s="53"/>
    </row>
    <row r="1430">
      <c r="A1430" s="49">
        <v>44527.5415722801</v>
      </c>
      <c r="B1430" s="50">
        <v>44527.6665469213</v>
      </c>
      <c r="C1430" s="51">
        <v>1.034</v>
      </c>
      <c r="D1430" s="51">
        <v>65.0</v>
      </c>
      <c r="E1430" s="52" t="s">
        <v>25</v>
      </c>
      <c r="F1430" s="52" t="s">
        <v>26</v>
      </c>
      <c r="G1430" s="53"/>
    </row>
    <row r="1431">
      <c r="A1431" s="49">
        <v>44527.55199162037</v>
      </c>
      <c r="B1431" s="50">
        <v>44527.6769686458</v>
      </c>
      <c r="C1431" s="51">
        <v>1.034</v>
      </c>
      <c r="D1431" s="51">
        <v>65.0</v>
      </c>
      <c r="E1431" s="52" t="s">
        <v>25</v>
      </c>
      <c r="F1431" s="52" t="s">
        <v>26</v>
      </c>
      <c r="G1431" s="53"/>
    </row>
    <row r="1432">
      <c r="A1432" s="49">
        <v>44527.56241423611</v>
      </c>
      <c r="B1432" s="50">
        <v>44527.6873895023</v>
      </c>
      <c r="C1432" s="51">
        <v>1.034</v>
      </c>
      <c r="D1432" s="51">
        <v>65.0</v>
      </c>
      <c r="E1432" s="52" t="s">
        <v>25</v>
      </c>
      <c r="F1432" s="52" t="s">
        <v>26</v>
      </c>
      <c r="G1432" s="53"/>
    </row>
    <row r="1433">
      <c r="A1433" s="49">
        <v>44527.572841967594</v>
      </c>
      <c r="B1433" s="50">
        <v>44527.6978111689</v>
      </c>
      <c r="C1433" s="51">
        <v>1.034</v>
      </c>
      <c r="D1433" s="51">
        <v>65.0</v>
      </c>
      <c r="E1433" s="52" t="s">
        <v>25</v>
      </c>
      <c r="F1433" s="52" t="s">
        <v>26</v>
      </c>
      <c r="G1433" s="53"/>
    </row>
    <row r="1434">
      <c r="A1434" s="49">
        <v>44527.58326996528</v>
      </c>
      <c r="B1434" s="50">
        <v>44527.7082438541</v>
      </c>
      <c r="C1434" s="51">
        <v>1.034</v>
      </c>
      <c r="D1434" s="51">
        <v>65.0</v>
      </c>
      <c r="E1434" s="52" t="s">
        <v>25</v>
      </c>
      <c r="F1434" s="52" t="s">
        <v>26</v>
      </c>
      <c r="G1434" s="53"/>
    </row>
    <row r="1435">
      <c r="A1435" s="49">
        <v>44527.593692870374</v>
      </c>
      <c r="B1435" s="50">
        <v>44527.7186668055</v>
      </c>
      <c r="C1435" s="51">
        <v>1.034</v>
      </c>
      <c r="D1435" s="51">
        <v>65.0</v>
      </c>
      <c r="E1435" s="52" t="s">
        <v>25</v>
      </c>
      <c r="F1435" s="52" t="s">
        <v>26</v>
      </c>
      <c r="G1435" s="53"/>
    </row>
    <row r="1436">
      <c r="A1436" s="49">
        <v>44527.60411341435</v>
      </c>
      <c r="B1436" s="50">
        <v>44527.7290862268</v>
      </c>
      <c r="C1436" s="51">
        <v>1.034</v>
      </c>
      <c r="D1436" s="51">
        <v>65.0</v>
      </c>
      <c r="E1436" s="52" t="s">
        <v>25</v>
      </c>
      <c r="F1436" s="52" t="s">
        <v>26</v>
      </c>
      <c r="G1436" s="53"/>
    </row>
    <row r="1437">
      <c r="A1437" s="49">
        <v>44527.61453203704</v>
      </c>
      <c r="B1437" s="50">
        <v>44527.7395058101</v>
      </c>
      <c r="C1437" s="51">
        <v>1.034</v>
      </c>
      <c r="D1437" s="51">
        <v>65.0</v>
      </c>
      <c r="E1437" s="52" t="s">
        <v>25</v>
      </c>
      <c r="F1437" s="52" t="s">
        <v>26</v>
      </c>
      <c r="G1437" s="53"/>
    </row>
    <row r="1438">
      <c r="A1438" s="49">
        <v>44527.62495253472</v>
      </c>
      <c r="B1438" s="50">
        <v>44527.7499280555</v>
      </c>
      <c r="C1438" s="51">
        <v>1.034</v>
      </c>
      <c r="D1438" s="51">
        <v>65.0</v>
      </c>
      <c r="E1438" s="52" t="s">
        <v>25</v>
      </c>
      <c r="F1438" s="52" t="s">
        <v>26</v>
      </c>
      <c r="G1438" s="53"/>
    </row>
    <row r="1439">
      <c r="A1439" s="49">
        <v>44527.63537495371</v>
      </c>
      <c r="B1439" s="50">
        <v>44527.7603482986</v>
      </c>
      <c r="C1439" s="51">
        <v>1.034</v>
      </c>
      <c r="D1439" s="51">
        <v>65.0</v>
      </c>
      <c r="E1439" s="52" t="s">
        <v>25</v>
      </c>
      <c r="F1439" s="52" t="s">
        <v>26</v>
      </c>
      <c r="G1439" s="53"/>
    </row>
    <row r="1440">
      <c r="A1440" s="49">
        <v>44527.64579659722</v>
      </c>
      <c r="B1440" s="50">
        <v>44527.7707703472</v>
      </c>
      <c r="C1440" s="51">
        <v>1.034</v>
      </c>
      <c r="D1440" s="51">
        <v>65.0</v>
      </c>
      <c r="E1440" s="52" t="s">
        <v>25</v>
      </c>
      <c r="F1440" s="52" t="s">
        <v>26</v>
      </c>
      <c r="G1440" s="53"/>
    </row>
    <row r="1441">
      <c r="A1441" s="49">
        <v>44527.65621688658</v>
      </c>
      <c r="B1441" s="50">
        <v>44527.7811925347</v>
      </c>
      <c r="C1441" s="51">
        <v>1.034</v>
      </c>
      <c r="D1441" s="51">
        <v>65.0</v>
      </c>
      <c r="E1441" s="52" t="s">
        <v>25</v>
      </c>
      <c r="F1441" s="52" t="s">
        <v>26</v>
      </c>
      <c r="G1441" s="53"/>
    </row>
    <row r="1442">
      <c r="A1442" s="49">
        <v>44527.66663763889</v>
      </c>
      <c r="B1442" s="50">
        <v>44527.7916137847</v>
      </c>
      <c r="C1442" s="51">
        <v>1.034</v>
      </c>
      <c r="D1442" s="51">
        <v>65.0</v>
      </c>
      <c r="E1442" s="52" t="s">
        <v>25</v>
      </c>
      <c r="F1442" s="52" t="s">
        <v>26</v>
      </c>
      <c r="G1442" s="53"/>
    </row>
    <row r="1443">
      <c r="A1443" s="49">
        <v>44527.67705271991</v>
      </c>
      <c r="B1443" s="50">
        <v>44527.8020349305</v>
      </c>
      <c r="C1443" s="51">
        <v>1.034</v>
      </c>
      <c r="D1443" s="51">
        <v>65.0</v>
      </c>
      <c r="E1443" s="52" t="s">
        <v>25</v>
      </c>
      <c r="F1443" s="52" t="s">
        <v>26</v>
      </c>
      <c r="G1443" s="53"/>
    </row>
    <row r="1444">
      <c r="A1444" s="49">
        <v>44527.687482395835</v>
      </c>
      <c r="B1444" s="50">
        <v>44527.8124560069</v>
      </c>
      <c r="C1444" s="51">
        <v>1.034</v>
      </c>
      <c r="D1444" s="51">
        <v>65.0</v>
      </c>
      <c r="E1444" s="52" t="s">
        <v>25</v>
      </c>
      <c r="F1444" s="52" t="s">
        <v>26</v>
      </c>
      <c r="G1444" s="53"/>
    </row>
    <row r="1445">
      <c r="A1445" s="49">
        <v>44527.69789729167</v>
      </c>
      <c r="B1445" s="50">
        <v>44527.8228791435</v>
      </c>
      <c r="C1445" s="51">
        <v>1.034</v>
      </c>
      <c r="D1445" s="51">
        <v>65.0</v>
      </c>
      <c r="E1445" s="52" t="s">
        <v>25</v>
      </c>
      <c r="F1445" s="52" t="s">
        <v>26</v>
      </c>
      <c r="G1445" s="53"/>
    </row>
    <row r="1446">
      <c r="A1446" s="49">
        <v>44527.708329189816</v>
      </c>
      <c r="B1446" s="50">
        <v>44527.833301493</v>
      </c>
      <c r="C1446" s="51">
        <v>1.034</v>
      </c>
      <c r="D1446" s="51">
        <v>65.0</v>
      </c>
      <c r="E1446" s="52" t="s">
        <v>25</v>
      </c>
      <c r="F1446" s="52" t="s">
        <v>26</v>
      </c>
      <c r="G1446" s="53"/>
    </row>
    <row r="1447">
      <c r="A1447" s="49">
        <v>44527.71874128473</v>
      </c>
      <c r="B1447" s="50">
        <v>44527.8437229861</v>
      </c>
      <c r="C1447" s="51">
        <v>1.034</v>
      </c>
      <c r="D1447" s="51">
        <v>65.0</v>
      </c>
      <c r="E1447" s="52" t="s">
        <v>25</v>
      </c>
      <c r="F1447" s="52" t="s">
        <v>26</v>
      </c>
      <c r="G1447" s="53"/>
    </row>
    <row r="1448">
      <c r="A1448" s="49">
        <v>44527.729160717594</v>
      </c>
      <c r="B1448" s="50">
        <v>44527.854145081</v>
      </c>
      <c r="C1448" s="51">
        <v>1.034</v>
      </c>
      <c r="D1448" s="51">
        <v>65.0</v>
      </c>
      <c r="E1448" s="52" t="s">
        <v>25</v>
      </c>
      <c r="F1448" s="52" t="s">
        <v>26</v>
      </c>
      <c r="G1448" s="53"/>
    </row>
    <row r="1449">
      <c r="A1449" s="49">
        <v>44527.739592743055</v>
      </c>
      <c r="B1449" s="50">
        <v>44527.8645665625</v>
      </c>
      <c r="C1449" s="51">
        <v>1.034</v>
      </c>
      <c r="D1449" s="51">
        <v>65.0</v>
      </c>
      <c r="E1449" s="52" t="s">
        <v>25</v>
      </c>
      <c r="F1449" s="52" t="s">
        <v>26</v>
      </c>
      <c r="G1449" s="53"/>
    </row>
    <row r="1450">
      <c r="A1450" s="49">
        <v>44527.750005636575</v>
      </c>
      <c r="B1450" s="50">
        <v>44527.8749859143</v>
      </c>
      <c r="C1450" s="51">
        <v>1.034</v>
      </c>
      <c r="D1450" s="51">
        <v>65.0</v>
      </c>
      <c r="E1450" s="52" t="s">
        <v>25</v>
      </c>
      <c r="F1450" s="52" t="s">
        <v>26</v>
      </c>
      <c r="G1450" s="53"/>
    </row>
    <row r="1451">
      <c r="A1451" s="49">
        <v>44527.760430740746</v>
      </c>
      <c r="B1451" s="50">
        <v>44527.8854064583</v>
      </c>
      <c r="C1451" s="51">
        <v>1.034</v>
      </c>
      <c r="D1451" s="51">
        <v>65.0</v>
      </c>
      <c r="E1451" s="52" t="s">
        <v>25</v>
      </c>
      <c r="F1451" s="52" t="s">
        <v>26</v>
      </c>
      <c r="G1451" s="53"/>
    </row>
    <row r="1452">
      <c r="A1452" s="49">
        <v>44527.770843148144</v>
      </c>
      <c r="B1452" s="50">
        <v>44527.8958271064</v>
      </c>
      <c r="C1452" s="51">
        <v>1.034</v>
      </c>
      <c r="D1452" s="51">
        <v>65.0</v>
      </c>
      <c r="E1452" s="52" t="s">
        <v>25</v>
      </c>
      <c r="F1452" s="52" t="s">
        <v>26</v>
      </c>
      <c r="G1452" s="53"/>
    </row>
    <row r="1453">
      <c r="A1453" s="49">
        <v>44527.78127172454</v>
      </c>
      <c r="B1453" s="50">
        <v>44527.9062473495</v>
      </c>
      <c r="C1453" s="51">
        <v>1.034</v>
      </c>
      <c r="D1453" s="51">
        <v>65.0</v>
      </c>
      <c r="E1453" s="52" t="s">
        <v>25</v>
      </c>
      <c r="F1453" s="52" t="s">
        <v>26</v>
      </c>
      <c r="G1453" s="53"/>
    </row>
    <row r="1454">
      <c r="A1454" s="49">
        <v>44527.79168886574</v>
      </c>
      <c r="B1454" s="50">
        <v>44527.9166681944</v>
      </c>
      <c r="C1454" s="51">
        <v>1.034</v>
      </c>
      <c r="D1454" s="51">
        <v>65.0</v>
      </c>
      <c r="E1454" s="52" t="s">
        <v>25</v>
      </c>
      <c r="F1454" s="52" t="s">
        <v>26</v>
      </c>
      <c r="G1454" s="53"/>
    </row>
    <row r="1455">
      <c r="A1455" s="49">
        <v>44527.80210930556</v>
      </c>
      <c r="B1455" s="50">
        <v>44527.9270882291</v>
      </c>
      <c r="C1455" s="51">
        <v>1.034</v>
      </c>
      <c r="D1455" s="51">
        <v>65.0</v>
      </c>
      <c r="E1455" s="52" t="s">
        <v>25</v>
      </c>
      <c r="F1455" s="52" t="s">
        <v>26</v>
      </c>
      <c r="G1455" s="53"/>
    </row>
    <row r="1456">
      <c r="A1456" s="49">
        <v>44527.81253109954</v>
      </c>
      <c r="B1456" s="50">
        <v>44527.9375085763</v>
      </c>
      <c r="C1456" s="51">
        <v>1.034</v>
      </c>
      <c r="D1456" s="51">
        <v>65.0</v>
      </c>
      <c r="E1456" s="52" t="s">
        <v>25</v>
      </c>
      <c r="F1456" s="52" t="s">
        <v>26</v>
      </c>
      <c r="G1456" s="53"/>
    </row>
    <row r="1457">
      <c r="A1457" s="49">
        <v>44527.82295365741</v>
      </c>
      <c r="B1457" s="50">
        <v>44527.947928831</v>
      </c>
      <c r="C1457" s="51">
        <v>1.034</v>
      </c>
      <c r="D1457" s="51">
        <v>65.0</v>
      </c>
      <c r="E1457" s="52" t="s">
        <v>25</v>
      </c>
      <c r="F1457" s="52" t="s">
        <v>26</v>
      </c>
      <c r="G1457" s="53"/>
    </row>
    <row r="1458">
      <c r="A1458" s="49">
        <v>44527.83338052084</v>
      </c>
      <c r="B1458" s="50">
        <v>44527.9583626041</v>
      </c>
      <c r="C1458" s="51">
        <v>1.034</v>
      </c>
      <c r="D1458" s="51">
        <v>65.0</v>
      </c>
      <c r="E1458" s="52" t="s">
        <v>25</v>
      </c>
      <c r="F1458" s="52" t="s">
        <v>26</v>
      </c>
      <c r="G1458" s="53"/>
    </row>
    <row r="1459">
      <c r="A1459" s="49">
        <v>44527.84381417824</v>
      </c>
      <c r="B1459" s="50">
        <v>44527.9687842361</v>
      </c>
      <c r="C1459" s="51">
        <v>1.034</v>
      </c>
      <c r="D1459" s="51">
        <v>65.0</v>
      </c>
      <c r="E1459" s="52" t="s">
        <v>25</v>
      </c>
      <c r="F1459" s="52" t="s">
        <v>26</v>
      </c>
      <c r="G1459" s="53"/>
    </row>
    <row r="1460">
      <c r="A1460" s="49">
        <v>44527.85423576389</v>
      </c>
      <c r="B1460" s="50">
        <v>44527.9792060416</v>
      </c>
      <c r="C1460" s="51">
        <v>1.034</v>
      </c>
      <c r="D1460" s="51">
        <v>65.0</v>
      </c>
      <c r="E1460" s="52" t="s">
        <v>25</v>
      </c>
      <c r="F1460" s="52" t="s">
        <v>26</v>
      </c>
      <c r="G1460" s="53"/>
    </row>
    <row r="1461">
      <c r="A1461" s="49">
        <v>44527.86465672454</v>
      </c>
      <c r="B1461" s="50">
        <v>44527.9896282986</v>
      </c>
      <c r="C1461" s="51">
        <v>1.033</v>
      </c>
      <c r="D1461" s="51">
        <v>65.0</v>
      </c>
      <c r="E1461" s="52" t="s">
        <v>25</v>
      </c>
      <c r="F1461" s="52" t="s">
        <v>26</v>
      </c>
      <c r="G1461" s="53"/>
    </row>
    <row r="1462">
      <c r="A1462" s="49">
        <v>44527.875071435185</v>
      </c>
      <c r="B1462" s="50">
        <v>44528.0000508217</v>
      </c>
      <c r="C1462" s="51">
        <v>1.034</v>
      </c>
      <c r="D1462" s="51">
        <v>65.0</v>
      </c>
      <c r="E1462" s="52" t="s">
        <v>25</v>
      </c>
      <c r="F1462" s="52" t="s">
        <v>26</v>
      </c>
      <c r="G1462" s="53"/>
    </row>
    <row r="1463">
      <c r="A1463" s="49">
        <v>44527.88548895833</v>
      </c>
      <c r="B1463" s="50">
        <v>44528.0104715509</v>
      </c>
      <c r="C1463" s="51">
        <v>1.034</v>
      </c>
      <c r="D1463" s="51">
        <v>65.0</v>
      </c>
      <c r="E1463" s="52" t="s">
        <v>25</v>
      </c>
      <c r="F1463" s="52" t="s">
        <v>26</v>
      </c>
      <c r="G1463" s="53"/>
    </row>
    <row r="1464">
      <c r="A1464" s="49">
        <v>44527.895917511574</v>
      </c>
      <c r="B1464" s="50">
        <v>44528.0208906481</v>
      </c>
      <c r="C1464" s="51">
        <v>1.034</v>
      </c>
      <c r="D1464" s="51">
        <v>65.0</v>
      </c>
      <c r="E1464" s="52" t="s">
        <v>25</v>
      </c>
      <c r="F1464" s="52" t="s">
        <v>26</v>
      </c>
      <c r="G1464" s="53"/>
    </row>
    <row r="1465">
      <c r="A1465" s="49">
        <v>44527.90634998842</v>
      </c>
      <c r="B1465" s="50">
        <v>44528.0313240046</v>
      </c>
      <c r="C1465" s="51">
        <v>1.034</v>
      </c>
      <c r="D1465" s="51">
        <v>65.0</v>
      </c>
      <c r="E1465" s="52" t="s">
        <v>25</v>
      </c>
      <c r="F1465" s="52" t="s">
        <v>26</v>
      </c>
      <c r="G1465" s="53"/>
    </row>
    <row r="1466">
      <c r="A1466" s="49">
        <v>44527.916769918986</v>
      </c>
      <c r="B1466" s="50">
        <v>44528.041743206</v>
      </c>
      <c r="C1466" s="51">
        <v>1.034</v>
      </c>
      <c r="D1466" s="51">
        <v>65.0</v>
      </c>
      <c r="E1466" s="52" t="s">
        <v>25</v>
      </c>
      <c r="F1466" s="52" t="s">
        <v>26</v>
      </c>
      <c r="G1466" s="53"/>
    </row>
    <row r="1467">
      <c r="A1467" s="49">
        <v>44527.92719375</v>
      </c>
      <c r="B1467" s="50">
        <v>44528.0521656134</v>
      </c>
      <c r="C1467" s="51">
        <v>1.033</v>
      </c>
      <c r="D1467" s="51">
        <v>65.0</v>
      </c>
      <c r="E1467" s="52" t="s">
        <v>25</v>
      </c>
      <c r="F1467" s="52" t="s">
        <v>26</v>
      </c>
      <c r="G1467" s="53"/>
    </row>
    <row r="1468">
      <c r="A1468" s="49">
        <v>44527.93761245371</v>
      </c>
      <c r="B1468" s="50">
        <v>44528.0625872916</v>
      </c>
      <c r="C1468" s="51">
        <v>1.033</v>
      </c>
      <c r="D1468" s="51">
        <v>65.0</v>
      </c>
      <c r="E1468" s="52" t="s">
        <v>25</v>
      </c>
      <c r="F1468" s="52" t="s">
        <v>26</v>
      </c>
      <c r="G1468" s="53"/>
    </row>
    <row r="1469">
      <c r="A1469" s="49">
        <v>44527.948032280096</v>
      </c>
      <c r="B1469" s="50">
        <v>44528.0730092939</v>
      </c>
      <c r="C1469" s="51">
        <v>1.034</v>
      </c>
      <c r="D1469" s="51">
        <v>65.0</v>
      </c>
      <c r="E1469" s="52" t="s">
        <v>25</v>
      </c>
      <c r="F1469" s="52" t="s">
        <v>26</v>
      </c>
      <c r="G1469" s="53"/>
    </row>
    <row r="1470">
      <c r="A1470" s="49">
        <v>44527.958455</v>
      </c>
      <c r="B1470" s="50">
        <v>44528.0834295486</v>
      </c>
      <c r="C1470" s="51">
        <v>1.033</v>
      </c>
      <c r="D1470" s="51">
        <v>65.0</v>
      </c>
      <c r="E1470" s="52" t="s">
        <v>25</v>
      </c>
      <c r="F1470" s="52" t="s">
        <v>26</v>
      </c>
      <c r="G1470" s="53"/>
    </row>
    <row r="1471">
      <c r="A1471" s="49">
        <v>44527.96888383102</v>
      </c>
      <c r="B1471" s="50">
        <v>44528.0938602662</v>
      </c>
      <c r="C1471" s="51">
        <v>1.033</v>
      </c>
      <c r="D1471" s="51">
        <v>65.0</v>
      </c>
      <c r="E1471" s="52" t="s">
        <v>25</v>
      </c>
      <c r="F1471" s="52" t="s">
        <v>26</v>
      </c>
      <c r="G1471" s="53"/>
    </row>
    <row r="1472">
      <c r="A1472" s="49">
        <v>44527.97930319444</v>
      </c>
      <c r="B1472" s="50">
        <v>44528.1042818634</v>
      </c>
      <c r="C1472" s="51">
        <v>1.033</v>
      </c>
      <c r="D1472" s="51">
        <v>65.0</v>
      </c>
      <c r="E1472" s="52" t="s">
        <v>25</v>
      </c>
      <c r="F1472" s="52" t="s">
        <v>26</v>
      </c>
      <c r="G1472" s="53"/>
    </row>
    <row r="1473">
      <c r="A1473" s="49">
        <v>44527.98973002315</v>
      </c>
      <c r="B1473" s="50">
        <v>44528.1147035648</v>
      </c>
      <c r="C1473" s="51">
        <v>1.033</v>
      </c>
      <c r="D1473" s="51">
        <v>65.0</v>
      </c>
      <c r="E1473" s="52" t="s">
        <v>25</v>
      </c>
      <c r="F1473" s="52" t="s">
        <v>26</v>
      </c>
      <c r="G1473" s="53"/>
    </row>
    <row r="1474">
      <c r="A1474" s="49">
        <v>44528.00014670139</v>
      </c>
      <c r="B1474" s="50">
        <v>44528.1251248495</v>
      </c>
      <c r="C1474" s="51">
        <v>1.033</v>
      </c>
      <c r="D1474" s="51">
        <v>65.0</v>
      </c>
      <c r="E1474" s="52" t="s">
        <v>25</v>
      </c>
      <c r="F1474" s="52" t="s">
        <v>26</v>
      </c>
      <c r="G1474" s="53"/>
    </row>
    <row r="1475">
      <c r="A1475" s="49">
        <v>44528.0105909375</v>
      </c>
      <c r="B1475" s="50">
        <v>44528.1355586805</v>
      </c>
      <c r="C1475" s="51">
        <v>1.033</v>
      </c>
      <c r="D1475" s="51">
        <v>65.0</v>
      </c>
      <c r="E1475" s="52" t="s">
        <v>25</v>
      </c>
      <c r="F1475" s="52" t="s">
        <v>26</v>
      </c>
      <c r="G1475" s="53"/>
    </row>
    <row r="1476">
      <c r="A1476" s="49">
        <v>44528.02099711806</v>
      </c>
      <c r="B1476" s="50">
        <v>44528.1459793287</v>
      </c>
      <c r="C1476" s="51">
        <v>1.033</v>
      </c>
      <c r="D1476" s="51">
        <v>65.0</v>
      </c>
      <c r="E1476" s="52" t="s">
        <v>25</v>
      </c>
      <c r="F1476" s="52" t="s">
        <v>26</v>
      </c>
      <c r="G1476" s="53"/>
    </row>
    <row r="1477">
      <c r="A1477" s="49">
        <v>44528.031428993054</v>
      </c>
      <c r="B1477" s="50">
        <v>44528.1564023148</v>
      </c>
      <c r="C1477" s="51">
        <v>1.033</v>
      </c>
      <c r="D1477" s="51">
        <v>65.0</v>
      </c>
      <c r="E1477" s="52" t="s">
        <v>25</v>
      </c>
      <c r="F1477" s="52" t="s">
        <v>26</v>
      </c>
      <c r="G1477" s="53"/>
    </row>
    <row r="1478">
      <c r="A1478" s="49">
        <v>44528.041842858795</v>
      </c>
      <c r="B1478" s="50">
        <v>44528.166823287</v>
      </c>
      <c r="C1478" s="51">
        <v>1.033</v>
      </c>
      <c r="D1478" s="51">
        <v>65.0</v>
      </c>
      <c r="E1478" s="52" t="s">
        <v>25</v>
      </c>
      <c r="F1478" s="52" t="s">
        <v>26</v>
      </c>
      <c r="G1478" s="53"/>
    </row>
    <row r="1479">
      <c r="A1479" s="49">
        <v>44528.052264872684</v>
      </c>
      <c r="B1479" s="50">
        <v>44528.1772429398</v>
      </c>
      <c r="C1479" s="51">
        <v>1.033</v>
      </c>
      <c r="D1479" s="51">
        <v>65.0</v>
      </c>
      <c r="E1479" s="52" t="s">
        <v>25</v>
      </c>
      <c r="F1479" s="52" t="s">
        <v>26</v>
      </c>
      <c r="G1479" s="53"/>
    </row>
    <row r="1480">
      <c r="A1480" s="49">
        <v>44528.062679166665</v>
      </c>
      <c r="B1480" s="50">
        <v>44528.1876644213</v>
      </c>
      <c r="C1480" s="51">
        <v>1.033</v>
      </c>
      <c r="D1480" s="51">
        <v>65.0</v>
      </c>
      <c r="E1480" s="52" t="s">
        <v>25</v>
      </c>
      <c r="F1480" s="52" t="s">
        <v>26</v>
      </c>
      <c r="G1480" s="53"/>
    </row>
    <row r="1481">
      <c r="A1481" s="49">
        <v>44528.07310756945</v>
      </c>
      <c r="B1481" s="50">
        <v>44528.1980841087</v>
      </c>
      <c r="C1481" s="51">
        <v>1.033</v>
      </c>
      <c r="D1481" s="51">
        <v>65.0</v>
      </c>
      <c r="E1481" s="52" t="s">
        <v>25</v>
      </c>
      <c r="F1481" s="52" t="s">
        <v>26</v>
      </c>
      <c r="G1481" s="53"/>
    </row>
    <row r="1482">
      <c r="A1482" s="49">
        <v>44528.08352306713</v>
      </c>
      <c r="B1482" s="50">
        <v>44528.2085047338</v>
      </c>
      <c r="C1482" s="51">
        <v>1.033</v>
      </c>
      <c r="D1482" s="51">
        <v>65.0</v>
      </c>
      <c r="E1482" s="52" t="s">
        <v>25</v>
      </c>
      <c r="F1482" s="52" t="s">
        <v>26</v>
      </c>
      <c r="G1482" s="53"/>
    </row>
    <row r="1483">
      <c r="A1483" s="49">
        <v>44528.09396230324</v>
      </c>
      <c r="B1483" s="50">
        <v>44528.2189389351</v>
      </c>
      <c r="C1483" s="51">
        <v>1.033</v>
      </c>
      <c r="D1483" s="51">
        <v>65.0</v>
      </c>
      <c r="E1483" s="52" t="s">
        <v>25</v>
      </c>
      <c r="F1483" s="52" t="s">
        <v>26</v>
      </c>
      <c r="G1483" s="53"/>
    </row>
    <row r="1484">
      <c r="A1484" s="49">
        <v>44528.10438634259</v>
      </c>
      <c r="B1484" s="50">
        <v>44528.2293709027</v>
      </c>
      <c r="C1484" s="51">
        <v>1.033</v>
      </c>
      <c r="D1484" s="51">
        <v>65.0</v>
      </c>
      <c r="E1484" s="52" t="s">
        <v>25</v>
      </c>
      <c r="F1484" s="52" t="s">
        <v>26</v>
      </c>
      <c r="G1484" s="53"/>
    </row>
    <row r="1485">
      <c r="A1485" s="49">
        <v>44528.11481542824</v>
      </c>
      <c r="B1485" s="50">
        <v>44528.239792743</v>
      </c>
      <c r="C1485" s="51">
        <v>1.033</v>
      </c>
      <c r="D1485" s="51">
        <v>65.0</v>
      </c>
      <c r="E1485" s="52" t="s">
        <v>25</v>
      </c>
      <c r="F1485" s="52" t="s">
        <v>26</v>
      </c>
      <c r="G1485" s="53"/>
    </row>
    <row r="1486">
      <c r="A1486" s="49">
        <v>44528.12523775463</v>
      </c>
      <c r="B1486" s="50">
        <v>44528.250214699</v>
      </c>
      <c r="C1486" s="51">
        <v>1.033</v>
      </c>
      <c r="D1486" s="51">
        <v>65.0</v>
      </c>
      <c r="E1486" s="52" t="s">
        <v>25</v>
      </c>
      <c r="F1486" s="52" t="s">
        <v>26</v>
      </c>
      <c r="G1486" s="53"/>
    </row>
    <row r="1487">
      <c r="A1487" s="49">
        <v>44528.13565783565</v>
      </c>
      <c r="B1487" s="50">
        <v>44528.2606360995</v>
      </c>
      <c r="C1487" s="51">
        <v>1.033</v>
      </c>
      <c r="D1487" s="51">
        <v>65.0</v>
      </c>
      <c r="E1487" s="52" t="s">
        <v>25</v>
      </c>
      <c r="F1487" s="52" t="s">
        <v>26</v>
      </c>
      <c r="G1487" s="53"/>
    </row>
    <row r="1488">
      <c r="A1488" s="49">
        <v>44528.1460740162</v>
      </c>
      <c r="B1488" s="50">
        <v>44528.2710567361</v>
      </c>
      <c r="C1488" s="51">
        <v>1.033</v>
      </c>
      <c r="D1488" s="51">
        <v>65.0</v>
      </c>
      <c r="E1488" s="52" t="s">
        <v>25</v>
      </c>
      <c r="F1488" s="52" t="s">
        <v>26</v>
      </c>
      <c r="G1488" s="53"/>
    </row>
    <row r="1489">
      <c r="A1489" s="49">
        <v>44528.15650950231</v>
      </c>
      <c r="B1489" s="50">
        <v>44528.2814910069</v>
      </c>
      <c r="C1489" s="51">
        <v>1.033</v>
      </c>
      <c r="D1489" s="51">
        <v>65.0</v>
      </c>
      <c r="E1489" s="52" t="s">
        <v>25</v>
      </c>
      <c r="F1489" s="52" t="s">
        <v>26</v>
      </c>
      <c r="G1489" s="53"/>
    </row>
    <row r="1490">
      <c r="A1490" s="49">
        <v>44528.16693582176</v>
      </c>
      <c r="B1490" s="50">
        <v>44528.2919129976</v>
      </c>
      <c r="C1490" s="51">
        <v>1.033</v>
      </c>
      <c r="D1490" s="51">
        <v>65.0</v>
      </c>
      <c r="E1490" s="52" t="s">
        <v>25</v>
      </c>
      <c r="F1490" s="52" t="s">
        <v>26</v>
      </c>
      <c r="G1490" s="53"/>
    </row>
    <row r="1491">
      <c r="A1491" s="49">
        <v>44528.177370219906</v>
      </c>
      <c r="B1491" s="50">
        <v>44528.3023455324</v>
      </c>
      <c r="C1491" s="51">
        <v>1.033</v>
      </c>
      <c r="D1491" s="51">
        <v>65.0</v>
      </c>
      <c r="E1491" s="52" t="s">
        <v>25</v>
      </c>
      <c r="F1491" s="52" t="s">
        <v>26</v>
      </c>
      <c r="G1491" s="53"/>
    </row>
    <row r="1492">
      <c r="A1492" s="49">
        <v>44528.18778601852</v>
      </c>
      <c r="B1492" s="50">
        <v>44528.3127670486</v>
      </c>
      <c r="C1492" s="51">
        <v>1.033</v>
      </c>
      <c r="D1492" s="51">
        <v>65.0</v>
      </c>
      <c r="E1492" s="52" t="s">
        <v>25</v>
      </c>
      <c r="F1492" s="52" t="s">
        <v>26</v>
      </c>
      <c r="G1492" s="53"/>
    </row>
    <row r="1493">
      <c r="A1493" s="49">
        <v>44528.198208125</v>
      </c>
      <c r="B1493" s="50">
        <v>44528.3231860879</v>
      </c>
      <c r="C1493" s="51">
        <v>1.033</v>
      </c>
      <c r="D1493" s="51">
        <v>65.0</v>
      </c>
      <c r="E1493" s="52" t="s">
        <v>25</v>
      </c>
      <c r="F1493" s="52" t="s">
        <v>26</v>
      </c>
      <c r="G1493" s="53"/>
    </row>
    <row r="1494">
      <c r="A1494" s="49">
        <v>44528.20863634259</v>
      </c>
      <c r="B1494" s="50">
        <v>44528.333607037</v>
      </c>
      <c r="C1494" s="51">
        <v>1.033</v>
      </c>
      <c r="D1494" s="51">
        <v>65.0</v>
      </c>
      <c r="E1494" s="52" t="s">
        <v>25</v>
      </c>
      <c r="F1494" s="52" t="s">
        <v>26</v>
      </c>
      <c r="G1494" s="53"/>
    </row>
    <row r="1495">
      <c r="A1495" s="49">
        <v>44528.21905034722</v>
      </c>
      <c r="B1495" s="50">
        <v>44528.3440282638</v>
      </c>
      <c r="C1495" s="51">
        <v>1.033</v>
      </c>
      <c r="D1495" s="51">
        <v>65.0</v>
      </c>
      <c r="E1495" s="52" t="s">
        <v>25</v>
      </c>
      <c r="F1495" s="52" t="s">
        <v>26</v>
      </c>
      <c r="G1495" s="53"/>
    </row>
    <row r="1496">
      <c r="A1496" s="49">
        <v>44528.22947853009</v>
      </c>
      <c r="B1496" s="50">
        <v>44528.3544501273</v>
      </c>
      <c r="C1496" s="51">
        <v>1.033</v>
      </c>
      <c r="D1496" s="51">
        <v>65.0</v>
      </c>
      <c r="E1496" s="52" t="s">
        <v>25</v>
      </c>
      <c r="F1496" s="52" t="s">
        <v>26</v>
      </c>
      <c r="G1496" s="53"/>
    </row>
    <row r="1497">
      <c r="A1497" s="49">
        <v>44528.239903912036</v>
      </c>
      <c r="B1497" s="50">
        <v>44528.3648703587</v>
      </c>
      <c r="C1497" s="51">
        <v>1.033</v>
      </c>
      <c r="D1497" s="51">
        <v>65.0</v>
      </c>
      <c r="E1497" s="52" t="s">
        <v>25</v>
      </c>
      <c r="F1497" s="52" t="s">
        <v>26</v>
      </c>
      <c r="G1497" s="53"/>
    </row>
    <row r="1498">
      <c r="A1498" s="49">
        <v>44528.25032944445</v>
      </c>
      <c r="B1498" s="50">
        <v>44528.3753040393</v>
      </c>
      <c r="C1498" s="51">
        <v>1.033</v>
      </c>
      <c r="D1498" s="51">
        <v>65.0</v>
      </c>
      <c r="E1498" s="52" t="s">
        <v>25</v>
      </c>
      <c r="F1498" s="52" t="s">
        <v>26</v>
      </c>
      <c r="G1498" s="53"/>
    </row>
    <row r="1499">
      <c r="A1499" s="49">
        <v>44528.26074738426</v>
      </c>
      <c r="B1499" s="50">
        <v>44528.3857236458</v>
      </c>
      <c r="C1499" s="51">
        <v>1.033</v>
      </c>
      <c r="D1499" s="51">
        <v>65.0</v>
      </c>
      <c r="E1499" s="52" t="s">
        <v>25</v>
      </c>
      <c r="F1499" s="52" t="s">
        <v>26</v>
      </c>
      <c r="G1499" s="53"/>
    </row>
    <row r="1500">
      <c r="A1500" s="49">
        <v>44528.27117640046</v>
      </c>
      <c r="B1500" s="50">
        <v>44528.3961456944</v>
      </c>
      <c r="C1500" s="51">
        <v>1.033</v>
      </c>
      <c r="D1500" s="51">
        <v>65.0</v>
      </c>
      <c r="E1500" s="52" t="s">
        <v>25</v>
      </c>
      <c r="F1500" s="52" t="s">
        <v>26</v>
      </c>
      <c r="G1500" s="53"/>
    </row>
    <row r="1501">
      <c r="A1501" s="49">
        <v>44528.2816028125</v>
      </c>
      <c r="B1501" s="50">
        <v>44528.4065679745</v>
      </c>
      <c r="C1501" s="51">
        <v>1.033</v>
      </c>
      <c r="D1501" s="51">
        <v>65.0</v>
      </c>
      <c r="E1501" s="52" t="s">
        <v>25</v>
      </c>
      <c r="F1501" s="52" t="s">
        <v>26</v>
      </c>
      <c r="G1501" s="53"/>
    </row>
    <row r="1502">
      <c r="A1502" s="49">
        <v>44528.29201230324</v>
      </c>
      <c r="B1502" s="50">
        <v>44528.4169882986</v>
      </c>
      <c r="C1502" s="51">
        <v>1.033</v>
      </c>
      <c r="D1502" s="51">
        <v>65.0</v>
      </c>
      <c r="E1502" s="52" t="s">
        <v>25</v>
      </c>
      <c r="F1502" s="52" t="s">
        <v>26</v>
      </c>
      <c r="G1502" s="53"/>
    </row>
    <row r="1503">
      <c r="A1503" s="49">
        <v>44528.3024516088</v>
      </c>
      <c r="B1503" s="50">
        <v>44528.4274203356</v>
      </c>
      <c r="C1503" s="51">
        <v>1.033</v>
      </c>
      <c r="D1503" s="51">
        <v>65.0</v>
      </c>
      <c r="E1503" s="52" t="s">
        <v>25</v>
      </c>
      <c r="F1503" s="52" t="s">
        <v>26</v>
      </c>
      <c r="G1503" s="53"/>
    </row>
    <row r="1504">
      <c r="A1504" s="49">
        <v>44528.312864444444</v>
      </c>
      <c r="B1504" s="50">
        <v>44528.4378420949</v>
      </c>
      <c r="C1504" s="51">
        <v>1.033</v>
      </c>
      <c r="D1504" s="51">
        <v>65.0</v>
      </c>
      <c r="E1504" s="52" t="s">
        <v>25</v>
      </c>
      <c r="F1504" s="52" t="s">
        <v>26</v>
      </c>
      <c r="G1504" s="53"/>
    </row>
    <row r="1505">
      <c r="A1505" s="49">
        <v>44528.32329030093</v>
      </c>
      <c r="B1505" s="50">
        <v>44528.4482632986</v>
      </c>
      <c r="C1505" s="51">
        <v>1.033</v>
      </c>
      <c r="D1505" s="51">
        <v>65.0</v>
      </c>
      <c r="E1505" s="52" t="s">
        <v>25</v>
      </c>
      <c r="F1505" s="52" t="s">
        <v>26</v>
      </c>
      <c r="G1505" s="53"/>
    </row>
    <row r="1506">
      <c r="A1506" s="49">
        <v>44528.333706157406</v>
      </c>
      <c r="B1506" s="50">
        <v>44528.4586823611</v>
      </c>
      <c r="C1506" s="51">
        <v>1.033</v>
      </c>
      <c r="D1506" s="51">
        <v>65.0</v>
      </c>
      <c r="E1506" s="52" t="s">
        <v>25</v>
      </c>
      <c r="F1506" s="52" t="s">
        <v>26</v>
      </c>
      <c r="G1506" s="53"/>
    </row>
    <row r="1507">
      <c r="A1507" s="49">
        <v>44528.344132604165</v>
      </c>
      <c r="B1507" s="50">
        <v>44528.4691040162</v>
      </c>
      <c r="C1507" s="51">
        <v>1.033</v>
      </c>
      <c r="D1507" s="51">
        <v>65.0</v>
      </c>
      <c r="E1507" s="52" t="s">
        <v>25</v>
      </c>
      <c r="F1507" s="52" t="s">
        <v>26</v>
      </c>
      <c r="G1507" s="53"/>
    </row>
    <row r="1508">
      <c r="A1508" s="49">
        <v>44528.35455052083</v>
      </c>
      <c r="B1508" s="50">
        <v>44528.479523831</v>
      </c>
      <c r="C1508" s="51">
        <v>1.033</v>
      </c>
      <c r="D1508" s="51">
        <v>65.0</v>
      </c>
      <c r="E1508" s="52" t="s">
        <v>25</v>
      </c>
      <c r="F1508" s="52" t="s">
        <v>26</v>
      </c>
      <c r="G1508" s="53"/>
    </row>
    <row r="1509">
      <c r="A1509" s="49">
        <v>44528.36498585648</v>
      </c>
      <c r="B1509" s="50">
        <v>44528.4899556365</v>
      </c>
      <c r="C1509" s="51">
        <v>1.033</v>
      </c>
      <c r="D1509" s="51">
        <v>65.0</v>
      </c>
      <c r="E1509" s="52" t="s">
        <v>25</v>
      </c>
      <c r="F1509" s="52" t="s">
        <v>26</v>
      </c>
      <c r="G1509" s="53"/>
    </row>
    <row r="1510">
      <c r="A1510" s="49">
        <v>44528.37540916666</v>
      </c>
      <c r="B1510" s="50">
        <v>44528.5003752546</v>
      </c>
      <c r="C1510" s="51">
        <v>1.033</v>
      </c>
      <c r="D1510" s="51">
        <v>65.0</v>
      </c>
      <c r="E1510" s="52" t="s">
        <v>25</v>
      </c>
      <c r="F1510" s="52" t="s">
        <v>26</v>
      </c>
      <c r="G1510" s="53"/>
    </row>
    <row r="1511">
      <c r="A1511" s="49">
        <v>44528.38582649306</v>
      </c>
      <c r="B1511" s="50">
        <v>44528.5107944444</v>
      </c>
      <c r="C1511" s="51">
        <v>1.033</v>
      </c>
      <c r="D1511" s="51">
        <v>65.0</v>
      </c>
      <c r="E1511" s="52" t="s">
        <v>25</v>
      </c>
      <c r="F1511" s="52" t="s">
        <v>26</v>
      </c>
      <c r="G1511" s="53"/>
    </row>
    <row r="1512">
      <c r="A1512" s="49">
        <v>44528.39624582176</v>
      </c>
      <c r="B1512" s="50">
        <v>44528.5212155787</v>
      </c>
      <c r="C1512" s="51">
        <v>1.033</v>
      </c>
      <c r="D1512" s="51">
        <v>65.0</v>
      </c>
      <c r="E1512" s="52" t="s">
        <v>25</v>
      </c>
      <c r="F1512" s="52" t="s">
        <v>26</v>
      </c>
      <c r="G1512" s="53"/>
    </row>
    <row r="1513">
      <c r="A1513" s="49">
        <v>44528.40665950232</v>
      </c>
      <c r="B1513" s="50">
        <v>44528.5316359837</v>
      </c>
      <c r="C1513" s="51">
        <v>1.033</v>
      </c>
      <c r="D1513" s="51">
        <v>65.0</v>
      </c>
      <c r="E1513" s="52" t="s">
        <v>25</v>
      </c>
      <c r="F1513" s="52" t="s">
        <v>26</v>
      </c>
      <c r="G1513" s="53"/>
    </row>
    <row r="1514">
      <c r="A1514" s="49">
        <v>44528.41708526621</v>
      </c>
      <c r="B1514" s="50">
        <v>44528.5420563773</v>
      </c>
      <c r="C1514" s="51">
        <v>1.033</v>
      </c>
      <c r="D1514" s="51">
        <v>65.0</v>
      </c>
      <c r="E1514" s="52" t="s">
        <v>25</v>
      </c>
      <c r="F1514" s="52" t="s">
        <v>26</v>
      </c>
      <c r="G1514" s="53"/>
    </row>
    <row r="1515">
      <c r="A1515" s="49">
        <v>44528.42752200231</v>
      </c>
      <c r="B1515" s="50">
        <v>44528.5524987847</v>
      </c>
      <c r="C1515" s="51">
        <v>1.033</v>
      </c>
      <c r="D1515" s="51">
        <v>65.0</v>
      </c>
      <c r="E1515" s="52" t="s">
        <v>25</v>
      </c>
      <c r="F1515" s="52" t="s">
        <v>26</v>
      </c>
      <c r="G1515" s="53"/>
    </row>
    <row r="1516">
      <c r="A1516" s="49">
        <v>44528.43795479166</v>
      </c>
      <c r="B1516" s="50">
        <v>44528.5629199537</v>
      </c>
      <c r="C1516" s="51">
        <v>1.033</v>
      </c>
      <c r="D1516" s="51">
        <v>65.0</v>
      </c>
      <c r="E1516" s="52" t="s">
        <v>25</v>
      </c>
      <c r="F1516" s="52" t="s">
        <v>26</v>
      </c>
      <c r="G1516" s="53"/>
    </row>
    <row r="1517">
      <c r="A1517" s="49">
        <v>44528.44836385417</v>
      </c>
      <c r="B1517" s="50">
        <v>44528.573341655</v>
      </c>
      <c r="C1517" s="51">
        <v>1.033</v>
      </c>
      <c r="D1517" s="51">
        <v>65.0</v>
      </c>
      <c r="E1517" s="52" t="s">
        <v>25</v>
      </c>
      <c r="F1517" s="52" t="s">
        <v>26</v>
      </c>
      <c r="G1517" s="53"/>
    </row>
    <row r="1518">
      <c r="A1518" s="49">
        <v>44528.45878523148</v>
      </c>
      <c r="B1518" s="50">
        <v>44528.5837615509</v>
      </c>
      <c r="C1518" s="51">
        <v>1.032</v>
      </c>
      <c r="D1518" s="51">
        <v>65.0</v>
      </c>
      <c r="E1518" s="52" t="s">
        <v>25</v>
      </c>
      <c r="F1518" s="52" t="s">
        <v>26</v>
      </c>
      <c r="G1518" s="53"/>
    </row>
    <row r="1519">
      <c r="A1519" s="49">
        <v>44528.46921063657</v>
      </c>
      <c r="B1519" s="50">
        <v>44528.5941818171</v>
      </c>
      <c r="C1519" s="51">
        <v>1.033</v>
      </c>
      <c r="D1519" s="51">
        <v>65.0</v>
      </c>
      <c r="E1519" s="52" t="s">
        <v>25</v>
      </c>
      <c r="F1519" s="52" t="s">
        <v>26</v>
      </c>
      <c r="G1519" s="53"/>
    </row>
    <row r="1520">
      <c r="A1520" s="49">
        <v>44528.479636041666</v>
      </c>
      <c r="B1520" s="50">
        <v>44528.6046032754</v>
      </c>
      <c r="C1520" s="51">
        <v>1.032</v>
      </c>
      <c r="D1520" s="51">
        <v>65.0</v>
      </c>
      <c r="E1520" s="52" t="s">
        <v>25</v>
      </c>
      <c r="F1520" s="52" t="s">
        <v>26</v>
      </c>
      <c r="G1520" s="53"/>
    </row>
    <row r="1521">
      <c r="A1521" s="49">
        <v>44528.490054317124</v>
      </c>
      <c r="B1521" s="50">
        <v>44528.6150248263</v>
      </c>
      <c r="C1521" s="51">
        <v>1.033</v>
      </c>
      <c r="D1521" s="51">
        <v>65.0</v>
      </c>
      <c r="E1521" s="52" t="s">
        <v>25</v>
      </c>
      <c r="F1521" s="52" t="s">
        <v>26</v>
      </c>
      <c r="G1521" s="53"/>
    </row>
    <row r="1522">
      <c r="A1522" s="49">
        <v>44528.50047092592</v>
      </c>
      <c r="B1522" s="50">
        <v>44528.6254469097</v>
      </c>
      <c r="C1522" s="51">
        <v>1.032</v>
      </c>
      <c r="D1522" s="51">
        <v>65.0</v>
      </c>
      <c r="E1522" s="52" t="s">
        <v>25</v>
      </c>
      <c r="F1522" s="52" t="s">
        <v>26</v>
      </c>
      <c r="G1522" s="53"/>
    </row>
    <row r="1523">
      <c r="A1523" s="49">
        <v>44528.51091211806</v>
      </c>
      <c r="B1523" s="50">
        <v>44528.6358795023</v>
      </c>
      <c r="C1523" s="51">
        <v>1.032</v>
      </c>
      <c r="D1523" s="51">
        <v>65.0</v>
      </c>
      <c r="E1523" s="52" t="s">
        <v>25</v>
      </c>
      <c r="F1523" s="52" t="s">
        <v>26</v>
      </c>
      <c r="G1523" s="53"/>
    </row>
    <row r="1524">
      <c r="A1524" s="49">
        <v>44528.521329027775</v>
      </c>
      <c r="B1524" s="50">
        <v>44528.6462997685</v>
      </c>
      <c r="C1524" s="51">
        <v>1.032</v>
      </c>
      <c r="D1524" s="51">
        <v>65.0</v>
      </c>
      <c r="E1524" s="52" t="s">
        <v>25</v>
      </c>
      <c r="F1524" s="52" t="s">
        <v>26</v>
      </c>
      <c r="G1524" s="53"/>
    </row>
    <row r="1525">
      <c r="A1525" s="49">
        <v>44528.53175012732</v>
      </c>
      <c r="B1525" s="50">
        <v>44528.6567206944</v>
      </c>
      <c r="C1525" s="51">
        <v>1.032</v>
      </c>
      <c r="D1525" s="51">
        <v>65.0</v>
      </c>
      <c r="E1525" s="52" t="s">
        <v>25</v>
      </c>
      <c r="F1525" s="52" t="s">
        <v>26</v>
      </c>
      <c r="G1525" s="53"/>
    </row>
    <row r="1526">
      <c r="A1526" s="49">
        <v>44528.54216060185</v>
      </c>
      <c r="B1526" s="50">
        <v>44528.6671404166</v>
      </c>
      <c r="C1526" s="51">
        <v>1.032</v>
      </c>
      <c r="D1526" s="51">
        <v>65.0</v>
      </c>
      <c r="E1526" s="52" t="s">
        <v>25</v>
      </c>
      <c r="F1526" s="52" t="s">
        <v>26</v>
      </c>
      <c r="G1526" s="53"/>
    </row>
    <row r="1527">
      <c r="A1527" s="49">
        <v>44528.55259548611</v>
      </c>
      <c r="B1527" s="50">
        <v>44528.6775628472</v>
      </c>
      <c r="C1527" s="51">
        <v>1.033</v>
      </c>
      <c r="D1527" s="51">
        <v>65.0</v>
      </c>
      <c r="E1527" s="52" t="s">
        <v>25</v>
      </c>
      <c r="F1527" s="52" t="s">
        <v>26</v>
      </c>
      <c r="G1527" s="53"/>
    </row>
    <row r="1528">
      <c r="A1528" s="49">
        <v>44528.56301353009</v>
      </c>
      <c r="B1528" s="50">
        <v>44528.6879844791</v>
      </c>
      <c r="C1528" s="51">
        <v>1.032</v>
      </c>
      <c r="D1528" s="51">
        <v>65.0</v>
      </c>
      <c r="E1528" s="52" t="s">
        <v>25</v>
      </c>
      <c r="F1528" s="52" t="s">
        <v>26</v>
      </c>
      <c r="G1528" s="53"/>
    </row>
    <row r="1529">
      <c r="A1529" s="49">
        <v>44528.57343524306</v>
      </c>
      <c r="B1529" s="50">
        <v>44528.6984060416</v>
      </c>
      <c r="C1529" s="51">
        <v>1.032</v>
      </c>
      <c r="D1529" s="51">
        <v>65.0</v>
      </c>
      <c r="E1529" s="52" t="s">
        <v>25</v>
      </c>
      <c r="F1529" s="52" t="s">
        <v>26</v>
      </c>
      <c r="G1529" s="53"/>
    </row>
    <row r="1530">
      <c r="A1530" s="49">
        <v>44528.58386063657</v>
      </c>
      <c r="B1530" s="50">
        <v>44528.7088274189</v>
      </c>
      <c r="C1530" s="51">
        <v>1.032</v>
      </c>
      <c r="D1530" s="51">
        <v>65.0</v>
      </c>
      <c r="E1530" s="52" t="s">
        <v>25</v>
      </c>
      <c r="F1530" s="52" t="s">
        <v>26</v>
      </c>
      <c r="G1530" s="53"/>
    </row>
    <row r="1531">
      <c r="A1531" s="49">
        <v>44528.59427688658</v>
      </c>
      <c r="B1531" s="50">
        <v>44528.7192481828</v>
      </c>
      <c r="C1531" s="51">
        <v>1.032</v>
      </c>
      <c r="D1531" s="51">
        <v>65.0</v>
      </c>
      <c r="E1531" s="52" t="s">
        <v>25</v>
      </c>
      <c r="F1531" s="52" t="s">
        <v>26</v>
      </c>
      <c r="G1531" s="53"/>
    </row>
    <row r="1532">
      <c r="A1532" s="49">
        <v>44528.60469732639</v>
      </c>
      <c r="B1532" s="50">
        <v>44528.7296701041</v>
      </c>
      <c r="C1532" s="51">
        <v>1.032</v>
      </c>
      <c r="D1532" s="51">
        <v>65.0</v>
      </c>
      <c r="E1532" s="52" t="s">
        <v>25</v>
      </c>
      <c r="F1532" s="52" t="s">
        <v>26</v>
      </c>
      <c r="G1532" s="53"/>
    </row>
    <row r="1533">
      <c r="A1533" s="49">
        <v>44528.61511925926</v>
      </c>
      <c r="B1533" s="50">
        <v>44528.7400895833</v>
      </c>
      <c r="C1533" s="51">
        <v>1.032</v>
      </c>
      <c r="D1533" s="51">
        <v>65.0</v>
      </c>
      <c r="E1533" s="52" t="s">
        <v>25</v>
      </c>
      <c r="F1533" s="52" t="s">
        <v>26</v>
      </c>
      <c r="G1533" s="53"/>
    </row>
    <row r="1534">
      <c r="A1534" s="49">
        <v>44528.62553056713</v>
      </c>
      <c r="B1534" s="50">
        <v>44528.7505102777</v>
      </c>
      <c r="C1534" s="51">
        <v>1.032</v>
      </c>
      <c r="D1534" s="51">
        <v>65.0</v>
      </c>
      <c r="E1534" s="52" t="s">
        <v>25</v>
      </c>
      <c r="F1534" s="52" t="s">
        <v>26</v>
      </c>
      <c r="G1534" s="53"/>
    </row>
    <row r="1535">
      <c r="A1535" s="49">
        <v>44528.63596555556</v>
      </c>
      <c r="B1535" s="50">
        <v>44528.7609328703</v>
      </c>
      <c r="C1535" s="51">
        <v>1.032</v>
      </c>
      <c r="D1535" s="51">
        <v>65.0</v>
      </c>
      <c r="E1535" s="52" t="s">
        <v>25</v>
      </c>
      <c r="F1535" s="52" t="s">
        <v>26</v>
      </c>
      <c r="G1535" s="53"/>
    </row>
    <row r="1536">
      <c r="A1536" s="49">
        <v>44528.64637640046</v>
      </c>
      <c r="B1536" s="50">
        <v>44528.7713548379</v>
      </c>
      <c r="C1536" s="51">
        <v>1.032</v>
      </c>
      <c r="D1536" s="51">
        <v>65.0</v>
      </c>
      <c r="E1536" s="52" t="s">
        <v>25</v>
      </c>
      <c r="F1536" s="52" t="s">
        <v>26</v>
      </c>
      <c r="G1536" s="53"/>
    </row>
    <row r="1537">
      <c r="A1537" s="49">
        <v>44528.65679666666</v>
      </c>
      <c r="B1537" s="50">
        <v>44528.7817749768</v>
      </c>
      <c r="C1537" s="51">
        <v>1.032</v>
      </c>
      <c r="D1537" s="51">
        <v>65.0</v>
      </c>
      <c r="E1537" s="52" t="s">
        <v>25</v>
      </c>
      <c r="F1537" s="52" t="s">
        <v>26</v>
      </c>
      <c r="G1537" s="53"/>
    </row>
    <row r="1538">
      <c r="A1538" s="49">
        <v>44528.66722724537</v>
      </c>
      <c r="B1538" s="50">
        <v>44528.7921953125</v>
      </c>
      <c r="C1538" s="51">
        <v>1.032</v>
      </c>
      <c r="D1538" s="51">
        <v>65.0</v>
      </c>
      <c r="E1538" s="52" t="s">
        <v>25</v>
      </c>
      <c r="F1538" s="52" t="s">
        <v>26</v>
      </c>
      <c r="G1538" s="53"/>
    </row>
    <row r="1539">
      <c r="A1539" s="49">
        <v>44528.67763712963</v>
      </c>
      <c r="B1539" s="50">
        <v>44528.8026164583</v>
      </c>
      <c r="C1539" s="51">
        <v>1.032</v>
      </c>
      <c r="D1539" s="51">
        <v>65.0</v>
      </c>
      <c r="E1539" s="52" t="s">
        <v>25</v>
      </c>
      <c r="F1539" s="52" t="s">
        <v>26</v>
      </c>
      <c r="G1539" s="53"/>
    </row>
    <row r="1540">
      <c r="A1540" s="49">
        <v>44528.68805902777</v>
      </c>
      <c r="B1540" s="50">
        <v>44528.8130380787</v>
      </c>
      <c r="C1540" s="51">
        <v>1.032</v>
      </c>
      <c r="D1540" s="51">
        <v>65.0</v>
      </c>
      <c r="E1540" s="52" t="s">
        <v>25</v>
      </c>
      <c r="F1540" s="52" t="s">
        <v>26</v>
      </c>
      <c r="G1540" s="53"/>
    </row>
    <row r="1541">
      <c r="A1541" s="49">
        <v>44528.69848104166</v>
      </c>
      <c r="B1541" s="50">
        <v>44528.82345853</v>
      </c>
      <c r="C1541" s="51">
        <v>1.032</v>
      </c>
      <c r="D1541" s="51">
        <v>65.0</v>
      </c>
      <c r="E1541" s="52" t="s">
        <v>25</v>
      </c>
      <c r="F1541" s="52" t="s">
        <v>26</v>
      </c>
      <c r="G1541" s="53"/>
    </row>
    <row r="1542">
      <c r="A1542" s="49">
        <v>44528.70889855324</v>
      </c>
      <c r="B1542" s="50">
        <v>44528.8338795486</v>
      </c>
      <c r="C1542" s="51">
        <v>1.032</v>
      </c>
      <c r="D1542" s="51">
        <v>65.0</v>
      </c>
      <c r="E1542" s="52" t="s">
        <v>25</v>
      </c>
      <c r="F1542" s="52" t="s">
        <v>26</v>
      </c>
      <c r="G1542" s="53"/>
    </row>
    <row r="1543">
      <c r="A1543" s="49">
        <v>44528.7193247338</v>
      </c>
      <c r="B1543" s="50">
        <v>44528.8443022222</v>
      </c>
      <c r="C1543" s="51">
        <v>1.032</v>
      </c>
      <c r="D1543" s="51">
        <v>65.0</v>
      </c>
      <c r="E1543" s="52" t="s">
        <v>25</v>
      </c>
      <c r="F1543" s="52" t="s">
        <v>26</v>
      </c>
      <c r="G1543" s="53"/>
    </row>
    <row r="1544">
      <c r="A1544" s="49">
        <v>44528.72974834491</v>
      </c>
      <c r="B1544" s="50">
        <v>44528.8547223958</v>
      </c>
      <c r="C1544" s="51">
        <v>1.032</v>
      </c>
      <c r="D1544" s="51">
        <v>65.0</v>
      </c>
      <c r="E1544" s="52" t="s">
        <v>25</v>
      </c>
      <c r="F1544" s="52" t="s">
        <v>26</v>
      </c>
      <c r="G1544" s="53"/>
    </row>
    <row r="1545">
      <c r="A1545" s="49">
        <v>44528.74016248842</v>
      </c>
      <c r="B1545" s="50">
        <v>44528.8651422453</v>
      </c>
      <c r="C1545" s="51">
        <v>1.032</v>
      </c>
      <c r="D1545" s="51">
        <v>65.0</v>
      </c>
      <c r="E1545" s="52" t="s">
        <v>25</v>
      </c>
      <c r="F1545" s="52" t="s">
        <v>26</v>
      </c>
      <c r="G1545" s="53"/>
    </row>
    <row r="1546">
      <c r="A1546" s="49">
        <v>44528.75058818287</v>
      </c>
      <c r="B1546" s="50">
        <v>44528.8755624189</v>
      </c>
      <c r="C1546" s="51">
        <v>1.032</v>
      </c>
      <c r="D1546" s="51">
        <v>65.0</v>
      </c>
      <c r="E1546" s="52" t="s">
        <v>25</v>
      </c>
      <c r="F1546" s="52" t="s">
        <v>26</v>
      </c>
      <c r="G1546" s="53"/>
    </row>
    <row r="1547">
      <c r="A1547" s="49">
        <v>44528.761066782405</v>
      </c>
      <c r="B1547" s="50">
        <v>44528.8860315046</v>
      </c>
      <c r="C1547" s="51">
        <v>1.032</v>
      </c>
      <c r="D1547" s="51">
        <v>65.0</v>
      </c>
      <c r="E1547" s="52" t="s">
        <v>25</v>
      </c>
      <c r="F1547" s="52" t="s">
        <v>26</v>
      </c>
      <c r="G1547" s="53"/>
    </row>
    <row r="1548">
      <c r="A1548" s="49">
        <v>44528.771470266205</v>
      </c>
      <c r="B1548" s="50">
        <v>44528.8964532291</v>
      </c>
      <c r="C1548" s="51">
        <v>1.032</v>
      </c>
      <c r="D1548" s="51">
        <v>65.0</v>
      </c>
      <c r="E1548" s="52" t="s">
        <v>25</v>
      </c>
      <c r="F1548" s="52" t="s">
        <v>26</v>
      </c>
      <c r="G1548" s="53"/>
    </row>
    <row r="1549">
      <c r="A1549" s="49">
        <v>44528.781922939816</v>
      </c>
      <c r="B1549" s="50">
        <v>44528.9068988078</v>
      </c>
      <c r="C1549" s="51">
        <v>1.032</v>
      </c>
      <c r="D1549" s="51">
        <v>65.0</v>
      </c>
      <c r="E1549" s="52" t="s">
        <v>25</v>
      </c>
      <c r="F1549" s="52" t="s">
        <v>26</v>
      </c>
      <c r="G1549" s="53"/>
    </row>
    <row r="1550">
      <c r="A1550" s="49">
        <v>44528.79234486111</v>
      </c>
      <c r="B1550" s="50">
        <v>44528.9173183912</v>
      </c>
      <c r="C1550" s="51">
        <v>1.032</v>
      </c>
      <c r="D1550" s="51">
        <v>65.0</v>
      </c>
      <c r="E1550" s="52" t="s">
        <v>25</v>
      </c>
      <c r="F1550" s="52" t="s">
        <v>26</v>
      </c>
      <c r="G1550" s="53"/>
    </row>
    <row r="1551">
      <c r="A1551" s="49">
        <v>44528.80276648148</v>
      </c>
      <c r="B1551" s="50">
        <v>44528.9277395833</v>
      </c>
      <c r="C1551" s="51">
        <v>1.032</v>
      </c>
      <c r="D1551" s="51">
        <v>65.0</v>
      </c>
      <c r="E1551" s="52" t="s">
        <v>25</v>
      </c>
      <c r="F1551" s="52" t="s">
        <v>26</v>
      </c>
      <c r="G1551" s="53"/>
    </row>
    <row r="1552">
      <c r="A1552" s="49">
        <v>44528.813184756946</v>
      </c>
      <c r="B1552" s="50">
        <v>44528.9381613425</v>
      </c>
      <c r="C1552" s="51">
        <v>1.032</v>
      </c>
      <c r="D1552" s="51">
        <v>65.0</v>
      </c>
      <c r="E1552" s="52" t="s">
        <v>25</v>
      </c>
      <c r="F1552" s="52" t="s">
        <v>26</v>
      </c>
      <c r="G1552" s="53"/>
    </row>
    <row r="1553">
      <c r="A1553" s="49">
        <v>44528.823607858794</v>
      </c>
      <c r="B1553" s="50">
        <v>44528.9485815625</v>
      </c>
      <c r="C1553" s="51">
        <v>1.032</v>
      </c>
      <c r="D1553" s="51">
        <v>65.0</v>
      </c>
      <c r="E1553" s="52" t="s">
        <v>25</v>
      </c>
      <c r="F1553" s="52" t="s">
        <v>26</v>
      </c>
      <c r="G1553" s="53"/>
    </row>
    <row r="1554">
      <c r="A1554" s="49">
        <v>44528.8340230787</v>
      </c>
      <c r="B1554" s="50">
        <v>44528.9590010416</v>
      </c>
      <c r="C1554" s="51">
        <v>1.032</v>
      </c>
      <c r="D1554" s="51">
        <v>65.0</v>
      </c>
      <c r="E1554" s="52" t="s">
        <v>25</v>
      </c>
      <c r="F1554" s="52" t="s">
        <v>26</v>
      </c>
      <c r="G1554" s="53"/>
    </row>
    <row r="1555">
      <c r="A1555" s="49">
        <v>44528.84444818287</v>
      </c>
      <c r="B1555" s="50">
        <v>44528.9694220138</v>
      </c>
      <c r="C1555" s="51">
        <v>1.032</v>
      </c>
      <c r="D1555" s="51">
        <v>65.0</v>
      </c>
      <c r="E1555" s="52" t="s">
        <v>25</v>
      </c>
      <c r="F1555" s="52" t="s">
        <v>26</v>
      </c>
      <c r="G1555" s="53"/>
    </row>
    <row r="1556">
      <c r="A1556" s="49">
        <v>44528.85486840278</v>
      </c>
      <c r="B1556" s="50">
        <v>44528.9798433796</v>
      </c>
      <c r="C1556" s="51">
        <v>1.032</v>
      </c>
      <c r="D1556" s="51">
        <v>65.0</v>
      </c>
      <c r="E1556" s="52" t="s">
        <v>25</v>
      </c>
      <c r="F1556" s="52" t="s">
        <v>26</v>
      </c>
      <c r="G1556" s="53"/>
    </row>
    <row r="1557">
      <c r="A1557" s="49">
        <v>44528.865276446755</v>
      </c>
      <c r="B1557" s="50">
        <v>44528.9902624768</v>
      </c>
      <c r="C1557" s="51">
        <v>1.032</v>
      </c>
      <c r="D1557" s="51">
        <v>65.0</v>
      </c>
      <c r="E1557" s="52" t="s">
        <v>25</v>
      </c>
      <c r="F1557" s="52" t="s">
        <v>26</v>
      </c>
      <c r="G1557" s="53"/>
    </row>
    <row r="1558">
      <c r="A1558" s="49">
        <v>44528.875712291665</v>
      </c>
      <c r="B1558" s="50">
        <v>44529.000682905</v>
      </c>
      <c r="C1558" s="51">
        <v>1.032</v>
      </c>
      <c r="D1558" s="51">
        <v>65.0</v>
      </c>
      <c r="E1558" s="52" t="s">
        <v>25</v>
      </c>
      <c r="F1558" s="52" t="s">
        <v>26</v>
      </c>
      <c r="G1558" s="53"/>
    </row>
    <row r="1559">
      <c r="A1559" s="49">
        <v>44528.88612789352</v>
      </c>
      <c r="B1559" s="50">
        <v>44529.0111040277</v>
      </c>
      <c r="C1559" s="51">
        <v>1.032</v>
      </c>
      <c r="D1559" s="51">
        <v>65.0</v>
      </c>
      <c r="E1559" s="52" t="s">
        <v>25</v>
      </c>
      <c r="F1559" s="52" t="s">
        <v>26</v>
      </c>
      <c r="G1559" s="53"/>
    </row>
    <row r="1560">
      <c r="A1560" s="49">
        <v>44528.896549791665</v>
      </c>
      <c r="B1560" s="50">
        <v>44529.0215262847</v>
      </c>
      <c r="C1560" s="51">
        <v>1.032</v>
      </c>
      <c r="D1560" s="51">
        <v>65.0</v>
      </c>
      <c r="E1560" s="52" t="s">
        <v>25</v>
      </c>
      <c r="F1560" s="52" t="s">
        <v>26</v>
      </c>
      <c r="G1560" s="53"/>
    </row>
    <row r="1561">
      <c r="A1561" s="49">
        <v>44528.90697708333</v>
      </c>
      <c r="B1561" s="50">
        <v>44529.0319478935</v>
      </c>
      <c r="C1561" s="51">
        <v>1.032</v>
      </c>
      <c r="D1561" s="51">
        <v>65.0</v>
      </c>
      <c r="E1561" s="52" t="s">
        <v>25</v>
      </c>
      <c r="F1561" s="52" t="s">
        <v>26</v>
      </c>
      <c r="G1561" s="53"/>
    </row>
    <row r="1562">
      <c r="A1562" s="49">
        <v>44528.91738515046</v>
      </c>
      <c r="B1562" s="50">
        <v>44529.0423686574</v>
      </c>
      <c r="C1562" s="51">
        <v>1.032</v>
      </c>
      <c r="D1562" s="51">
        <v>65.0</v>
      </c>
      <c r="E1562" s="52" t="s">
        <v>25</v>
      </c>
      <c r="F1562" s="52" t="s">
        <v>26</v>
      </c>
      <c r="G1562" s="53"/>
    </row>
    <row r="1563">
      <c r="A1563" s="49">
        <v>44528.927816944444</v>
      </c>
      <c r="B1563" s="50">
        <v>44529.0527911689</v>
      </c>
      <c r="C1563" s="51">
        <v>1.032</v>
      </c>
      <c r="D1563" s="51">
        <v>65.0</v>
      </c>
      <c r="E1563" s="52" t="s">
        <v>25</v>
      </c>
      <c r="F1563" s="52" t="s">
        <v>26</v>
      </c>
      <c r="G1563" s="53"/>
    </row>
    <row r="1564">
      <c r="A1564" s="49">
        <v>44528.93823515046</v>
      </c>
      <c r="B1564" s="50">
        <v>44529.0632105439</v>
      </c>
      <c r="C1564" s="51">
        <v>1.032</v>
      </c>
      <c r="D1564" s="51">
        <v>65.0</v>
      </c>
      <c r="E1564" s="52" t="s">
        <v>25</v>
      </c>
      <c r="F1564" s="52" t="s">
        <v>26</v>
      </c>
      <c r="G1564" s="53"/>
    </row>
    <row r="1565">
      <c r="A1565" s="49">
        <v>44528.94865126157</v>
      </c>
      <c r="B1565" s="50">
        <v>44529.0736320717</v>
      </c>
      <c r="C1565" s="51">
        <v>1.032</v>
      </c>
      <c r="D1565" s="51">
        <v>65.0</v>
      </c>
      <c r="E1565" s="52" t="s">
        <v>25</v>
      </c>
      <c r="F1565" s="52" t="s">
        <v>26</v>
      </c>
      <c r="G1565" s="53"/>
    </row>
    <row r="1566">
      <c r="A1566" s="49">
        <v>44528.959082835645</v>
      </c>
      <c r="B1566" s="50">
        <v>44529.0840523495</v>
      </c>
      <c r="C1566" s="51">
        <v>1.032</v>
      </c>
      <c r="D1566" s="51">
        <v>65.0</v>
      </c>
      <c r="E1566" s="52" t="s">
        <v>25</v>
      </c>
      <c r="F1566" s="52" t="s">
        <v>26</v>
      </c>
      <c r="G1566" s="53"/>
    </row>
    <row r="1567">
      <c r="A1567" s="49">
        <v>44528.969500520834</v>
      </c>
      <c r="B1567" s="50">
        <v>44529.0944737962</v>
      </c>
      <c r="C1567" s="51">
        <v>1.032</v>
      </c>
      <c r="D1567" s="51">
        <v>65.0</v>
      </c>
      <c r="E1567" s="52" t="s">
        <v>25</v>
      </c>
      <c r="F1567" s="52" t="s">
        <v>26</v>
      </c>
      <c r="G1567" s="53"/>
    </row>
    <row r="1568">
      <c r="A1568" s="49">
        <v>44528.97993313658</v>
      </c>
      <c r="B1568" s="50">
        <v>44529.104905405</v>
      </c>
      <c r="C1568" s="51">
        <v>1.032</v>
      </c>
      <c r="D1568" s="51">
        <v>65.0</v>
      </c>
      <c r="E1568" s="52" t="s">
        <v>25</v>
      </c>
      <c r="F1568" s="52" t="s">
        <v>26</v>
      </c>
      <c r="G1568" s="53"/>
    </row>
    <row r="1569">
      <c r="A1569" s="49">
        <v>44528.99034974537</v>
      </c>
      <c r="B1569" s="50">
        <v>44529.1153255555</v>
      </c>
      <c r="C1569" s="51">
        <v>1.032</v>
      </c>
      <c r="D1569" s="51">
        <v>65.0</v>
      </c>
      <c r="E1569" s="52" t="s">
        <v>25</v>
      </c>
      <c r="F1569" s="52" t="s">
        <v>26</v>
      </c>
      <c r="G1569" s="53"/>
    </row>
    <row r="1570">
      <c r="A1570" s="49">
        <v>44529.000761435185</v>
      </c>
      <c r="B1570" s="50">
        <v>44529.1257465046</v>
      </c>
      <c r="C1570" s="51">
        <v>1.032</v>
      </c>
      <c r="D1570" s="51">
        <v>65.0</v>
      </c>
      <c r="E1570" s="52" t="s">
        <v>25</v>
      </c>
      <c r="F1570" s="52" t="s">
        <v>26</v>
      </c>
      <c r="G1570" s="53"/>
    </row>
    <row r="1571">
      <c r="A1571" s="49">
        <v>44529.011191701386</v>
      </c>
      <c r="B1571" s="50">
        <v>44529.1361671643</v>
      </c>
      <c r="C1571" s="51">
        <v>1.032</v>
      </c>
      <c r="D1571" s="51">
        <v>65.0</v>
      </c>
      <c r="E1571" s="52" t="s">
        <v>25</v>
      </c>
      <c r="F1571" s="52" t="s">
        <v>26</v>
      </c>
      <c r="G1571" s="53"/>
    </row>
    <row r="1572">
      <c r="A1572" s="49">
        <v>44529.02160634259</v>
      </c>
      <c r="B1572" s="50">
        <v>44529.1465888888</v>
      </c>
      <c r="C1572" s="51">
        <v>1.032</v>
      </c>
      <c r="D1572" s="51">
        <v>65.0</v>
      </c>
      <c r="E1572" s="52" t="s">
        <v>25</v>
      </c>
      <c r="F1572" s="52" t="s">
        <v>26</v>
      </c>
      <c r="G1572" s="53"/>
    </row>
    <row r="1573">
      <c r="A1573" s="49">
        <v>44529.03204827546</v>
      </c>
      <c r="B1573" s="50">
        <v>44529.1570221643</v>
      </c>
      <c r="C1573" s="51">
        <v>1.032</v>
      </c>
      <c r="D1573" s="51">
        <v>65.0</v>
      </c>
      <c r="E1573" s="52" t="s">
        <v>25</v>
      </c>
      <c r="F1573" s="52" t="s">
        <v>26</v>
      </c>
      <c r="G1573" s="53"/>
    </row>
    <row r="1574">
      <c r="A1574" s="49">
        <v>44529.04247</v>
      </c>
      <c r="B1574" s="50">
        <v>44529.1674444675</v>
      </c>
      <c r="C1574" s="51">
        <v>1.032</v>
      </c>
      <c r="D1574" s="51">
        <v>64.0</v>
      </c>
      <c r="E1574" s="52" t="s">
        <v>25</v>
      </c>
      <c r="F1574" s="52" t="s">
        <v>26</v>
      </c>
      <c r="G1574" s="53"/>
    </row>
    <row r="1575">
      <c r="A1575" s="49">
        <v>44529.05288293981</v>
      </c>
      <c r="B1575" s="50">
        <v>44529.1778653009</v>
      </c>
      <c r="C1575" s="51">
        <v>1.032</v>
      </c>
      <c r="D1575" s="51">
        <v>65.0</v>
      </c>
      <c r="E1575" s="52" t="s">
        <v>25</v>
      </c>
      <c r="F1575" s="52" t="s">
        <v>26</v>
      </c>
      <c r="G1575" s="53"/>
    </row>
    <row r="1576">
      <c r="A1576" s="49">
        <v>44529.063310868056</v>
      </c>
      <c r="B1576" s="50">
        <v>44529.1882861805</v>
      </c>
      <c r="C1576" s="51">
        <v>1.032</v>
      </c>
      <c r="D1576" s="51">
        <v>65.0</v>
      </c>
      <c r="E1576" s="52" t="s">
        <v>25</v>
      </c>
      <c r="F1576" s="52" t="s">
        <v>26</v>
      </c>
      <c r="G1576" s="53"/>
    </row>
    <row r="1577">
      <c r="A1577" s="49">
        <v>44529.073734756945</v>
      </c>
      <c r="B1577" s="50">
        <v>44529.1987062731</v>
      </c>
      <c r="C1577" s="51">
        <v>1.031</v>
      </c>
      <c r="D1577" s="51">
        <v>65.0</v>
      </c>
      <c r="E1577" s="52" t="s">
        <v>25</v>
      </c>
      <c r="F1577" s="52" t="s">
        <v>26</v>
      </c>
      <c r="G1577" s="53"/>
    </row>
    <row r="1578">
      <c r="A1578" s="49">
        <v>44529.084176435186</v>
      </c>
      <c r="B1578" s="50">
        <v>44529.2091400694</v>
      </c>
      <c r="C1578" s="51">
        <v>1.031</v>
      </c>
      <c r="D1578" s="51">
        <v>65.0</v>
      </c>
      <c r="E1578" s="52" t="s">
        <v>25</v>
      </c>
      <c r="F1578" s="52" t="s">
        <v>26</v>
      </c>
      <c r="G1578" s="53"/>
    </row>
    <row r="1579">
      <c r="A1579" s="49">
        <v>44529.09458548611</v>
      </c>
      <c r="B1579" s="50">
        <v>44529.2195622106</v>
      </c>
      <c r="C1579" s="51">
        <v>1.031</v>
      </c>
      <c r="D1579" s="51">
        <v>65.0</v>
      </c>
      <c r="E1579" s="52" t="s">
        <v>25</v>
      </c>
      <c r="F1579" s="52" t="s">
        <v>26</v>
      </c>
      <c r="G1579" s="53"/>
    </row>
    <row r="1580">
      <c r="A1580" s="49">
        <v>44529.10501047454</v>
      </c>
      <c r="B1580" s="50">
        <v>44529.2299822685</v>
      </c>
      <c r="C1580" s="51">
        <v>1.032</v>
      </c>
      <c r="D1580" s="51">
        <v>65.0</v>
      </c>
      <c r="E1580" s="52" t="s">
        <v>25</v>
      </c>
      <c r="F1580" s="52" t="s">
        <v>26</v>
      </c>
      <c r="G1580" s="53"/>
    </row>
    <row r="1581">
      <c r="A1581" s="49">
        <v>44529.11542391204</v>
      </c>
      <c r="B1581" s="50">
        <v>44529.2404036574</v>
      </c>
      <c r="C1581" s="51">
        <v>1.031</v>
      </c>
      <c r="D1581" s="51">
        <v>65.0</v>
      </c>
      <c r="E1581" s="52" t="s">
        <v>25</v>
      </c>
      <c r="F1581" s="52" t="s">
        <v>26</v>
      </c>
      <c r="G1581" s="53"/>
    </row>
    <row r="1582">
      <c r="A1582" s="49">
        <v>44529.12586075232</v>
      </c>
      <c r="B1582" s="50">
        <v>44529.2508366782</v>
      </c>
      <c r="C1582" s="51">
        <v>1.031</v>
      </c>
      <c r="D1582" s="51">
        <v>65.0</v>
      </c>
      <c r="E1582" s="52" t="s">
        <v>25</v>
      </c>
      <c r="F1582" s="52" t="s">
        <v>26</v>
      </c>
      <c r="G1582" s="53"/>
    </row>
    <row r="1583">
      <c r="A1583" s="49">
        <v>44529.13628611111</v>
      </c>
      <c r="B1583" s="50">
        <v>44529.2612590046</v>
      </c>
      <c r="C1583" s="51">
        <v>1.031</v>
      </c>
      <c r="D1583" s="51">
        <v>65.0</v>
      </c>
      <c r="E1583" s="52" t="s">
        <v>25</v>
      </c>
      <c r="F1583" s="52" t="s">
        <v>26</v>
      </c>
      <c r="G1583" s="53"/>
    </row>
    <row r="1584">
      <c r="A1584" s="49">
        <v>44529.14670133102</v>
      </c>
      <c r="B1584" s="50">
        <v>44529.2716795949</v>
      </c>
      <c r="C1584" s="51">
        <v>1.031</v>
      </c>
      <c r="D1584" s="51">
        <v>65.0</v>
      </c>
      <c r="E1584" s="52" t="s">
        <v>25</v>
      </c>
      <c r="F1584" s="52" t="s">
        <v>26</v>
      </c>
      <c r="G1584" s="53"/>
    </row>
    <row r="1585">
      <c r="A1585" s="49">
        <v>44529.15712208333</v>
      </c>
      <c r="B1585" s="50">
        <v>44529.2821010763</v>
      </c>
      <c r="C1585" s="51">
        <v>1.031</v>
      </c>
      <c r="D1585" s="51">
        <v>65.0</v>
      </c>
      <c r="E1585" s="52" t="s">
        <v>25</v>
      </c>
      <c r="F1585" s="52" t="s">
        <v>26</v>
      </c>
      <c r="G1585" s="53"/>
    </row>
    <row r="1586">
      <c r="A1586" s="49">
        <v>44529.16754196759</v>
      </c>
      <c r="B1586" s="50">
        <v>44529.2925211689</v>
      </c>
      <c r="C1586" s="51">
        <v>1.031</v>
      </c>
      <c r="D1586" s="51">
        <v>64.0</v>
      </c>
      <c r="E1586" s="52" t="s">
        <v>25</v>
      </c>
      <c r="F1586" s="52" t="s">
        <v>26</v>
      </c>
      <c r="G1586" s="53"/>
    </row>
    <row r="1587">
      <c r="A1587" s="49">
        <v>44529.17796302083</v>
      </c>
      <c r="B1587" s="50">
        <v>44529.302941331</v>
      </c>
      <c r="C1587" s="51">
        <v>1.031</v>
      </c>
      <c r="D1587" s="51">
        <v>65.0</v>
      </c>
      <c r="E1587" s="52" t="s">
        <v>25</v>
      </c>
      <c r="F1587" s="52" t="s">
        <v>26</v>
      </c>
      <c r="G1587" s="53"/>
    </row>
    <row r="1588">
      <c r="A1588" s="49">
        <v>44529.18838857639</v>
      </c>
      <c r="B1588" s="50">
        <v>44529.3133609027</v>
      </c>
      <c r="C1588" s="51">
        <v>1.031</v>
      </c>
      <c r="D1588" s="51">
        <v>64.0</v>
      </c>
      <c r="E1588" s="52" t="s">
        <v>25</v>
      </c>
      <c r="F1588" s="52" t="s">
        <v>26</v>
      </c>
      <c r="G1588" s="53"/>
    </row>
    <row r="1589">
      <c r="A1589" s="49">
        <v>44529.19880438657</v>
      </c>
      <c r="B1589" s="50">
        <v>44529.323781412</v>
      </c>
      <c r="C1589" s="51">
        <v>1.031</v>
      </c>
      <c r="D1589" s="51">
        <v>64.0</v>
      </c>
      <c r="E1589" s="52" t="s">
        <v>25</v>
      </c>
      <c r="F1589" s="52" t="s">
        <v>26</v>
      </c>
      <c r="G1589" s="53"/>
    </row>
    <row r="1590">
      <c r="A1590" s="49">
        <v>44529.20924353009</v>
      </c>
      <c r="B1590" s="50">
        <v>44529.3342018634</v>
      </c>
      <c r="C1590" s="51">
        <v>1.031</v>
      </c>
      <c r="D1590" s="51">
        <v>65.0</v>
      </c>
      <c r="E1590" s="52" t="s">
        <v>25</v>
      </c>
      <c r="F1590" s="52" t="s">
        <v>26</v>
      </c>
      <c r="G1590" s="53"/>
    </row>
    <row r="1591">
      <c r="A1591" s="49">
        <v>44529.21965035879</v>
      </c>
      <c r="B1591" s="50">
        <v>44529.3446210648</v>
      </c>
      <c r="C1591" s="51">
        <v>1.031</v>
      </c>
      <c r="D1591" s="51">
        <v>65.0</v>
      </c>
      <c r="E1591" s="52" t="s">
        <v>25</v>
      </c>
      <c r="F1591" s="52" t="s">
        <v>26</v>
      </c>
      <c r="G1591" s="53"/>
    </row>
    <row r="1592">
      <c r="A1592" s="49">
        <v>44529.23006673611</v>
      </c>
      <c r="B1592" s="50">
        <v>44529.3550418402</v>
      </c>
      <c r="C1592" s="51">
        <v>1.031</v>
      </c>
      <c r="D1592" s="51">
        <v>64.0</v>
      </c>
      <c r="E1592" s="52" t="s">
        <v>25</v>
      </c>
      <c r="F1592" s="52" t="s">
        <v>26</v>
      </c>
      <c r="G1592" s="53"/>
    </row>
    <row r="1593">
      <c r="A1593" s="49">
        <v>44529.24049510417</v>
      </c>
      <c r="B1593" s="50">
        <v>44529.3654639004</v>
      </c>
      <c r="C1593" s="51">
        <v>1.031</v>
      </c>
      <c r="D1593" s="51">
        <v>65.0</v>
      </c>
      <c r="E1593" s="52" t="s">
        <v>25</v>
      </c>
      <c r="F1593" s="52" t="s">
        <v>26</v>
      </c>
      <c r="G1593" s="53"/>
    </row>
    <row r="1594">
      <c r="A1594" s="49">
        <v>44529.250912627314</v>
      </c>
      <c r="B1594" s="50">
        <v>44529.3758862731</v>
      </c>
      <c r="C1594" s="51">
        <v>1.031</v>
      </c>
      <c r="D1594" s="51">
        <v>65.0</v>
      </c>
      <c r="E1594" s="52" t="s">
        <v>25</v>
      </c>
      <c r="F1594" s="52" t="s">
        <v>26</v>
      </c>
      <c r="G1594" s="53"/>
    </row>
    <row r="1595">
      <c r="A1595" s="49">
        <v>44529.2613300463</v>
      </c>
      <c r="B1595" s="50">
        <v>44529.3863076157</v>
      </c>
      <c r="C1595" s="51">
        <v>1.031</v>
      </c>
      <c r="D1595" s="51">
        <v>65.0</v>
      </c>
      <c r="E1595" s="52" t="s">
        <v>25</v>
      </c>
      <c r="F1595" s="52" t="s">
        <v>26</v>
      </c>
      <c r="G1595" s="53"/>
    </row>
    <row r="1596">
      <c r="A1596" s="49">
        <v>44529.271760821764</v>
      </c>
      <c r="B1596" s="50">
        <v>44529.3967270486</v>
      </c>
      <c r="C1596" s="51">
        <v>1.031</v>
      </c>
      <c r="D1596" s="51">
        <v>64.0</v>
      </c>
      <c r="E1596" s="52" t="s">
        <v>25</v>
      </c>
      <c r="F1596" s="52" t="s">
        <v>26</v>
      </c>
      <c r="G1596" s="53"/>
    </row>
    <row r="1597">
      <c r="A1597" s="49">
        <v>44529.28217803241</v>
      </c>
      <c r="B1597" s="50">
        <v>44529.4071481597</v>
      </c>
      <c r="C1597" s="51">
        <v>1.031</v>
      </c>
      <c r="D1597" s="51">
        <v>64.0</v>
      </c>
      <c r="E1597" s="52" t="s">
        <v>25</v>
      </c>
      <c r="F1597" s="52" t="s">
        <v>26</v>
      </c>
      <c r="G1597" s="53"/>
    </row>
    <row r="1598">
      <c r="A1598" s="49">
        <v>44529.29260166667</v>
      </c>
      <c r="B1598" s="50">
        <v>44529.4175695833</v>
      </c>
      <c r="C1598" s="51">
        <v>1.031</v>
      </c>
      <c r="D1598" s="51">
        <v>65.0</v>
      </c>
      <c r="E1598" s="52" t="s">
        <v>25</v>
      </c>
      <c r="F1598" s="52" t="s">
        <v>26</v>
      </c>
      <c r="G1598" s="53"/>
    </row>
    <row r="1599">
      <c r="A1599" s="49">
        <v>44529.30301668981</v>
      </c>
      <c r="B1599" s="50">
        <v>44529.427990868</v>
      </c>
      <c r="C1599" s="51">
        <v>1.031</v>
      </c>
      <c r="D1599" s="51">
        <v>64.0</v>
      </c>
      <c r="E1599" s="52" t="s">
        <v>25</v>
      </c>
      <c r="F1599" s="52" t="s">
        <v>26</v>
      </c>
      <c r="G1599" s="53"/>
    </row>
    <row r="1600">
      <c r="A1600" s="49">
        <v>44529.313449837966</v>
      </c>
      <c r="B1600" s="50">
        <v>44529.4384226504</v>
      </c>
      <c r="C1600" s="51">
        <v>1.031</v>
      </c>
      <c r="D1600" s="51">
        <v>64.0</v>
      </c>
      <c r="E1600" s="52" t="s">
        <v>25</v>
      </c>
      <c r="F1600" s="52" t="s">
        <v>26</v>
      </c>
      <c r="G1600" s="53"/>
    </row>
    <row r="1601">
      <c r="A1601" s="49">
        <v>44529.32388568287</v>
      </c>
      <c r="B1601" s="50">
        <v>44529.4488569328</v>
      </c>
      <c r="C1601" s="51">
        <v>1.031</v>
      </c>
      <c r="D1601" s="51">
        <v>64.0</v>
      </c>
      <c r="E1601" s="52" t="s">
        <v>25</v>
      </c>
      <c r="F1601" s="52" t="s">
        <v>26</v>
      </c>
      <c r="G1601" s="53"/>
    </row>
    <row r="1602">
      <c r="A1602" s="49">
        <v>44529.33430604167</v>
      </c>
      <c r="B1602" s="50">
        <v>44529.4592781018</v>
      </c>
      <c r="C1602" s="51">
        <v>1.031</v>
      </c>
      <c r="D1602" s="51">
        <v>65.0</v>
      </c>
      <c r="E1602" s="52" t="s">
        <v>25</v>
      </c>
      <c r="F1602" s="52" t="s">
        <v>26</v>
      </c>
      <c r="G1602" s="53"/>
    </row>
    <row r="1603">
      <c r="A1603" s="49">
        <v>44529.34474027778</v>
      </c>
      <c r="B1603" s="50">
        <v>44529.4697115277</v>
      </c>
      <c r="C1603" s="51">
        <v>1.031</v>
      </c>
      <c r="D1603" s="51">
        <v>64.0</v>
      </c>
      <c r="E1603" s="52" t="s">
        <v>25</v>
      </c>
      <c r="F1603" s="52" t="s">
        <v>26</v>
      </c>
      <c r="G1603" s="53"/>
    </row>
    <row r="1604">
      <c r="A1604" s="49">
        <v>44529.35515423611</v>
      </c>
      <c r="B1604" s="50">
        <v>44529.4801348958</v>
      </c>
      <c r="C1604" s="51">
        <v>1.031</v>
      </c>
      <c r="D1604" s="51">
        <v>64.0</v>
      </c>
      <c r="E1604" s="52" t="s">
        <v>25</v>
      </c>
      <c r="F1604" s="52" t="s">
        <v>26</v>
      </c>
      <c r="G1604" s="53"/>
    </row>
    <row r="1605">
      <c r="A1605" s="49">
        <v>44529.365589768524</v>
      </c>
      <c r="B1605" s="50">
        <v>44529.490566956</v>
      </c>
      <c r="C1605" s="51">
        <v>1.031</v>
      </c>
      <c r="D1605" s="51">
        <v>64.0</v>
      </c>
      <c r="E1605" s="52" t="s">
        <v>25</v>
      </c>
      <c r="F1605" s="52" t="s">
        <v>26</v>
      </c>
      <c r="G1605" s="53"/>
    </row>
    <row r="1606">
      <c r="A1606" s="49">
        <v>44529.37602648148</v>
      </c>
      <c r="B1606" s="50">
        <v>44529.500999618</v>
      </c>
      <c r="C1606" s="51">
        <v>1.031</v>
      </c>
      <c r="D1606" s="51">
        <v>64.0</v>
      </c>
      <c r="E1606" s="52" t="s">
        <v>25</v>
      </c>
      <c r="F1606" s="52" t="s">
        <v>26</v>
      </c>
      <c r="G1606" s="53"/>
    </row>
    <row r="1607">
      <c r="A1607" s="49">
        <v>44529.3864899537</v>
      </c>
      <c r="B1607" s="50">
        <v>44529.5114658564</v>
      </c>
      <c r="C1607" s="51">
        <v>1.031</v>
      </c>
      <c r="D1607" s="51">
        <v>64.0</v>
      </c>
      <c r="E1607" s="52" t="s">
        <v>25</v>
      </c>
      <c r="F1607" s="52" t="s">
        <v>26</v>
      </c>
      <c r="G1607" s="53"/>
    </row>
    <row r="1608">
      <c r="A1608" s="49">
        <v>44529.3969022338</v>
      </c>
      <c r="B1608" s="50">
        <v>44529.5218848379</v>
      </c>
      <c r="C1608" s="51">
        <v>1.031</v>
      </c>
      <c r="D1608" s="51">
        <v>64.0</v>
      </c>
      <c r="E1608" s="52" t="s">
        <v>25</v>
      </c>
      <c r="F1608" s="52" t="s">
        <v>26</v>
      </c>
      <c r="G1608" s="53"/>
    </row>
    <row r="1609">
      <c r="A1609" s="49">
        <v>44529.40733599537</v>
      </c>
      <c r="B1609" s="50">
        <v>44529.5323049305</v>
      </c>
      <c r="C1609" s="51">
        <v>1.031</v>
      </c>
      <c r="D1609" s="51">
        <v>64.0</v>
      </c>
      <c r="E1609" s="52" t="s">
        <v>25</v>
      </c>
      <c r="F1609" s="52" t="s">
        <v>26</v>
      </c>
      <c r="G1609" s="53"/>
    </row>
    <row r="1610">
      <c r="A1610" s="49">
        <v>44529.41775763889</v>
      </c>
      <c r="B1610" s="50">
        <v>44529.5427261574</v>
      </c>
      <c r="C1610" s="51">
        <v>1.031</v>
      </c>
      <c r="D1610" s="51">
        <v>64.0</v>
      </c>
      <c r="E1610" s="52" t="s">
        <v>25</v>
      </c>
      <c r="F1610" s="52" t="s">
        <v>26</v>
      </c>
      <c r="G1610" s="53"/>
    </row>
    <row r="1611">
      <c r="A1611" s="49">
        <v>44529.42817060185</v>
      </c>
      <c r="B1611" s="50">
        <v>44529.5531457523</v>
      </c>
      <c r="C1611" s="51">
        <v>1.031</v>
      </c>
      <c r="D1611" s="51">
        <v>64.0</v>
      </c>
      <c r="E1611" s="52" t="s">
        <v>25</v>
      </c>
      <c r="F1611" s="52" t="s">
        <v>26</v>
      </c>
      <c r="G1611" s="53"/>
    </row>
    <row r="1612">
      <c r="A1612" s="49">
        <v>44529.43859517361</v>
      </c>
      <c r="B1612" s="50">
        <v>44529.5635672685</v>
      </c>
      <c r="C1612" s="51">
        <v>1.031</v>
      </c>
      <c r="D1612" s="51">
        <v>64.0</v>
      </c>
      <c r="E1612" s="52" t="s">
        <v>25</v>
      </c>
      <c r="F1612" s="52" t="s">
        <v>26</v>
      </c>
      <c r="G1612" s="53"/>
    </row>
    <row r="1613">
      <c r="A1613" s="49">
        <v>44529.449022291665</v>
      </c>
      <c r="B1613" s="50">
        <v>44529.5740005208</v>
      </c>
      <c r="C1613" s="51">
        <v>1.031</v>
      </c>
      <c r="D1613" s="51">
        <v>64.0</v>
      </c>
      <c r="E1613" s="52" t="s">
        <v>25</v>
      </c>
      <c r="F1613" s="52" t="s">
        <v>26</v>
      </c>
      <c r="G1613" s="53"/>
    </row>
    <row r="1614">
      <c r="A1614" s="49">
        <v>44529.459439432874</v>
      </c>
      <c r="B1614" s="50">
        <v>44529.5844193287</v>
      </c>
      <c r="C1614" s="51">
        <v>1.031</v>
      </c>
      <c r="D1614" s="51">
        <v>64.0</v>
      </c>
      <c r="E1614" s="52" t="s">
        <v>25</v>
      </c>
      <c r="F1614" s="52" t="s">
        <v>26</v>
      </c>
      <c r="G1614" s="53"/>
    </row>
    <row r="1615">
      <c r="A1615" s="49">
        <v>44529.46986752315</v>
      </c>
      <c r="B1615" s="50">
        <v>44529.5948392245</v>
      </c>
      <c r="C1615" s="51">
        <v>1.031</v>
      </c>
      <c r="D1615" s="51">
        <v>64.0</v>
      </c>
      <c r="E1615" s="52" t="s">
        <v>25</v>
      </c>
      <c r="F1615" s="52" t="s">
        <v>26</v>
      </c>
      <c r="G1615" s="53"/>
    </row>
    <row r="1616">
      <c r="A1616" s="49">
        <v>44529.48028509259</v>
      </c>
      <c r="B1616" s="50">
        <v>44529.6052624305</v>
      </c>
      <c r="C1616" s="51">
        <v>1.031</v>
      </c>
      <c r="D1616" s="51">
        <v>64.0</v>
      </c>
      <c r="E1616" s="52" t="s">
        <v>25</v>
      </c>
      <c r="F1616" s="52" t="s">
        <v>26</v>
      </c>
      <c r="G1616" s="53"/>
    </row>
    <row r="1617">
      <c r="A1617" s="49">
        <v>44529.49071288195</v>
      </c>
      <c r="B1617" s="50">
        <v>44529.6156845601</v>
      </c>
      <c r="C1617" s="51">
        <v>1.031</v>
      </c>
      <c r="D1617" s="51">
        <v>64.0</v>
      </c>
      <c r="E1617" s="52" t="s">
        <v>25</v>
      </c>
      <c r="F1617" s="52" t="s">
        <v>26</v>
      </c>
      <c r="G1617" s="53"/>
    </row>
    <row r="1618">
      <c r="A1618" s="49">
        <v>44529.50113121528</v>
      </c>
      <c r="B1618" s="50">
        <v>44529.6261068981</v>
      </c>
      <c r="C1618" s="51">
        <v>1.031</v>
      </c>
      <c r="D1618" s="51">
        <v>64.0</v>
      </c>
      <c r="E1618" s="52" t="s">
        <v>25</v>
      </c>
      <c r="F1618" s="52" t="s">
        <v>26</v>
      </c>
      <c r="G1618" s="53"/>
    </row>
    <row r="1619">
      <c r="A1619" s="49">
        <v>44529.511549849536</v>
      </c>
      <c r="B1619" s="50">
        <v>44529.6365278124</v>
      </c>
      <c r="C1619" s="51">
        <v>1.031</v>
      </c>
      <c r="D1619" s="51">
        <v>64.0</v>
      </c>
      <c r="E1619" s="52" t="s">
        <v>25</v>
      </c>
      <c r="F1619" s="52" t="s">
        <v>26</v>
      </c>
      <c r="G1619" s="53"/>
    </row>
    <row r="1620">
      <c r="A1620" s="49">
        <v>44529.521976516204</v>
      </c>
      <c r="B1620" s="50">
        <v>44529.6469488425</v>
      </c>
      <c r="C1620" s="51">
        <v>1.031</v>
      </c>
      <c r="D1620" s="51">
        <v>64.0</v>
      </c>
      <c r="E1620" s="52" t="s">
        <v>25</v>
      </c>
      <c r="F1620" s="52" t="s">
        <v>26</v>
      </c>
      <c r="G1620" s="53"/>
    </row>
    <row r="1621">
      <c r="A1621" s="49">
        <v>44529.532395381946</v>
      </c>
      <c r="B1621" s="50">
        <v>44529.6573684027</v>
      </c>
      <c r="C1621" s="51">
        <v>1.031</v>
      </c>
      <c r="D1621" s="51">
        <v>64.0</v>
      </c>
      <c r="E1621" s="52" t="s">
        <v>25</v>
      </c>
      <c r="F1621" s="52" t="s">
        <v>26</v>
      </c>
      <c r="G1621" s="53"/>
    </row>
    <row r="1622">
      <c r="A1622" s="49">
        <v>44529.54280790509</v>
      </c>
      <c r="B1622" s="50">
        <v>44529.6677874421</v>
      </c>
      <c r="C1622" s="51">
        <v>1.031</v>
      </c>
      <c r="D1622" s="51">
        <v>64.0</v>
      </c>
      <c r="E1622" s="52" t="s">
        <v>25</v>
      </c>
      <c r="F1622" s="52" t="s">
        <v>26</v>
      </c>
      <c r="G1622" s="53"/>
    </row>
    <row r="1623">
      <c r="A1623" s="49">
        <v>44529.5532364699</v>
      </c>
      <c r="B1623" s="50">
        <v>44529.6782081712</v>
      </c>
      <c r="C1623" s="51">
        <v>1.031</v>
      </c>
      <c r="D1623" s="51">
        <v>64.0</v>
      </c>
      <c r="E1623" s="52" t="s">
        <v>25</v>
      </c>
      <c r="F1623" s="52" t="s">
        <v>26</v>
      </c>
      <c r="G1623" s="53"/>
    </row>
    <row r="1624">
      <c r="A1624" s="49">
        <v>44529.56365386574</v>
      </c>
      <c r="B1624" s="50">
        <v>44529.6886294675</v>
      </c>
      <c r="C1624" s="51">
        <v>1.031</v>
      </c>
      <c r="D1624" s="51">
        <v>64.0</v>
      </c>
      <c r="E1624" s="52" t="s">
        <v>25</v>
      </c>
      <c r="F1624" s="52" t="s">
        <v>26</v>
      </c>
      <c r="G1624" s="53"/>
    </row>
    <row r="1625">
      <c r="A1625" s="49">
        <v>44529.574073553245</v>
      </c>
      <c r="B1625" s="50">
        <v>44529.6990508333</v>
      </c>
      <c r="C1625" s="51">
        <v>1.03</v>
      </c>
      <c r="D1625" s="51">
        <v>64.0</v>
      </c>
      <c r="E1625" s="52" t="s">
        <v>25</v>
      </c>
      <c r="F1625" s="52" t="s">
        <v>26</v>
      </c>
      <c r="G1625" s="53"/>
    </row>
    <row r="1626">
      <c r="A1626" s="49">
        <v>44529.58450123842</v>
      </c>
      <c r="B1626" s="50">
        <v>44529.7094705208</v>
      </c>
      <c r="C1626" s="51">
        <v>1.031</v>
      </c>
      <c r="D1626" s="51">
        <v>64.0</v>
      </c>
      <c r="E1626" s="52" t="s">
        <v>25</v>
      </c>
      <c r="F1626" s="52" t="s">
        <v>26</v>
      </c>
      <c r="G1626" s="53"/>
    </row>
    <row r="1627">
      <c r="A1627" s="49">
        <v>44529.594930949075</v>
      </c>
      <c r="B1627" s="50">
        <v>44529.7199030671</v>
      </c>
      <c r="C1627" s="51">
        <v>1.031</v>
      </c>
      <c r="D1627" s="51">
        <v>64.0</v>
      </c>
      <c r="E1627" s="52" t="s">
        <v>25</v>
      </c>
      <c r="F1627" s="52" t="s">
        <v>26</v>
      </c>
      <c r="G1627" s="53"/>
    </row>
    <row r="1628">
      <c r="A1628" s="49">
        <v>44529.605359814814</v>
      </c>
      <c r="B1628" s="50">
        <v>44529.730323287</v>
      </c>
      <c r="C1628" s="51">
        <v>1.031</v>
      </c>
      <c r="D1628" s="51">
        <v>64.0</v>
      </c>
      <c r="E1628" s="52" t="s">
        <v>25</v>
      </c>
      <c r="F1628" s="52" t="s">
        <v>26</v>
      </c>
      <c r="G1628" s="53"/>
    </row>
    <row r="1629">
      <c r="A1629" s="49">
        <v>44529.62620295139</v>
      </c>
      <c r="B1629" s="50">
        <v>44529.7511675578</v>
      </c>
      <c r="C1629" s="51">
        <v>1.031</v>
      </c>
      <c r="D1629" s="51">
        <v>64.0</v>
      </c>
      <c r="E1629" s="52" t="s">
        <v>25</v>
      </c>
      <c r="F1629" s="52" t="s">
        <v>26</v>
      </c>
      <c r="G1629" s="53"/>
    </row>
    <row r="1630">
      <c r="A1630" s="49">
        <v>44529.636614675925</v>
      </c>
      <c r="B1630" s="50">
        <v>44529.7615888425</v>
      </c>
      <c r="C1630" s="51">
        <v>1.03</v>
      </c>
      <c r="D1630" s="51">
        <v>64.0</v>
      </c>
      <c r="E1630" s="52" t="s">
        <v>25</v>
      </c>
      <c r="F1630" s="52" t="s">
        <v>26</v>
      </c>
      <c r="G1630" s="53"/>
    </row>
    <row r="1631">
      <c r="A1631" s="49">
        <v>44529.647041539356</v>
      </c>
      <c r="B1631" s="50">
        <v>44529.7720093865</v>
      </c>
      <c r="C1631" s="51">
        <v>1.031</v>
      </c>
      <c r="D1631" s="51">
        <v>64.0</v>
      </c>
      <c r="E1631" s="52" t="s">
        <v>25</v>
      </c>
      <c r="F1631" s="52" t="s">
        <v>26</v>
      </c>
      <c r="G1631" s="53"/>
    </row>
    <row r="1632">
      <c r="A1632" s="49">
        <v>44529.657455810186</v>
      </c>
      <c r="B1632" s="50">
        <v>44529.7824321064</v>
      </c>
      <c r="C1632" s="51">
        <v>1.031</v>
      </c>
      <c r="D1632" s="51">
        <v>64.0</v>
      </c>
      <c r="E1632" s="52" t="s">
        <v>25</v>
      </c>
      <c r="F1632" s="52" t="s">
        <v>26</v>
      </c>
      <c r="G1632" s="53"/>
    </row>
    <row r="1633">
      <c r="A1633" s="49">
        <v>44529.66788488426</v>
      </c>
      <c r="B1633" s="50">
        <v>44529.7928521412</v>
      </c>
      <c r="C1633" s="51">
        <v>1.031</v>
      </c>
      <c r="D1633" s="51">
        <v>64.0</v>
      </c>
      <c r="E1633" s="52" t="s">
        <v>25</v>
      </c>
      <c r="F1633" s="52" t="s">
        <v>26</v>
      </c>
      <c r="G1633" s="53"/>
    </row>
    <row r="1634">
      <c r="A1634" s="49">
        <v>44529.67829938658</v>
      </c>
      <c r="B1634" s="50">
        <v>44529.8032737384</v>
      </c>
      <c r="C1634" s="51">
        <v>1.031</v>
      </c>
      <c r="D1634" s="51">
        <v>64.0</v>
      </c>
      <c r="E1634" s="52" t="s">
        <v>25</v>
      </c>
      <c r="F1634" s="52" t="s">
        <v>26</v>
      </c>
      <c r="G1634" s="53"/>
    </row>
    <row r="1635">
      <c r="A1635" s="49">
        <v>44529.688724340274</v>
      </c>
      <c r="B1635" s="50">
        <v>44529.8136940277</v>
      </c>
      <c r="C1635" s="51">
        <v>1.03</v>
      </c>
      <c r="D1635" s="51">
        <v>64.0</v>
      </c>
      <c r="E1635" s="52" t="s">
        <v>25</v>
      </c>
      <c r="F1635" s="52" t="s">
        <v>26</v>
      </c>
      <c r="G1635" s="53"/>
    </row>
    <row r="1636">
      <c r="A1636" s="49">
        <v>44529.69913862269</v>
      </c>
      <c r="B1636" s="50">
        <v>44529.8241151504</v>
      </c>
      <c r="C1636" s="51">
        <v>1.03</v>
      </c>
      <c r="D1636" s="51">
        <v>64.0</v>
      </c>
      <c r="E1636" s="52" t="s">
        <v>25</v>
      </c>
      <c r="F1636" s="52" t="s">
        <v>26</v>
      </c>
      <c r="G1636" s="53"/>
    </row>
    <row r="1637">
      <c r="A1637" s="49">
        <v>44529.709562187505</v>
      </c>
      <c r="B1637" s="50">
        <v>44529.8345369444</v>
      </c>
      <c r="C1637" s="51">
        <v>1.03</v>
      </c>
      <c r="D1637" s="51">
        <v>64.0</v>
      </c>
      <c r="E1637" s="52" t="s">
        <v>25</v>
      </c>
      <c r="F1637" s="52" t="s">
        <v>26</v>
      </c>
      <c r="G1637" s="53"/>
    </row>
    <row r="1638">
      <c r="A1638" s="49">
        <v>44529.71997681713</v>
      </c>
      <c r="B1638" s="50">
        <v>44529.8449569907</v>
      </c>
      <c r="C1638" s="51">
        <v>1.031</v>
      </c>
      <c r="D1638" s="51">
        <v>64.0</v>
      </c>
      <c r="E1638" s="52" t="s">
        <v>25</v>
      </c>
      <c r="F1638" s="52" t="s">
        <v>26</v>
      </c>
      <c r="G1638" s="53"/>
    </row>
    <row r="1639">
      <c r="A1639" s="49">
        <v>44529.73040114583</v>
      </c>
      <c r="B1639" s="50">
        <v>44529.8553778472</v>
      </c>
      <c r="C1639" s="51">
        <v>1.03</v>
      </c>
      <c r="D1639" s="51">
        <v>64.0</v>
      </c>
      <c r="E1639" s="52" t="s">
        <v>25</v>
      </c>
      <c r="F1639" s="52" t="s">
        <v>26</v>
      </c>
      <c r="G1639" s="53"/>
    </row>
    <row r="1640">
      <c r="A1640" s="49">
        <v>44529.740827534726</v>
      </c>
      <c r="B1640" s="50">
        <v>44529.8657999189</v>
      </c>
      <c r="C1640" s="51">
        <v>1.03</v>
      </c>
      <c r="D1640" s="51">
        <v>64.0</v>
      </c>
      <c r="E1640" s="52" t="s">
        <v>25</v>
      </c>
      <c r="F1640" s="52" t="s">
        <v>26</v>
      </c>
      <c r="G1640" s="53"/>
    </row>
    <row r="1641">
      <c r="A1641" s="49">
        <v>44529.75124585648</v>
      </c>
      <c r="B1641" s="50">
        <v>44529.8762213773</v>
      </c>
      <c r="C1641" s="51">
        <v>1.03</v>
      </c>
      <c r="D1641" s="51">
        <v>64.0</v>
      </c>
      <c r="E1641" s="52" t="s">
        <v>25</v>
      </c>
      <c r="F1641" s="52" t="s">
        <v>26</v>
      </c>
      <c r="G1641" s="53"/>
    </row>
    <row r="1642">
      <c r="A1642" s="49">
        <v>44529.76167226852</v>
      </c>
      <c r="B1642" s="50">
        <v>44529.8866435416</v>
      </c>
      <c r="C1642" s="51">
        <v>1.03</v>
      </c>
      <c r="D1642" s="51">
        <v>64.0</v>
      </c>
      <c r="E1642" s="52" t="s">
        <v>25</v>
      </c>
      <c r="F1642" s="52" t="s">
        <v>26</v>
      </c>
      <c r="G1642" s="53"/>
    </row>
    <row r="1643">
      <c r="A1643" s="49">
        <v>44529.77208325232</v>
      </c>
      <c r="B1643" s="50">
        <v>44529.8970635416</v>
      </c>
      <c r="C1643" s="51">
        <v>1.03</v>
      </c>
      <c r="D1643" s="51">
        <v>64.0</v>
      </c>
      <c r="E1643" s="52" t="s">
        <v>25</v>
      </c>
      <c r="F1643" s="52" t="s">
        <v>26</v>
      </c>
      <c r="G1643" s="53"/>
    </row>
    <row r="1644">
      <c r="A1644" s="49">
        <v>44529.78251075231</v>
      </c>
      <c r="B1644" s="50">
        <v>44529.9074845486</v>
      </c>
      <c r="C1644" s="51">
        <v>1.03</v>
      </c>
      <c r="D1644" s="51">
        <v>64.0</v>
      </c>
      <c r="E1644" s="52" t="s">
        <v>25</v>
      </c>
      <c r="F1644" s="52" t="s">
        <v>26</v>
      </c>
      <c r="G1644" s="53"/>
    </row>
    <row r="1645">
      <c r="A1645" s="49">
        <v>44529.79292736111</v>
      </c>
      <c r="B1645" s="50">
        <v>44529.9179066087</v>
      </c>
      <c r="C1645" s="51">
        <v>1.03</v>
      </c>
      <c r="D1645" s="51">
        <v>64.0</v>
      </c>
      <c r="E1645" s="52" t="s">
        <v>25</v>
      </c>
      <c r="F1645" s="52" t="s">
        <v>26</v>
      </c>
      <c r="G1645" s="53"/>
    </row>
    <row r="1646">
      <c r="A1646" s="49">
        <v>44529.80335768519</v>
      </c>
      <c r="B1646" s="50">
        <v>44529.9283276851</v>
      </c>
      <c r="C1646" s="51">
        <v>1.03</v>
      </c>
      <c r="D1646" s="51">
        <v>64.0</v>
      </c>
      <c r="E1646" s="52" t="s">
        <v>25</v>
      </c>
      <c r="F1646" s="52" t="s">
        <v>26</v>
      </c>
      <c r="G1646" s="53"/>
    </row>
    <row r="1647">
      <c r="A1647" s="49">
        <v>44529.813770196764</v>
      </c>
      <c r="B1647" s="50">
        <v>44529.9387490509</v>
      </c>
      <c r="C1647" s="51">
        <v>1.03</v>
      </c>
      <c r="D1647" s="51">
        <v>64.0</v>
      </c>
      <c r="E1647" s="52" t="s">
        <v>25</v>
      </c>
      <c r="F1647" s="52" t="s">
        <v>26</v>
      </c>
      <c r="G1647" s="53"/>
    </row>
    <row r="1648">
      <c r="A1648" s="49">
        <v>44529.82419699074</v>
      </c>
      <c r="B1648" s="50">
        <v>44529.9491695601</v>
      </c>
      <c r="C1648" s="51">
        <v>1.03</v>
      </c>
      <c r="D1648" s="51">
        <v>64.0</v>
      </c>
      <c r="E1648" s="52" t="s">
        <v>25</v>
      </c>
      <c r="F1648" s="52" t="s">
        <v>26</v>
      </c>
      <c r="G1648" s="53"/>
    </row>
    <row r="1649">
      <c r="A1649" s="49">
        <v>44529.83462851852</v>
      </c>
      <c r="B1649" s="50">
        <v>44529.9596039004</v>
      </c>
      <c r="C1649" s="51">
        <v>1.03</v>
      </c>
      <c r="D1649" s="51">
        <v>64.0</v>
      </c>
      <c r="E1649" s="52" t="s">
        <v>25</v>
      </c>
      <c r="F1649" s="52" t="s">
        <v>26</v>
      </c>
      <c r="G1649" s="53"/>
    </row>
    <row r="1650">
      <c r="A1650" s="49">
        <v>44529.84504408565</v>
      </c>
      <c r="B1650" s="50">
        <v>44529.9700254166</v>
      </c>
      <c r="C1650" s="51">
        <v>1.03</v>
      </c>
      <c r="D1650" s="51">
        <v>64.0</v>
      </c>
      <c r="E1650" s="52" t="s">
        <v>25</v>
      </c>
      <c r="F1650" s="52" t="s">
        <v>26</v>
      </c>
      <c r="G1650" s="53"/>
    </row>
    <row r="1651">
      <c r="A1651" s="49">
        <v>44529.85547416667</v>
      </c>
      <c r="B1651" s="50">
        <v>44529.9804475462</v>
      </c>
      <c r="C1651" s="51">
        <v>1.03</v>
      </c>
      <c r="D1651" s="51">
        <v>64.0</v>
      </c>
      <c r="E1651" s="52" t="s">
        <v>25</v>
      </c>
      <c r="F1651" s="52" t="s">
        <v>26</v>
      </c>
      <c r="G1651" s="53"/>
    </row>
    <row r="1652">
      <c r="A1652" s="49">
        <v>44529.86590030092</v>
      </c>
      <c r="B1652" s="50">
        <v>44529.9908668055</v>
      </c>
      <c r="C1652" s="51">
        <v>1.03</v>
      </c>
      <c r="D1652" s="51">
        <v>64.0</v>
      </c>
      <c r="E1652" s="52" t="s">
        <v>25</v>
      </c>
      <c r="F1652" s="52" t="s">
        <v>26</v>
      </c>
      <c r="G1652" s="53"/>
    </row>
    <row r="1653">
      <c r="A1653" s="49">
        <v>44529.87631690972</v>
      </c>
      <c r="B1653" s="50">
        <v>44530.0012889351</v>
      </c>
      <c r="C1653" s="51">
        <v>1.03</v>
      </c>
      <c r="D1653" s="51">
        <v>64.0</v>
      </c>
      <c r="E1653" s="52" t="s">
        <v>25</v>
      </c>
      <c r="F1653" s="52" t="s">
        <v>26</v>
      </c>
      <c r="G1653" s="53"/>
    </row>
    <row r="1654">
      <c r="A1654" s="49">
        <v>44529.886739560185</v>
      </c>
      <c r="B1654" s="50">
        <v>44530.0117113773</v>
      </c>
      <c r="C1654" s="51">
        <v>1.03</v>
      </c>
      <c r="D1654" s="51">
        <v>64.0</v>
      </c>
      <c r="E1654" s="52" t="s">
        <v>25</v>
      </c>
      <c r="F1654" s="52" t="s">
        <v>26</v>
      </c>
      <c r="G1654" s="53"/>
    </row>
    <row r="1655">
      <c r="A1655" s="49">
        <v>44529.897160162036</v>
      </c>
      <c r="B1655" s="50">
        <v>44530.0221334259</v>
      </c>
      <c r="C1655" s="51">
        <v>1.03</v>
      </c>
      <c r="D1655" s="51">
        <v>64.0</v>
      </c>
      <c r="E1655" s="52" t="s">
        <v>25</v>
      </c>
      <c r="F1655" s="52" t="s">
        <v>26</v>
      </c>
      <c r="G1655" s="53"/>
    </row>
    <row r="1656">
      <c r="A1656" s="49">
        <v>44529.907582824075</v>
      </c>
      <c r="B1656" s="50">
        <v>44530.0325548958</v>
      </c>
      <c r="C1656" s="51">
        <v>1.03</v>
      </c>
      <c r="D1656" s="51">
        <v>64.0</v>
      </c>
      <c r="E1656" s="52" t="s">
        <v>25</v>
      </c>
      <c r="F1656" s="52" t="s">
        <v>26</v>
      </c>
      <c r="G1656" s="53"/>
    </row>
    <row r="1657">
      <c r="A1657" s="49">
        <v>44529.91799652777</v>
      </c>
      <c r="B1657" s="50">
        <v>44530.0429774652</v>
      </c>
      <c r="C1657" s="51">
        <v>1.03</v>
      </c>
      <c r="D1657" s="51">
        <v>64.0</v>
      </c>
      <c r="E1657" s="52" t="s">
        <v>25</v>
      </c>
      <c r="F1657" s="52" t="s">
        <v>26</v>
      </c>
      <c r="G1657" s="53"/>
    </row>
    <row r="1658">
      <c r="A1658" s="49">
        <v>44529.9284181713</v>
      </c>
      <c r="B1658" s="50">
        <v>44530.0533984259</v>
      </c>
      <c r="C1658" s="51">
        <v>1.03</v>
      </c>
      <c r="D1658" s="51">
        <v>64.0</v>
      </c>
      <c r="E1658" s="52" t="s">
        <v>25</v>
      </c>
      <c r="F1658" s="52" t="s">
        <v>26</v>
      </c>
      <c r="G1658" s="53"/>
    </row>
    <row r="1659">
      <c r="A1659" s="49">
        <v>44529.93884966435</v>
      </c>
      <c r="B1659" s="50">
        <v>44530.0638190624</v>
      </c>
      <c r="C1659" s="51">
        <v>1.03</v>
      </c>
      <c r="D1659" s="51">
        <v>64.0</v>
      </c>
      <c r="E1659" s="52" t="s">
        <v>25</v>
      </c>
      <c r="F1659" s="52" t="s">
        <v>26</v>
      </c>
      <c r="G1659" s="53"/>
    </row>
    <row r="1660">
      <c r="A1660" s="49">
        <v>44529.94926709491</v>
      </c>
      <c r="B1660" s="50">
        <v>44530.0742400925</v>
      </c>
      <c r="C1660" s="51">
        <v>1.03</v>
      </c>
      <c r="D1660" s="51">
        <v>64.0</v>
      </c>
      <c r="E1660" s="52" t="s">
        <v>25</v>
      </c>
      <c r="F1660" s="52" t="s">
        <v>26</v>
      </c>
      <c r="G1660" s="53"/>
    </row>
    <row r="1661">
      <c r="A1661" s="49">
        <v>44529.95969564815</v>
      </c>
      <c r="B1661" s="50">
        <v>44530.0846721064</v>
      </c>
      <c r="C1661" s="51">
        <v>1.03</v>
      </c>
      <c r="D1661" s="51">
        <v>64.0</v>
      </c>
      <c r="E1661" s="52" t="s">
        <v>25</v>
      </c>
      <c r="F1661" s="52" t="s">
        <v>26</v>
      </c>
      <c r="G1661" s="53"/>
    </row>
    <row r="1662">
      <c r="A1662" s="49">
        <v>44529.97011900463</v>
      </c>
      <c r="B1662" s="50">
        <v>44530.0950941782</v>
      </c>
      <c r="C1662" s="51">
        <v>1.03</v>
      </c>
      <c r="D1662" s="51">
        <v>64.0</v>
      </c>
      <c r="E1662" s="52" t="s">
        <v>25</v>
      </c>
      <c r="F1662" s="52" t="s">
        <v>26</v>
      </c>
      <c r="G1662" s="53"/>
    </row>
    <row r="1663">
      <c r="A1663" s="49">
        <v>44529.98053631945</v>
      </c>
      <c r="B1663" s="50">
        <v>44530.1055154282</v>
      </c>
      <c r="C1663" s="51">
        <v>1.03</v>
      </c>
      <c r="D1663" s="51">
        <v>64.0</v>
      </c>
      <c r="E1663" s="52" t="s">
        <v>25</v>
      </c>
      <c r="F1663" s="52" t="s">
        <v>26</v>
      </c>
      <c r="G1663" s="53"/>
    </row>
    <row r="1664">
      <c r="A1664" s="49">
        <v>44529.990960208335</v>
      </c>
      <c r="B1664" s="50">
        <v>44530.115936956</v>
      </c>
      <c r="C1664" s="51">
        <v>1.03</v>
      </c>
      <c r="D1664" s="51">
        <v>64.0</v>
      </c>
      <c r="E1664" s="52" t="s">
        <v>25</v>
      </c>
      <c r="F1664" s="52" t="s">
        <v>26</v>
      </c>
      <c r="G1664" s="53"/>
    </row>
    <row r="1665">
      <c r="A1665" s="49">
        <v>44530.00139159722</v>
      </c>
      <c r="B1665" s="50">
        <v>44530.1263607523</v>
      </c>
      <c r="C1665" s="51">
        <v>1.03</v>
      </c>
      <c r="D1665" s="51">
        <v>64.0</v>
      </c>
      <c r="E1665" s="52" t="s">
        <v>25</v>
      </c>
      <c r="F1665" s="52" t="s">
        <v>26</v>
      </c>
      <c r="G1665" s="53"/>
    </row>
    <row r="1666">
      <c r="A1666" s="49">
        <v>44530.01180371528</v>
      </c>
      <c r="B1666" s="50">
        <v>44530.1367802662</v>
      </c>
      <c r="C1666" s="51">
        <v>1.03</v>
      </c>
      <c r="D1666" s="51">
        <v>64.0</v>
      </c>
      <c r="E1666" s="52" t="s">
        <v>25</v>
      </c>
      <c r="F1666" s="52" t="s">
        <v>26</v>
      </c>
      <c r="G1666" s="53"/>
    </row>
    <row r="1667">
      <c r="A1667" s="49">
        <v>44530.02222568287</v>
      </c>
      <c r="B1667" s="50">
        <v>44530.14720375</v>
      </c>
      <c r="C1667" s="51">
        <v>1.03</v>
      </c>
      <c r="D1667" s="51">
        <v>64.0</v>
      </c>
      <c r="E1667" s="52" t="s">
        <v>25</v>
      </c>
      <c r="F1667" s="52" t="s">
        <v>26</v>
      </c>
      <c r="G1667" s="53"/>
    </row>
    <row r="1668">
      <c r="A1668" s="49">
        <v>44530.03264837963</v>
      </c>
      <c r="B1668" s="50">
        <v>44530.1576237731</v>
      </c>
      <c r="C1668" s="51">
        <v>1.03</v>
      </c>
      <c r="D1668" s="51">
        <v>64.0</v>
      </c>
      <c r="E1668" s="52" t="s">
        <v>25</v>
      </c>
      <c r="F1668" s="52" t="s">
        <v>26</v>
      </c>
      <c r="G1668" s="53"/>
    </row>
    <row r="1669">
      <c r="A1669" s="49">
        <v>44530.04306679398</v>
      </c>
      <c r="B1669" s="50">
        <v>44530.1680430439</v>
      </c>
      <c r="C1669" s="51">
        <v>1.03</v>
      </c>
      <c r="D1669" s="51">
        <v>64.0</v>
      </c>
      <c r="E1669" s="52" t="s">
        <v>25</v>
      </c>
      <c r="F1669" s="52" t="s">
        <v>26</v>
      </c>
      <c r="G1669" s="53"/>
    </row>
    <row r="1670">
      <c r="A1670" s="49">
        <v>44530.053499016205</v>
      </c>
      <c r="B1670" s="50">
        <v>44530.1784734953</v>
      </c>
      <c r="C1670" s="51">
        <v>1.03</v>
      </c>
      <c r="D1670" s="51">
        <v>64.0</v>
      </c>
      <c r="E1670" s="52" t="s">
        <v>25</v>
      </c>
      <c r="F1670" s="52" t="s">
        <v>26</v>
      </c>
      <c r="G1670" s="53"/>
    </row>
    <row r="1671">
      <c r="A1671" s="49">
        <v>44530.06392303241</v>
      </c>
      <c r="B1671" s="50">
        <v>44530.1888950462</v>
      </c>
      <c r="C1671" s="51">
        <v>1.03</v>
      </c>
      <c r="D1671" s="51">
        <v>64.0</v>
      </c>
      <c r="E1671" s="52" t="s">
        <v>25</v>
      </c>
      <c r="F1671" s="52" t="s">
        <v>26</v>
      </c>
      <c r="G1671" s="53"/>
    </row>
    <row r="1672">
      <c r="A1672" s="49">
        <v>44530.07434324074</v>
      </c>
      <c r="B1672" s="50">
        <v>44530.1993159606</v>
      </c>
      <c r="C1672" s="51">
        <v>1.03</v>
      </c>
      <c r="D1672" s="51">
        <v>64.0</v>
      </c>
      <c r="E1672" s="52" t="s">
        <v>25</v>
      </c>
      <c r="F1672" s="52" t="s">
        <v>26</v>
      </c>
      <c r="G1672" s="53"/>
    </row>
    <row r="1673">
      <c r="A1673" s="49">
        <v>44530.08476063657</v>
      </c>
      <c r="B1673" s="50">
        <v>44530.2097380208</v>
      </c>
      <c r="C1673" s="51">
        <v>1.03</v>
      </c>
      <c r="D1673" s="51">
        <v>64.0</v>
      </c>
      <c r="E1673" s="52" t="s">
        <v>25</v>
      </c>
      <c r="F1673" s="52" t="s">
        <v>26</v>
      </c>
      <c r="G1673" s="53"/>
    </row>
    <row r="1674">
      <c r="A1674" s="49">
        <v>44530.09518506944</v>
      </c>
      <c r="B1674" s="50">
        <v>44530.2201573263</v>
      </c>
      <c r="C1674" s="51">
        <v>1.03</v>
      </c>
      <c r="D1674" s="51">
        <v>64.0</v>
      </c>
      <c r="E1674" s="52" t="s">
        <v>25</v>
      </c>
      <c r="F1674" s="52" t="s">
        <v>26</v>
      </c>
      <c r="G1674" s="53"/>
    </row>
    <row r="1675">
      <c r="A1675" s="49">
        <v>44530.10561611111</v>
      </c>
      <c r="B1675" s="50">
        <v>44530.2305794675</v>
      </c>
      <c r="C1675" s="51">
        <v>1.03</v>
      </c>
      <c r="D1675" s="51">
        <v>64.0</v>
      </c>
      <c r="E1675" s="52" t="s">
        <v>25</v>
      </c>
      <c r="F1675" s="52" t="s">
        <v>26</v>
      </c>
      <c r="G1675" s="53"/>
    </row>
    <row r="1676">
      <c r="A1676" s="49">
        <v>44530.11602148148</v>
      </c>
      <c r="B1676" s="50">
        <v>44530.2410012268</v>
      </c>
      <c r="C1676" s="51">
        <v>1.03</v>
      </c>
      <c r="D1676" s="51">
        <v>64.0</v>
      </c>
      <c r="E1676" s="52" t="s">
        <v>25</v>
      </c>
      <c r="F1676" s="52" t="s">
        <v>26</v>
      </c>
      <c r="G1676" s="53"/>
    </row>
    <row r="1677">
      <c r="A1677" s="49">
        <v>44530.126442442124</v>
      </c>
      <c r="B1677" s="50">
        <v>44530.2514242592</v>
      </c>
      <c r="C1677" s="51">
        <v>1.03</v>
      </c>
      <c r="D1677" s="51">
        <v>64.0</v>
      </c>
      <c r="E1677" s="52" t="s">
        <v>25</v>
      </c>
      <c r="F1677" s="52" t="s">
        <v>26</v>
      </c>
      <c r="G1677" s="53"/>
    </row>
    <row r="1678">
      <c r="A1678" s="49">
        <v>44530.13688310185</v>
      </c>
      <c r="B1678" s="50">
        <v>44530.2618546643</v>
      </c>
      <c r="C1678" s="51">
        <v>1.03</v>
      </c>
      <c r="D1678" s="51">
        <v>64.0</v>
      </c>
      <c r="E1678" s="52" t="s">
        <v>25</v>
      </c>
      <c r="F1678" s="52" t="s">
        <v>26</v>
      </c>
      <c r="G1678" s="53"/>
    </row>
    <row r="1679">
      <c r="A1679" s="49">
        <v>44530.147306053244</v>
      </c>
      <c r="B1679" s="50">
        <v>44530.2722751157</v>
      </c>
      <c r="C1679" s="51">
        <v>1.03</v>
      </c>
      <c r="D1679" s="51">
        <v>64.0</v>
      </c>
      <c r="E1679" s="52" t="s">
        <v>25</v>
      </c>
      <c r="F1679" s="52" t="s">
        <v>26</v>
      </c>
      <c r="G1679" s="53"/>
    </row>
    <row r="1680">
      <c r="A1680" s="49">
        <v>44530.157731388885</v>
      </c>
      <c r="B1680" s="50">
        <v>44530.2827063425</v>
      </c>
      <c r="C1680" s="51">
        <v>1.03</v>
      </c>
      <c r="D1680" s="51">
        <v>64.0</v>
      </c>
      <c r="E1680" s="52" t="s">
        <v>25</v>
      </c>
      <c r="F1680" s="52" t="s">
        <v>26</v>
      </c>
      <c r="G1680" s="53"/>
    </row>
    <row r="1681">
      <c r="A1681" s="49">
        <v>44530.16815543982</v>
      </c>
      <c r="B1681" s="50">
        <v>44530.2931274884</v>
      </c>
      <c r="C1681" s="51">
        <v>1.03</v>
      </c>
      <c r="D1681" s="51">
        <v>64.0</v>
      </c>
      <c r="E1681" s="52" t="s">
        <v>25</v>
      </c>
      <c r="F1681" s="52" t="s">
        <v>26</v>
      </c>
      <c r="G1681" s="53"/>
    </row>
    <row r="1682">
      <c r="A1682" s="49">
        <v>44530.1785627662</v>
      </c>
      <c r="B1682" s="50">
        <v>44530.3035470833</v>
      </c>
      <c r="C1682" s="51">
        <v>1.03</v>
      </c>
      <c r="D1682" s="51">
        <v>64.0</v>
      </c>
      <c r="E1682" s="52" t="s">
        <v>25</v>
      </c>
      <c r="F1682" s="52" t="s">
        <v>26</v>
      </c>
      <c r="G1682" s="53"/>
    </row>
    <row r="1683">
      <c r="A1683" s="49">
        <v>44530.18900172454</v>
      </c>
      <c r="B1683" s="50">
        <v>44530.313980949</v>
      </c>
      <c r="C1683" s="51">
        <v>1.03</v>
      </c>
      <c r="D1683" s="51">
        <v>64.0</v>
      </c>
      <c r="E1683" s="52" t="s">
        <v>25</v>
      </c>
      <c r="F1683" s="52" t="s">
        <v>26</v>
      </c>
      <c r="G1683" s="53"/>
    </row>
    <row r="1684">
      <c r="A1684" s="49">
        <v>44530.19942414352</v>
      </c>
      <c r="B1684" s="50">
        <v>44530.3244030324</v>
      </c>
      <c r="C1684" s="51">
        <v>1.03</v>
      </c>
      <c r="D1684" s="51">
        <v>64.0</v>
      </c>
      <c r="E1684" s="52" t="s">
        <v>25</v>
      </c>
      <c r="F1684" s="52" t="s">
        <v>26</v>
      </c>
      <c r="G1684" s="53"/>
    </row>
    <row r="1685">
      <c r="A1685" s="49">
        <v>44530.20986488426</v>
      </c>
      <c r="B1685" s="50">
        <v>44530.3348370138</v>
      </c>
      <c r="C1685" s="51">
        <v>1.03</v>
      </c>
      <c r="D1685" s="51">
        <v>64.0</v>
      </c>
      <c r="E1685" s="52" t="s">
        <v>25</v>
      </c>
      <c r="F1685" s="52" t="s">
        <v>26</v>
      </c>
      <c r="G1685" s="53"/>
    </row>
    <row r="1686">
      <c r="A1686" s="49">
        <v>44530.220285856485</v>
      </c>
      <c r="B1686" s="50">
        <v>44530.3452585532</v>
      </c>
      <c r="C1686" s="51">
        <v>1.029</v>
      </c>
      <c r="D1686" s="51">
        <v>64.0</v>
      </c>
      <c r="E1686" s="52" t="s">
        <v>25</v>
      </c>
      <c r="F1686" s="52" t="s">
        <v>26</v>
      </c>
      <c r="G1686" s="53"/>
    </row>
    <row r="1687">
      <c r="A1687" s="49">
        <v>44530.230712986115</v>
      </c>
      <c r="B1687" s="50">
        <v>44530.3556914583</v>
      </c>
      <c r="C1687" s="51">
        <v>1.03</v>
      </c>
      <c r="D1687" s="51">
        <v>64.0</v>
      </c>
      <c r="E1687" s="52" t="s">
        <v>25</v>
      </c>
      <c r="F1687" s="52" t="s">
        <v>26</v>
      </c>
      <c r="G1687" s="53"/>
    </row>
    <row r="1688">
      <c r="A1688" s="49">
        <v>44530.24115078704</v>
      </c>
      <c r="B1688" s="50">
        <v>44530.3661121643</v>
      </c>
      <c r="C1688" s="51">
        <v>1.03</v>
      </c>
      <c r="D1688" s="51">
        <v>64.0</v>
      </c>
      <c r="E1688" s="52" t="s">
        <v>25</v>
      </c>
      <c r="F1688" s="52" t="s">
        <v>26</v>
      </c>
      <c r="G1688" s="53"/>
    </row>
    <row r="1689">
      <c r="A1689" s="49">
        <v>44530.25155774306</v>
      </c>
      <c r="B1689" s="50">
        <v>44530.3765318055</v>
      </c>
      <c r="C1689" s="51">
        <v>1.03</v>
      </c>
      <c r="D1689" s="51">
        <v>64.0</v>
      </c>
      <c r="E1689" s="52" t="s">
        <v>25</v>
      </c>
      <c r="F1689" s="52" t="s">
        <v>26</v>
      </c>
      <c r="G1689" s="53"/>
    </row>
    <row r="1690">
      <c r="A1690" s="49">
        <v>44530.26197450231</v>
      </c>
      <c r="B1690" s="50">
        <v>44530.386952662</v>
      </c>
      <c r="C1690" s="51">
        <v>1.03</v>
      </c>
      <c r="D1690" s="51">
        <v>64.0</v>
      </c>
      <c r="E1690" s="52" t="s">
        <v>25</v>
      </c>
      <c r="F1690" s="52" t="s">
        <v>26</v>
      </c>
      <c r="G1690" s="53"/>
    </row>
    <row r="1691">
      <c r="A1691" s="49">
        <v>44530.27240266204</v>
      </c>
      <c r="B1691" s="50">
        <v>44530.3973736805</v>
      </c>
      <c r="C1691" s="51">
        <v>1.03</v>
      </c>
      <c r="D1691" s="51">
        <v>64.0</v>
      </c>
      <c r="E1691" s="52" t="s">
        <v>25</v>
      </c>
      <c r="F1691" s="52" t="s">
        <v>26</v>
      </c>
      <c r="G1691" s="53"/>
    </row>
    <row r="1692">
      <c r="A1692" s="49">
        <v>44530.28282712963</v>
      </c>
      <c r="B1692" s="50">
        <v>44530.407805081</v>
      </c>
      <c r="C1692" s="51">
        <v>1.03</v>
      </c>
      <c r="D1692" s="51">
        <v>64.0</v>
      </c>
      <c r="E1692" s="52" t="s">
        <v>25</v>
      </c>
      <c r="F1692" s="52" t="s">
        <v>26</v>
      </c>
      <c r="G1692" s="53"/>
    </row>
    <row r="1693">
      <c r="A1693" s="49">
        <v>44530.29325697917</v>
      </c>
      <c r="B1693" s="50">
        <v>44530.4182269097</v>
      </c>
      <c r="C1693" s="51">
        <v>1.029</v>
      </c>
      <c r="D1693" s="51">
        <v>64.0</v>
      </c>
      <c r="E1693" s="52" t="s">
        <v>25</v>
      </c>
      <c r="F1693" s="52" t="s">
        <v>26</v>
      </c>
      <c r="G1693" s="53"/>
    </row>
    <row r="1694">
      <c r="A1694" s="49">
        <v>44530.30368369213</v>
      </c>
      <c r="B1694" s="50">
        <v>44530.4286481712</v>
      </c>
      <c r="C1694" s="51">
        <v>1.029</v>
      </c>
      <c r="D1694" s="51">
        <v>64.0</v>
      </c>
      <c r="E1694" s="52" t="s">
        <v>25</v>
      </c>
      <c r="F1694" s="52" t="s">
        <v>26</v>
      </c>
      <c r="G1694" s="53"/>
    </row>
    <row r="1695">
      <c r="A1695" s="49">
        <v>44530.31409185185</v>
      </c>
      <c r="B1695" s="50">
        <v>44530.4390692824</v>
      </c>
      <c r="C1695" s="51">
        <v>1.029</v>
      </c>
      <c r="D1695" s="51">
        <v>64.0</v>
      </c>
      <c r="E1695" s="52" t="s">
        <v>25</v>
      </c>
      <c r="F1695" s="52" t="s">
        <v>26</v>
      </c>
      <c r="G1695" s="53"/>
    </row>
    <row r="1696">
      <c r="A1696" s="49">
        <v>44530.324534768515</v>
      </c>
      <c r="B1696" s="50">
        <v>44530.4494898842</v>
      </c>
      <c r="C1696" s="51">
        <v>1.029</v>
      </c>
      <c r="D1696" s="51">
        <v>64.0</v>
      </c>
      <c r="E1696" s="52" t="s">
        <v>25</v>
      </c>
      <c r="F1696" s="52" t="s">
        <v>26</v>
      </c>
      <c r="G1696" s="53"/>
    </row>
    <row r="1697">
      <c r="A1697" s="49">
        <v>44530.334929375</v>
      </c>
      <c r="B1697" s="50">
        <v>44530.4599101388</v>
      </c>
      <c r="C1697" s="51">
        <v>1.029</v>
      </c>
      <c r="D1697" s="51">
        <v>64.0</v>
      </c>
      <c r="E1697" s="52" t="s">
        <v>25</v>
      </c>
      <c r="F1697" s="52" t="s">
        <v>26</v>
      </c>
      <c r="G1697" s="53"/>
    </row>
    <row r="1698">
      <c r="A1698" s="49">
        <v>44530.34536319444</v>
      </c>
      <c r="B1698" s="50">
        <v>44530.4703306481</v>
      </c>
      <c r="C1698" s="51">
        <v>1.029</v>
      </c>
      <c r="D1698" s="51">
        <v>64.0</v>
      </c>
      <c r="E1698" s="52" t="s">
        <v>25</v>
      </c>
      <c r="F1698" s="52" t="s">
        <v>26</v>
      </c>
      <c r="G1698" s="53"/>
    </row>
    <row r="1699">
      <c r="A1699" s="49">
        <v>44530.355786886576</v>
      </c>
      <c r="B1699" s="50">
        <v>44530.480751574</v>
      </c>
      <c r="C1699" s="51">
        <v>1.029</v>
      </c>
      <c r="D1699" s="51">
        <v>64.0</v>
      </c>
      <c r="E1699" s="52" t="s">
        <v>25</v>
      </c>
      <c r="F1699" s="52" t="s">
        <v>26</v>
      </c>
      <c r="G1699" s="53"/>
    </row>
    <row r="1700">
      <c r="A1700" s="49">
        <v>44530.36620210648</v>
      </c>
      <c r="B1700" s="50">
        <v>44530.4911725694</v>
      </c>
      <c r="C1700" s="51">
        <v>1.029</v>
      </c>
      <c r="D1700" s="51">
        <v>64.0</v>
      </c>
      <c r="E1700" s="52" t="s">
        <v>25</v>
      </c>
      <c r="F1700" s="52" t="s">
        <v>26</v>
      </c>
      <c r="G1700" s="53"/>
    </row>
    <row r="1701">
      <c r="A1701" s="49">
        <v>44530.37662488426</v>
      </c>
      <c r="B1701" s="50">
        <v>44530.5015940277</v>
      </c>
      <c r="C1701" s="51">
        <v>1.029</v>
      </c>
      <c r="D1701" s="51">
        <v>64.0</v>
      </c>
      <c r="E1701" s="52" t="s">
        <v>25</v>
      </c>
      <c r="F1701" s="52" t="s">
        <v>26</v>
      </c>
      <c r="G1701" s="53"/>
    </row>
    <row r="1702">
      <c r="A1702" s="49">
        <v>44530.38704398148</v>
      </c>
      <c r="B1702" s="50">
        <v>44530.5120157291</v>
      </c>
      <c r="C1702" s="51">
        <v>1.029</v>
      </c>
      <c r="D1702" s="51">
        <v>64.0</v>
      </c>
      <c r="E1702" s="52" t="s">
        <v>25</v>
      </c>
      <c r="F1702" s="52" t="s">
        <v>26</v>
      </c>
      <c r="G1702" s="53"/>
    </row>
    <row r="1703">
      <c r="A1703" s="49">
        <v>44530.397477349536</v>
      </c>
      <c r="B1703" s="50">
        <v>44530.5224491782</v>
      </c>
      <c r="C1703" s="51">
        <v>1.029</v>
      </c>
      <c r="D1703" s="51">
        <v>64.0</v>
      </c>
      <c r="E1703" s="52" t="s">
        <v>25</v>
      </c>
      <c r="F1703" s="52" t="s">
        <v>26</v>
      </c>
      <c r="G1703" s="53"/>
    </row>
    <row r="1704">
      <c r="A1704" s="49">
        <v>44530.40789236111</v>
      </c>
      <c r="B1704" s="50">
        <v>44530.5328687499</v>
      </c>
      <c r="C1704" s="51">
        <v>1.029</v>
      </c>
      <c r="D1704" s="51">
        <v>64.0</v>
      </c>
      <c r="E1704" s="52" t="s">
        <v>25</v>
      </c>
      <c r="F1704" s="52" t="s">
        <v>26</v>
      </c>
      <c r="G1704" s="53"/>
    </row>
    <row r="1705">
      <c r="A1705" s="49">
        <v>44530.418322638885</v>
      </c>
      <c r="B1705" s="50">
        <v>44530.5432906481</v>
      </c>
      <c r="C1705" s="51">
        <v>1.029</v>
      </c>
      <c r="D1705" s="51">
        <v>64.0</v>
      </c>
      <c r="E1705" s="52" t="s">
        <v>25</v>
      </c>
      <c r="F1705" s="52" t="s">
        <v>26</v>
      </c>
      <c r="G1705" s="53"/>
    </row>
    <row r="1706">
      <c r="A1706" s="49">
        <v>44530.42873856481</v>
      </c>
      <c r="B1706" s="50">
        <v>44530.5537124305</v>
      </c>
      <c r="C1706" s="51">
        <v>1.029</v>
      </c>
      <c r="D1706" s="51">
        <v>64.0</v>
      </c>
      <c r="E1706" s="52" t="s">
        <v>25</v>
      </c>
      <c r="F1706" s="52" t="s">
        <v>26</v>
      </c>
      <c r="G1706" s="53"/>
    </row>
    <row r="1707">
      <c r="A1707" s="49">
        <v>44530.43915196759</v>
      </c>
      <c r="B1707" s="50">
        <v>44530.5641347337</v>
      </c>
      <c r="C1707" s="51">
        <v>1.029</v>
      </c>
      <c r="D1707" s="51">
        <v>64.0</v>
      </c>
      <c r="E1707" s="52" t="s">
        <v>25</v>
      </c>
      <c r="F1707" s="52" t="s">
        <v>26</v>
      </c>
      <c r="G1707" s="53"/>
    </row>
    <row r="1708">
      <c r="A1708" s="49">
        <v>44530.44959234954</v>
      </c>
      <c r="B1708" s="50">
        <v>44530.5745573148</v>
      </c>
      <c r="C1708" s="51">
        <v>1.029</v>
      </c>
      <c r="D1708" s="51">
        <v>64.0</v>
      </c>
      <c r="E1708" s="52" t="s">
        <v>25</v>
      </c>
      <c r="F1708" s="52" t="s">
        <v>26</v>
      </c>
      <c r="G1708" s="53"/>
    </row>
    <row r="1709">
      <c r="A1709" s="49">
        <v>44530.46001445602</v>
      </c>
      <c r="B1709" s="50">
        <v>44530.5849776388</v>
      </c>
      <c r="C1709" s="51">
        <v>1.029</v>
      </c>
      <c r="D1709" s="51">
        <v>64.0</v>
      </c>
      <c r="E1709" s="52" t="s">
        <v>25</v>
      </c>
      <c r="F1709" s="52" t="s">
        <v>26</v>
      </c>
      <c r="G1709" s="53"/>
    </row>
    <row r="1710">
      <c r="A1710" s="49">
        <v>44530.470428125</v>
      </c>
      <c r="B1710" s="50">
        <v>44530.5953985416</v>
      </c>
      <c r="C1710" s="51">
        <v>1.029</v>
      </c>
      <c r="D1710" s="51">
        <v>64.0</v>
      </c>
      <c r="E1710" s="52" t="s">
        <v>25</v>
      </c>
      <c r="F1710" s="52" t="s">
        <v>26</v>
      </c>
      <c r="G1710" s="53"/>
    </row>
    <row r="1711">
      <c r="A1711" s="49">
        <v>44530.48083753472</v>
      </c>
      <c r="B1711" s="50">
        <v>44530.605820081</v>
      </c>
      <c r="C1711" s="51">
        <v>1.029</v>
      </c>
      <c r="D1711" s="51">
        <v>64.0</v>
      </c>
      <c r="E1711" s="52" t="s">
        <v>25</v>
      </c>
      <c r="F1711" s="52" t="s">
        <v>26</v>
      </c>
      <c r="G1711" s="53"/>
    </row>
    <row r="1712">
      <c r="A1712" s="49">
        <v>44530.491295451386</v>
      </c>
      <c r="B1712" s="50">
        <v>44530.6162411226</v>
      </c>
      <c r="C1712" s="51">
        <v>1.029</v>
      </c>
      <c r="D1712" s="51">
        <v>64.0</v>
      </c>
      <c r="E1712" s="52" t="s">
        <v>25</v>
      </c>
      <c r="F1712" s="52" t="s">
        <v>26</v>
      </c>
      <c r="G1712" s="53"/>
    </row>
    <row r="1713">
      <c r="A1713" s="49">
        <v>44530.50168981482</v>
      </c>
      <c r="B1713" s="50">
        <v>44530.6266631018</v>
      </c>
      <c r="C1713" s="51">
        <v>1.029</v>
      </c>
      <c r="D1713" s="51">
        <v>64.0</v>
      </c>
      <c r="E1713" s="52" t="s">
        <v>25</v>
      </c>
      <c r="F1713" s="52" t="s">
        <v>26</v>
      </c>
      <c r="G1713" s="53"/>
    </row>
    <row r="1714">
      <c r="A1714" s="49">
        <v>44530.51210649306</v>
      </c>
      <c r="B1714" s="50">
        <v>44530.6370844213</v>
      </c>
      <c r="C1714" s="51">
        <v>1.029</v>
      </c>
      <c r="D1714" s="51">
        <v>64.0</v>
      </c>
      <c r="E1714" s="52" t="s">
        <v>25</v>
      </c>
      <c r="F1714" s="52" t="s">
        <v>26</v>
      </c>
      <c r="G1714" s="53"/>
    </row>
    <row r="1715">
      <c r="A1715" s="49">
        <v>44530.52253298611</v>
      </c>
      <c r="B1715" s="50">
        <v>44530.647505625</v>
      </c>
      <c r="C1715" s="51">
        <v>1.029</v>
      </c>
      <c r="D1715" s="51">
        <v>64.0</v>
      </c>
      <c r="E1715" s="52" t="s">
        <v>25</v>
      </c>
      <c r="F1715" s="52" t="s">
        <v>26</v>
      </c>
      <c r="G1715" s="53"/>
    </row>
    <row r="1716">
      <c r="A1716" s="49">
        <v>44530.53294884259</v>
      </c>
      <c r="B1716" s="50">
        <v>44530.6579263888</v>
      </c>
      <c r="C1716" s="51">
        <v>1.029</v>
      </c>
      <c r="D1716" s="51">
        <v>64.0</v>
      </c>
      <c r="E1716" s="52" t="s">
        <v>25</v>
      </c>
      <c r="F1716" s="52" t="s">
        <v>26</v>
      </c>
      <c r="G1716" s="53"/>
    </row>
    <row r="1717">
      <c r="A1717" s="49">
        <v>44530.54337423611</v>
      </c>
      <c r="B1717" s="50">
        <v>44530.6683483449</v>
      </c>
      <c r="C1717" s="51">
        <v>1.029</v>
      </c>
      <c r="D1717" s="51">
        <v>64.0</v>
      </c>
      <c r="E1717" s="52" t="s">
        <v>25</v>
      </c>
      <c r="F1717" s="52" t="s">
        <v>26</v>
      </c>
      <c r="G1717" s="53"/>
    </row>
    <row r="1718">
      <c r="A1718" s="49">
        <v>44530.55378634259</v>
      </c>
      <c r="B1718" s="50">
        <v>44530.6787705555</v>
      </c>
      <c r="C1718" s="51">
        <v>1.029</v>
      </c>
      <c r="D1718" s="51">
        <v>64.0</v>
      </c>
      <c r="E1718" s="52" t="s">
        <v>25</v>
      </c>
      <c r="F1718" s="52" t="s">
        <v>26</v>
      </c>
      <c r="G1718" s="53"/>
    </row>
    <row r="1719">
      <c r="A1719" s="49">
        <v>44530.56421766204</v>
      </c>
      <c r="B1719" s="50">
        <v>44530.6891891087</v>
      </c>
      <c r="C1719" s="51">
        <v>1.029</v>
      </c>
      <c r="D1719" s="51">
        <v>64.0</v>
      </c>
      <c r="E1719" s="52" t="s">
        <v>25</v>
      </c>
      <c r="F1719" s="52" t="s">
        <v>26</v>
      </c>
      <c r="G1719" s="53"/>
    </row>
    <row r="1720">
      <c r="A1720" s="49">
        <v>44530.57463108796</v>
      </c>
      <c r="B1720" s="50">
        <v>44530.6996073148</v>
      </c>
      <c r="C1720" s="51">
        <v>1.029</v>
      </c>
      <c r="D1720" s="51">
        <v>64.0</v>
      </c>
      <c r="E1720" s="52" t="s">
        <v>25</v>
      </c>
      <c r="F1720" s="52" t="s">
        <v>26</v>
      </c>
      <c r="G1720" s="53"/>
    </row>
    <row r="1721">
      <c r="A1721" s="49">
        <v>44530.58505675926</v>
      </c>
      <c r="B1721" s="50">
        <v>44530.7100260185</v>
      </c>
      <c r="C1721" s="51">
        <v>1.029</v>
      </c>
      <c r="D1721" s="51">
        <v>64.0</v>
      </c>
      <c r="E1721" s="52" t="s">
        <v>25</v>
      </c>
      <c r="F1721" s="52" t="s">
        <v>26</v>
      </c>
      <c r="G1721" s="53"/>
    </row>
    <row r="1722">
      <c r="A1722" s="49">
        <v>44530.59547717593</v>
      </c>
      <c r="B1722" s="50">
        <v>44530.7204467476</v>
      </c>
      <c r="C1722" s="51">
        <v>1.029</v>
      </c>
      <c r="D1722" s="51">
        <v>64.0</v>
      </c>
      <c r="E1722" s="52" t="s">
        <v>25</v>
      </c>
      <c r="F1722" s="52" t="s">
        <v>26</v>
      </c>
      <c r="G1722" s="53"/>
    </row>
    <row r="1723">
      <c r="A1723" s="49">
        <v>44530.60588762732</v>
      </c>
      <c r="B1723" s="50">
        <v>44530.7308695833</v>
      </c>
      <c r="C1723" s="51">
        <v>1.029</v>
      </c>
      <c r="D1723" s="51">
        <v>64.0</v>
      </c>
      <c r="E1723" s="52" t="s">
        <v>25</v>
      </c>
      <c r="F1723" s="52" t="s">
        <v>26</v>
      </c>
      <c r="G1723" s="53"/>
    </row>
    <row r="1724">
      <c r="A1724" s="49">
        <v>44530.61631932871</v>
      </c>
      <c r="B1724" s="50">
        <v>44530.7412895486</v>
      </c>
      <c r="C1724" s="51">
        <v>1.029</v>
      </c>
      <c r="D1724" s="51">
        <v>64.0</v>
      </c>
      <c r="E1724" s="52" t="s">
        <v>25</v>
      </c>
      <c r="F1724" s="52" t="s">
        <v>26</v>
      </c>
      <c r="G1724" s="53"/>
    </row>
    <row r="1725">
      <c r="A1725" s="49">
        <v>44530.626730081014</v>
      </c>
      <c r="B1725" s="50">
        <v>44530.7517087152</v>
      </c>
      <c r="C1725" s="51">
        <v>1.029</v>
      </c>
      <c r="D1725" s="51">
        <v>64.0</v>
      </c>
      <c r="E1725" s="52" t="s">
        <v>25</v>
      </c>
      <c r="F1725" s="52" t="s">
        <v>26</v>
      </c>
      <c r="G1725" s="53"/>
    </row>
    <row r="1726">
      <c r="A1726" s="49">
        <v>44530.6371584838</v>
      </c>
      <c r="B1726" s="50">
        <v>44530.7621284837</v>
      </c>
      <c r="C1726" s="51">
        <v>1.029</v>
      </c>
      <c r="D1726" s="51">
        <v>64.0</v>
      </c>
      <c r="E1726" s="52" t="s">
        <v>25</v>
      </c>
      <c r="F1726" s="52" t="s">
        <v>26</v>
      </c>
      <c r="G1726" s="53"/>
    </row>
    <row r="1727">
      <c r="A1727" s="49">
        <v>44530.647573379625</v>
      </c>
      <c r="B1727" s="50">
        <v>44530.7725492939</v>
      </c>
      <c r="C1727" s="51">
        <v>1.029</v>
      </c>
      <c r="D1727" s="51">
        <v>64.0</v>
      </c>
      <c r="E1727" s="52" t="s">
        <v>25</v>
      </c>
      <c r="F1727" s="52" t="s">
        <v>26</v>
      </c>
      <c r="G1727" s="53"/>
    </row>
    <row r="1728">
      <c r="A1728" s="49">
        <v>44530.65800026621</v>
      </c>
      <c r="B1728" s="50">
        <v>44530.7829704745</v>
      </c>
      <c r="C1728" s="51">
        <v>1.029</v>
      </c>
      <c r="D1728" s="51">
        <v>64.0</v>
      </c>
      <c r="E1728" s="52" t="s">
        <v>25</v>
      </c>
      <c r="F1728" s="52" t="s">
        <v>26</v>
      </c>
      <c r="G1728" s="53"/>
    </row>
    <row r="1729">
      <c r="A1729" s="49">
        <v>44530.66841215278</v>
      </c>
      <c r="B1729" s="50">
        <v>44530.7933910069</v>
      </c>
      <c r="C1729" s="51">
        <v>1.029</v>
      </c>
      <c r="D1729" s="51">
        <v>64.0</v>
      </c>
      <c r="E1729" s="52" t="s">
        <v>25</v>
      </c>
      <c r="F1729" s="52" t="s">
        <v>26</v>
      </c>
      <c r="G1729" s="53"/>
    </row>
    <row r="1730">
      <c r="A1730" s="49">
        <v>44530.67883659722</v>
      </c>
      <c r="B1730" s="50">
        <v>44530.8038125463</v>
      </c>
      <c r="C1730" s="51">
        <v>1.029</v>
      </c>
      <c r="D1730" s="51">
        <v>64.0</v>
      </c>
      <c r="E1730" s="52" t="s">
        <v>25</v>
      </c>
      <c r="F1730" s="52" t="s">
        <v>26</v>
      </c>
      <c r="G1730" s="53"/>
    </row>
    <row r="1731">
      <c r="A1731" s="49">
        <v>44530.689254108795</v>
      </c>
      <c r="B1731" s="50">
        <v>44530.8142340972</v>
      </c>
      <c r="C1731" s="51">
        <v>1.029</v>
      </c>
      <c r="D1731" s="51">
        <v>64.0</v>
      </c>
      <c r="E1731" s="52" t="s">
        <v>25</v>
      </c>
      <c r="F1731" s="52" t="s">
        <v>26</v>
      </c>
      <c r="G1731" s="53"/>
    </row>
    <row r="1732">
      <c r="A1732" s="49">
        <v>44530.69967710648</v>
      </c>
      <c r="B1732" s="50">
        <v>44530.8246533796</v>
      </c>
      <c r="C1732" s="51">
        <v>1.029</v>
      </c>
      <c r="D1732" s="51">
        <v>64.0</v>
      </c>
      <c r="E1732" s="52" t="s">
        <v>25</v>
      </c>
      <c r="F1732" s="52" t="s">
        <v>26</v>
      </c>
      <c r="G1732" s="53"/>
    </row>
    <row r="1733">
      <c r="A1733" s="49">
        <v>44530.71009787037</v>
      </c>
      <c r="B1733" s="50">
        <v>44530.835076412</v>
      </c>
      <c r="C1733" s="51">
        <v>1.029</v>
      </c>
      <c r="D1733" s="51">
        <v>64.0</v>
      </c>
      <c r="E1733" s="52" t="s">
        <v>25</v>
      </c>
      <c r="F1733" s="52" t="s">
        <v>26</v>
      </c>
      <c r="G1733" s="53"/>
    </row>
    <row r="1734">
      <c r="A1734" s="49">
        <v>44530.7205143287</v>
      </c>
      <c r="B1734" s="50">
        <v>44530.8454968171</v>
      </c>
      <c r="C1734" s="51">
        <v>1.029</v>
      </c>
      <c r="D1734" s="51">
        <v>64.0</v>
      </c>
      <c r="E1734" s="52" t="s">
        <v>25</v>
      </c>
      <c r="F1734" s="52" t="s">
        <v>26</v>
      </c>
      <c r="G1734" s="53"/>
    </row>
    <row r="1735">
      <c r="A1735" s="49">
        <v>44530.73094231481</v>
      </c>
      <c r="B1735" s="50">
        <v>44530.8559182175</v>
      </c>
      <c r="C1735" s="51">
        <v>1.029</v>
      </c>
      <c r="D1735" s="51">
        <v>64.0</v>
      </c>
      <c r="E1735" s="52" t="s">
        <v>25</v>
      </c>
      <c r="F1735" s="52" t="s">
        <v>26</v>
      </c>
      <c r="G1735" s="53"/>
    </row>
    <row r="1736">
      <c r="A1736" s="49">
        <v>44530.74135521991</v>
      </c>
      <c r="B1736" s="50">
        <v>44530.8663383912</v>
      </c>
      <c r="C1736" s="51">
        <v>1.029</v>
      </c>
      <c r="D1736" s="51">
        <v>64.0</v>
      </c>
      <c r="E1736" s="52" t="s">
        <v>25</v>
      </c>
      <c r="F1736" s="52" t="s">
        <v>26</v>
      </c>
      <c r="G1736" s="53"/>
    </row>
    <row r="1737">
      <c r="A1737" s="49">
        <v>44530.751787291665</v>
      </c>
      <c r="B1737" s="50">
        <v>44530.8767584027</v>
      </c>
      <c r="C1737" s="51">
        <v>1.029</v>
      </c>
      <c r="D1737" s="51">
        <v>64.0</v>
      </c>
      <c r="E1737" s="52" t="s">
        <v>25</v>
      </c>
      <c r="F1737" s="52" t="s">
        <v>26</v>
      </c>
      <c r="G1737" s="53"/>
    </row>
    <row r="1738">
      <c r="A1738" s="49">
        <v>44530.76220640047</v>
      </c>
      <c r="B1738" s="50">
        <v>44530.8871797569</v>
      </c>
      <c r="C1738" s="51">
        <v>1.029</v>
      </c>
      <c r="D1738" s="51">
        <v>64.0</v>
      </c>
      <c r="E1738" s="52" t="s">
        <v>25</v>
      </c>
      <c r="F1738" s="52" t="s">
        <v>26</v>
      </c>
      <c r="G1738" s="53"/>
    </row>
    <row r="1739">
      <c r="A1739" s="49">
        <v>44530.7726206713</v>
      </c>
      <c r="B1739" s="50">
        <v>44530.897600405</v>
      </c>
      <c r="C1739" s="51">
        <v>1.029</v>
      </c>
      <c r="D1739" s="51">
        <v>64.0</v>
      </c>
      <c r="E1739" s="52" t="s">
        <v>25</v>
      </c>
      <c r="F1739" s="52" t="s">
        <v>26</v>
      </c>
      <c r="G1739" s="53"/>
    </row>
    <row r="1740">
      <c r="A1740" s="49">
        <v>44530.78305751157</v>
      </c>
      <c r="B1740" s="50">
        <v>44530.9080314004</v>
      </c>
      <c r="C1740" s="51">
        <v>1.029</v>
      </c>
      <c r="D1740" s="51">
        <v>64.0</v>
      </c>
      <c r="E1740" s="52" t="s">
        <v>25</v>
      </c>
      <c r="F1740" s="52" t="s">
        <v>26</v>
      </c>
      <c r="G1740" s="53"/>
    </row>
    <row r="1741">
      <c r="A1741" s="49">
        <v>44530.79347369213</v>
      </c>
      <c r="B1741" s="50">
        <v>44530.9184534143</v>
      </c>
      <c r="C1741" s="51">
        <v>1.029</v>
      </c>
      <c r="D1741" s="51">
        <v>64.0</v>
      </c>
      <c r="E1741" s="52" t="s">
        <v>25</v>
      </c>
      <c r="F1741" s="52" t="s">
        <v>26</v>
      </c>
      <c r="G1741" s="53"/>
    </row>
    <row r="1742">
      <c r="A1742" s="49">
        <v>44530.80389667824</v>
      </c>
      <c r="B1742" s="50">
        <v>44530.9288733101</v>
      </c>
      <c r="C1742" s="51">
        <v>1.029</v>
      </c>
      <c r="D1742" s="51">
        <v>64.0</v>
      </c>
      <c r="E1742" s="52" t="s">
        <v>25</v>
      </c>
      <c r="F1742" s="52" t="s">
        <v>26</v>
      </c>
      <c r="G1742" s="53"/>
    </row>
    <row r="1743">
      <c r="A1743" s="49">
        <v>44530.81431461805</v>
      </c>
      <c r="B1743" s="50">
        <v>44530.9392937731</v>
      </c>
      <c r="C1743" s="51">
        <v>1.029</v>
      </c>
      <c r="D1743" s="51">
        <v>64.0</v>
      </c>
      <c r="E1743" s="52" t="s">
        <v>25</v>
      </c>
      <c r="F1743" s="52" t="s">
        <v>26</v>
      </c>
      <c r="G1743" s="53"/>
    </row>
    <row r="1744">
      <c r="A1744" s="49">
        <v>44530.82473305556</v>
      </c>
      <c r="B1744" s="50">
        <v>44530.9497170023</v>
      </c>
      <c r="C1744" s="51">
        <v>1.029</v>
      </c>
      <c r="D1744" s="51">
        <v>64.0</v>
      </c>
      <c r="E1744" s="52" t="s">
        <v>25</v>
      </c>
      <c r="F1744" s="52" t="s">
        <v>26</v>
      </c>
      <c r="G1744" s="53"/>
    </row>
    <row r="1745">
      <c r="A1745" s="49">
        <v>44530.83516430555</v>
      </c>
      <c r="B1745" s="50">
        <v>44530.9601388888</v>
      </c>
      <c r="C1745" s="51">
        <v>1.028</v>
      </c>
      <c r="D1745" s="51">
        <v>64.0</v>
      </c>
      <c r="E1745" s="52" t="s">
        <v>25</v>
      </c>
      <c r="F1745" s="52" t="s">
        <v>26</v>
      </c>
      <c r="G1745" s="53"/>
    </row>
    <row r="1746">
      <c r="A1746" s="49">
        <v>44530.845579409724</v>
      </c>
      <c r="B1746" s="50">
        <v>44530.9705585879</v>
      </c>
      <c r="C1746" s="51">
        <v>1.029</v>
      </c>
      <c r="D1746" s="51">
        <v>64.0</v>
      </c>
      <c r="E1746" s="52" t="s">
        <v>25</v>
      </c>
      <c r="F1746" s="52" t="s">
        <v>26</v>
      </c>
      <c r="G1746" s="53"/>
    </row>
    <row r="1747">
      <c r="A1747" s="49">
        <v>44530.856007372684</v>
      </c>
      <c r="B1747" s="50">
        <v>44530.9809792708</v>
      </c>
      <c r="C1747" s="51">
        <v>1.029</v>
      </c>
      <c r="D1747" s="51">
        <v>64.0</v>
      </c>
      <c r="E1747" s="52" t="s">
        <v>25</v>
      </c>
      <c r="F1747" s="52" t="s">
        <v>26</v>
      </c>
      <c r="G1747" s="53"/>
    </row>
    <row r="1748">
      <c r="A1748" s="49">
        <v>44530.866414421296</v>
      </c>
      <c r="B1748" s="50">
        <v>44530.9913987847</v>
      </c>
      <c r="C1748" s="51">
        <v>1.029</v>
      </c>
      <c r="D1748" s="51">
        <v>64.0</v>
      </c>
      <c r="E1748" s="52" t="s">
        <v>25</v>
      </c>
      <c r="F1748" s="52" t="s">
        <v>26</v>
      </c>
      <c r="G1748" s="53"/>
    </row>
    <row r="1749">
      <c r="A1749" s="49">
        <v>44530.876841550926</v>
      </c>
      <c r="B1749" s="50">
        <v>44531.0018206712</v>
      </c>
      <c r="C1749" s="51">
        <v>1.029</v>
      </c>
      <c r="D1749" s="51">
        <v>64.0</v>
      </c>
      <c r="E1749" s="52" t="s">
        <v>25</v>
      </c>
      <c r="F1749" s="52" t="s">
        <v>26</v>
      </c>
      <c r="G1749" s="53"/>
    </row>
    <row r="1750">
      <c r="A1750" s="49">
        <v>44530.887265219906</v>
      </c>
      <c r="B1750" s="50">
        <v>44531.0122422222</v>
      </c>
      <c r="C1750" s="51">
        <v>1.029</v>
      </c>
      <c r="D1750" s="51">
        <v>64.0</v>
      </c>
      <c r="E1750" s="52" t="s">
        <v>25</v>
      </c>
      <c r="F1750" s="52" t="s">
        <v>26</v>
      </c>
      <c r="G1750" s="53"/>
    </row>
    <row r="1751">
      <c r="A1751" s="49">
        <v>44530.89768630787</v>
      </c>
      <c r="B1751" s="50">
        <v>44531.02266353</v>
      </c>
      <c r="C1751" s="51">
        <v>1.028</v>
      </c>
      <c r="D1751" s="51">
        <v>64.0</v>
      </c>
      <c r="E1751" s="52" t="s">
        <v>25</v>
      </c>
      <c r="F1751" s="52" t="s">
        <v>26</v>
      </c>
      <c r="G1751" s="53"/>
    </row>
    <row r="1752">
      <c r="A1752" s="49">
        <v>44530.90810627315</v>
      </c>
      <c r="B1752" s="50">
        <v>44531.0330840509</v>
      </c>
      <c r="C1752" s="51">
        <v>1.028</v>
      </c>
      <c r="D1752" s="51">
        <v>64.0</v>
      </c>
      <c r="E1752" s="52" t="s">
        <v>25</v>
      </c>
      <c r="F1752" s="52" t="s">
        <v>26</v>
      </c>
      <c r="G1752" s="53"/>
    </row>
    <row r="1753">
      <c r="A1753" s="49">
        <v>44530.91852077546</v>
      </c>
      <c r="B1753" s="50">
        <v>44531.0435057407</v>
      </c>
      <c r="C1753" s="51">
        <v>1.029</v>
      </c>
      <c r="D1753" s="51">
        <v>64.0</v>
      </c>
      <c r="E1753" s="52" t="s">
        <v>25</v>
      </c>
      <c r="F1753" s="52" t="s">
        <v>26</v>
      </c>
      <c r="G1753" s="53"/>
    </row>
    <row r="1754">
      <c r="A1754" s="49">
        <v>44530.92895646991</v>
      </c>
      <c r="B1754" s="50">
        <v>44531.0539382291</v>
      </c>
      <c r="C1754" s="51">
        <v>1.028</v>
      </c>
      <c r="D1754" s="51">
        <v>64.0</v>
      </c>
      <c r="E1754" s="52" t="s">
        <v>25</v>
      </c>
      <c r="F1754" s="52" t="s">
        <v>26</v>
      </c>
      <c r="G1754" s="53"/>
    </row>
    <row r="1755">
      <c r="A1755" s="49">
        <v>44530.9393846412</v>
      </c>
      <c r="B1755" s="50">
        <v>44531.0643607407</v>
      </c>
      <c r="C1755" s="51">
        <v>1.028</v>
      </c>
      <c r="D1755" s="51">
        <v>64.0</v>
      </c>
      <c r="E1755" s="52" t="s">
        <v>25</v>
      </c>
      <c r="F1755" s="52" t="s">
        <v>26</v>
      </c>
      <c r="G1755" s="53"/>
    </row>
    <row r="1756">
      <c r="A1756" s="49">
        <v>44530.94980486111</v>
      </c>
      <c r="B1756" s="50">
        <v>44531.0747803587</v>
      </c>
      <c r="C1756" s="51">
        <v>1.028</v>
      </c>
      <c r="D1756" s="51">
        <v>64.0</v>
      </c>
      <c r="E1756" s="52" t="s">
        <v>25</v>
      </c>
      <c r="F1756" s="52" t="s">
        <v>26</v>
      </c>
      <c r="G1756" s="53"/>
    </row>
    <row r="1757">
      <c r="A1757" s="49">
        <v>44530.960226192125</v>
      </c>
      <c r="B1757" s="50">
        <v>44531.0852002546</v>
      </c>
      <c r="C1757" s="51">
        <v>1.029</v>
      </c>
      <c r="D1757" s="51">
        <v>64.0</v>
      </c>
      <c r="E1757" s="52" t="s">
        <v>25</v>
      </c>
      <c r="F1757" s="52" t="s">
        <v>26</v>
      </c>
      <c r="G1757" s="53"/>
    </row>
    <row r="1758">
      <c r="A1758" s="49">
        <v>44530.97065152778</v>
      </c>
      <c r="B1758" s="50">
        <v>44531.0956328472</v>
      </c>
      <c r="C1758" s="51">
        <v>1.028</v>
      </c>
      <c r="D1758" s="51">
        <v>64.0</v>
      </c>
      <c r="E1758" s="52" t="s">
        <v>25</v>
      </c>
      <c r="F1758" s="52" t="s">
        <v>26</v>
      </c>
      <c r="G1758" s="53"/>
    </row>
    <row r="1759">
      <c r="A1759" s="49">
        <v>44530.98107978009</v>
      </c>
      <c r="B1759" s="50">
        <v>44531.1060539236</v>
      </c>
      <c r="C1759" s="51">
        <v>1.028</v>
      </c>
      <c r="D1759" s="51">
        <v>64.0</v>
      </c>
      <c r="E1759" s="52" t="s">
        <v>25</v>
      </c>
      <c r="F1759" s="52" t="s">
        <v>26</v>
      </c>
      <c r="G1759" s="53"/>
    </row>
    <row r="1760">
      <c r="A1760" s="49">
        <v>44530.99149141204</v>
      </c>
      <c r="B1760" s="50">
        <v>44531.1164748958</v>
      </c>
      <c r="C1760" s="51">
        <v>1.028</v>
      </c>
      <c r="D1760" s="51">
        <v>64.0</v>
      </c>
      <c r="E1760" s="52" t="s">
        <v>25</v>
      </c>
      <c r="F1760" s="52" t="s">
        <v>26</v>
      </c>
      <c r="G1760" s="53"/>
    </row>
    <row r="1761">
      <c r="A1761" s="49">
        <v>44531.00192002315</v>
      </c>
      <c r="B1761" s="50">
        <v>44531.1268969328</v>
      </c>
      <c r="C1761" s="51">
        <v>1.028</v>
      </c>
      <c r="D1761" s="51">
        <v>64.0</v>
      </c>
      <c r="E1761" s="52" t="s">
        <v>25</v>
      </c>
      <c r="F1761" s="52" t="s">
        <v>26</v>
      </c>
      <c r="G1761" s="53"/>
    </row>
    <row r="1762">
      <c r="A1762" s="49">
        <v>44531.01234100694</v>
      </c>
      <c r="B1762" s="50">
        <v>44531.1373198379</v>
      </c>
      <c r="C1762" s="51">
        <v>1.028</v>
      </c>
      <c r="D1762" s="51">
        <v>64.0</v>
      </c>
      <c r="E1762" s="52" t="s">
        <v>25</v>
      </c>
      <c r="F1762" s="52" t="s">
        <v>26</v>
      </c>
      <c r="G1762" s="53"/>
    </row>
    <row r="1763">
      <c r="A1763" s="49">
        <v>44531.022757743056</v>
      </c>
      <c r="B1763" s="50">
        <v>44531.1477415046</v>
      </c>
      <c r="C1763" s="51">
        <v>1.028</v>
      </c>
      <c r="D1763" s="51">
        <v>64.0</v>
      </c>
      <c r="E1763" s="52" t="s">
        <v>25</v>
      </c>
      <c r="F1763" s="52" t="s">
        <v>26</v>
      </c>
      <c r="G1763" s="53"/>
    </row>
    <row r="1764">
      <c r="A1764" s="49">
        <v>44531.0331853588</v>
      </c>
      <c r="B1764" s="50">
        <v>44531.1581628819</v>
      </c>
      <c r="C1764" s="51">
        <v>1.028</v>
      </c>
      <c r="D1764" s="51">
        <v>64.0</v>
      </c>
      <c r="E1764" s="52" t="s">
        <v>25</v>
      </c>
      <c r="F1764" s="52" t="s">
        <v>26</v>
      </c>
      <c r="G1764" s="53"/>
    </row>
    <row r="1765">
      <c r="A1765" s="49">
        <v>44531.04360247686</v>
      </c>
      <c r="B1765" s="50">
        <v>44531.1685840046</v>
      </c>
      <c r="C1765" s="51">
        <v>1.028</v>
      </c>
      <c r="D1765" s="51">
        <v>64.0</v>
      </c>
      <c r="E1765" s="52" t="s">
        <v>25</v>
      </c>
      <c r="F1765" s="52" t="s">
        <v>26</v>
      </c>
      <c r="G1765" s="53"/>
    </row>
    <row r="1766">
      <c r="A1766" s="49">
        <v>44531.05403321759</v>
      </c>
      <c r="B1766" s="50">
        <v>44531.1790067592</v>
      </c>
      <c r="C1766" s="51">
        <v>1.028</v>
      </c>
      <c r="D1766" s="51">
        <v>64.0</v>
      </c>
      <c r="E1766" s="52" t="s">
        <v>25</v>
      </c>
      <c r="F1766" s="52" t="s">
        <v>26</v>
      </c>
      <c r="G1766" s="53"/>
    </row>
    <row r="1767">
      <c r="A1767" s="49">
        <v>44531.06444884259</v>
      </c>
      <c r="B1767" s="50">
        <v>44531.1894268634</v>
      </c>
      <c r="C1767" s="51">
        <v>1.028</v>
      </c>
      <c r="D1767" s="51">
        <v>64.0</v>
      </c>
      <c r="E1767" s="52" t="s">
        <v>25</v>
      </c>
      <c r="F1767" s="52" t="s">
        <v>26</v>
      </c>
      <c r="G1767" s="53"/>
    </row>
    <row r="1768">
      <c r="A1768" s="49">
        <v>44531.07488100695</v>
      </c>
      <c r="B1768" s="50">
        <v>44531.199848912</v>
      </c>
      <c r="C1768" s="51">
        <v>1.028</v>
      </c>
      <c r="D1768" s="51">
        <v>64.0</v>
      </c>
      <c r="E1768" s="52" t="s">
        <v>25</v>
      </c>
      <c r="F1768" s="52" t="s">
        <v>26</v>
      </c>
      <c r="G1768" s="53"/>
    </row>
    <row r="1769">
      <c r="A1769" s="49">
        <v>44531.085288368056</v>
      </c>
      <c r="B1769" s="50">
        <v>44531.2102708449</v>
      </c>
      <c r="C1769" s="51">
        <v>1.028</v>
      </c>
      <c r="D1769" s="51">
        <v>64.0</v>
      </c>
      <c r="E1769" s="52" t="s">
        <v>25</v>
      </c>
      <c r="F1769" s="52" t="s">
        <v>26</v>
      </c>
      <c r="G1769" s="53"/>
    </row>
    <row r="1770">
      <c r="A1770" s="49">
        <v>44531.095705266205</v>
      </c>
      <c r="B1770" s="50">
        <v>44531.2206909722</v>
      </c>
      <c r="C1770" s="51">
        <v>1.028</v>
      </c>
      <c r="D1770" s="51">
        <v>64.0</v>
      </c>
      <c r="E1770" s="52" t="s">
        <v>25</v>
      </c>
      <c r="F1770" s="52" t="s">
        <v>26</v>
      </c>
      <c r="G1770" s="53"/>
    </row>
    <row r="1771">
      <c r="A1771" s="49">
        <v>44531.106132650464</v>
      </c>
      <c r="B1771" s="50">
        <v>44531.2311129513</v>
      </c>
      <c r="C1771" s="51">
        <v>1.028</v>
      </c>
      <c r="D1771" s="51">
        <v>64.0</v>
      </c>
      <c r="E1771" s="52" t="s">
        <v>25</v>
      </c>
      <c r="F1771" s="52" t="s">
        <v>26</v>
      </c>
      <c r="G1771" s="53"/>
    </row>
    <row r="1772">
      <c r="A1772" s="49">
        <v>44531.11654606482</v>
      </c>
      <c r="B1772" s="50">
        <v>44531.2415335995</v>
      </c>
      <c r="C1772" s="51">
        <v>1.028</v>
      </c>
      <c r="D1772" s="51">
        <v>64.0</v>
      </c>
      <c r="E1772" s="52" t="s">
        <v>25</v>
      </c>
      <c r="F1772" s="52" t="s">
        <v>26</v>
      </c>
      <c r="G1772" s="53"/>
    </row>
    <row r="1773">
      <c r="A1773" s="49">
        <v>44531.12698208333</v>
      </c>
      <c r="B1773" s="50">
        <v>44531.2519560995</v>
      </c>
      <c r="C1773" s="51">
        <v>1.028</v>
      </c>
      <c r="D1773" s="51">
        <v>64.0</v>
      </c>
      <c r="E1773" s="52" t="s">
        <v>25</v>
      </c>
      <c r="F1773" s="52" t="s">
        <v>26</v>
      </c>
      <c r="G1773" s="53"/>
    </row>
    <row r="1774">
      <c r="A1774" s="49">
        <v>44531.1374006713</v>
      </c>
      <c r="B1774" s="50">
        <v>44531.2623766898</v>
      </c>
      <c r="C1774" s="51">
        <v>1.028</v>
      </c>
      <c r="D1774" s="51">
        <v>64.0</v>
      </c>
      <c r="E1774" s="52" t="s">
        <v>25</v>
      </c>
      <c r="F1774" s="52" t="s">
        <v>26</v>
      </c>
      <c r="G1774" s="53"/>
    </row>
    <row r="1775">
      <c r="A1775" s="49">
        <v>44531.147819074075</v>
      </c>
      <c r="B1775" s="50">
        <v>44531.2727970833</v>
      </c>
      <c r="C1775" s="51">
        <v>1.028</v>
      </c>
      <c r="D1775" s="51">
        <v>64.0</v>
      </c>
      <c r="E1775" s="52" t="s">
        <v>25</v>
      </c>
      <c r="F1775" s="52" t="s">
        <v>26</v>
      </c>
      <c r="G1775" s="53"/>
    </row>
    <row r="1776">
      <c r="A1776" s="49">
        <v>44531.158234884264</v>
      </c>
      <c r="B1776" s="50">
        <v>44531.2832178009</v>
      </c>
      <c r="C1776" s="51">
        <v>1.028</v>
      </c>
      <c r="D1776" s="51">
        <v>64.0</v>
      </c>
      <c r="E1776" s="52" t="s">
        <v>25</v>
      </c>
      <c r="F1776" s="52" t="s">
        <v>26</v>
      </c>
      <c r="G1776" s="53"/>
    </row>
    <row r="1777">
      <c r="A1777" s="49">
        <v>44531.168658344905</v>
      </c>
      <c r="B1777" s="50">
        <v>44531.2936382407</v>
      </c>
      <c r="C1777" s="51">
        <v>1.028</v>
      </c>
      <c r="D1777" s="51">
        <v>64.0</v>
      </c>
      <c r="E1777" s="52" t="s">
        <v>25</v>
      </c>
      <c r="F1777" s="52" t="s">
        <v>26</v>
      </c>
      <c r="G1777" s="53"/>
    </row>
    <row r="1778">
      <c r="A1778" s="49">
        <v>44531.179076354165</v>
      </c>
      <c r="B1778" s="50">
        <v>44531.3040584606</v>
      </c>
      <c r="C1778" s="51">
        <v>1.028</v>
      </c>
      <c r="D1778" s="51">
        <v>64.0</v>
      </c>
      <c r="E1778" s="52" t="s">
        <v>25</v>
      </c>
      <c r="F1778" s="52" t="s">
        <v>26</v>
      </c>
      <c r="G1778" s="53"/>
    </row>
    <row r="1779">
      <c r="A1779" s="49">
        <v>44531.18950270834</v>
      </c>
      <c r="B1779" s="50">
        <v>44531.3144808101</v>
      </c>
      <c r="C1779" s="51">
        <v>1.028</v>
      </c>
      <c r="D1779" s="51">
        <v>64.0</v>
      </c>
      <c r="E1779" s="52" t="s">
        <v>25</v>
      </c>
      <c r="F1779" s="52" t="s">
        <v>26</v>
      </c>
      <c r="G1779" s="53"/>
    </row>
    <row r="1780">
      <c r="A1780" s="49">
        <v>44531.19992291667</v>
      </c>
      <c r="B1780" s="50">
        <v>44531.324901956</v>
      </c>
      <c r="C1780" s="51">
        <v>1.028</v>
      </c>
      <c r="D1780" s="51">
        <v>64.0</v>
      </c>
      <c r="E1780" s="52" t="s">
        <v>25</v>
      </c>
      <c r="F1780" s="52" t="s">
        <v>26</v>
      </c>
      <c r="G1780" s="53"/>
    </row>
    <row r="1781">
      <c r="A1781" s="49">
        <v>44531.210349305555</v>
      </c>
      <c r="B1781" s="50">
        <v>44531.3353227314</v>
      </c>
      <c r="C1781" s="51">
        <v>1.028</v>
      </c>
      <c r="D1781" s="51">
        <v>64.0</v>
      </c>
      <c r="E1781" s="52" t="s">
        <v>25</v>
      </c>
      <c r="F1781" s="52" t="s">
        <v>26</v>
      </c>
      <c r="G1781" s="53"/>
    </row>
    <row r="1782">
      <c r="A1782" s="49">
        <v>44531.220767210645</v>
      </c>
      <c r="B1782" s="50">
        <v>44531.3457444212</v>
      </c>
      <c r="C1782" s="51">
        <v>1.028</v>
      </c>
      <c r="D1782" s="51">
        <v>64.0</v>
      </c>
      <c r="E1782" s="52" t="s">
        <v>25</v>
      </c>
      <c r="F1782" s="52" t="s">
        <v>26</v>
      </c>
      <c r="G1782" s="53"/>
    </row>
    <row r="1783">
      <c r="A1783" s="49">
        <v>44531.23176256944</v>
      </c>
      <c r="B1783" s="50">
        <v>44531.3561642592</v>
      </c>
      <c r="C1783" s="51">
        <v>1.028</v>
      </c>
      <c r="D1783" s="51">
        <v>64.0</v>
      </c>
      <c r="E1783" s="52" t="s">
        <v>25</v>
      </c>
      <c r="F1783" s="52" t="s">
        <v>26</v>
      </c>
      <c r="G1783" s="53"/>
    </row>
    <row r="1784">
      <c r="A1784" s="49">
        <v>44531.24160971065</v>
      </c>
      <c r="B1784" s="50">
        <v>44531.3665850462</v>
      </c>
      <c r="C1784" s="51">
        <v>1.028</v>
      </c>
      <c r="D1784" s="51">
        <v>64.0</v>
      </c>
      <c r="E1784" s="52" t="s">
        <v>25</v>
      </c>
      <c r="F1784" s="52" t="s">
        <v>26</v>
      </c>
      <c r="G1784" s="53"/>
    </row>
    <row r="1785">
      <c r="A1785" s="49">
        <v>44531.25203004629</v>
      </c>
      <c r="B1785" s="50">
        <v>44531.377005405</v>
      </c>
      <c r="C1785" s="51">
        <v>1.028</v>
      </c>
      <c r="D1785" s="51">
        <v>64.0</v>
      </c>
      <c r="E1785" s="52" t="s">
        <v>25</v>
      </c>
      <c r="F1785" s="52" t="s">
        <v>26</v>
      </c>
      <c r="G1785" s="53"/>
    </row>
    <row r="1786">
      <c r="A1786" s="49">
        <v>44531.262440266204</v>
      </c>
      <c r="B1786" s="50">
        <v>44531.3874262847</v>
      </c>
      <c r="C1786" s="51">
        <v>1.028</v>
      </c>
      <c r="D1786" s="51">
        <v>64.0</v>
      </c>
      <c r="E1786" s="52" t="s">
        <v>25</v>
      </c>
      <c r="F1786" s="52" t="s">
        <v>26</v>
      </c>
      <c r="G1786" s="53"/>
    </row>
    <row r="1787">
      <c r="A1787" s="49">
        <v>44531.2728834375</v>
      </c>
      <c r="B1787" s="50">
        <v>44531.3978583564</v>
      </c>
      <c r="C1787" s="51">
        <v>1.028</v>
      </c>
      <c r="D1787" s="51">
        <v>64.0</v>
      </c>
      <c r="E1787" s="52" t="s">
        <v>25</v>
      </c>
      <c r="F1787" s="52" t="s">
        <v>26</v>
      </c>
      <c r="G1787" s="53"/>
    </row>
    <row r="1788">
      <c r="A1788" s="49">
        <v>44531.28330597222</v>
      </c>
      <c r="B1788" s="50">
        <v>44531.4082785416</v>
      </c>
      <c r="C1788" s="51">
        <v>1.028</v>
      </c>
      <c r="D1788" s="51">
        <v>64.0</v>
      </c>
      <c r="E1788" s="52" t="s">
        <v>25</v>
      </c>
      <c r="F1788" s="52" t="s">
        <v>26</v>
      </c>
      <c r="G1788" s="53"/>
    </row>
    <row r="1789">
      <c r="A1789" s="49">
        <v>44531.29372372685</v>
      </c>
      <c r="B1789" s="50">
        <v>44531.4186998032</v>
      </c>
      <c r="C1789" s="51">
        <v>1.028</v>
      </c>
      <c r="D1789" s="51">
        <v>64.0</v>
      </c>
      <c r="E1789" s="52" t="s">
        <v>25</v>
      </c>
      <c r="F1789" s="52" t="s">
        <v>26</v>
      </c>
      <c r="G1789" s="53"/>
    </row>
    <row r="1790">
      <c r="A1790" s="49">
        <v>44531.30413988426</v>
      </c>
      <c r="B1790" s="50">
        <v>44531.4291195949</v>
      </c>
      <c r="C1790" s="51">
        <v>1.028</v>
      </c>
      <c r="D1790" s="51">
        <v>64.0</v>
      </c>
      <c r="E1790" s="52" t="s">
        <v>25</v>
      </c>
      <c r="F1790" s="52" t="s">
        <v>26</v>
      </c>
      <c r="G1790" s="53"/>
    </row>
    <row r="1791">
      <c r="A1791" s="49">
        <v>44531.31457314815</v>
      </c>
      <c r="B1791" s="50">
        <v>44531.4395403472</v>
      </c>
      <c r="C1791" s="51">
        <v>1.028</v>
      </c>
      <c r="D1791" s="51">
        <v>64.0</v>
      </c>
      <c r="E1791" s="52" t="s">
        <v>25</v>
      </c>
      <c r="F1791" s="52" t="s">
        <v>26</v>
      </c>
      <c r="G1791" s="53"/>
    </row>
    <row r="1792">
      <c r="A1792" s="49">
        <v>44531.32497451389</v>
      </c>
      <c r="B1792" s="50">
        <v>44531.4499608101</v>
      </c>
      <c r="C1792" s="51">
        <v>1.028</v>
      </c>
      <c r="D1792" s="51">
        <v>64.0</v>
      </c>
      <c r="E1792" s="52" t="s">
        <v>25</v>
      </c>
      <c r="F1792" s="52" t="s">
        <v>26</v>
      </c>
      <c r="G1792" s="53"/>
    </row>
    <row r="1793">
      <c r="A1793" s="49">
        <v>44531.335396828705</v>
      </c>
      <c r="B1793" s="50">
        <v>44531.4603802661</v>
      </c>
      <c r="C1793" s="51">
        <v>1.028</v>
      </c>
      <c r="D1793" s="51">
        <v>64.0</v>
      </c>
      <c r="E1793" s="52" t="s">
        <v>25</v>
      </c>
      <c r="F1793" s="52" t="s">
        <v>26</v>
      </c>
      <c r="G1793" s="53"/>
    </row>
    <row r="1794">
      <c r="A1794" s="49">
        <v>44531.34581962963</v>
      </c>
      <c r="B1794" s="50">
        <v>44531.4708004513</v>
      </c>
      <c r="C1794" s="51">
        <v>1.028</v>
      </c>
      <c r="D1794" s="51">
        <v>64.0</v>
      </c>
      <c r="E1794" s="52" t="s">
        <v>25</v>
      </c>
      <c r="F1794" s="52" t="s">
        <v>26</v>
      </c>
      <c r="G1794" s="53"/>
    </row>
    <row r="1795">
      <c r="A1795" s="49">
        <v>44531.35623560185</v>
      </c>
      <c r="B1795" s="50">
        <v>44531.4812215393</v>
      </c>
      <c r="C1795" s="51">
        <v>1.028</v>
      </c>
      <c r="D1795" s="51">
        <v>64.0</v>
      </c>
      <c r="E1795" s="52" t="s">
        <v>25</v>
      </c>
      <c r="F1795" s="52" t="s">
        <v>26</v>
      </c>
      <c r="G1795" s="53"/>
    </row>
    <row r="1796">
      <c r="A1796" s="49">
        <v>44531.366670358795</v>
      </c>
      <c r="B1796" s="50">
        <v>44531.4916429513</v>
      </c>
      <c r="C1796" s="51">
        <v>1.028</v>
      </c>
      <c r="D1796" s="51">
        <v>64.0</v>
      </c>
      <c r="E1796" s="52" t="s">
        <v>25</v>
      </c>
      <c r="F1796" s="52" t="s">
        <v>26</v>
      </c>
      <c r="G1796" s="53"/>
    </row>
    <row r="1797">
      <c r="A1797" s="49">
        <v>44531.377089131944</v>
      </c>
      <c r="B1797" s="50">
        <v>44531.5020640624</v>
      </c>
      <c r="C1797" s="51">
        <v>1.028</v>
      </c>
      <c r="D1797" s="51">
        <v>64.0</v>
      </c>
      <c r="E1797" s="52" t="s">
        <v>25</v>
      </c>
      <c r="F1797" s="52" t="s">
        <v>26</v>
      </c>
      <c r="G1797" s="53"/>
    </row>
    <row r="1798">
      <c r="A1798" s="49">
        <v>44531.38751028935</v>
      </c>
      <c r="B1798" s="50">
        <v>44531.5124856018</v>
      </c>
      <c r="C1798" s="51">
        <v>1.028</v>
      </c>
      <c r="D1798" s="51">
        <v>64.0</v>
      </c>
      <c r="E1798" s="52" t="s">
        <v>25</v>
      </c>
      <c r="F1798" s="52" t="s">
        <v>26</v>
      </c>
      <c r="G1798" s="53"/>
    </row>
    <row r="1799">
      <c r="A1799" s="49">
        <v>44531.408365219904</v>
      </c>
      <c r="B1799" s="50">
        <v>44531.5333381018</v>
      </c>
      <c r="C1799" s="51">
        <v>1.028</v>
      </c>
      <c r="D1799" s="51">
        <v>64.0</v>
      </c>
      <c r="E1799" s="52" t="s">
        <v>25</v>
      </c>
      <c r="F1799" s="52" t="s">
        <v>26</v>
      </c>
      <c r="G1799" s="53"/>
    </row>
    <row r="1800">
      <c r="A1800" s="49">
        <v>44531.41878931713</v>
      </c>
      <c r="B1800" s="50">
        <v>44531.5437601388</v>
      </c>
      <c r="C1800" s="51">
        <v>1.028</v>
      </c>
      <c r="D1800" s="51">
        <v>64.0</v>
      </c>
      <c r="E1800" s="52" t="s">
        <v>25</v>
      </c>
      <c r="F1800" s="52" t="s">
        <v>26</v>
      </c>
      <c r="G1800" s="53"/>
    </row>
    <row r="1801">
      <c r="A1801" s="49">
        <v>44531.42921548611</v>
      </c>
      <c r="B1801" s="50">
        <v>44531.5541817592</v>
      </c>
      <c r="C1801" s="51">
        <v>1.028</v>
      </c>
      <c r="D1801" s="51">
        <v>64.0</v>
      </c>
      <c r="E1801" s="52" t="s">
        <v>25</v>
      </c>
      <c r="F1801" s="52" t="s">
        <v>26</v>
      </c>
      <c r="G1801" s="53"/>
    </row>
    <row r="1802">
      <c r="A1802" s="49">
        <v>44531.439626631945</v>
      </c>
      <c r="B1802" s="50">
        <v>44531.5646023726</v>
      </c>
      <c r="C1802" s="51">
        <v>1.028</v>
      </c>
      <c r="D1802" s="51">
        <v>64.0</v>
      </c>
      <c r="E1802" s="52" t="s">
        <v>25</v>
      </c>
      <c r="F1802" s="52" t="s">
        <v>26</v>
      </c>
      <c r="G1802" s="53"/>
    </row>
    <row r="1803">
      <c r="A1803" s="49">
        <v>44531.45005814815</v>
      </c>
      <c r="B1803" s="50">
        <v>44531.5750243171</v>
      </c>
      <c r="C1803" s="51">
        <v>1.028</v>
      </c>
      <c r="D1803" s="51">
        <v>64.0</v>
      </c>
      <c r="E1803" s="52" t="s">
        <v>25</v>
      </c>
      <c r="F1803" s="52" t="s">
        <v>26</v>
      </c>
      <c r="G1803" s="53"/>
    </row>
    <row r="1804">
      <c r="A1804" s="49">
        <v>44531.46047329861</v>
      </c>
      <c r="B1804" s="50">
        <v>44531.5854465509</v>
      </c>
      <c r="C1804" s="51">
        <v>1.028</v>
      </c>
      <c r="D1804" s="51">
        <v>64.0</v>
      </c>
      <c r="E1804" s="52" t="s">
        <v>25</v>
      </c>
      <c r="F1804" s="52" t="s">
        <v>26</v>
      </c>
      <c r="G1804" s="53"/>
    </row>
    <row r="1805">
      <c r="A1805" s="49">
        <v>44531.47089858796</v>
      </c>
      <c r="B1805" s="50">
        <v>44531.595869155</v>
      </c>
      <c r="C1805" s="51">
        <v>1.028</v>
      </c>
      <c r="D1805" s="51">
        <v>64.0</v>
      </c>
      <c r="E1805" s="52" t="s">
        <v>25</v>
      </c>
      <c r="F1805" s="52" t="s">
        <v>26</v>
      </c>
      <c r="G1805" s="53"/>
    </row>
    <row r="1806">
      <c r="A1806" s="49">
        <v>44531.48132464121</v>
      </c>
      <c r="B1806" s="50">
        <v>44531.6062897106</v>
      </c>
      <c r="C1806" s="51">
        <v>1.028</v>
      </c>
      <c r="D1806" s="51">
        <v>64.0</v>
      </c>
      <c r="E1806" s="52" t="s">
        <v>25</v>
      </c>
      <c r="F1806" s="52" t="s">
        <v>26</v>
      </c>
      <c r="G1806" s="53"/>
    </row>
    <row r="1807">
      <c r="A1807" s="49">
        <v>44531.491744583334</v>
      </c>
      <c r="B1807" s="50">
        <v>44531.6167226851</v>
      </c>
      <c r="C1807" s="51">
        <v>1.028</v>
      </c>
      <c r="D1807" s="51">
        <v>64.0</v>
      </c>
      <c r="E1807" s="52" t="s">
        <v>25</v>
      </c>
      <c r="F1807" s="52" t="s">
        <v>26</v>
      </c>
      <c r="G1807" s="53"/>
    </row>
    <row r="1808">
      <c r="A1808" s="49">
        <v>44531.502184745375</v>
      </c>
      <c r="B1808" s="50">
        <v>44531.6271553472</v>
      </c>
      <c r="C1808" s="51">
        <v>1.028</v>
      </c>
      <c r="D1808" s="51">
        <v>64.0</v>
      </c>
      <c r="E1808" s="52" t="s">
        <v>25</v>
      </c>
      <c r="F1808" s="52" t="s">
        <v>26</v>
      </c>
      <c r="G1808" s="53"/>
    </row>
    <row r="1809">
      <c r="A1809" s="49">
        <v>44531.51262875</v>
      </c>
      <c r="B1809" s="50">
        <v>44531.6376010416</v>
      </c>
      <c r="C1809" s="51">
        <v>1.028</v>
      </c>
      <c r="D1809" s="51">
        <v>64.0</v>
      </c>
      <c r="E1809" s="52" t="s">
        <v>25</v>
      </c>
      <c r="F1809" s="52" t="s">
        <v>26</v>
      </c>
      <c r="G1809" s="53"/>
    </row>
    <row r="1810">
      <c r="A1810" s="49">
        <v>44531.52305798611</v>
      </c>
      <c r="B1810" s="50">
        <v>44531.6480235532</v>
      </c>
      <c r="C1810" s="51">
        <v>1.028</v>
      </c>
      <c r="D1810" s="51">
        <v>64.0</v>
      </c>
      <c r="E1810" s="52" t="s">
        <v>25</v>
      </c>
      <c r="F1810" s="52" t="s">
        <v>26</v>
      </c>
      <c r="G1810" s="53"/>
    </row>
    <row r="1811">
      <c r="A1811" s="49">
        <v>44531.53348194444</v>
      </c>
      <c r="B1811" s="50">
        <v>44531.6584447685</v>
      </c>
      <c r="C1811" s="51">
        <v>1.028</v>
      </c>
      <c r="D1811" s="51">
        <v>64.0</v>
      </c>
      <c r="E1811" s="52" t="s">
        <v>25</v>
      </c>
      <c r="F1811" s="52" t="s">
        <v>26</v>
      </c>
      <c r="G1811" s="53"/>
    </row>
    <row r="1812">
      <c r="A1812" s="49">
        <v>44531.54389052083</v>
      </c>
      <c r="B1812" s="50">
        <v>44531.6688663888</v>
      </c>
      <c r="C1812" s="51">
        <v>1.028</v>
      </c>
      <c r="D1812" s="51">
        <v>64.0</v>
      </c>
      <c r="E1812" s="52" t="s">
        <v>25</v>
      </c>
      <c r="F1812" s="52" t="s">
        <v>26</v>
      </c>
      <c r="G1812" s="53"/>
    </row>
    <row r="1813">
      <c r="A1813" s="49">
        <v>44531.55431196759</v>
      </c>
      <c r="B1813" s="50">
        <v>44531.679287581</v>
      </c>
      <c r="C1813" s="51">
        <v>1.028</v>
      </c>
      <c r="D1813" s="51">
        <v>64.0</v>
      </c>
      <c r="E1813" s="52" t="s">
        <v>25</v>
      </c>
      <c r="F1813" s="52" t="s">
        <v>26</v>
      </c>
      <c r="G1813" s="53"/>
    </row>
    <row r="1814">
      <c r="A1814" s="49">
        <v>44531.564736817134</v>
      </c>
      <c r="B1814" s="50">
        <v>44531.6897093287</v>
      </c>
      <c r="C1814" s="51">
        <v>1.028</v>
      </c>
      <c r="D1814" s="51">
        <v>64.0</v>
      </c>
      <c r="E1814" s="52" t="s">
        <v>25</v>
      </c>
      <c r="F1814" s="52" t="s">
        <v>26</v>
      </c>
      <c r="G1814" s="53"/>
    </row>
    <row r="1815">
      <c r="A1815" s="49">
        <v>44531.57515633102</v>
      </c>
      <c r="B1815" s="50">
        <v>44531.7001304629</v>
      </c>
      <c r="C1815" s="51">
        <v>1.028</v>
      </c>
      <c r="D1815" s="51">
        <v>64.0</v>
      </c>
      <c r="E1815" s="52" t="s">
        <v>25</v>
      </c>
      <c r="F1815" s="52" t="s">
        <v>26</v>
      </c>
      <c r="G1815" s="53"/>
    </row>
    <row r="1816">
      <c r="A1816" s="49">
        <v>44531.5855762963</v>
      </c>
      <c r="B1816" s="50">
        <v>44531.7105502893</v>
      </c>
      <c r="C1816" s="51">
        <v>1.028</v>
      </c>
      <c r="D1816" s="51">
        <v>64.0</v>
      </c>
      <c r="E1816" s="52" t="s">
        <v>25</v>
      </c>
      <c r="F1816" s="52" t="s">
        <v>26</v>
      </c>
      <c r="G1816" s="53"/>
    </row>
    <row r="1817">
      <c r="A1817" s="49">
        <v>44531.59599793982</v>
      </c>
      <c r="B1817" s="50">
        <v>44531.7209718981</v>
      </c>
      <c r="C1817" s="51">
        <v>1.028</v>
      </c>
      <c r="D1817" s="51">
        <v>64.0</v>
      </c>
      <c r="E1817" s="52" t="s">
        <v>25</v>
      </c>
      <c r="F1817" s="52" t="s">
        <v>26</v>
      </c>
      <c r="G1817" s="53"/>
    </row>
    <row r="1818">
      <c r="A1818" s="49">
        <v>44531.60641605324</v>
      </c>
      <c r="B1818" s="50">
        <v>44531.7313925231</v>
      </c>
      <c r="C1818" s="51">
        <v>1.028</v>
      </c>
      <c r="D1818" s="51">
        <v>64.0</v>
      </c>
      <c r="E1818" s="52" t="s">
        <v>25</v>
      </c>
      <c r="F1818" s="52" t="s">
        <v>26</v>
      </c>
      <c r="G1818" s="53"/>
    </row>
    <row r="1819">
      <c r="A1819" s="49">
        <v>44531.616841006944</v>
      </c>
      <c r="B1819" s="50">
        <v>44531.7418140277</v>
      </c>
      <c r="C1819" s="51">
        <v>1.028</v>
      </c>
      <c r="D1819" s="51">
        <v>64.0</v>
      </c>
      <c r="E1819" s="52" t="s">
        <v>25</v>
      </c>
      <c r="F1819" s="52" t="s">
        <v>26</v>
      </c>
      <c r="G1819" s="53"/>
    </row>
    <row r="1820">
      <c r="A1820" s="49">
        <v>44531.62727509259</v>
      </c>
      <c r="B1820" s="50">
        <v>44531.7522558912</v>
      </c>
      <c r="C1820" s="51">
        <v>1.027</v>
      </c>
      <c r="D1820" s="51">
        <v>64.0</v>
      </c>
      <c r="E1820" s="52" t="s">
        <v>25</v>
      </c>
      <c r="F1820" s="52" t="s">
        <v>26</v>
      </c>
      <c r="G1820" s="53"/>
    </row>
    <row r="1821">
      <c r="A1821" s="49">
        <v>44531.63770179398</v>
      </c>
      <c r="B1821" s="50">
        <v>44531.7626791666</v>
      </c>
      <c r="C1821" s="51">
        <v>1.028</v>
      </c>
      <c r="D1821" s="51">
        <v>64.0</v>
      </c>
      <c r="E1821" s="52" t="s">
        <v>25</v>
      </c>
      <c r="F1821" s="52" t="s">
        <v>26</v>
      </c>
      <c r="G1821" s="53"/>
    </row>
    <row r="1822">
      <c r="A1822" s="49">
        <v>44531.64812607639</v>
      </c>
      <c r="B1822" s="50">
        <v>44531.7731011342</v>
      </c>
      <c r="C1822" s="51">
        <v>1.028</v>
      </c>
      <c r="D1822" s="51">
        <v>64.0</v>
      </c>
      <c r="E1822" s="52" t="s">
        <v>25</v>
      </c>
      <c r="F1822" s="52" t="s">
        <v>26</v>
      </c>
      <c r="G1822" s="53"/>
    </row>
    <row r="1823">
      <c r="A1823" s="49">
        <v>44531.65857216435</v>
      </c>
      <c r="B1823" s="50">
        <v>44531.7835560416</v>
      </c>
      <c r="C1823" s="51">
        <v>1.028</v>
      </c>
      <c r="D1823" s="51">
        <v>64.0</v>
      </c>
      <c r="E1823" s="52" t="s">
        <v>25</v>
      </c>
      <c r="F1823" s="52" t="s">
        <v>26</v>
      </c>
      <c r="G1823" s="53"/>
    </row>
    <row r="1824">
      <c r="A1824" s="49">
        <v>44531.66900068287</v>
      </c>
      <c r="B1824" s="50">
        <v>44531.7939761689</v>
      </c>
      <c r="C1824" s="51">
        <v>1.028</v>
      </c>
      <c r="D1824" s="51">
        <v>64.0</v>
      </c>
      <c r="E1824" s="52" t="s">
        <v>25</v>
      </c>
      <c r="F1824" s="52" t="s">
        <v>26</v>
      </c>
      <c r="G1824" s="53"/>
    </row>
    <row r="1825">
      <c r="A1825" s="49">
        <v>44531.6794204051</v>
      </c>
      <c r="B1825" s="50">
        <v>44531.8043986921</v>
      </c>
      <c r="C1825" s="51">
        <v>1.028</v>
      </c>
      <c r="D1825" s="51">
        <v>64.0</v>
      </c>
      <c r="E1825" s="52" t="s">
        <v>25</v>
      </c>
      <c r="F1825" s="52" t="s">
        <v>26</v>
      </c>
      <c r="G1825" s="53"/>
    </row>
    <row r="1826">
      <c r="A1826" s="49">
        <v>44531.68983876157</v>
      </c>
      <c r="B1826" s="50">
        <v>44531.814821331</v>
      </c>
      <c r="C1826" s="51">
        <v>1.027</v>
      </c>
      <c r="D1826" s="51">
        <v>64.0</v>
      </c>
      <c r="E1826" s="52" t="s">
        <v>25</v>
      </c>
      <c r="F1826" s="52" t="s">
        <v>26</v>
      </c>
      <c r="G1826" s="53"/>
    </row>
    <row r="1827">
      <c r="A1827" s="49">
        <v>44531.700274884264</v>
      </c>
      <c r="B1827" s="50">
        <v>44531.8252432175</v>
      </c>
      <c r="C1827" s="51">
        <v>1.027</v>
      </c>
      <c r="D1827" s="51">
        <v>64.0</v>
      </c>
      <c r="E1827" s="52" t="s">
        <v>25</v>
      </c>
      <c r="F1827" s="52" t="s">
        <v>26</v>
      </c>
      <c r="G1827" s="53"/>
    </row>
    <row r="1828">
      <c r="A1828" s="49">
        <v>44531.71068418981</v>
      </c>
      <c r="B1828" s="50">
        <v>44531.8356633796</v>
      </c>
      <c r="C1828" s="51">
        <v>1.027</v>
      </c>
      <c r="D1828" s="51">
        <v>64.0</v>
      </c>
      <c r="E1828" s="52" t="s">
        <v>25</v>
      </c>
      <c r="F1828" s="52" t="s">
        <v>26</v>
      </c>
      <c r="G1828" s="53"/>
    </row>
    <row r="1829">
      <c r="A1829" s="49">
        <v>44531.7211112963</v>
      </c>
      <c r="B1829" s="50">
        <v>44531.8460835185</v>
      </c>
      <c r="C1829" s="51">
        <v>1.027</v>
      </c>
      <c r="D1829" s="51">
        <v>64.0</v>
      </c>
      <c r="E1829" s="52" t="s">
        <v>25</v>
      </c>
      <c r="F1829" s="52" t="s">
        <v>26</v>
      </c>
      <c r="G1829" s="53"/>
    </row>
    <row r="1830">
      <c r="A1830" s="49">
        <v>44531.731528715274</v>
      </c>
      <c r="B1830" s="50">
        <v>44531.8565038773</v>
      </c>
      <c r="C1830" s="51">
        <v>1.027</v>
      </c>
      <c r="D1830" s="51">
        <v>64.0</v>
      </c>
      <c r="E1830" s="52" t="s">
        <v>25</v>
      </c>
      <c r="F1830" s="52" t="s">
        <v>26</v>
      </c>
      <c r="G1830" s="53"/>
    </row>
    <row r="1831">
      <c r="A1831" s="49">
        <v>44531.74194273148</v>
      </c>
      <c r="B1831" s="50">
        <v>44531.8669237384</v>
      </c>
      <c r="C1831" s="51">
        <v>1.027</v>
      </c>
      <c r="D1831" s="51">
        <v>64.0</v>
      </c>
      <c r="E1831" s="52" t="s">
        <v>25</v>
      </c>
      <c r="F1831" s="52" t="s">
        <v>26</v>
      </c>
      <c r="G1831" s="53"/>
    </row>
    <row r="1832">
      <c r="A1832" s="49">
        <v>44531.75236283564</v>
      </c>
      <c r="B1832" s="50">
        <v>44531.8773458564</v>
      </c>
      <c r="C1832" s="51">
        <v>1.027</v>
      </c>
      <c r="D1832" s="51">
        <v>64.0</v>
      </c>
      <c r="E1832" s="52" t="s">
        <v>25</v>
      </c>
      <c r="F1832" s="52" t="s">
        <v>26</v>
      </c>
      <c r="G1832" s="53"/>
    </row>
    <row r="1833">
      <c r="A1833" s="49">
        <v>44531.76279188658</v>
      </c>
      <c r="B1833" s="50">
        <v>44531.8877683333</v>
      </c>
      <c r="C1833" s="51">
        <v>1.027</v>
      </c>
      <c r="D1833" s="51">
        <v>64.0</v>
      </c>
      <c r="E1833" s="52" t="s">
        <v>25</v>
      </c>
      <c r="F1833" s="52" t="s">
        <v>26</v>
      </c>
      <c r="G1833" s="53"/>
    </row>
    <row r="1834">
      <c r="A1834" s="49">
        <v>44531.77321480324</v>
      </c>
      <c r="B1834" s="50">
        <v>44531.8981900115</v>
      </c>
      <c r="C1834" s="51">
        <v>1.028</v>
      </c>
      <c r="D1834" s="51">
        <v>64.0</v>
      </c>
      <c r="E1834" s="52" t="s">
        <v>25</v>
      </c>
      <c r="F1834" s="52" t="s">
        <v>26</v>
      </c>
      <c r="G1834" s="53"/>
    </row>
    <row r="1835">
      <c r="A1835" s="49">
        <v>44531.78363849537</v>
      </c>
      <c r="B1835" s="50">
        <v>44531.9086116666</v>
      </c>
      <c r="C1835" s="51">
        <v>1.027</v>
      </c>
      <c r="D1835" s="51">
        <v>64.0</v>
      </c>
      <c r="E1835" s="52" t="s">
        <v>25</v>
      </c>
      <c r="F1835" s="52" t="s">
        <v>26</v>
      </c>
      <c r="G1835" s="53"/>
    </row>
    <row r="1836">
      <c r="A1836" s="49">
        <v>44531.79406204861</v>
      </c>
      <c r="B1836" s="50">
        <v>44531.9190337615</v>
      </c>
      <c r="C1836" s="51">
        <v>1.027</v>
      </c>
      <c r="D1836" s="51">
        <v>64.0</v>
      </c>
      <c r="E1836" s="52" t="s">
        <v>25</v>
      </c>
      <c r="F1836" s="52" t="s">
        <v>26</v>
      </c>
      <c r="G1836" s="53"/>
    </row>
    <row r="1837">
      <c r="A1837" s="49">
        <v>44531.804477812504</v>
      </c>
      <c r="B1837" s="50">
        <v>44531.9294572916</v>
      </c>
      <c r="C1837" s="51">
        <v>1.027</v>
      </c>
      <c r="D1837" s="51">
        <v>64.0</v>
      </c>
      <c r="E1837" s="52" t="s">
        <v>25</v>
      </c>
      <c r="F1837" s="52" t="s">
        <v>26</v>
      </c>
      <c r="G1837" s="53"/>
    </row>
    <row r="1838">
      <c r="A1838" s="49">
        <v>44531.814897916665</v>
      </c>
      <c r="B1838" s="50">
        <v>44531.9398775925</v>
      </c>
      <c r="C1838" s="51">
        <v>1.027</v>
      </c>
      <c r="D1838" s="51">
        <v>64.0</v>
      </c>
      <c r="E1838" s="52" t="s">
        <v>25</v>
      </c>
      <c r="F1838" s="52" t="s">
        <v>26</v>
      </c>
      <c r="G1838" s="53"/>
    </row>
    <row r="1839">
      <c r="A1839" s="49">
        <v>44531.82535167824</v>
      </c>
      <c r="B1839" s="50">
        <v>44531.9503239236</v>
      </c>
      <c r="C1839" s="51">
        <v>1.027</v>
      </c>
      <c r="D1839" s="51">
        <v>64.0</v>
      </c>
      <c r="E1839" s="52" t="s">
        <v>25</v>
      </c>
      <c r="F1839" s="52" t="s">
        <v>26</v>
      </c>
      <c r="G1839" s="53"/>
    </row>
    <row r="1840">
      <c r="A1840" s="49">
        <v>44531.835776238426</v>
      </c>
      <c r="B1840" s="50">
        <v>44531.9607443171</v>
      </c>
      <c r="C1840" s="51">
        <v>1.027</v>
      </c>
      <c r="D1840" s="51">
        <v>64.0</v>
      </c>
      <c r="E1840" s="52" t="s">
        <v>25</v>
      </c>
      <c r="F1840" s="52" t="s">
        <v>26</v>
      </c>
      <c r="G1840" s="53"/>
    </row>
    <row r="1841">
      <c r="A1841" s="49">
        <v>44531.846190682874</v>
      </c>
      <c r="B1841" s="50">
        <v>44531.9711662268</v>
      </c>
      <c r="C1841" s="51">
        <v>1.027</v>
      </c>
      <c r="D1841" s="51">
        <v>64.0</v>
      </c>
      <c r="E1841" s="52" t="s">
        <v>25</v>
      </c>
      <c r="F1841" s="52" t="s">
        <v>26</v>
      </c>
      <c r="G1841" s="53"/>
    </row>
    <row r="1842">
      <c r="A1842" s="49">
        <v>44531.85661253472</v>
      </c>
      <c r="B1842" s="50">
        <v>44531.9815878703</v>
      </c>
      <c r="C1842" s="51">
        <v>1.027</v>
      </c>
      <c r="D1842" s="51">
        <v>64.0</v>
      </c>
      <c r="E1842" s="52" t="s">
        <v>25</v>
      </c>
      <c r="F1842" s="52" t="s">
        <v>26</v>
      </c>
      <c r="G1842" s="53"/>
    </row>
    <row r="1843">
      <c r="A1843" s="49">
        <v>44531.86704689814</v>
      </c>
      <c r="B1843" s="50">
        <v>44531.9920218171</v>
      </c>
      <c r="C1843" s="51">
        <v>1.027</v>
      </c>
      <c r="D1843" s="51">
        <v>64.0</v>
      </c>
      <c r="E1843" s="52" t="s">
        <v>25</v>
      </c>
      <c r="F1843" s="52" t="s">
        <v>26</v>
      </c>
      <c r="G1843" s="53"/>
    </row>
    <row r="1844">
      <c r="A1844" s="49">
        <v>44531.8774718287</v>
      </c>
      <c r="B1844" s="50">
        <v>44532.0024432638</v>
      </c>
      <c r="C1844" s="51">
        <v>1.027</v>
      </c>
      <c r="D1844" s="51">
        <v>64.0</v>
      </c>
      <c r="E1844" s="52" t="s">
        <v>25</v>
      </c>
      <c r="F1844" s="52" t="s">
        <v>26</v>
      </c>
      <c r="G1844" s="53"/>
    </row>
    <row r="1845">
      <c r="A1845" s="49">
        <v>44531.88789106482</v>
      </c>
      <c r="B1845" s="50">
        <v>44532.0128646643</v>
      </c>
      <c r="C1845" s="51">
        <v>1.027</v>
      </c>
      <c r="D1845" s="51">
        <v>64.0</v>
      </c>
      <c r="E1845" s="52" t="s">
        <v>25</v>
      </c>
      <c r="F1845" s="52" t="s">
        <v>26</v>
      </c>
      <c r="G1845" s="53"/>
    </row>
    <row r="1846">
      <c r="A1846" s="49">
        <v>44531.89831197917</v>
      </c>
      <c r="B1846" s="50">
        <v>44532.0232862268</v>
      </c>
      <c r="C1846" s="51">
        <v>1.027</v>
      </c>
      <c r="D1846" s="51">
        <v>64.0</v>
      </c>
      <c r="E1846" s="52" t="s">
        <v>25</v>
      </c>
      <c r="F1846" s="52" t="s">
        <v>26</v>
      </c>
      <c r="G1846" s="53"/>
    </row>
    <row r="1847">
      <c r="A1847" s="49">
        <v>44531.90872857639</v>
      </c>
      <c r="B1847" s="50">
        <v>44532.0337066898</v>
      </c>
      <c r="C1847" s="51">
        <v>1.027</v>
      </c>
      <c r="D1847" s="51">
        <v>64.0</v>
      </c>
      <c r="E1847" s="52" t="s">
        <v>25</v>
      </c>
      <c r="F1847" s="52" t="s">
        <v>26</v>
      </c>
      <c r="G1847" s="53"/>
    </row>
    <row r="1848">
      <c r="A1848" s="49">
        <v>44531.91915149306</v>
      </c>
      <c r="B1848" s="50">
        <v>44532.04412853</v>
      </c>
      <c r="C1848" s="51">
        <v>1.027</v>
      </c>
      <c r="D1848" s="51">
        <v>64.0</v>
      </c>
      <c r="E1848" s="52" t="s">
        <v>25</v>
      </c>
      <c r="F1848" s="52" t="s">
        <v>26</v>
      </c>
      <c r="G1848" s="53"/>
    </row>
    <row r="1849">
      <c r="A1849" s="49">
        <v>44531.92956773148</v>
      </c>
      <c r="B1849" s="50">
        <v>44532.0545494444</v>
      </c>
      <c r="C1849" s="51">
        <v>1.027</v>
      </c>
      <c r="D1849" s="51">
        <v>64.0</v>
      </c>
      <c r="E1849" s="52" t="s">
        <v>25</v>
      </c>
      <c r="F1849" s="52" t="s">
        <v>26</v>
      </c>
      <c r="G1849" s="53"/>
    </row>
    <row r="1850">
      <c r="A1850" s="49">
        <v>44531.93999508102</v>
      </c>
      <c r="B1850" s="50">
        <v>44532.0649709375</v>
      </c>
      <c r="C1850" s="51">
        <v>1.027</v>
      </c>
      <c r="D1850" s="51">
        <v>64.0</v>
      </c>
      <c r="E1850" s="52" t="s">
        <v>25</v>
      </c>
      <c r="F1850" s="52" t="s">
        <v>26</v>
      </c>
      <c r="G1850" s="53"/>
    </row>
    <row r="1851">
      <c r="A1851" s="49">
        <v>44531.95040915509</v>
      </c>
      <c r="B1851" s="50">
        <v>44532.0753906365</v>
      </c>
      <c r="C1851" s="51">
        <v>1.027</v>
      </c>
      <c r="D1851" s="51">
        <v>64.0</v>
      </c>
      <c r="E1851" s="52" t="s">
        <v>25</v>
      </c>
      <c r="F1851" s="52" t="s">
        <v>26</v>
      </c>
      <c r="G1851" s="53"/>
    </row>
    <row r="1852">
      <c r="A1852" s="49">
        <v>44531.96083546296</v>
      </c>
      <c r="B1852" s="50">
        <v>44532.0858112384</v>
      </c>
      <c r="C1852" s="51">
        <v>1.027</v>
      </c>
      <c r="D1852" s="51">
        <v>64.0</v>
      </c>
      <c r="E1852" s="52" t="s">
        <v>25</v>
      </c>
      <c r="F1852" s="52" t="s">
        <v>26</v>
      </c>
      <c r="G1852" s="53"/>
    </row>
    <row r="1853">
      <c r="A1853" s="49">
        <v>44531.97125682871</v>
      </c>
      <c r="B1853" s="50">
        <v>44532.0962339467</v>
      </c>
      <c r="C1853" s="51">
        <v>1.027</v>
      </c>
      <c r="D1853" s="51">
        <v>64.0</v>
      </c>
      <c r="E1853" s="52" t="s">
        <v>25</v>
      </c>
      <c r="F1853" s="52" t="s">
        <v>26</v>
      </c>
      <c r="G1853" s="53"/>
    </row>
    <row r="1854">
      <c r="A1854" s="49">
        <v>44531.98167857639</v>
      </c>
      <c r="B1854" s="50">
        <v>44532.1066532638</v>
      </c>
      <c r="C1854" s="51">
        <v>1.027</v>
      </c>
      <c r="D1854" s="51">
        <v>64.0</v>
      </c>
      <c r="E1854" s="52" t="s">
        <v>25</v>
      </c>
      <c r="F1854" s="52" t="s">
        <v>26</v>
      </c>
      <c r="G1854" s="53"/>
    </row>
    <row r="1855">
      <c r="A1855" s="49">
        <v>44531.99209917824</v>
      </c>
      <c r="B1855" s="50">
        <v>44532.1170750462</v>
      </c>
      <c r="C1855" s="51">
        <v>1.027</v>
      </c>
      <c r="D1855" s="51">
        <v>64.0</v>
      </c>
      <c r="E1855" s="52" t="s">
        <v>25</v>
      </c>
      <c r="F1855" s="52" t="s">
        <v>26</v>
      </c>
      <c r="G1855" s="53"/>
    </row>
    <row r="1856">
      <c r="A1856" s="49">
        <v>44532.00252450231</v>
      </c>
      <c r="B1856" s="50">
        <v>44532.1274966087</v>
      </c>
      <c r="C1856" s="51">
        <v>1.027</v>
      </c>
      <c r="D1856" s="51">
        <v>64.0</v>
      </c>
      <c r="E1856" s="52" t="s">
        <v>25</v>
      </c>
      <c r="F1856" s="52" t="s">
        <v>26</v>
      </c>
      <c r="G1856" s="53"/>
    </row>
    <row r="1857">
      <c r="A1857" s="49">
        <v>44532.01294579861</v>
      </c>
      <c r="B1857" s="50">
        <v>44532.1379189236</v>
      </c>
      <c r="C1857" s="51">
        <v>1.027</v>
      </c>
      <c r="D1857" s="51">
        <v>64.0</v>
      </c>
      <c r="E1857" s="52" t="s">
        <v>25</v>
      </c>
      <c r="F1857" s="52" t="s">
        <v>26</v>
      </c>
      <c r="G1857" s="53"/>
    </row>
    <row r="1858">
      <c r="A1858" s="49">
        <v>44532.02336782408</v>
      </c>
      <c r="B1858" s="50">
        <v>44532.1483399074</v>
      </c>
      <c r="C1858" s="51">
        <v>1.027</v>
      </c>
      <c r="D1858" s="51">
        <v>64.0</v>
      </c>
      <c r="E1858" s="52" t="s">
        <v>25</v>
      </c>
      <c r="F1858" s="52" t="s">
        <v>26</v>
      </c>
      <c r="G1858" s="53"/>
    </row>
    <row r="1859">
      <c r="A1859" s="49">
        <v>44532.033780150465</v>
      </c>
      <c r="B1859" s="50">
        <v>44532.1587608912</v>
      </c>
      <c r="C1859" s="51">
        <v>1.027</v>
      </c>
      <c r="D1859" s="51">
        <v>64.0</v>
      </c>
      <c r="E1859" s="52" t="s">
        <v>25</v>
      </c>
      <c r="F1859" s="52" t="s">
        <v>26</v>
      </c>
      <c r="G1859" s="53"/>
    </row>
    <row r="1860">
      <c r="A1860" s="49">
        <v>44532.04421771991</v>
      </c>
      <c r="B1860" s="50">
        <v>44532.169182824</v>
      </c>
      <c r="C1860" s="51">
        <v>1.027</v>
      </c>
      <c r="D1860" s="51">
        <v>64.0</v>
      </c>
      <c r="E1860" s="52" t="s">
        <v>25</v>
      </c>
      <c r="F1860" s="52" t="s">
        <v>26</v>
      </c>
      <c r="G1860" s="53"/>
    </row>
    <row r="1861">
      <c r="A1861" s="49">
        <v>44532.054629756945</v>
      </c>
      <c r="B1861" s="50">
        <v>44532.1796049074</v>
      </c>
      <c r="C1861" s="51">
        <v>1.027</v>
      </c>
      <c r="D1861" s="51">
        <v>64.0</v>
      </c>
      <c r="E1861" s="52" t="s">
        <v>25</v>
      </c>
      <c r="F1861" s="52" t="s">
        <v>26</v>
      </c>
      <c r="G1861" s="53"/>
    </row>
    <row r="1862">
      <c r="A1862" s="49">
        <v>44532.06505185185</v>
      </c>
      <c r="B1862" s="50">
        <v>44532.1900370138</v>
      </c>
      <c r="C1862" s="51">
        <v>1.027</v>
      </c>
      <c r="D1862" s="51">
        <v>64.0</v>
      </c>
      <c r="E1862" s="52" t="s">
        <v>25</v>
      </c>
      <c r="F1862" s="52" t="s">
        <v>26</v>
      </c>
      <c r="G1862" s="53"/>
    </row>
    <row r="1863">
      <c r="A1863" s="49">
        <v>44532.075494108794</v>
      </c>
      <c r="B1863" s="50">
        <v>44532.200470787</v>
      </c>
      <c r="C1863" s="51">
        <v>1.027</v>
      </c>
      <c r="D1863" s="51">
        <v>64.0</v>
      </c>
      <c r="E1863" s="52" t="s">
        <v>25</v>
      </c>
      <c r="F1863" s="52" t="s">
        <v>26</v>
      </c>
      <c r="G1863" s="53"/>
    </row>
    <row r="1864">
      <c r="A1864" s="49">
        <v>44532.08592149305</v>
      </c>
      <c r="B1864" s="50">
        <v>44532.2108918634</v>
      </c>
      <c r="C1864" s="51">
        <v>1.027</v>
      </c>
      <c r="D1864" s="51">
        <v>64.0</v>
      </c>
      <c r="E1864" s="52" t="s">
        <v>25</v>
      </c>
      <c r="F1864" s="52" t="s">
        <v>26</v>
      </c>
      <c r="G1864" s="53"/>
    </row>
    <row r="1865">
      <c r="A1865" s="49">
        <v>44532.09633339121</v>
      </c>
      <c r="B1865" s="50">
        <v>44532.2213130671</v>
      </c>
      <c r="C1865" s="51">
        <v>1.027</v>
      </c>
      <c r="D1865" s="51">
        <v>64.0</v>
      </c>
      <c r="E1865" s="52" t="s">
        <v>25</v>
      </c>
      <c r="F1865" s="52" t="s">
        <v>26</v>
      </c>
      <c r="G1865" s="53"/>
    </row>
    <row r="1866">
      <c r="A1866" s="49">
        <v>44532.10675796296</v>
      </c>
      <c r="B1866" s="50">
        <v>44532.2317344907</v>
      </c>
      <c r="C1866" s="51">
        <v>1.027</v>
      </c>
      <c r="D1866" s="51">
        <v>64.0</v>
      </c>
      <c r="E1866" s="52" t="s">
        <v>25</v>
      </c>
      <c r="F1866" s="52" t="s">
        <v>26</v>
      </c>
      <c r="G1866" s="53"/>
    </row>
    <row r="1867">
      <c r="A1867" s="49">
        <v>44532.117179085646</v>
      </c>
      <c r="B1867" s="50">
        <v>44532.242155706</v>
      </c>
      <c r="C1867" s="51">
        <v>1.027</v>
      </c>
      <c r="D1867" s="51">
        <v>64.0</v>
      </c>
      <c r="E1867" s="52" t="s">
        <v>25</v>
      </c>
      <c r="F1867" s="52" t="s">
        <v>26</v>
      </c>
      <c r="G1867" s="53"/>
    </row>
    <row r="1868">
      <c r="A1868" s="49">
        <v>44532.127608842595</v>
      </c>
      <c r="B1868" s="50">
        <v>44532.2525773263</v>
      </c>
      <c r="C1868" s="51">
        <v>1.027</v>
      </c>
      <c r="D1868" s="51">
        <v>64.0</v>
      </c>
      <c r="E1868" s="52" t="s">
        <v>25</v>
      </c>
      <c r="F1868" s="52" t="s">
        <v>26</v>
      </c>
      <c r="G1868" s="53"/>
    </row>
    <row r="1869">
      <c r="A1869" s="49">
        <v>44532.13802633102</v>
      </c>
      <c r="B1869" s="50">
        <v>44532.2630091088</v>
      </c>
      <c r="C1869" s="51">
        <v>1.027</v>
      </c>
      <c r="D1869" s="51">
        <v>64.0</v>
      </c>
      <c r="E1869" s="52" t="s">
        <v>25</v>
      </c>
      <c r="F1869" s="52" t="s">
        <v>26</v>
      </c>
      <c r="G1869" s="53"/>
    </row>
    <row r="1870">
      <c r="A1870" s="49">
        <v>44532.14845341435</v>
      </c>
      <c r="B1870" s="50">
        <v>44532.2734291435</v>
      </c>
      <c r="C1870" s="51">
        <v>1.027</v>
      </c>
      <c r="D1870" s="51">
        <v>64.0</v>
      </c>
      <c r="E1870" s="52" t="s">
        <v>25</v>
      </c>
      <c r="F1870" s="52" t="s">
        <v>26</v>
      </c>
      <c r="G1870" s="53"/>
    </row>
    <row r="1871">
      <c r="A1871" s="49">
        <v>44532.158880717594</v>
      </c>
      <c r="B1871" s="50">
        <v>44532.2838485995</v>
      </c>
      <c r="C1871" s="51">
        <v>1.027</v>
      </c>
      <c r="D1871" s="51">
        <v>64.0</v>
      </c>
      <c r="E1871" s="52" t="s">
        <v>25</v>
      </c>
      <c r="F1871" s="52" t="s">
        <v>26</v>
      </c>
      <c r="G1871" s="53"/>
    </row>
    <row r="1872">
      <c r="A1872" s="49">
        <v>44532.16928663194</v>
      </c>
      <c r="B1872" s="50">
        <v>44532.2942674768</v>
      </c>
      <c r="C1872" s="51">
        <v>1.027</v>
      </c>
      <c r="D1872" s="51">
        <v>64.0</v>
      </c>
      <c r="E1872" s="52" t="s">
        <v>25</v>
      </c>
      <c r="F1872" s="52" t="s">
        <v>26</v>
      </c>
      <c r="G1872" s="53"/>
    </row>
    <row r="1873">
      <c r="A1873" s="49">
        <v>44532.17971349537</v>
      </c>
      <c r="B1873" s="50">
        <v>44532.3046998148</v>
      </c>
      <c r="C1873" s="51">
        <v>1.027</v>
      </c>
      <c r="D1873" s="51">
        <v>64.0</v>
      </c>
      <c r="E1873" s="52" t="s">
        <v>25</v>
      </c>
      <c r="F1873" s="52" t="s">
        <v>26</v>
      </c>
      <c r="G1873" s="53"/>
    </row>
    <row r="1874">
      <c r="A1874" s="49">
        <v>44532.19014530093</v>
      </c>
      <c r="B1874" s="50">
        <v>44532.315120868</v>
      </c>
      <c r="C1874" s="51">
        <v>1.027</v>
      </c>
      <c r="D1874" s="51">
        <v>64.0</v>
      </c>
      <c r="E1874" s="52" t="s">
        <v>25</v>
      </c>
      <c r="F1874" s="52" t="s">
        <v>26</v>
      </c>
      <c r="G1874" s="53"/>
    </row>
    <row r="1875">
      <c r="A1875" s="49">
        <v>44532.20058539352</v>
      </c>
      <c r="B1875" s="50">
        <v>44532.3255645023</v>
      </c>
      <c r="C1875" s="51">
        <v>1.027</v>
      </c>
      <c r="D1875" s="51">
        <v>64.0</v>
      </c>
      <c r="E1875" s="52" t="s">
        <v>25</v>
      </c>
      <c r="F1875" s="52" t="s">
        <v>26</v>
      </c>
      <c r="G1875" s="53"/>
    </row>
    <row r="1876">
      <c r="A1876" s="49">
        <v>44532.211002916665</v>
      </c>
      <c r="B1876" s="50">
        <v>44532.3359856134</v>
      </c>
      <c r="C1876" s="51">
        <v>1.027</v>
      </c>
      <c r="D1876" s="51">
        <v>64.0</v>
      </c>
      <c r="E1876" s="52" t="s">
        <v>25</v>
      </c>
      <c r="F1876" s="52" t="s">
        <v>26</v>
      </c>
      <c r="G1876" s="53"/>
    </row>
    <row r="1877">
      <c r="A1877" s="49">
        <v>44532.221432245366</v>
      </c>
      <c r="B1877" s="50">
        <v>44532.3464067939</v>
      </c>
      <c r="C1877" s="51">
        <v>1.027</v>
      </c>
      <c r="D1877" s="51">
        <v>64.0</v>
      </c>
      <c r="E1877" s="52" t="s">
        <v>25</v>
      </c>
      <c r="F1877" s="52" t="s">
        <v>26</v>
      </c>
      <c r="G1877" s="53"/>
    </row>
    <row r="1878">
      <c r="A1878" s="49">
        <v>44532.231845312504</v>
      </c>
      <c r="B1878" s="50">
        <v>44532.3568284837</v>
      </c>
      <c r="C1878" s="51">
        <v>1.027</v>
      </c>
      <c r="D1878" s="51">
        <v>64.0</v>
      </c>
      <c r="E1878" s="52" t="s">
        <v>25</v>
      </c>
      <c r="F1878" s="52" t="s">
        <v>26</v>
      </c>
      <c r="G1878" s="53"/>
    </row>
    <row r="1879">
      <c r="A1879" s="49">
        <v>44532.242268125</v>
      </c>
      <c r="B1879" s="50">
        <v>44532.3672493055</v>
      </c>
      <c r="C1879" s="51">
        <v>1.027</v>
      </c>
      <c r="D1879" s="51">
        <v>64.0</v>
      </c>
      <c r="E1879" s="52" t="s">
        <v>25</v>
      </c>
      <c r="F1879" s="52" t="s">
        <v>26</v>
      </c>
      <c r="G1879" s="53"/>
    </row>
    <row r="1880">
      <c r="A1880" s="49">
        <v>44532.25271233796</v>
      </c>
      <c r="B1880" s="50">
        <v>44532.3776842708</v>
      </c>
      <c r="C1880" s="51">
        <v>1.027</v>
      </c>
      <c r="D1880" s="51">
        <v>64.0</v>
      </c>
      <c r="E1880" s="52" t="s">
        <v>25</v>
      </c>
      <c r="F1880" s="52" t="s">
        <v>26</v>
      </c>
      <c r="G1880" s="53"/>
    </row>
    <row r="1881">
      <c r="A1881" s="49">
        <v>44532.263130543986</v>
      </c>
      <c r="B1881" s="50">
        <v>44532.3881048032</v>
      </c>
      <c r="C1881" s="51">
        <v>1.027</v>
      </c>
      <c r="D1881" s="51">
        <v>64.0</v>
      </c>
      <c r="E1881" s="52" t="s">
        <v>25</v>
      </c>
      <c r="F1881" s="52" t="s">
        <v>26</v>
      </c>
      <c r="G1881" s="53"/>
    </row>
    <row r="1882">
      <c r="A1882" s="49">
        <v>44532.273552708335</v>
      </c>
      <c r="B1882" s="50">
        <v>44532.3985257175</v>
      </c>
      <c r="C1882" s="51">
        <v>1.027</v>
      </c>
      <c r="D1882" s="51">
        <v>64.0</v>
      </c>
      <c r="E1882" s="52" t="s">
        <v>25</v>
      </c>
      <c r="F1882" s="52" t="s">
        <v>26</v>
      </c>
      <c r="G1882" s="53"/>
    </row>
    <row r="1883">
      <c r="A1883" s="49">
        <v>44532.28396888889</v>
      </c>
      <c r="B1883" s="50">
        <v>44532.4089453125</v>
      </c>
      <c r="C1883" s="51">
        <v>1.027</v>
      </c>
      <c r="D1883" s="51">
        <v>64.0</v>
      </c>
      <c r="E1883" s="52" t="s">
        <v>25</v>
      </c>
      <c r="F1883" s="52" t="s">
        <v>26</v>
      </c>
      <c r="G1883" s="53"/>
    </row>
    <row r="1884">
      <c r="A1884" s="49">
        <v>44532.294429490736</v>
      </c>
      <c r="B1884" s="50">
        <v>44532.4193785648</v>
      </c>
      <c r="C1884" s="51">
        <v>1.027</v>
      </c>
      <c r="D1884" s="51">
        <v>64.0</v>
      </c>
      <c r="E1884" s="52" t="s">
        <v>25</v>
      </c>
      <c r="F1884" s="52" t="s">
        <v>26</v>
      </c>
      <c r="G1884" s="53"/>
    </row>
    <row r="1885">
      <c r="A1885" s="49">
        <v>44532.30483003472</v>
      </c>
      <c r="B1885" s="50">
        <v>44532.4298100231</v>
      </c>
      <c r="C1885" s="51">
        <v>1.027</v>
      </c>
      <c r="D1885" s="51">
        <v>64.0</v>
      </c>
      <c r="E1885" s="52" t="s">
        <v>25</v>
      </c>
      <c r="F1885" s="52" t="s">
        <v>26</v>
      </c>
      <c r="G1885" s="53"/>
    </row>
    <row r="1886">
      <c r="A1886" s="49">
        <v>44532.315257106486</v>
      </c>
      <c r="B1886" s="50">
        <v>44532.4402312615</v>
      </c>
      <c r="C1886" s="51">
        <v>1.027</v>
      </c>
      <c r="D1886" s="51">
        <v>64.0</v>
      </c>
      <c r="E1886" s="52" t="s">
        <v>25</v>
      </c>
      <c r="F1886" s="52" t="s">
        <v>26</v>
      </c>
      <c r="G1886" s="53"/>
    </row>
    <row r="1887">
      <c r="A1887" s="49">
        <v>44532.32567576389</v>
      </c>
      <c r="B1887" s="50">
        <v>44532.4506508449</v>
      </c>
      <c r="C1887" s="51">
        <v>1.027</v>
      </c>
      <c r="D1887" s="51">
        <v>64.0</v>
      </c>
      <c r="E1887" s="52" t="s">
        <v>25</v>
      </c>
      <c r="F1887" s="52" t="s">
        <v>26</v>
      </c>
      <c r="G1887" s="53"/>
    </row>
    <row r="1888">
      <c r="A1888" s="49">
        <v>44532.33609113426</v>
      </c>
      <c r="B1888" s="50">
        <v>44532.4610716666</v>
      </c>
      <c r="C1888" s="51">
        <v>1.026</v>
      </c>
      <c r="D1888" s="51">
        <v>64.0</v>
      </c>
      <c r="E1888" s="52" t="s">
        <v>25</v>
      </c>
      <c r="F1888" s="52" t="s">
        <v>26</v>
      </c>
      <c r="G1888" s="53"/>
    </row>
    <row r="1889">
      <c r="A1889" s="49">
        <v>44532.34652763889</v>
      </c>
      <c r="B1889" s="50">
        <v>44532.4714916782</v>
      </c>
      <c r="C1889" s="51">
        <v>1.027</v>
      </c>
      <c r="D1889" s="51">
        <v>64.0</v>
      </c>
      <c r="E1889" s="52" t="s">
        <v>25</v>
      </c>
      <c r="F1889" s="52" t="s">
        <v>26</v>
      </c>
      <c r="G1889" s="53"/>
    </row>
    <row r="1890">
      <c r="A1890" s="49">
        <v>44532.356948113425</v>
      </c>
      <c r="B1890" s="50">
        <v>44532.4819230439</v>
      </c>
      <c r="C1890" s="51">
        <v>1.026</v>
      </c>
      <c r="D1890" s="51">
        <v>64.0</v>
      </c>
      <c r="E1890" s="52" t="s">
        <v>25</v>
      </c>
      <c r="F1890" s="52" t="s">
        <v>26</v>
      </c>
      <c r="G1890" s="53"/>
    </row>
    <row r="1891">
      <c r="A1891" s="49">
        <v>44532.36743496528</v>
      </c>
      <c r="B1891" s="50">
        <v>44532.4923429861</v>
      </c>
      <c r="C1891" s="51">
        <v>1.026</v>
      </c>
      <c r="D1891" s="51">
        <v>64.0</v>
      </c>
      <c r="E1891" s="52" t="s">
        <v>25</v>
      </c>
      <c r="F1891" s="52" t="s">
        <v>26</v>
      </c>
      <c r="G1891" s="53"/>
    </row>
    <row r="1892">
      <c r="A1892" s="49">
        <v>44532.377794479165</v>
      </c>
      <c r="B1892" s="50">
        <v>44532.5027626967</v>
      </c>
      <c r="C1892" s="51">
        <v>1.027</v>
      </c>
      <c r="D1892" s="51">
        <v>64.0</v>
      </c>
      <c r="E1892" s="52" t="s">
        <v>25</v>
      </c>
      <c r="F1892" s="52" t="s">
        <v>26</v>
      </c>
      <c r="G1892" s="53"/>
    </row>
    <row r="1893">
      <c r="A1893" s="49">
        <v>44532.388215706014</v>
      </c>
      <c r="B1893" s="50">
        <v>44532.5131950925</v>
      </c>
      <c r="C1893" s="51">
        <v>1.026</v>
      </c>
      <c r="D1893" s="51">
        <v>64.0</v>
      </c>
      <c r="E1893" s="52" t="s">
        <v>25</v>
      </c>
      <c r="F1893" s="52" t="s">
        <v>26</v>
      </c>
      <c r="G1893" s="53"/>
    </row>
    <row r="1894">
      <c r="A1894" s="49">
        <v>44532.39864454861</v>
      </c>
      <c r="B1894" s="50">
        <v>44532.5236171064</v>
      </c>
      <c r="C1894" s="51">
        <v>1.026</v>
      </c>
      <c r="D1894" s="51">
        <v>64.0</v>
      </c>
      <c r="E1894" s="52" t="s">
        <v>25</v>
      </c>
      <c r="F1894" s="52" t="s">
        <v>26</v>
      </c>
      <c r="G1894" s="53"/>
    </row>
    <row r="1895">
      <c r="A1895" s="49">
        <v>44532.40905758102</v>
      </c>
      <c r="B1895" s="50">
        <v>44532.5340368634</v>
      </c>
      <c r="C1895" s="51">
        <v>1.027</v>
      </c>
      <c r="D1895" s="51">
        <v>64.0</v>
      </c>
      <c r="E1895" s="52" t="s">
        <v>25</v>
      </c>
      <c r="F1895" s="52" t="s">
        <v>26</v>
      </c>
      <c r="G1895" s="53"/>
    </row>
    <row r="1896">
      <c r="A1896" s="49">
        <v>44532.41949814815</v>
      </c>
      <c r="B1896" s="50">
        <v>44532.5444698958</v>
      </c>
      <c r="C1896" s="51">
        <v>1.027</v>
      </c>
      <c r="D1896" s="51">
        <v>64.0</v>
      </c>
      <c r="E1896" s="52" t="s">
        <v>25</v>
      </c>
      <c r="F1896" s="52" t="s">
        <v>26</v>
      </c>
      <c r="G1896" s="53"/>
    </row>
    <row r="1897">
      <c r="A1897" s="49">
        <v>44532.429913935186</v>
      </c>
      <c r="B1897" s="50">
        <v>44532.5548893287</v>
      </c>
      <c r="C1897" s="51">
        <v>1.026</v>
      </c>
      <c r="D1897" s="51">
        <v>64.0</v>
      </c>
      <c r="E1897" s="52" t="s">
        <v>25</v>
      </c>
      <c r="F1897" s="52" t="s">
        <v>26</v>
      </c>
      <c r="G1897" s="53"/>
    </row>
    <row r="1898">
      <c r="A1898" s="49">
        <v>44532.44034017361</v>
      </c>
      <c r="B1898" s="50">
        <v>44532.5653113194</v>
      </c>
      <c r="C1898" s="51">
        <v>1.026</v>
      </c>
      <c r="D1898" s="51">
        <v>64.0</v>
      </c>
      <c r="E1898" s="52" t="s">
        <v>25</v>
      </c>
      <c r="F1898" s="52" t="s">
        <v>26</v>
      </c>
      <c r="G1898" s="53"/>
    </row>
    <row r="1899">
      <c r="A1899" s="49">
        <v>44532.45076460648</v>
      </c>
      <c r="B1899" s="50">
        <v>44532.5757339351</v>
      </c>
      <c r="C1899" s="51">
        <v>1.026</v>
      </c>
      <c r="D1899" s="51">
        <v>64.0</v>
      </c>
      <c r="E1899" s="52" t="s">
        <v>25</v>
      </c>
      <c r="F1899" s="52" t="s">
        <v>26</v>
      </c>
      <c r="G1899" s="53"/>
    </row>
    <row r="1900">
      <c r="A1900" s="49">
        <v>44532.461182534724</v>
      </c>
      <c r="B1900" s="50">
        <v>44532.5861548726</v>
      </c>
      <c r="C1900" s="51">
        <v>1.026</v>
      </c>
      <c r="D1900" s="51">
        <v>64.0</v>
      </c>
      <c r="E1900" s="52" t="s">
        <v>25</v>
      </c>
      <c r="F1900" s="52" t="s">
        <v>26</v>
      </c>
      <c r="G1900" s="53"/>
    </row>
    <row r="1901">
      <c r="A1901" s="49">
        <v>44532.47159883102</v>
      </c>
      <c r="B1901" s="50">
        <v>44532.5965751157</v>
      </c>
      <c r="C1901" s="51">
        <v>1.027</v>
      </c>
      <c r="D1901" s="51">
        <v>64.0</v>
      </c>
      <c r="E1901" s="52" t="s">
        <v>25</v>
      </c>
      <c r="F1901" s="52" t="s">
        <v>26</v>
      </c>
      <c r="G1901" s="53"/>
    </row>
    <row r="1902">
      <c r="A1902" s="49">
        <v>44532.48202715278</v>
      </c>
      <c r="B1902" s="50">
        <v>44532.6069965625</v>
      </c>
      <c r="C1902" s="51">
        <v>1.026</v>
      </c>
      <c r="D1902" s="51">
        <v>64.0</v>
      </c>
      <c r="E1902" s="52" t="s">
        <v>25</v>
      </c>
      <c r="F1902" s="52" t="s">
        <v>26</v>
      </c>
      <c r="G1902" s="53"/>
    </row>
    <row r="1903">
      <c r="A1903" s="49">
        <v>44532.492440497685</v>
      </c>
      <c r="B1903" s="50">
        <v>44532.6174177546</v>
      </c>
      <c r="C1903" s="51">
        <v>1.026</v>
      </c>
      <c r="D1903" s="51">
        <v>64.0</v>
      </c>
      <c r="E1903" s="52" t="s">
        <v>25</v>
      </c>
      <c r="F1903" s="52" t="s">
        <v>26</v>
      </c>
      <c r="G1903" s="53"/>
    </row>
    <row r="1904">
      <c r="A1904" s="49">
        <v>44532.51329128472</v>
      </c>
      <c r="B1904" s="50">
        <v>44532.6382588425</v>
      </c>
      <c r="C1904" s="51">
        <v>1.026</v>
      </c>
      <c r="D1904" s="51">
        <v>64.0</v>
      </c>
      <c r="E1904" s="52" t="s">
        <v>25</v>
      </c>
      <c r="F1904" s="52" t="s">
        <v>26</v>
      </c>
      <c r="G1904" s="53"/>
    </row>
    <row r="1905">
      <c r="A1905" s="49">
        <v>44532.523711875</v>
      </c>
      <c r="B1905" s="50">
        <v>44532.6486802083</v>
      </c>
      <c r="C1905" s="51">
        <v>1.026</v>
      </c>
      <c r="D1905" s="51">
        <v>64.0</v>
      </c>
      <c r="E1905" s="52" t="s">
        <v>25</v>
      </c>
      <c r="F1905" s="52" t="s">
        <v>26</v>
      </c>
      <c r="G1905" s="53"/>
    </row>
    <row r="1906">
      <c r="A1906" s="49">
        <v>44532.53413060185</v>
      </c>
      <c r="B1906" s="50">
        <v>44532.6591007986</v>
      </c>
      <c r="C1906" s="51">
        <v>1.026</v>
      </c>
      <c r="D1906" s="51">
        <v>64.0</v>
      </c>
      <c r="E1906" s="52" t="s">
        <v>25</v>
      </c>
      <c r="F1906" s="52" t="s">
        <v>26</v>
      </c>
      <c r="G1906" s="53"/>
    </row>
    <row r="1907">
      <c r="A1907" s="49">
        <v>44532.54455168982</v>
      </c>
      <c r="B1907" s="50">
        <v>44532.6695208912</v>
      </c>
      <c r="C1907" s="51">
        <v>1.026</v>
      </c>
      <c r="D1907" s="51">
        <v>64.0</v>
      </c>
      <c r="E1907" s="52" t="s">
        <v>25</v>
      </c>
      <c r="F1907" s="52" t="s">
        <v>26</v>
      </c>
      <c r="G1907" s="53"/>
    </row>
    <row r="1908">
      <c r="A1908" s="49">
        <v>44532.55496809028</v>
      </c>
      <c r="B1908" s="50">
        <v>44532.6799420601</v>
      </c>
      <c r="C1908" s="51">
        <v>1.026</v>
      </c>
      <c r="D1908" s="51">
        <v>64.0</v>
      </c>
      <c r="E1908" s="52" t="s">
        <v>25</v>
      </c>
      <c r="F1908" s="52" t="s">
        <v>26</v>
      </c>
      <c r="G1908" s="53"/>
    </row>
    <row r="1909">
      <c r="A1909" s="49">
        <v>44532.565387951385</v>
      </c>
      <c r="B1909" s="50">
        <v>44532.6903632175</v>
      </c>
      <c r="C1909" s="51">
        <v>1.026</v>
      </c>
      <c r="D1909" s="51">
        <v>64.0</v>
      </c>
      <c r="E1909" s="52" t="s">
        <v>25</v>
      </c>
      <c r="F1909" s="52" t="s">
        <v>26</v>
      </c>
      <c r="G1909" s="53"/>
    </row>
    <row r="1910">
      <c r="A1910" s="49">
        <v>44532.57582107639</v>
      </c>
      <c r="B1910" s="50">
        <v>44532.7007856365</v>
      </c>
      <c r="C1910" s="51">
        <v>1.026</v>
      </c>
      <c r="D1910" s="51">
        <v>64.0</v>
      </c>
      <c r="E1910" s="52" t="s">
        <v>25</v>
      </c>
      <c r="F1910" s="52" t="s">
        <v>26</v>
      </c>
      <c r="G1910" s="53"/>
    </row>
    <row r="1911">
      <c r="A1911" s="49">
        <v>44532.586229374996</v>
      </c>
      <c r="B1911" s="50">
        <v>44532.711205625</v>
      </c>
      <c r="C1911" s="51">
        <v>1.026</v>
      </c>
      <c r="D1911" s="51">
        <v>64.0</v>
      </c>
      <c r="E1911" s="52" t="s">
        <v>25</v>
      </c>
      <c r="F1911" s="52" t="s">
        <v>26</v>
      </c>
      <c r="G1911" s="53"/>
    </row>
    <row r="1912">
      <c r="A1912" s="49">
        <v>44532.59666564815</v>
      </c>
      <c r="B1912" s="50">
        <v>44532.7216276157</v>
      </c>
      <c r="C1912" s="51">
        <v>1.026</v>
      </c>
      <c r="D1912" s="51">
        <v>64.0</v>
      </c>
      <c r="E1912" s="52" t="s">
        <v>25</v>
      </c>
      <c r="F1912" s="52" t="s">
        <v>26</v>
      </c>
      <c r="G1912" s="53"/>
    </row>
    <row r="1913">
      <c r="A1913" s="49">
        <v>44532.607073402774</v>
      </c>
      <c r="B1913" s="50">
        <v>44532.7320485416</v>
      </c>
      <c r="C1913" s="51">
        <v>1.026</v>
      </c>
      <c r="D1913" s="51">
        <v>64.0</v>
      </c>
      <c r="E1913" s="52" t="s">
        <v>25</v>
      </c>
      <c r="F1913" s="52" t="s">
        <v>26</v>
      </c>
      <c r="G1913" s="53"/>
    </row>
    <row r="1914">
      <c r="A1914" s="49">
        <v>44532.61748659722</v>
      </c>
      <c r="B1914" s="50">
        <v>44532.7424671643</v>
      </c>
      <c r="C1914" s="51">
        <v>1.026</v>
      </c>
      <c r="D1914" s="51">
        <v>64.0</v>
      </c>
      <c r="E1914" s="52" t="s">
        <v>25</v>
      </c>
      <c r="F1914" s="52" t="s">
        <v>26</v>
      </c>
      <c r="G1914" s="53"/>
    </row>
    <row r="1915">
      <c r="A1915" s="49">
        <v>44532.627914236116</v>
      </c>
      <c r="B1915" s="50">
        <v>44532.7528887152</v>
      </c>
      <c r="C1915" s="51">
        <v>1.026</v>
      </c>
      <c r="D1915" s="51">
        <v>64.0</v>
      </c>
      <c r="E1915" s="52" t="s">
        <v>25</v>
      </c>
      <c r="F1915" s="52" t="s">
        <v>26</v>
      </c>
      <c r="G1915" s="53"/>
    </row>
    <row r="1916">
      <c r="A1916" s="49">
        <v>44532.63832923611</v>
      </c>
      <c r="B1916" s="50">
        <v>44532.7633097685</v>
      </c>
      <c r="C1916" s="51">
        <v>1.026</v>
      </c>
      <c r="D1916" s="51">
        <v>64.0</v>
      </c>
      <c r="E1916" s="52" t="s">
        <v>25</v>
      </c>
      <c r="F1916" s="52" t="s">
        <v>26</v>
      </c>
      <c r="G1916" s="53"/>
    </row>
    <row r="1917">
      <c r="A1917" s="49">
        <v>44532.6487464699</v>
      </c>
      <c r="B1917" s="50">
        <v>44532.7737304861</v>
      </c>
      <c r="C1917" s="51">
        <v>1.026</v>
      </c>
      <c r="D1917" s="51">
        <v>64.0</v>
      </c>
      <c r="E1917" s="52" t="s">
        <v>25</v>
      </c>
      <c r="F1917" s="52" t="s">
        <v>26</v>
      </c>
      <c r="G1917" s="53"/>
    </row>
    <row r="1918">
      <c r="A1918" s="49">
        <v>44532.65917547454</v>
      </c>
      <c r="B1918" s="50">
        <v>44532.7841516782</v>
      </c>
      <c r="C1918" s="51">
        <v>1.026</v>
      </c>
      <c r="D1918" s="51">
        <v>64.0</v>
      </c>
      <c r="E1918" s="52" t="s">
        <v>25</v>
      </c>
      <c r="F1918" s="52" t="s">
        <v>26</v>
      </c>
      <c r="G1918" s="53"/>
    </row>
    <row r="1919">
      <c r="A1919" s="49">
        <v>44532.66959447917</v>
      </c>
      <c r="B1919" s="50">
        <v>44532.7945720601</v>
      </c>
      <c r="C1919" s="51">
        <v>1.026</v>
      </c>
      <c r="D1919" s="51">
        <v>64.0</v>
      </c>
      <c r="E1919" s="52" t="s">
        <v>25</v>
      </c>
      <c r="F1919" s="52" t="s">
        <v>26</v>
      </c>
      <c r="G1919" s="53"/>
    </row>
    <row r="1920">
      <c r="A1920" s="49">
        <v>44532.680009062504</v>
      </c>
      <c r="B1920" s="50">
        <v>44532.804993206</v>
      </c>
      <c r="C1920" s="51">
        <v>1.026</v>
      </c>
      <c r="D1920" s="51">
        <v>64.0</v>
      </c>
      <c r="E1920" s="52" t="s">
        <v>25</v>
      </c>
      <c r="F1920" s="52" t="s">
        <v>26</v>
      </c>
      <c r="G1920" s="53"/>
    </row>
    <row r="1921">
      <c r="A1921" s="49">
        <v>44532.690450636575</v>
      </c>
      <c r="B1921" s="50">
        <v>44532.815426493</v>
      </c>
      <c r="C1921" s="51">
        <v>1.026</v>
      </c>
      <c r="D1921" s="51">
        <v>64.0</v>
      </c>
      <c r="E1921" s="52" t="s">
        <v>25</v>
      </c>
      <c r="F1921" s="52" t="s">
        <v>26</v>
      </c>
      <c r="G1921" s="53"/>
    </row>
    <row r="1922">
      <c r="A1922" s="49">
        <v>44532.700867210646</v>
      </c>
      <c r="B1922" s="50">
        <v>44532.8258486458</v>
      </c>
      <c r="C1922" s="51">
        <v>1.026</v>
      </c>
      <c r="D1922" s="51">
        <v>64.0</v>
      </c>
      <c r="E1922" s="52" t="s">
        <v>25</v>
      </c>
      <c r="F1922" s="52" t="s">
        <v>26</v>
      </c>
      <c r="G1922" s="53"/>
    </row>
    <row r="1923">
      <c r="A1923" s="49">
        <v>44532.71128449074</v>
      </c>
      <c r="B1923" s="50">
        <v>44532.8362680439</v>
      </c>
      <c r="C1923" s="51">
        <v>1.026</v>
      </c>
      <c r="D1923" s="51">
        <v>64.0</v>
      </c>
      <c r="E1923" s="52" t="s">
        <v>25</v>
      </c>
      <c r="F1923" s="52" t="s">
        <v>26</v>
      </c>
      <c r="G1923" s="53"/>
    </row>
    <row r="1924">
      <c r="A1924" s="49">
        <v>44532.72171695602</v>
      </c>
      <c r="B1924" s="50">
        <v>44532.8466895949</v>
      </c>
      <c r="C1924" s="51">
        <v>1.026</v>
      </c>
      <c r="D1924" s="51">
        <v>64.0</v>
      </c>
      <c r="E1924" s="52" t="s">
        <v>25</v>
      </c>
      <c r="F1924" s="52" t="s">
        <v>26</v>
      </c>
      <c r="G1924" s="53"/>
    </row>
    <row r="1925">
      <c r="A1925" s="49">
        <v>44532.732135150465</v>
      </c>
      <c r="B1925" s="50">
        <v>44532.8571102083</v>
      </c>
      <c r="C1925" s="51">
        <v>1.026</v>
      </c>
      <c r="D1925" s="51">
        <v>64.0</v>
      </c>
      <c r="E1925" s="52" t="s">
        <v>25</v>
      </c>
      <c r="F1925" s="52" t="s">
        <v>26</v>
      </c>
      <c r="G1925" s="53"/>
    </row>
    <row r="1926">
      <c r="A1926" s="49">
        <v>44532.74255383102</v>
      </c>
      <c r="B1926" s="50">
        <v>44532.867531956</v>
      </c>
      <c r="C1926" s="51">
        <v>1.026</v>
      </c>
      <c r="D1926" s="51">
        <v>64.0</v>
      </c>
      <c r="E1926" s="52" t="s">
        <v>25</v>
      </c>
      <c r="F1926" s="52" t="s">
        <v>26</v>
      </c>
      <c r="G1926" s="53"/>
    </row>
    <row r="1927">
      <c r="A1927" s="49">
        <v>44532.75299724537</v>
      </c>
      <c r="B1927" s="50">
        <v>44532.8779761689</v>
      </c>
      <c r="C1927" s="51">
        <v>1.026</v>
      </c>
      <c r="D1927" s="51">
        <v>64.0</v>
      </c>
      <c r="E1927" s="52" t="s">
        <v>25</v>
      </c>
      <c r="F1927" s="52" t="s">
        <v>26</v>
      </c>
      <c r="G1927" s="53"/>
    </row>
    <row r="1928">
      <c r="A1928" s="49">
        <v>44532.76341924768</v>
      </c>
      <c r="B1928" s="50">
        <v>44532.8883985532</v>
      </c>
      <c r="C1928" s="51">
        <v>1.026</v>
      </c>
      <c r="D1928" s="51">
        <v>64.0</v>
      </c>
      <c r="E1928" s="52" t="s">
        <v>25</v>
      </c>
      <c r="F1928" s="52" t="s">
        <v>26</v>
      </c>
      <c r="G1928" s="53"/>
    </row>
    <row r="1929">
      <c r="A1929" s="49">
        <v>44532.77384837963</v>
      </c>
      <c r="B1929" s="50">
        <v>44532.8988198148</v>
      </c>
      <c r="C1929" s="51">
        <v>1.026</v>
      </c>
      <c r="D1929" s="51">
        <v>64.0</v>
      </c>
      <c r="E1929" s="52" t="s">
        <v>25</v>
      </c>
      <c r="F1929" s="52" t="s">
        <v>26</v>
      </c>
      <c r="G1929" s="53"/>
    </row>
    <row r="1930">
      <c r="A1930" s="49">
        <v>44532.78426450232</v>
      </c>
      <c r="B1930" s="50">
        <v>44532.9092429745</v>
      </c>
      <c r="C1930" s="51">
        <v>1.026</v>
      </c>
      <c r="D1930" s="51">
        <v>64.0</v>
      </c>
      <c r="E1930" s="52" t="s">
        <v>25</v>
      </c>
      <c r="F1930" s="52" t="s">
        <v>26</v>
      </c>
      <c r="G1930" s="53"/>
    </row>
    <row r="1931">
      <c r="A1931" s="49">
        <v>44532.79469623843</v>
      </c>
      <c r="B1931" s="50">
        <v>44532.9196750115</v>
      </c>
      <c r="C1931" s="51">
        <v>1.026</v>
      </c>
      <c r="D1931" s="51">
        <v>64.0</v>
      </c>
      <c r="E1931" s="52" t="s">
        <v>25</v>
      </c>
      <c r="F1931" s="52" t="s">
        <v>26</v>
      </c>
      <c r="G1931" s="53"/>
    </row>
    <row r="1932">
      <c r="A1932" s="49">
        <v>44532.80511208333</v>
      </c>
      <c r="B1932" s="50">
        <v>44532.930095706</v>
      </c>
      <c r="C1932" s="51">
        <v>1.026</v>
      </c>
      <c r="D1932" s="51">
        <v>64.0</v>
      </c>
      <c r="E1932" s="52" t="s">
        <v>25</v>
      </c>
      <c r="F1932" s="52" t="s">
        <v>26</v>
      </c>
      <c r="G1932" s="53"/>
    </row>
    <row r="1933">
      <c r="A1933" s="49">
        <v>44532.81553236111</v>
      </c>
      <c r="B1933" s="50">
        <v>44532.9405171296</v>
      </c>
      <c r="C1933" s="51">
        <v>1.026</v>
      </c>
      <c r="D1933" s="51">
        <v>64.0</v>
      </c>
      <c r="E1933" s="52" t="s">
        <v>25</v>
      </c>
      <c r="F1933" s="52" t="s">
        <v>26</v>
      </c>
      <c r="G1933" s="53"/>
    </row>
    <row r="1934">
      <c r="A1934" s="49">
        <v>44532.82596028935</v>
      </c>
      <c r="B1934" s="50">
        <v>44532.9509372222</v>
      </c>
      <c r="C1934" s="51">
        <v>1.026</v>
      </c>
      <c r="D1934" s="51">
        <v>64.0</v>
      </c>
      <c r="E1934" s="52" t="s">
        <v>25</v>
      </c>
      <c r="F1934" s="52" t="s">
        <v>26</v>
      </c>
      <c r="G1934" s="53"/>
    </row>
    <row r="1935">
      <c r="A1935" s="49">
        <v>44532.83638199074</v>
      </c>
      <c r="B1935" s="50">
        <v>44532.9613567476</v>
      </c>
      <c r="C1935" s="51">
        <v>1.026</v>
      </c>
      <c r="D1935" s="51">
        <v>64.0</v>
      </c>
      <c r="E1935" s="52" t="s">
        <v>25</v>
      </c>
      <c r="F1935" s="52" t="s">
        <v>26</v>
      </c>
      <c r="G1935" s="53"/>
    </row>
    <row r="1936">
      <c r="A1936" s="49">
        <v>44532.84679435185</v>
      </c>
      <c r="B1936" s="50">
        <v>44532.9717784606</v>
      </c>
      <c r="C1936" s="51">
        <v>1.026</v>
      </c>
      <c r="D1936" s="51">
        <v>64.0</v>
      </c>
      <c r="E1936" s="52" t="s">
        <v>25</v>
      </c>
      <c r="F1936" s="52" t="s">
        <v>26</v>
      </c>
      <c r="G1936" s="53"/>
    </row>
    <row r="1937">
      <c r="A1937" s="49">
        <v>44532.85727375</v>
      </c>
      <c r="B1937" s="50">
        <v>44532.9822117361</v>
      </c>
      <c r="C1937" s="51">
        <v>1.026</v>
      </c>
      <c r="D1937" s="51">
        <v>64.0</v>
      </c>
      <c r="E1937" s="52" t="s">
        <v>25</v>
      </c>
      <c r="F1937" s="52" t="s">
        <v>26</v>
      </c>
      <c r="G1937" s="53"/>
    </row>
    <row r="1938">
      <c r="A1938" s="49">
        <v>44532.867657939816</v>
      </c>
      <c r="B1938" s="50">
        <v>44532.9926331713</v>
      </c>
      <c r="C1938" s="51">
        <v>1.026</v>
      </c>
      <c r="D1938" s="51">
        <v>64.0</v>
      </c>
      <c r="E1938" s="52" t="s">
        <v>25</v>
      </c>
      <c r="F1938" s="52" t="s">
        <v>26</v>
      </c>
      <c r="G1938" s="53"/>
    </row>
    <row r="1939">
      <c r="A1939" s="49">
        <v>44532.87808537037</v>
      </c>
      <c r="B1939" s="50">
        <v>44533.0030661226</v>
      </c>
      <c r="C1939" s="51">
        <v>1.026</v>
      </c>
      <c r="D1939" s="51">
        <v>64.0</v>
      </c>
      <c r="E1939" s="52" t="s">
        <v>25</v>
      </c>
      <c r="F1939" s="52" t="s">
        <v>26</v>
      </c>
      <c r="G1939" s="53"/>
    </row>
    <row r="1940">
      <c r="A1940" s="49">
        <v>44532.888523194444</v>
      </c>
      <c r="B1940" s="50">
        <v>44533.0135013078</v>
      </c>
      <c r="C1940" s="51">
        <v>1.026</v>
      </c>
      <c r="D1940" s="51">
        <v>64.0</v>
      </c>
      <c r="E1940" s="52" t="s">
        <v>25</v>
      </c>
      <c r="F1940" s="52" t="s">
        <v>26</v>
      </c>
      <c r="G1940" s="53"/>
    </row>
    <row r="1941">
      <c r="A1941" s="49">
        <v>44532.89894516204</v>
      </c>
      <c r="B1941" s="50">
        <v>44533.0239234837</v>
      </c>
      <c r="C1941" s="51">
        <v>1.026</v>
      </c>
      <c r="D1941" s="51">
        <v>64.0</v>
      </c>
      <c r="E1941" s="52" t="s">
        <v>25</v>
      </c>
      <c r="F1941" s="52" t="s">
        <v>26</v>
      </c>
      <c r="G1941" s="53"/>
    </row>
    <row r="1942">
      <c r="A1942" s="49">
        <v>44532.909368043984</v>
      </c>
      <c r="B1942" s="50">
        <v>44533.0343444907</v>
      </c>
      <c r="C1942" s="51">
        <v>1.026</v>
      </c>
      <c r="D1942" s="51">
        <v>64.0</v>
      </c>
      <c r="E1942" s="52" t="s">
        <v>25</v>
      </c>
      <c r="F1942" s="52" t="s">
        <v>26</v>
      </c>
      <c r="G1942" s="53"/>
    </row>
    <row r="1943">
      <c r="A1943" s="49">
        <v>44532.91978322917</v>
      </c>
      <c r="B1943" s="50">
        <v>44533.0447655555</v>
      </c>
      <c r="C1943" s="51">
        <v>1.026</v>
      </c>
      <c r="D1943" s="51">
        <v>64.0</v>
      </c>
      <c r="E1943" s="52" t="s">
        <v>25</v>
      </c>
      <c r="F1943" s="52" t="s">
        <v>26</v>
      </c>
      <c r="G1943" s="53"/>
    </row>
    <row r="1944">
      <c r="A1944" s="49">
        <v>44532.930205972225</v>
      </c>
      <c r="B1944" s="50">
        <v>44533.0551861805</v>
      </c>
      <c r="C1944" s="51">
        <v>1.026</v>
      </c>
      <c r="D1944" s="51">
        <v>64.0</v>
      </c>
      <c r="E1944" s="52" t="s">
        <v>25</v>
      </c>
      <c r="F1944" s="52" t="s">
        <v>26</v>
      </c>
      <c r="G1944" s="53"/>
    </row>
    <row r="1945">
      <c r="A1945" s="49">
        <v>44532.940645717594</v>
      </c>
      <c r="B1945" s="50">
        <v>44533.0656173495</v>
      </c>
      <c r="C1945" s="51">
        <v>1.026</v>
      </c>
      <c r="D1945" s="51">
        <v>64.0</v>
      </c>
      <c r="E1945" s="52" t="s">
        <v>25</v>
      </c>
      <c r="F1945" s="52" t="s">
        <v>26</v>
      </c>
      <c r="G1945" s="53"/>
    </row>
    <row r="1946">
      <c r="A1946" s="49">
        <v>44532.951057303246</v>
      </c>
      <c r="B1946" s="50">
        <v>44533.0760380208</v>
      </c>
      <c r="C1946" s="51">
        <v>1.026</v>
      </c>
      <c r="D1946" s="51">
        <v>64.0</v>
      </c>
      <c r="E1946" s="52" t="s">
        <v>25</v>
      </c>
      <c r="F1946" s="52" t="s">
        <v>26</v>
      </c>
      <c r="G1946" s="53"/>
    </row>
    <row r="1947">
      <c r="A1947" s="49">
        <v>44532.96148615741</v>
      </c>
      <c r="B1947" s="50">
        <v>44533.0864599884</v>
      </c>
      <c r="C1947" s="51">
        <v>1.026</v>
      </c>
      <c r="D1947" s="51">
        <v>64.0</v>
      </c>
      <c r="E1947" s="52" t="s">
        <v>25</v>
      </c>
      <c r="F1947" s="52" t="s">
        <v>26</v>
      </c>
      <c r="G1947" s="53"/>
    </row>
    <row r="1948">
      <c r="A1948" s="49">
        <v>44532.971911597226</v>
      </c>
      <c r="B1948" s="50">
        <v>44533.0968814699</v>
      </c>
      <c r="C1948" s="51">
        <v>1.026</v>
      </c>
      <c r="D1948" s="51">
        <v>64.0</v>
      </c>
      <c r="E1948" s="52" t="s">
        <v>25</v>
      </c>
      <c r="F1948" s="52" t="s">
        <v>26</v>
      </c>
      <c r="G1948" s="53"/>
    </row>
    <row r="1949">
      <c r="A1949" s="49">
        <v>44532.98233886574</v>
      </c>
      <c r="B1949" s="50">
        <v>44533.1073154976</v>
      </c>
      <c r="C1949" s="51">
        <v>1.026</v>
      </c>
      <c r="D1949" s="51">
        <v>64.0</v>
      </c>
      <c r="E1949" s="52" t="s">
        <v>25</v>
      </c>
      <c r="F1949" s="52" t="s">
        <v>26</v>
      </c>
      <c r="G1949" s="53"/>
    </row>
    <row r="1950">
      <c r="A1950" s="49">
        <v>44532.99276282407</v>
      </c>
      <c r="B1950" s="50">
        <v>44533.1177348032</v>
      </c>
      <c r="C1950" s="51">
        <v>1.026</v>
      </c>
      <c r="D1950" s="51">
        <v>64.0</v>
      </c>
      <c r="E1950" s="52" t="s">
        <v>25</v>
      </c>
      <c r="F1950" s="52" t="s">
        <v>26</v>
      </c>
      <c r="G1950" s="53"/>
    </row>
    <row r="1951">
      <c r="A1951" s="49">
        <v>44533.0031855787</v>
      </c>
      <c r="B1951" s="50">
        <v>44533.1281580671</v>
      </c>
      <c r="C1951" s="51">
        <v>1.026</v>
      </c>
      <c r="D1951" s="51">
        <v>64.0</v>
      </c>
      <c r="E1951" s="52" t="s">
        <v>25</v>
      </c>
      <c r="F1951" s="52" t="s">
        <v>26</v>
      </c>
      <c r="G1951" s="53"/>
    </row>
    <row r="1952">
      <c r="A1952" s="49">
        <v>44533.013602129635</v>
      </c>
      <c r="B1952" s="50">
        <v>44533.1385790393</v>
      </c>
      <c r="C1952" s="51">
        <v>1.026</v>
      </c>
      <c r="D1952" s="51">
        <v>64.0</v>
      </c>
      <c r="E1952" s="52" t="s">
        <v>25</v>
      </c>
      <c r="F1952" s="52" t="s">
        <v>26</v>
      </c>
      <c r="G1952" s="53"/>
    </row>
    <row r="1953">
      <c r="A1953" s="49">
        <v>44533.024026388885</v>
      </c>
      <c r="B1953" s="50">
        <v>44533.1489999074</v>
      </c>
      <c r="C1953" s="51">
        <v>1.026</v>
      </c>
      <c r="D1953" s="51">
        <v>64.0</v>
      </c>
      <c r="E1953" s="52" t="s">
        <v>25</v>
      </c>
      <c r="F1953" s="52" t="s">
        <v>26</v>
      </c>
      <c r="G1953" s="53"/>
    </row>
    <row r="1954">
      <c r="A1954" s="49">
        <v>44533.0344437037</v>
      </c>
      <c r="B1954" s="50">
        <v>44533.1594226736</v>
      </c>
      <c r="C1954" s="51">
        <v>1.026</v>
      </c>
      <c r="D1954" s="51">
        <v>64.0</v>
      </c>
      <c r="E1954" s="52" t="s">
        <v>25</v>
      </c>
      <c r="F1954" s="52" t="s">
        <v>26</v>
      </c>
      <c r="G1954" s="53"/>
    </row>
    <row r="1955">
      <c r="A1955" s="49">
        <v>44533.044865752316</v>
      </c>
      <c r="B1955" s="50">
        <v>44533.1698447337</v>
      </c>
      <c r="C1955" s="51">
        <v>1.026</v>
      </c>
      <c r="D1955" s="51">
        <v>64.0</v>
      </c>
      <c r="E1955" s="52" t="s">
        <v>25</v>
      </c>
      <c r="F1955" s="52" t="s">
        <v>26</v>
      </c>
      <c r="G1955" s="53"/>
    </row>
    <row r="1956">
      <c r="A1956" s="49">
        <v>44533.055288090276</v>
      </c>
      <c r="B1956" s="50">
        <v>44533.1802647569</v>
      </c>
      <c r="C1956" s="51">
        <v>1.026</v>
      </c>
      <c r="D1956" s="51">
        <v>64.0</v>
      </c>
      <c r="E1956" s="52" t="s">
        <v>25</v>
      </c>
      <c r="F1956" s="52" t="s">
        <v>26</v>
      </c>
      <c r="G1956" s="53"/>
    </row>
    <row r="1957">
      <c r="A1957" s="49">
        <v>44533.06570599537</v>
      </c>
      <c r="B1957" s="50">
        <v>44533.1906867708</v>
      </c>
      <c r="C1957" s="51">
        <v>1.026</v>
      </c>
      <c r="D1957" s="51">
        <v>64.0</v>
      </c>
      <c r="E1957" s="52" t="s">
        <v>25</v>
      </c>
      <c r="F1957" s="52" t="s">
        <v>26</v>
      </c>
      <c r="G1957" s="53"/>
    </row>
    <row r="1958">
      <c r="A1958" s="49">
        <v>44533.07614351852</v>
      </c>
      <c r="B1958" s="50">
        <v>44533.2011209375</v>
      </c>
      <c r="C1958" s="51">
        <v>1.026</v>
      </c>
      <c r="D1958" s="51">
        <v>64.0</v>
      </c>
      <c r="E1958" s="52" t="s">
        <v>25</v>
      </c>
      <c r="F1958" s="52" t="s">
        <v>26</v>
      </c>
      <c r="G1958" s="53"/>
    </row>
    <row r="1959">
      <c r="A1959" s="49">
        <v>44533.086564108795</v>
      </c>
      <c r="B1959" s="50">
        <v>44533.2115430208</v>
      </c>
      <c r="C1959" s="51">
        <v>1.026</v>
      </c>
      <c r="D1959" s="51">
        <v>64.0</v>
      </c>
      <c r="E1959" s="52" t="s">
        <v>25</v>
      </c>
      <c r="F1959" s="52" t="s">
        <v>26</v>
      </c>
      <c r="G1959" s="53"/>
    </row>
    <row r="1960">
      <c r="A1960" s="49">
        <v>44533.09698447917</v>
      </c>
      <c r="B1960" s="50">
        <v>44533.2219650578</v>
      </c>
      <c r="C1960" s="51">
        <v>1.026</v>
      </c>
      <c r="D1960" s="51">
        <v>64.0</v>
      </c>
      <c r="E1960" s="52" t="s">
        <v>25</v>
      </c>
      <c r="F1960" s="52" t="s">
        <v>26</v>
      </c>
      <c r="G1960" s="53"/>
    </row>
    <row r="1961">
      <c r="A1961" s="49">
        <v>44533.1074059838</v>
      </c>
      <c r="B1961" s="50">
        <v>44533.2323858912</v>
      </c>
      <c r="C1961" s="51">
        <v>1.026</v>
      </c>
      <c r="D1961" s="51">
        <v>64.0</v>
      </c>
      <c r="E1961" s="52" t="s">
        <v>25</v>
      </c>
      <c r="F1961" s="52" t="s">
        <v>26</v>
      </c>
      <c r="G1961" s="53"/>
    </row>
    <row r="1962">
      <c r="A1962" s="49">
        <v>44533.11782342593</v>
      </c>
      <c r="B1962" s="50">
        <v>44533.2428074305</v>
      </c>
      <c r="C1962" s="51">
        <v>1.026</v>
      </c>
      <c r="D1962" s="51">
        <v>64.0</v>
      </c>
      <c r="E1962" s="52" t="s">
        <v>25</v>
      </c>
      <c r="F1962" s="52" t="s">
        <v>26</v>
      </c>
      <c r="G1962" s="53"/>
    </row>
    <row r="1963">
      <c r="A1963" s="49">
        <v>44533.128243287036</v>
      </c>
      <c r="B1963" s="50">
        <v>44533.2532268287</v>
      </c>
      <c r="C1963" s="51">
        <v>1.025</v>
      </c>
      <c r="D1963" s="51">
        <v>64.0</v>
      </c>
      <c r="E1963" s="52" t="s">
        <v>25</v>
      </c>
      <c r="F1963" s="52" t="s">
        <v>26</v>
      </c>
      <c r="G1963" s="53"/>
    </row>
    <row r="1964">
      <c r="A1964" s="49">
        <v>44533.138677615745</v>
      </c>
      <c r="B1964" s="50">
        <v>44533.2636497685</v>
      </c>
      <c r="C1964" s="51">
        <v>1.025</v>
      </c>
      <c r="D1964" s="51">
        <v>64.0</v>
      </c>
      <c r="E1964" s="52" t="s">
        <v>25</v>
      </c>
      <c r="F1964" s="52" t="s">
        <v>26</v>
      </c>
      <c r="G1964" s="53"/>
    </row>
    <row r="1965">
      <c r="A1965" s="49">
        <v>44533.149095127315</v>
      </c>
      <c r="B1965" s="50">
        <v>44533.2740699074</v>
      </c>
      <c r="C1965" s="51">
        <v>1.025</v>
      </c>
      <c r="D1965" s="51">
        <v>64.0</v>
      </c>
      <c r="E1965" s="52" t="s">
        <v>25</v>
      </c>
      <c r="F1965" s="52" t="s">
        <v>26</v>
      </c>
      <c r="G1965" s="53"/>
    </row>
    <row r="1966">
      <c r="A1966" s="49">
        <v>44533.15951332176</v>
      </c>
      <c r="B1966" s="50">
        <v>44533.284491655</v>
      </c>
      <c r="C1966" s="51">
        <v>1.026</v>
      </c>
      <c r="D1966" s="51">
        <v>64.0</v>
      </c>
      <c r="E1966" s="52" t="s">
        <v>25</v>
      </c>
      <c r="F1966" s="52" t="s">
        <v>26</v>
      </c>
      <c r="G1966" s="53"/>
    </row>
    <row r="1967">
      <c r="A1967" s="49">
        <v>44533.16993693287</v>
      </c>
      <c r="B1967" s="50">
        <v>44533.2949137731</v>
      </c>
      <c r="C1967" s="51">
        <v>1.025</v>
      </c>
      <c r="D1967" s="51">
        <v>64.0</v>
      </c>
      <c r="E1967" s="52" t="s">
        <v>25</v>
      </c>
      <c r="F1967" s="52" t="s">
        <v>26</v>
      </c>
      <c r="G1967" s="53"/>
    </row>
    <row r="1968">
      <c r="A1968" s="49">
        <v>44533.18035497685</v>
      </c>
      <c r="B1968" s="50">
        <v>44533.3053350462</v>
      </c>
      <c r="C1968" s="51">
        <v>1.026</v>
      </c>
      <c r="D1968" s="51">
        <v>64.0</v>
      </c>
      <c r="E1968" s="52" t="s">
        <v>25</v>
      </c>
      <c r="F1968" s="52" t="s">
        <v>26</v>
      </c>
      <c r="G1968" s="53"/>
    </row>
    <row r="1969">
      <c r="A1969" s="49">
        <v>44533.19133265046</v>
      </c>
      <c r="B1969" s="50">
        <v>44533.3157556365</v>
      </c>
      <c r="C1969" s="51">
        <v>1.026</v>
      </c>
      <c r="D1969" s="51">
        <v>64.0</v>
      </c>
      <c r="E1969" s="52" t="s">
        <v>25</v>
      </c>
      <c r="F1969" s="52" t="s">
        <v>26</v>
      </c>
      <c r="G1969" s="53"/>
    </row>
    <row r="1970">
      <c r="A1970" s="49">
        <v>44533.20120376158</v>
      </c>
      <c r="B1970" s="50">
        <v>44533.32617603</v>
      </c>
      <c r="C1970" s="51">
        <v>1.026</v>
      </c>
      <c r="D1970" s="51">
        <v>64.0</v>
      </c>
      <c r="E1970" s="52" t="s">
        <v>25</v>
      </c>
      <c r="F1970" s="52" t="s">
        <v>26</v>
      </c>
      <c r="G1970" s="53"/>
    </row>
    <row r="1971">
      <c r="A1971" s="49">
        <v>44533.21162814814</v>
      </c>
      <c r="B1971" s="50">
        <v>44533.336609456</v>
      </c>
      <c r="C1971" s="51">
        <v>1.025</v>
      </c>
      <c r="D1971" s="51">
        <v>64.0</v>
      </c>
      <c r="E1971" s="52" t="s">
        <v>25</v>
      </c>
      <c r="F1971" s="52" t="s">
        <v>26</v>
      </c>
      <c r="G1971" s="53"/>
    </row>
    <row r="1972">
      <c r="A1972" s="49">
        <v>44533.222075694444</v>
      </c>
      <c r="B1972" s="50">
        <v>44533.3470295023</v>
      </c>
      <c r="C1972" s="51">
        <v>1.025</v>
      </c>
      <c r="D1972" s="51">
        <v>64.0</v>
      </c>
      <c r="E1972" s="52" t="s">
        <v>25</v>
      </c>
      <c r="F1972" s="52" t="s">
        <v>26</v>
      </c>
      <c r="G1972" s="53"/>
    </row>
    <row r="1973">
      <c r="A1973" s="49">
        <v>44533.23247128472</v>
      </c>
      <c r="B1973" s="50">
        <v>44533.3574503935</v>
      </c>
      <c r="C1973" s="51">
        <v>1.025</v>
      </c>
      <c r="D1973" s="51">
        <v>64.0</v>
      </c>
      <c r="E1973" s="52" t="s">
        <v>25</v>
      </c>
      <c r="F1973" s="52" t="s">
        <v>26</v>
      </c>
      <c r="G1973" s="53"/>
    </row>
    <row r="1974">
      <c r="A1974" s="49">
        <v>44533.24289521991</v>
      </c>
      <c r="B1974" s="50">
        <v>44533.3678704282</v>
      </c>
      <c r="C1974" s="51">
        <v>1.025</v>
      </c>
      <c r="D1974" s="51">
        <v>64.0</v>
      </c>
      <c r="E1974" s="52" t="s">
        <v>25</v>
      </c>
      <c r="F1974" s="52" t="s">
        <v>26</v>
      </c>
      <c r="G1974" s="53"/>
    </row>
    <row r="1975">
      <c r="A1975" s="49">
        <v>44533.25331488426</v>
      </c>
      <c r="B1975" s="50">
        <v>44533.3782913078</v>
      </c>
      <c r="C1975" s="51">
        <v>1.025</v>
      </c>
      <c r="D1975" s="51">
        <v>64.0</v>
      </c>
      <c r="E1975" s="52" t="s">
        <v>25</v>
      </c>
      <c r="F1975" s="52" t="s">
        <v>26</v>
      </c>
      <c r="G1975" s="53"/>
    </row>
    <row r="1976">
      <c r="A1976" s="49">
        <v>44533.2637478588</v>
      </c>
      <c r="B1976" s="50">
        <v>44533.3887240162</v>
      </c>
      <c r="C1976" s="51">
        <v>1.025</v>
      </c>
      <c r="D1976" s="51">
        <v>64.0</v>
      </c>
      <c r="E1976" s="52" t="s">
        <v>25</v>
      </c>
      <c r="F1976" s="52" t="s">
        <v>26</v>
      </c>
      <c r="G1976" s="53"/>
    </row>
    <row r="1977">
      <c r="A1977" s="49">
        <v>44533.27416446759</v>
      </c>
      <c r="B1977" s="50">
        <v>44533.3991451273</v>
      </c>
      <c r="C1977" s="51">
        <v>1.025</v>
      </c>
      <c r="D1977" s="51">
        <v>64.0</v>
      </c>
      <c r="E1977" s="52" t="s">
        <v>25</v>
      </c>
      <c r="F1977" s="52" t="s">
        <v>26</v>
      </c>
      <c r="G1977" s="53"/>
    </row>
    <row r="1978">
      <c r="A1978" s="49">
        <v>44533.28458665509</v>
      </c>
      <c r="B1978" s="50">
        <v>44533.4095652199</v>
      </c>
      <c r="C1978" s="51">
        <v>1.025</v>
      </c>
      <c r="D1978" s="51">
        <v>64.0</v>
      </c>
      <c r="E1978" s="52" t="s">
        <v>25</v>
      </c>
      <c r="F1978" s="52" t="s">
        <v>26</v>
      </c>
      <c r="G1978" s="53"/>
    </row>
    <row r="1979">
      <c r="A1979" s="49">
        <v>44533.29500958334</v>
      </c>
      <c r="B1979" s="50">
        <v>44533.4199873263</v>
      </c>
      <c r="C1979" s="51">
        <v>1.025</v>
      </c>
      <c r="D1979" s="51">
        <v>64.0</v>
      </c>
      <c r="E1979" s="52" t="s">
        <v>25</v>
      </c>
      <c r="F1979" s="52" t="s">
        <v>26</v>
      </c>
      <c r="G1979" s="53"/>
    </row>
    <row r="1980">
      <c r="A1980" s="49">
        <v>44533.30542351852</v>
      </c>
      <c r="B1980" s="50">
        <v>44533.4304065972</v>
      </c>
      <c r="C1980" s="51">
        <v>1.025</v>
      </c>
      <c r="D1980" s="51">
        <v>64.0</v>
      </c>
      <c r="E1980" s="52" t="s">
        <v>25</v>
      </c>
      <c r="F1980" s="52" t="s">
        <v>26</v>
      </c>
      <c r="G1980" s="53"/>
    </row>
    <row r="1981">
      <c r="A1981" s="49">
        <v>44533.31584778935</v>
      </c>
      <c r="B1981" s="50">
        <v>44533.4408264467</v>
      </c>
      <c r="C1981" s="51">
        <v>1.025</v>
      </c>
      <c r="D1981" s="51">
        <v>64.0</v>
      </c>
      <c r="E1981" s="52" t="s">
        <v>25</v>
      </c>
      <c r="F1981" s="52" t="s">
        <v>26</v>
      </c>
      <c r="G1981" s="53"/>
    </row>
    <row r="1982">
      <c r="A1982" s="49">
        <v>44533.32626565972</v>
      </c>
      <c r="B1982" s="50">
        <v>44533.4512505671</v>
      </c>
      <c r="C1982" s="51">
        <v>1.025</v>
      </c>
      <c r="D1982" s="51">
        <v>64.0</v>
      </c>
      <c r="E1982" s="52" t="s">
        <v>25</v>
      </c>
      <c r="F1982" s="52" t="s">
        <v>26</v>
      </c>
      <c r="G1982" s="53"/>
    </row>
    <row r="1983">
      <c r="A1983" s="49">
        <v>44533.33671004629</v>
      </c>
      <c r="B1983" s="50">
        <v>44533.4616726273</v>
      </c>
      <c r="C1983" s="51">
        <v>1.025</v>
      </c>
      <c r="D1983" s="51">
        <v>64.0</v>
      </c>
      <c r="E1983" s="52" t="s">
        <v>25</v>
      </c>
      <c r="F1983" s="52" t="s">
        <v>26</v>
      </c>
      <c r="G1983" s="53"/>
    </row>
    <row r="1984">
      <c r="A1984" s="49">
        <v>44533.34711935185</v>
      </c>
      <c r="B1984" s="50">
        <v>44533.4720935995</v>
      </c>
      <c r="C1984" s="51">
        <v>1.025</v>
      </c>
      <c r="D1984" s="51">
        <v>64.0</v>
      </c>
      <c r="E1984" s="52" t="s">
        <v>25</v>
      </c>
      <c r="F1984" s="52" t="s">
        <v>26</v>
      </c>
      <c r="G1984" s="53"/>
    </row>
    <row r="1985">
      <c r="A1985" s="49">
        <v>44533.35753804398</v>
      </c>
      <c r="B1985" s="50">
        <v>44533.4825153472</v>
      </c>
      <c r="C1985" s="51">
        <v>1.025</v>
      </c>
      <c r="D1985" s="51">
        <v>64.0</v>
      </c>
      <c r="E1985" s="52" t="s">
        <v>25</v>
      </c>
      <c r="F1985" s="52" t="s">
        <v>26</v>
      </c>
      <c r="G1985" s="53"/>
    </row>
    <row r="1986">
      <c r="A1986" s="49">
        <v>44533.36796207176</v>
      </c>
      <c r="B1986" s="50">
        <v>44533.4929346064</v>
      </c>
      <c r="C1986" s="51">
        <v>1.025</v>
      </c>
      <c r="D1986" s="51">
        <v>64.0</v>
      </c>
      <c r="E1986" s="52" t="s">
        <v>25</v>
      </c>
      <c r="F1986" s="52" t="s">
        <v>26</v>
      </c>
      <c r="G1986" s="53"/>
    </row>
    <row r="1987">
      <c r="A1987" s="49">
        <v>44533.37837922454</v>
      </c>
      <c r="B1987" s="50">
        <v>44533.5033563194</v>
      </c>
      <c r="C1987" s="51">
        <v>1.025</v>
      </c>
      <c r="D1987" s="51">
        <v>64.0</v>
      </c>
      <c r="E1987" s="52" t="s">
        <v>25</v>
      </c>
      <c r="F1987" s="52" t="s">
        <v>26</v>
      </c>
      <c r="G1987" s="53"/>
    </row>
    <row r="1988">
      <c r="A1988" s="49">
        <v>44533.388794004626</v>
      </c>
      <c r="B1988" s="50">
        <v>44533.5137779745</v>
      </c>
      <c r="C1988" s="51">
        <v>1.025</v>
      </c>
      <c r="D1988" s="51">
        <v>64.0</v>
      </c>
      <c r="E1988" s="52" t="s">
        <v>25</v>
      </c>
      <c r="F1988" s="52" t="s">
        <v>26</v>
      </c>
      <c r="G1988" s="53"/>
    </row>
    <row r="1989">
      <c r="A1989" s="49">
        <v>44533.399224733796</v>
      </c>
      <c r="B1989" s="50">
        <v>44533.524198449</v>
      </c>
      <c r="C1989" s="51">
        <v>1.025</v>
      </c>
      <c r="D1989" s="51">
        <v>64.0</v>
      </c>
      <c r="E1989" s="52" t="s">
        <v>25</v>
      </c>
      <c r="F1989" s="52" t="s">
        <v>26</v>
      </c>
      <c r="G1989" s="53"/>
    </row>
    <row r="1990">
      <c r="A1990" s="49">
        <v>44533.40965236111</v>
      </c>
      <c r="B1990" s="50">
        <v>44533.5346313425</v>
      </c>
      <c r="C1990" s="51">
        <v>1.025</v>
      </c>
      <c r="D1990" s="51">
        <v>64.0</v>
      </c>
      <c r="E1990" s="52" t="s">
        <v>25</v>
      </c>
      <c r="F1990" s="52" t="s">
        <v>26</v>
      </c>
      <c r="G1990" s="53"/>
    </row>
    <row r="1991">
      <c r="A1991" s="49">
        <v>44533.42008216435</v>
      </c>
      <c r="B1991" s="50">
        <v>44533.5450526504</v>
      </c>
      <c r="C1991" s="51">
        <v>1.025</v>
      </c>
      <c r="D1991" s="51">
        <v>64.0</v>
      </c>
      <c r="E1991" s="52" t="s">
        <v>25</v>
      </c>
      <c r="F1991" s="52" t="s">
        <v>26</v>
      </c>
      <c r="G1991" s="53"/>
    </row>
    <row r="1992">
      <c r="A1992" s="49">
        <v>44533.43051340278</v>
      </c>
      <c r="B1992" s="50">
        <v>44533.55548603</v>
      </c>
      <c r="C1992" s="51">
        <v>1.025</v>
      </c>
      <c r="D1992" s="51">
        <v>64.0</v>
      </c>
      <c r="E1992" s="52" t="s">
        <v>25</v>
      </c>
      <c r="F1992" s="52" t="s">
        <v>26</v>
      </c>
      <c r="G1992" s="53"/>
    </row>
    <row r="1993">
      <c r="A1993" s="49">
        <v>44533.44093541667</v>
      </c>
      <c r="B1993" s="50">
        <v>44533.5659081944</v>
      </c>
      <c r="C1993" s="51">
        <v>1.025</v>
      </c>
      <c r="D1993" s="51">
        <v>64.0</v>
      </c>
      <c r="E1993" s="52" t="s">
        <v>25</v>
      </c>
      <c r="F1993" s="52" t="s">
        <v>26</v>
      </c>
      <c r="G1993" s="53"/>
    </row>
    <row r="1994">
      <c r="A1994" s="49">
        <v>44533.451350358795</v>
      </c>
      <c r="B1994" s="50">
        <v>44533.576329456</v>
      </c>
      <c r="C1994" s="51">
        <v>1.025</v>
      </c>
      <c r="D1994" s="51">
        <v>64.0</v>
      </c>
      <c r="E1994" s="52" t="s">
        <v>25</v>
      </c>
      <c r="F1994" s="52" t="s">
        <v>26</v>
      </c>
      <c r="G1994" s="53"/>
    </row>
    <row r="1995">
      <c r="A1995" s="49">
        <v>44533.46176853009</v>
      </c>
      <c r="B1995" s="50">
        <v>44533.5867503356</v>
      </c>
      <c r="C1995" s="51">
        <v>1.025</v>
      </c>
      <c r="D1995" s="51">
        <v>64.0</v>
      </c>
      <c r="E1995" s="52" t="s">
        <v>25</v>
      </c>
      <c r="F1995" s="52" t="s">
        <v>26</v>
      </c>
      <c r="G1995" s="53"/>
    </row>
    <row r="1996">
      <c r="A1996" s="49">
        <v>44533.472200185184</v>
      </c>
      <c r="B1996" s="50">
        <v>44533.5971706712</v>
      </c>
      <c r="C1996" s="51">
        <v>1.025</v>
      </c>
      <c r="D1996" s="51">
        <v>64.0</v>
      </c>
      <c r="E1996" s="52" t="s">
        <v>25</v>
      </c>
      <c r="F1996" s="52" t="s">
        <v>26</v>
      </c>
      <c r="G1996" s="53"/>
    </row>
    <row r="1997">
      <c r="A1997" s="49">
        <v>44533.48261997685</v>
      </c>
      <c r="B1997" s="50">
        <v>44533.607591493</v>
      </c>
      <c r="C1997" s="51">
        <v>1.025</v>
      </c>
      <c r="D1997" s="51">
        <v>64.0</v>
      </c>
      <c r="E1997" s="52" t="s">
        <v>25</v>
      </c>
      <c r="F1997" s="52" t="s">
        <v>26</v>
      </c>
      <c r="G1997" s="53"/>
    </row>
    <row r="1998">
      <c r="A1998" s="49">
        <v>44533.49303510417</v>
      </c>
      <c r="B1998" s="50">
        <v>44533.6180117361</v>
      </c>
      <c r="C1998" s="51">
        <v>1.025</v>
      </c>
      <c r="D1998" s="51">
        <v>64.0</v>
      </c>
      <c r="E1998" s="52" t="s">
        <v>25</v>
      </c>
      <c r="F1998" s="52" t="s">
        <v>26</v>
      </c>
      <c r="G1998" s="53"/>
    </row>
    <row r="1999">
      <c r="A1999" s="49">
        <v>44533.50345898148</v>
      </c>
      <c r="B1999" s="50">
        <v>44533.6284324189</v>
      </c>
      <c r="C1999" s="51">
        <v>1.025</v>
      </c>
      <c r="D1999" s="51">
        <v>64.0</v>
      </c>
      <c r="E1999" s="52" t="s">
        <v>25</v>
      </c>
      <c r="F1999" s="52" t="s">
        <v>26</v>
      </c>
      <c r="G1999" s="53"/>
    </row>
    <row r="2000">
      <c r="A2000" s="49">
        <v>44533.51387430556</v>
      </c>
      <c r="B2000" s="50">
        <v>44533.6388544907</v>
      </c>
      <c r="C2000" s="51">
        <v>1.025</v>
      </c>
      <c r="D2000" s="51">
        <v>64.0</v>
      </c>
      <c r="E2000" s="52" t="s">
        <v>25</v>
      </c>
      <c r="F2000" s="52" t="s">
        <v>26</v>
      </c>
      <c r="G2000" s="53"/>
    </row>
    <row r="2001">
      <c r="A2001" s="49">
        <v>44533.524295787036</v>
      </c>
      <c r="B2001" s="50">
        <v>44533.649274375</v>
      </c>
      <c r="C2001" s="51">
        <v>1.025</v>
      </c>
      <c r="D2001" s="51">
        <v>64.0</v>
      </c>
      <c r="E2001" s="52" t="s">
        <v>25</v>
      </c>
      <c r="F2001" s="52" t="s">
        <v>26</v>
      </c>
      <c r="G2001" s="53"/>
    </row>
    <row r="2002">
      <c r="A2002" s="49">
        <v>44533.53473488426</v>
      </c>
      <c r="B2002" s="50">
        <v>44533.6597064236</v>
      </c>
      <c r="C2002" s="51">
        <v>1.025</v>
      </c>
      <c r="D2002" s="51">
        <v>64.0</v>
      </c>
      <c r="E2002" s="52" t="s">
        <v>25</v>
      </c>
      <c r="F2002" s="52" t="s">
        <v>26</v>
      </c>
      <c r="G2002" s="53"/>
    </row>
    <row r="2003">
      <c r="A2003" s="49">
        <v>44533.54514549769</v>
      </c>
      <c r="B2003" s="50">
        <v>44533.6701288541</v>
      </c>
      <c r="C2003" s="51">
        <v>1.025</v>
      </c>
      <c r="D2003" s="51">
        <v>64.0</v>
      </c>
      <c r="E2003" s="52" t="s">
        <v>25</v>
      </c>
      <c r="F2003" s="52" t="s">
        <v>26</v>
      </c>
      <c r="G2003" s="53"/>
    </row>
    <row r="2004">
      <c r="A2004" s="49">
        <v>44533.55557494213</v>
      </c>
      <c r="B2004" s="50">
        <v>44533.6805503703</v>
      </c>
      <c r="C2004" s="51">
        <v>1.025</v>
      </c>
      <c r="D2004" s="51">
        <v>64.0</v>
      </c>
      <c r="E2004" s="52" t="s">
        <v>25</v>
      </c>
      <c r="F2004" s="52" t="s">
        <v>26</v>
      </c>
      <c r="G2004" s="53"/>
    </row>
    <row r="2005">
      <c r="A2005" s="49">
        <v>44533.56599662037</v>
      </c>
      <c r="B2005" s="50">
        <v>44533.6909722222</v>
      </c>
      <c r="C2005" s="51">
        <v>1.025</v>
      </c>
      <c r="D2005" s="51">
        <v>64.0</v>
      </c>
      <c r="E2005" s="52" t="s">
        <v>25</v>
      </c>
      <c r="F2005" s="52" t="s">
        <v>26</v>
      </c>
      <c r="G2005" s="53"/>
    </row>
    <row r="2006">
      <c r="A2006" s="49">
        <v>44533.57641417824</v>
      </c>
      <c r="B2006" s="50">
        <v>44533.7013927546</v>
      </c>
      <c r="C2006" s="51">
        <v>1.025</v>
      </c>
      <c r="D2006" s="51">
        <v>64.0</v>
      </c>
      <c r="E2006" s="52" t="s">
        <v>25</v>
      </c>
      <c r="F2006" s="52" t="s">
        <v>26</v>
      </c>
      <c r="G2006" s="53"/>
    </row>
    <row r="2007">
      <c r="A2007" s="49">
        <v>44533.586840324075</v>
      </c>
      <c r="B2007" s="50">
        <v>44533.7118143981</v>
      </c>
      <c r="C2007" s="51">
        <v>1.025</v>
      </c>
      <c r="D2007" s="51">
        <v>64.0</v>
      </c>
      <c r="E2007" s="52" t="s">
        <v>25</v>
      </c>
      <c r="F2007" s="52" t="s">
        <v>26</v>
      </c>
      <c r="G2007" s="53"/>
    </row>
    <row r="2008">
      <c r="A2008" s="49">
        <v>44533.59729356482</v>
      </c>
      <c r="B2008" s="50">
        <v>44533.7222712152</v>
      </c>
      <c r="C2008" s="51">
        <v>1.025</v>
      </c>
      <c r="D2008" s="51">
        <v>64.0</v>
      </c>
      <c r="E2008" s="52" t="s">
        <v>25</v>
      </c>
      <c r="F2008" s="52" t="s">
        <v>26</v>
      </c>
      <c r="G2008" s="53"/>
    </row>
    <row r="2009">
      <c r="A2009" s="49">
        <v>44533.607712743054</v>
      </c>
      <c r="B2009" s="50">
        <v>44533.732693449</v>
      </c>
      <c r="C2009" s="51">
        <v>1.025</v>
      </c>
      <c r="D2009" s="51">
        <v>64.0</v>
      </c>
      <c r="E2009" s="52" t="s">
        <v>25</v>
      </c>
      <c r="F2009" s="52" t="s">
        <v>26</v>
      </c>
      <c r="G2009" s="53"/>
    </row>
    <row r="2010">
      <c r="A2010" s="49">
        <v>44533.61813497685</v>
      </c>
      <c r="B2010" s="50">
        <v>44533.7431137384</v>
      </c>
      <c r="C2010" s="51">
        <v>1.025</v>
      </c>
      <c r="D2010" s="51">
        <v>64.0</v>
      </c>
      <c r="E2010" s="52" t="s">
        <v>25</v>
      </c>
      <c r="F2010" s="52" t="s">
        <v>26</v>
      </c>
      <c r="G2010" s="53"/>
    </row>
    <row r="2011">
      <c r="A2011" s="49">
        <v>44533.62856265046</v>
      </c>
      <c r="B2011" s="50">
        <v>44533.7535338888</v>
      </c>
      <c r="C2011" s="51">
        <v>1.025</v>
      </c>
      <c r="D2011" s="51">
        <v>64.0</v>
      </c>
      <c r="E2011" s="52" t="s">
        <v>25</v>
      </c>
      <c r="F2011" s="52" t="s">
        <v>26</v>
      </c>
      <c r="G2011" s="53"/>
    </row>
    <row r="2012">
      <c r="A2012" s="49">
        <v>44533.63897850695</v>
      </c>
      <c r="B2012" s="50">
        <v>44533.7639549421</v>
      </c>
      <c r="C2012" s="51">
        <v>1.025</v>
      </c>
      <c r="D2012" s="51">
        <v>64.0</v>
      </c>
      <c r="E2012" s="52" t="s">
        <v>25</v>
      </c>
      <c r="F2012" s="52" t="s">
        <v>26</v>
      </c>
      <c r="G2012" s="53"/>
    </row>
    <row r="2013">
      <c r="A2013" s="49">
        <v>44533.64940388889</v>
      </c>
      <c r="B2013" s="50">
        <v>44533.7743749768</v>
      </c>
      <c r="C2013" s="51">
        <v>1.025</v>
      </c>
      <c r="D2013" s="51">
        <v>64.0</v>
      </c>
      <c r="E2013" s="52" t="s">
        <v>25</v>
      </c>
      <c r="F2013" s="52" t="s">
        <v>26</v>
      </c>
      <c r="G2013" s="53"/>
    </row>
    <row r="2014">
      <c r="A2014" s="49">
        <v>44533.65981758102</v>
      </c>
      <c r="B2014" s="50">
        <v>44533.7847944675</v>
      </c>
      <c r="C2014" s="51">
        <v>1.025</v>
      </c>
      <c r="D2014" s="51">
        <v>64.0</v>
      </c>
      <c r="E2014" s="52" t="s">
        <v>25</v>
      </c>
      <c r="F2014" s="52" t="s">
        <v>26</v>
      </c>
      <c r="G2014" s="53"/>
    </row>
    <row r="2015">
      <c r="A2015" s="49">
        <v>44533.67025541667</v>
      </c>
      <c r="B2015" s="50">
        <v>44533.7952277083</v>
      </c>
      <c r="C2015" s="51">
        <v>1.025</v>
      </c>
      <c r="D2015" s="51">
        <v>64.0</v>
      </c>
      <c r="E2015" s="52" t="s">
        <v>25</v>
      </c>
      <c r="F2015" s="52" t="s">
        <v>26</v>
      </c>
      <c r="G2015" s="53"/>
    </row>
    <row r="2016">
      <c r="A2016" s="49">
        <v>44533.68067307871</v>
      </c>
      <c r="B2016" s="50">
        <v>44533.8056497569</v>
      </c>
      <c r="C2016" s="51">
        <v>1.025</v>
      </c>
      <c r="D2016" s="51">
        <v>64.0</v>
      </c>
      <c r="E2016" s="52" t="s">
        <v>25</v>
      </c>
      <c r="F2016" s="52" t="s">
        <v>26</v>
      </c>
      <c r="G2016" s="53"/>
    </row>
    <row r="2017">
      <c r="A2017" s="49">
        <v>44533.691091574074</v>
      </c>
      <c r="B2017" s="50">
        <v>44533.8160708333</v>
      </c>
      <c r="C2017" s="51">
        <v>1.025</v>
      </c>
      <c r="D2017" s="51">
        <v>64.0</v>
      </c>
      <c r="E2017" s="52" t="s">
        <v>25</v>
      </c>
      <c r="F2017" s="52" t="s">
        <v>26</v>
      </c>
      <c r="G2017" s="53"/>
    </row>
    <row r="2018">
      <c r="A2018" s="49">
        <v>44533.70151965278</v>
      </c>
      <c r="B2018" s="50">
        <v>44533.826493287</v>
      </c>
      <c r="C2018" s="51">
        <v>1.025</v>
      </c>
      <c r="D2018" s="51">
        <v>64.0</v>
      </c>
      <c r="E2018" s="52" t="s">
        <v>25</v>
      </c>
      <c r="F2018" s="52" t="s">
        <v>26</v>
      </c>
      <c r="G2018" s="53"/>
    </row>
    <row r="2019">
      <c r="A2019" s="49">
        <v>44533.71194797454</v>
      </c>
      <c r="B2019" s="50">
        <v>44533.8369258333</v>
      </c>
      <c r="C2019" s="51">
        <v>1.025</v>
      </c>
      <c r="D2019" s="51">
        <v>64.0</v>
      </c>
      <c r="E2019" s="52" t="s">
        <v>25</v>
      </c>
      <c r="F2019" s="52" t="s">
        <v>26</v>
      </c>
      <c r="G2019" s="53"/>
    </row>
    <row r="2020">
      <c r="A2020" s="49">
        <v>44533.72236961806</v>
      </c>
      <c r="B2020" s="50">
        <v>44533.8473480902</v>
      </c>
      <c r="C2020" s="51">
        <v>1.025</v>
      </c>
      <c r="D2020" s="51">
        <v>64.0</v>
      </c>
      <c r="E2020" s="52" t="s">
        <v>25</v>
      </c>
      <c r="F2020" s="52" t="s">
        <v>26</v>
      </c>
      <c r="G2020" s="53"/>
    </row>
    <row r="2021">
      <c r="A2021" s="49">
        <v>44533.73279414352</v>
      </c>
      <c r="B2021" s="50">
        <v>44533.8577698148</v>
      </c>
      <c r="C2021" s="51">
        <v>1.025</v>
      </c>
      <c r="D2021" s="51">
        <v>64.0</v>
      </c>
      <c r="E2021" s="52" t="s">
        <v>25</v>
      </c>
      <c r="F2021" s="52" t="s">
        <v>26</v>
      </c>
      <c r="G2021" s="53"/>
    </row>
    <row r="2022">
      <c r="A2022" s="49">
        <v>44533.74320671296</v>
      </c>
      <c r="B2022" s="50">
        <v>44533.8681908333</v>
      </c>
      <c r="C2022" s="51">
        <v>1.025</v>
      </c>
      <c r="D2022" s="51">
        <v>64.0</v>
      </c>
      <c r="E2022" s="52" t="s">
        <v>25</v>
      </c>
      <c r="F2022" s="52" t="s">
        <v>26</v>
      </c>
      <c r="G2022" s="53"/>
    </row>
    <row r="2023">
      <c r="A2023" s="49">
        <v>44533.75363184028</v>
      </c>
      <c r="B2023" s="50">
        <v>44533.8786121527</v>
      </c>
      <c r="C2023" s="51">
        <v>1.025</v>
      </c>
      <c r="D2023" s="51">
        <v>64.0</v>
      </c>
      <c r="E2023" s="52" t="s">
        <v>25</v>
      </c>
      <c r="F2023" s="52" t="s">
        <v>26</v>
      </c>
      <c r="G2023" s="53"/>
    </row>
    <row r="2024">
      <c r="A2024" s="49">
        <v>44533.76405193287</v>
      </c>
      <c r="B2024" s="50">
        <v>44533.8890345717</v>
      </c>
      <c r="C2024" s="51">
        <v>1.025</v>
      </c>
      <c r="D2024" s="51">
        <v>64.0</v>
      </c>
      <c r="E2024" s="52" t="s">
        <v>25</v>
      </c>
      <c r="F2024" s="52" t="s">
        <v>26</v>
      </c>
      <c r="G2024" s="53"/>
    </row>
    <row r="2025">
      <c r="A2025" s="49">
        <v>44533.77448094907</v>
      </c>
      <c r="B2025" s="50">
        <v>44533.8994557175</v>
      </c>
      <c r="C2025" s="51">
        <v>1.025</v>
      </c>
      <c r="D2025" s="51">
        <v>64.0</v>
      </c>
      <c r="E2025" s="52" t="s">
        <v>25</v>
      </c>
      <c r="F2025" s="52" t="s">
        <v>26</v>
      </c>
      <c r="G2025" s="53"/>
    </row>
    <row r="2026">
      <c r="A2026" s="49">
        <v>44533.78490403935</v>
      </c>
      <c r="B2026" s="50">
        <v>44533.9098755555</v>
      </c>
      <c r="C2026" s="51">
        <v>1.025</v>
      </c>
      <c r="D2026" s="51">
        <v>64.0</v>
      </c>
      <c r="E2026" s="52" t="s">
        <v>25</v>
      </c>
      <c r="F2026" s="52" t="s">
        <v>26</v>
      </c>
      <c r="G2026" s="53"/>
    </row>
    <row r="2027">
      <c r="A2027" s="49">
        <v>44533.79531032407</v>
      </c>
      <c r="B2027" s="50">
        <v>44533.9202949189</v>
      </c>
      <c r="C2027" s="51">
        <v>1.025</v>
      </c>
      <c r="D2027" s="51">
        <v>64.0</v>
      </c>
      <c r="E2027" s="52" t="s">
        <v>25</v>
      </c>
      <c r="F2027" s="52" t="s">
        <v>26</v>
      </c>
      <c r="G2027" s="53"/>
    </row>
    <row r="2028">
      <c r="A2028" s="49">
        <v>44533.80572979167</v>
      </c>
      <c r="B2028" s="50">
        <v>44533.9307151851</v>
      </c>
      <c r="C2028" s="51">
        <v>1.025</v>
      </c>
      <c r="D2028" s="51">
        <v>64.0</v>
      </c>
      <c r="E2028" s="52" t="s">
        <v>25</v>
      </c>
      <c r="F2028" s="52" t="s">
        <v>26</v>
      </c>
      <c r="G2028" s="53"/>
    </row>
    <row r="2029">
      <c r="A2029" s="49">
        <v>44533.81616040509</v>
      </c>
      <c r="B2029" s="50">
        <v>44533.941136331</v>
      </c>
      <c r="C2029" s="51">
        <v>1.025</v>
      </c>
      <c r="D2029" s="51">
        <v>64.0</v>
      </c>
      <c r="E2029" s="52" t="s">
        <v>25</v>
      </c>
      <c r="F2029" s="52" t="s">
        <v>26</v>
      </c>
      <c r="G2029" s="53"/>
    </row>
    <row r="2030">
      <c r="A2030" s="49">
        <v>44533.82657888889</v>
      </c>
      <c r="B2030" s="50">
        <v>44533.9515568171</v>
      </c>
      <c r="C2030" s="51">
        <v>1.025</v>
      </c>
      <c r="D2030" s="51">
        <v>64.0</v>
      </c>
      <c r="E2030" s="52" t="s">
        <v>25</v>
      </c>
      <c r="F2030" s="52" t="s">
        <v>26</v>
      </c>
      <c r="G2030" s="53"/>
    </row>
    <row r="2031">
      <c r="A2031" s="49">
        <v>44533.83699887732</v>
      </c>
      <c r="B2031" s="50">
        <v>44533.9619781944</v>
      </c>
      <c r="C2031" s="51">
        <v>1.025</v>
      </c>
      <c r="D2031" s="51">
        <v>64.0</v>
      </c>
      <c r="E2031" s="52" t="s">
        <v>25</v>
      </c>
      <c r="F2031" s="52" t="s">
        <v>26</v>
      </c>
      <c r="G2031" s="53"/>
    </row>
    <row r="2032">
      <c r="A2032" s="49">
        <v>44533.84742895833</v>
      </c>
      <c r="B2032" s="50">
        <v>44533.9724099884</v>
      </c>
      <c r="C2032" s="51">
        <v>1.025</v>
      </c>
      <c r="D2032" s="51">
        <v>64.0</v>
      </c>
      <c r="E2032" s="52" t="s">
        <v>25</v>
      </c>
      <c r="F2032" s="52" t="s">
        <v>26</v>
      </c>
      <c r="G2032" s="53"/>
    </row>
    <row r="2033">
      <c r="A2033" s="49">
        <v>44533.85786188657</v>
      </c>
      <c r="B2033" s="50">
        <v>44533.9828326504</v>
      </c>
      <c r="C2033" s="51">
        <v>1.025</v>
      </c>
      <c r="D2033" s="51">
        <v>64.0</v>
      </c>
      <c r="E2033" s="52" t="s">
        <v>25</v>
      </c>
      <c r="F2033" s="52" t="s">
        <v>26</v>
      </c>
      <c r="G2033" s="53"/>
    </row>
    <row r="2034">
      <c r="A2034" s="49">
        <v>44533.868278368056</v>
      </c>
      <c r="B2034" s="50">
        <v>44533.9932536689</v>
      </c>
      <c r="C2034" s="51">
        <v>1.025</v>
      </c>
      <c r="D2034" s="51">
        <v>64.0</v>
      </c>
      <c r="E2034" s="52" t="s">
        <v>25</v>
      </c>
      <c r="F2034" s="52" t="s">
        <v>26</v>
      </c>
      <c r="G2034" s="53"/>
    </row>
    <row r="2035">
      <c r="A2035" s="49">
        <v>44533.87869539352</v>
      </c>
      <c r="B2035" s="50">
        <v>44534.0036739583</v>
      </c>
      <c r="C2035" s="51">
        <v>1.024</v>
      </c>
      <c r="D2035" s="51">
        <v>64.0</v>
      </c>
      <c r="E2035" s="52" t="s">
        <v>25</v>
      </c>
      <c r="F2035" s="52" t="s">
        <v>26</v>
      </c>
      <c r="G2035" s="53"/>
    </row>
    <row r="2036">
      <c r="A2036" s="49">
        <v>44533.88912021991</v>
      </c>
      <c r="B2036" s="50">
        <v>44534.014095162</v>
      </c>
      <c r="C2036" s="51">
        <v>1.025</v>
      </c>
      <c r="D2036" s="51">
        <v>64.0</v>
      </c>
      <c r="E2036" s="52" t="s">
        <v>25</v>
      </c>
      <c r="F2036" s="52" t="s">
        <v>26</v>
      </c>
      <c r="G2036" s="53"/>
    </row>
    <row r="2037">
      <c r="A2037" s="49">
        <v>44533.89953322917</v>
      </c>
      <c r="B2037" s="50">
        <v>44534.0245159722</v>
      </c>
      <c r="C2037" s="51">
        <v>1.025</v>
      </c>
      <c r="D2037" s="51">
        <v>64.0</v>
      </c>
      <c r="E2037" s="52" t="s">
        <v>25</v>
      </c>
      <c r="F2037" s="52" t="s">
        <v>26</v>
      </c>
      <c r="G2037" s="53"/>
    </row>
    <row r="2038">
      <c r="A2038" s="49">
        <v>44533.909954745366</v>
      </c>
      <c r="B2038" s="50">
        <v>44534.0349370254</v>
      </c>
      <c r="C2038" s="51">
        <v>1.025</v>
      </c>
      <c r="D2038" s="51">
        <v>64.0</v>
      </c>
      <c r="E2038" s="52" t="s">
        <v>25</v>
      </c>
      <c r="F2038" s="52" t="s">
        <v>26</v>
      </c>
      <c r="G2038" s="53"/>
    </row>
    <row r="2039">
      <c r="A2039" s="49">
        <v>44533.92037346065</v>
      </c>
      <c r="B2039" s="50">
        <v>44534.0453577893</v>
      </c>
      <c r="C2039" s="51">
        <v>1.025</v>
      </c>
      <c r="D2039" s="51">
        <v>64.0</v>
      </c>
      <c r="E2039" s="52" t="s">
        <v>25</v>
      </c>
      <c r="F2039" s="52" t="s">
        <v>26</v>
      </c>
      <c r="G2039" s="53"/>
    </row>
    <row r="2040">
      <c r="A2040" s="49">
        <v>44533.9308015625</v>
      </c>
      <c r="B2040" s="50">
        <v>44534.0557785763</v>
      </c>
      <c r="C2040" s="51">
        <v>1.025</v>
      </c>
      <c r="D2040" s="51">
        <v>64.0</v>
      </c>
      <c r="E2040" s="52" t="s">
        <v>25</v>
      </c>
      <c r="F2040" s="52" t="s">
        <v>26</v>
      </c>
      <c r="G2040" s="53"/>
    </row>
    <row r="2041">
      <c r="A2041" s="49">
        <v>44533.94122359954</v>
      </c>
      <c r="B2041" s="50">
        <v>44534.0662020254</v>
      </c>
      <c r="C2041" s="51">
        <v>1.025</v>
      </c>
      <c r="D2041" s="51">
        <v>64.0</v>
      </c>
      <c r="E2041" s="52" t="s">
        <v>25</v>
      </c>
      <c r="F2041" s="52" t="s">
        <v>26</v>
      </c>
      <c r="G2041" s="53"/>
    </row>
    <row r="2042">
      <c r="A2042" s="49">
        <v>44533.95165565972</v>
      </c>
      <c r="B2042" s="50">
        <v>44534.0766333101</v>
      </c>
      <c r="C2042" s="51">
        <v>1.024</v>
      </c>
      <c r="D2042" s="51">
        <v>64.0</v>
      </c>
      <c r="E2042" s="52" t="s">
        <v>25</v>
      </c>
      <c r="F2042" s="52" t="s">
        <v>26</v>
      </c>
      <c r="G2042" s="53"/>
    </row>
    <row r="2043">
      <c r="A2043" s="49">
        <v>44533.962067546294</v>
      </c>
      <c r="B2043" s="50">
        <v>44534.087053368</v>
      </c>
      <c r="C2043" s="51">
        <v>1.025</v>
      </c>
      <c r="D2043" s="51">
        <v>64.0</v>
      </c>
      <c r="E2043" s="52" t="s">
        <v>25</v>
      </c>
      <c r="F2043" s="52" t="s">
        <v>26</v>
      </c>
      <c r="G2043" s="53"/>
    </row>
    <row r="2044">
      <c r="A2044" s="49">
        <v>44533.97250179398</v>
      </c>
      <c r="B2044" s="50">
        <v>44534.0974719675</v>
      </c>
      <c r="C2044" s="51">
        <v>1.024</v>
      </c>
      <c r="D2044" s="51">
        <v>64.0</v>
      </c>
      <c r="E2044" s="52" t="s">
        <v>25</v>
      </c>
      <c r="F2044" s="52" t="s">
        <v>26</v>
      </c>
      <c r="G2044" s="53"/>
    </row>
    <row r="2045">
      <c r="A2045" s="49">
        <v>44533.98291795139</v>
      </c>
      <c r="B2045" s="50">
        <v>44534.1078937037</v>
      </c>
      <c r="C2045" s="51">
        <v>1.025</v>
      </c>
      <c r="D2045" s="51">
        <v>64.0</v>
      </c>
      <c r="E2045" s="52" t="s">
        <v>25</v>
      </c>
      <c r="F2045" s="52" t="s">
        <v>26</v>
      </c>
      <c r="G2045" s="53"/>
    </row>
    <row r="2046">
      <c r="A2046" s="49">
        <v>44533.993332812504</v>
      </c>
      <c r="B2046" s="50">
        <v>44534.1183149652</v>
      </c>
      <c r="C2046" s="51">
        <v>1.024</v>
      </c>
      <c r="D2046" s="51">
        <v>64.0</v>
      </c>
      <c r="E2046" s="52" t="s">
        <v>25</v>
      </c>
      <c r="F2046" s="52" t="s">
        <v>26</v>
      </c>
      <c r="G2046" s="53"/>
    </row>
    <row r="2047">
      <c r="A2047" s="49">
        <v>44534.00376075231</v>
      </c>
      <c r="B2047" s="50">
        <v>44534.1287375</v>
      </c>
      <c r="C2047" s="51">
        <v>1.024</v>
      </c>
      <c r="D2047" s="51">
        <v>64.0</v>
      </c>
      <c r="E2047" s="52" t="s">
        <v>25</v>
      </c>
      <c r="F2047" s="52" t="s">
        <v>26</v>
      </c>
      <c r="G2047" s="53"/>
    </row>
    <row r="2048">
      <c r="A2048" s="49">
        <v>44534.0141953125</v>
      </c>
      <c r="B2048" s="50">
        <v>44534.1391693287</v>
      </c>
      <c r="C2048" s="51">
        <v>1.025</v>
      </c>
      <c r="D2048" s="51">
        <v>64.0</v>
      </c>
      <c r="E2048" s="52" t="s">
        <v>25</v>
      </c>
      <c r="F2048" s="52" t="s">
        <v>26</v>
      </c>
      <c r="G2048" s="53"/>
    </row>
    <row r="2049">
      <c r="A2049" s="49">
        <v>44534.02460609954</v>
      </c>
      <c r="B2049" s="50">
        <v>44534.14959103</v>
      </c>
      <c r="C2049" s="51">
        <v>1.025</v>
      </c>
      <c r="D2049" s="51">
        <v>64.0</v>
      </c>
      <c r="E2049" s="52" t="s">
        <v>25</v>
      </c>
      <c r="F2049" s="52" t="s">
        <v>26</v>
      </c>
      <c r="G2049" s="53"/>
    </row>
    <row r="2050">
      <c r="A2050" s="49">
        <v>44534.035041469906</v>
      </c>
      <c r="B2050" s="50">
        <v>44534.1600140972</v>
      </c>
      <c r="C2050" s="51">
        <v>1.024</v>
      </c>
      <c r="D2050" s="51">
        <v>64.0</v>
      </c>
      <c r="E2050" s="52" t="s">
        <v>25</v>
      </c>
      <c r="F2050" s="52" t="s">
        <v>26</v>
      </c>
      <c r="G2050" s="53"/>
    </row>
    <row r="2051">
      <c r="A2051" s="49">
        <v>44534.04547578703</v>
      </c>
      <c r="B2051" s="50">
        <v>44534.1704470138</v>
      </c>
      <c r="C2051" s="51">
        <v>1.024</v>
      </c>
      <c r="D2051" s="51">
        <v>64.0</v>
      </c>
      <c r="E2051" s="52" t="s">
        <v>25</v>
      </c>
      <c r="F2051" s="52" t="s">
        <v>26</v>
      </c>
      <c r="G2051" s="53"/>
    </row>
    <row r="2052">
      <c r="A2052" s="49">
        <v>44534.05590128472</v>
      </c>
      <c r="B2052" s="50">
        <v>44534.1808794907</v>
      </c>
      <c r="C2052" s="51">
        <v>1.025</v>
      </c>
      <c r="D2052" s="51">
        <v>64.0</v>
      </c>
      <c r="E2052" s="52" t="s">
        <v>25</v>
      </c>
      <c r="F2052" s="52" t="s">
        <v>26</v>
      </c>
      <c r="G2052" s="53"/>
    </row>
    <row r="2053">
      <c r="A2053" s="49">
        <v>44534.06632612269</v>
      </c>
      <c r="B2053" s="50">
        <v>44534.1913003356</v>
      </c>
      <c r="C2053" s="51">
        <v>1.024</v>
      </c>
      <c r="D2053" s="51">
        <v>64.0</v>
      </c>
      <c r="E2053" s="52" t="s">
        <v>25</v>
      </c>
      <c r="F2053" s="52" t="s">
        <v>26</v>
      </c>
      <c r="G2053" s="53"/>
    </row>
    <row r="2054">
      <c r="A2054" s="49">
        <v>44534.07674247686</v>
      </c>
      <c r="B2054" s="50">
        <v>44534.2017217824</v>
      </c>
      <c r="C2054" s="51">
        <v>1.024</v>
      </c>
      <c r="D2054" s="51">
        <v>64.0</v>
      </c>
      <c r="E2054" s="52" t="s">
        <v>25</v>
      </c>
      <c r="F2054" s="52" t="s">
        <v>26</v>
      </c>
      <c r="G2054" s="53"/>
    </row>
    <row r="2055">
      <c r="A2055" s="49">
        <v>44534.08716776621</v>
      </c>
      <c r="B2055" s="50">
        <v>44534.2121433217</v>
      </c>
      <c r="C2055" s="51">
        <v>1.024</v>
      </c>
      <c r="D2055" s="51">
        <v>64.0</v>
      </c>
      <c r="E2055" s="52" t="s">
        <v>25</v>
      </c>
      <c r="F2055" s="52" t="s">
        <v>26</v>
      </c>
      <c r="G2055" s="53"/>
    </row>
    <row r="2056">
      <c r="A2056" s="49">
        <v>44534.09760466435</v>
      </c>
      <c r="B2056" s="50">
        <v>44534.2225767476</v>
      </c>
      <c r="C2056" s="51">
        <v>1.024</v>
      </c>
      <c r="D2056" s="51">
        <v>64.0</v>
      </c>
      <c r="E2056" s="52" t="s">
        <v>25</v>
      </c>
      <c r="F2056" s="52" t="s">
        <v>26</v>
      </c>
      <c r="G2056" s="53"/>
    </row>
    <row r="2057">
      <c r="A2057" s="49">
        <v>44534.10802380787</v>
      </c>
      <c r="B2057" s="50">
        <v>44534.2329970601</v>
      </c>
      <c r="C2057" s="51">
        <v>1.024</v>
      </c>
      <c r="D2057" s="51">
        <v>64.0</v>
      </c>
      <c r="E2057" s="52" t="s">
        <v>25</v>
      </c>
      <c r="F2057" s="52" t="s">
        <v>26</v>
      </c>
      <c r="G2057" s="53"/>
    </row>
    <row r="2058">
      <c r="A2058" s="49">
        <v>44534.11843390046</v>
      </c>
      <c r="B2058" s="50">
        <v>44534.2434186111</v>
      </c>
      <c r="C2058" s="51">
        <v>1.024</v>
      </c>
      <c r="D2058" s="51">
        <v>64.0</v>
      </c>
      <c r="E2058" s="52" t="s">
        <v>25</v>
      </c>
      <c r="F2058" s="52" t="s">
        <v>26</v>
      </c>
      <c r="G2058" s="53"/>
    </row>
    <row r="2059">
      <c r="A2059" s="49">
        <v>44534.12887159722</v>
      </c>
      <c r="B2059" s="50">
        <v>44534.253852662</v>
      </c>
      <c r="C2059" s="51">
        <v>1.024</v>
      </c>
      <c r="D2059" s="51">
        <v>64.0</v>
      </c>
      <c r="E2059" s="52" t="s">
        <v>25</v>
      </c>
      <c r="F2059" s="52" t="s">
        <v>26</v>
      </c>
      <c r="G2059" s="53"/>
    </row>
    <row r="2060">
      <c r="A2060" s="49">
        <v>44534.13929542824</v>
      </c>
      <c r="B2060" s="50">
        <v>44534.2642725462</v>
      </c>
      <c r="C2060" s="51">
        <v>1.024</v>
      </c>
      <c r="D2060" s="51">
        <v>64.0</v>
      </c>
      <c r="E2060" s="52" t="s">
        <v>25</v>
      </c>
      <c r="F2060" s="52" t="s">
        <v>26</v>
      </c>
      <c r="G2060" s="53"/>
    </row>
    <row r="2061">
      <c r="A2061" s="49">
        <v>44534.14971748843</v>
      </c>
      <c r="B2061" s="50">
        <v>44534.2746932754</v>
      </c>
      <c r="C2061" s="51">
        <v>1.024</v>
      </c>
      <c r="D2061" s="51">
        <v>64.0</v>
      </c>
      <c r="E2061" s="52" t="s">
        <v>25</v>
      </c>
      <c r="F2061" s="52" t="s">
        <v>26</v>
      </c>
      <c r="G2061" s="53"/>
    </row>
    <row r="2062">
      <c r="A2062" s="49">
        <v>44534.160137847226</v>
      </c>
      <c r="B2062" s="50">
        <v>44534.2851157291</v>
      </c>
      <c r="C2062" s="51">
        <v>1.024</v>
      </c>
      <c r="D2062" s="51">
        <v>64.0</v>
      </c>
      <c r="E2062" s="52" t="s">
        <v>25</v>
      </c>
      <c r="F2062" s="52" t="s">
        <v>26</v>
      </c>
      <c r="G2062" s="53"/>
    </row>
    <row r="2063">
      <c r="A2063" s="49">
        <v>44534.17055689815</v>
      </c>
      <c r="B2063" s="50">
        <v>44534.2955383912</v>
      </c>
      <c r="C2063" s="51">
        <v>1.024</v>
      </c>
      <c r="D2063" s="51">
        <v>64.0</v>
      </c>
      <c r="E2063" s="52" t="s">
        <v>25</v>
      </c>
      <c r="F2063" s="52" t="s">
        <v>26</v>
      </c>
      <c r="G2063" s="53"/>
    </row>
    <row r="2064">
      <c r="A2064" s="49">
        <v>44534.18098493056</v>
      </c>
      <c r="B2064" s="50">
        <v>44534.3059593286</v>
      </c>
      <c r="C2064" s="51">
        <v>1.024</v>
      </c>
      <c r="D2064" s="51">
        <v>64.0</v>
      </c>
      <c r="E2064" s="52" t="s">
        <v>25</v>
      </c>
      <c r="F2064" s="52" t="s">
        <v>26</v>
      </c>
      <c r="G2064" s="53"/>
    </row>
    <row r="2065">
      <c r="A2065" s="49">
        <v>44534.19140258102</v>
      </c>
      <c r="B2065" s="50">
        <v>44534.3163802662</v>
      </c>
      <c r="C2065" s="51">
        <v>1.024</v>
      </c>
      <c r="D2065" s="51">
        <v>64.0</v>
      </c>
      <c r="E2065" s="52" t="s">
        <v>25</v>
      </c>
      <c r="F2065" s="52" t="s">
        <v>26</v>
      </c>
      <c r="G2065" s="53"/>
    </row>
    <row r="2066">
      <c r="A2066" s="49">
        <v>44534.20183152778</v>
      </c>
      <c r="B2066" s="50">
        <v>44534.3268113194</v>
      </c>
      <c r="C2066" s="51">
        <v>1.024</v>
      </c>
      <c r="D2066" s="51">
        <v>64.0</v>
      </c>
      <c r="E2066" s="52" t="s">
        <v>25</v>
      </c>
      <c r="F2066" s="52" t="s">
        <v>26</v>
      </c>
      <c r="G2066" s="53"/>
    </row>
    <row r="2067">
      <c r="A2067" s="49">
        <v>44534.21225643519</v>
      </c>
      <c r="B2067" s="50">
        <v>44534.3372314583</v>
      </c>
      <c r="C2067" s="51">
        <v>1.024</v>
      </c>
      <c r="D2067" s="51">
        <v>64.0</v>
      </c>
      <c r="E2067" s="52" t="s">
        <v>25</v>
      </c>
      <c r="F2067" s="52" t="s">
        <v>26</v>
      </c>
      <c r="G2067" s="53"/>
    </row>
    <row r="2068">
      <c r="A2068" s="49">
        <v>44534.222692650466</v>
      </c>
      <c r="B2068" s="50">
        <v>44534.3476652546</v>
      </c>
      <c r="C2068" s="51">
        <v>1.024</v>
      </c>
      <c r="D2068" s="51">
        <v>64.0</v>
      </c>
      <c r="E2068" s="52" t="s">
        <v>25</v>
      </c>
      <c r="F2068" s="52" t="s">
        <v>26</v>
      </c>
      <c r="G2068" s="53"/>
    </row>
    <row r="2069">
      <c r="A2069" s="49">
        <v>44534.23310982639</v>
      </c>
      <c r="B2069" s="50">
        <v>44534.358086956</v>
      </c>
      <c r="C2069" s="51">
        <v>1.024</v>
      </c>
      <c r="D2069" s="51">
        <v>64.0</v>
      </c>
      <c r="E2069" s="52" t="s">
        <v>25</v>
      </c>
      <c r="F2069" s="52" t="s">
        <v>26</v>
      </c>
      <c r="G2069" s="53"/>
    </row>
    <row r="2070">
      <c r="A2070" s="49">
        <v>44534.24352822917</v>
      </c>
      <c r="B2070" s="50">
        <v>44534.3685076273</v>
      </c>
      <c r="C2070" s="51">
        <v>1.024</v>
      </c>
      <c r="D2070" s="51">
        <v>64.0</v>
      </c>
      <c r="E2070" s="52" t="s">
        <v>25</v>
      </c>
      <c r="F2070" s="52" t="s">
        <v>26</v>
      </c>
      <c r="G2070" s="53"/>
    </row>
    <row r="2071">
      <c r="A2071" s="49">
        <v>44534.25396787037</v>
      </c>
      <c r="B2071" s="50">
        <v>44534.3789413773</v>
      </c>
      <c r="C2071" s="51">
        <v>1.024</v>
      </c>
      <c r="D2071" s="51">
        <v>64.0</v>
      </c>
      <c r="E2071" s="52" t="s">
        <v>25</v>
      </c>
      <c r="F2071" s="52" t="s">
        <v>26</v>
      </c>
      <c r="G2071" s="53"/>
    </row>
    <row r="2072">
      <c r="A2072" s="49">
        <v>44534.264386759256</v>
      </c>
      <c r="B2072" s="50">
        <v>44534.3893610416</v>
      </c>
      <c r="C2072" s="51">
        <v>1.024</v>
      </c>
      <c r="D2072" s="51">
        <v>64.0</v>
      </c>
      <c r="E2072" s="52" t="s">
        <v>25</v>
      </c>
      <c r="F2072" s="52" t="s">
        <v>26</v>
      </c>
      <c r="G2072" s="53"/>
    </row>
    <row r="2073">
      <c r="A2073" s="49">
        <v>44534.274804155095</v>
      </c>
      <c r="B2073" s="50">
        <v>44534.3997836574</v>
      </c>
      <c r="C2073" s="51">
        <v>1.024</v>
      </c>
      <c r="D2073" s="51">
        <v>64.0</v>
      </c>
      <c r="E2073" s="52" t="s">
        <v>25</v>
      </c>
      <c r="F2073" s="52" t="s">
        <v>26</v>
      </c>
      <c r="G2073" s="53"/>
    </row>
    <row r="2074">
      <c r="A2074" s="49">
        <v>44534.285221238424</v>
      </c>
      <c r="B2074" s="50">
        <v>44534.4102060879</v>
      </c>
      <c r="C2074" s="51">
        <v>1.024</v>
      </c>
      <c r="D2074" s="51">
        <v>64.0</v>
      </c>
      <c r="E2074" s="52" t="s">
        <v>25</v>
      </c>
      <c r="F2074" s="52" t="s">
        <v>26</v>
      </c>
      <c r="G2074" s="53"/>
    </row>
    <row r="2075">
      <c r="A2075" s="49">
        <v>44534.29566055555</v>
      </c>
      <c r="B2075" s="50">
        <v>44534.4206277546</v>
      </c>
      <c r="C2075" s="51">
        <v>1.024</v>
      </c>
      <c r="D2075" s="51">
        <v>64.0</v>
      </c>
      <c r="E2075" s="52" t="s">
        <v>25</v>
      </c>
      <c r="F2075" s="52" t="s">
        <v>26</v>
      </c>
      <c r="G2075" s="53"/>
    </row>
    <row r="2076">
      <c r="A2076" s="49">
        <v>44534.306073784726</v>
      </c>
      <c r="B2076" s="50">
        <v>44534.4310473263</v>
      </c>
      <c r="C2076" s="51">
        <v>1.024</v>
      </c>
      <c r="D2076" s="51">
        <v>64.0</v>
      </c>
      <c r="E2076" s="52" t="s">
        <v>25</v>
      </c>
      <c r="F2076" s="52" t="s">
        <v>26</v>
      </c>
      <c r="G2076" s="53"/>
    </row>
    <row r="2077">
      <c r="A2077" s="49">
        <v>44534.3164912037</v>
      </c>
      <c r="B2077" s="50">
        <v>44534.441469456</v>
      </c>
      <c r="C2077" s="51">
        <v>1.024</v>
      </c>
      <c r="D2077" s="51">
        <v>64.0</v>
      </c>
      <c r="E2077" s="52" t="s">
        <v>25</v>
      </c>
      <c r="F2077" s="52" t="s">
        <v>26</v>
      </c>
      <c r="G2077" s="53"/>
    </row>
    <row r="2078">
      <c r="A2078" s="49">
        <v>44534.326911400465</v>
      </c>
      <c r="B2078" s="50">
        <v>44534.4518901736</v>
      </c>
      <c r="C2078" s="51">
        <v>1.024</v>
      </c>
      <c r="D2078" s="51">
        <v>64.0</v>
      </c>
      <c r="E2078" s="52" t="s">
        <v>25</v>
      </c>
      <c r="F2078" s="52" t="s">
        <v>26</v>
      </c>
      <c r="G2078" s="53"/>
    </row>
    <row r="2079">
      <c r="A2079" s="49">
        <v>44534.33733578704</v>
      </c>
      <c r="B2079" s="50">
        <v>44534.4623101504</v>
      </c>
      <c r="C2079" s="51">
        <v>1.024</v>
      </c>
      <c r="D2079" s="51">
        <v>64.0</v>
      </c>
      <c r="E2079" s="52" t="s">
        <v>25</v>
      </c>
      <c r="F2079" s="52" t="s">
        <v>26</v>
      </c>
      <c r="G2079" s="53"/>
    </row>
    <row r="2080">
      <c r="A2080" s="49">
        <v>44534.347761990735</v>
      </c>
      <c r="B2080" s="50">
        <v>44534.4727314236</v>
      </c>
      <c r="C2080" s="51">
        <v>1.024</v>
      </c>
      <c r="D2080" s="51">
        <v>64.0</v>
      </c>
      <c r="E2080" s="52" t="s">
        <v>25</v>
      </c>
      <c r="F2080" s="52" t="s">
        <v>26</v>
      </c>
      <c r="G2080" s="53"/>
    </row>
    <row r="2081">
      <c r="A2081" s="49">
        <v>44534.35817527778</v>
      </c>
      <c r="B2081" s="50">
        <v>44534.4831537731</v>
      </c>
      <c r="C2081" s="51">
        <v>1.024</v>
      </c>
      <c r="D2081" s="51">
        <v>64.0</v>
      </c>
      <c r="E2081" s="52" t="s">
        <v>25</v>
      </c>
      <c r="F2081" s="52" t="s">
        <v>26</v>
      </c>
      <c r="G2081" s="53"/>
    </row>
    <row r="2082">
      <c r="A2082" s="49">
        <v>44534.36860623842</v>
      </c>
      <c r="B2082" s="50">
        <v>44534.493585324</v>
      </c>
      <c r="C2082" s="51">
        <v>1.024</v>
      </c>
      <c r="D2082" s="51">
        <v>64.0</v>
      </c>
      <c r="E2082" s="52" t="s">
        <v>25</v>
      </c>
      <c r="F2082" s="52" t="s">
        <v>26</v>
      </c>
      <c r="G2082" s="53"/>
    </row>
    <row r="2083">
      <c r="A2083" s="49">
        <v>44534.37902898148</v>
      </c>
      <c r="B2083" s="50">
        <v>44534.5040060995</v>
      </c>
      <c r="C2083" s="51">
        <v>1.024</v>
      </c>
      <c r="D2083" s="51">
        <v>64.0</v>
      </c>
      <c r="E2083" s="52" t="s">
        <v>25</v>
      </c>
      <c r="F2083" s="52" t="s">
        <v>26</v>
      </c>
      <c r="G2083" s="53"/>
    </row>
    <row r="2084">
      <c r="A2084" s="49">
        <v>44534.389455439814</v>
      </c>
      <c r="B2084" s="50">
        <v>44534.5144264351</v>
      </c>
      <c r="C2084" s="51">
        <v>1.024</v>
      </c>
      <c r="D2084" s="51">
        <v>64.0</v>
      </c>
      <c r="E2084" s="52" t="s">
        <v>25</v>
      </c>
      <c r="F2084" s="52" t="s">
        <v>26</v>
      </c>
      <c r="G2084" s="53"/>
    </row>
    <row r="2085">
      <c r="A2085" s="49">
        <v>44534.39986818287</v>
      </c>
      <c r="B2085" s="50">
        <v>44534.5248469097</v>
      </c>
      <c r="C2085" s="51">
        <v>1.024</v>
      </c>
      <c r="D2085" s="51">
        <v>64.0</v>
      </c>
      <c r="E2085" s="52" t="s">
        <v>25</v>
      </c>
      <c r="F2085" s="52" t="s">
        <v>26</v>
      </c>
      <c r="G2085" s="53"/>
    </row>
    <row r="2086">
      <c r="A2086" s="49">
        <v>44534.410291168984</v>
      </c>
      <c r="B2086" s="50">
        <v>44534.5352684375</v>
      </c>
      <c r="C2086" s="51">
        <v>1.024</v>
      </c>
      <c r="D2086" s="51">
        <v>64.0</v>
      </c>
      <c r="E2086" s="52" t="s">
        <v>25</v>
      </c>
      <c r="F2086" s="52" t="s">
        <v>26</v>
      </c>
      <c r="G2086" s="53"/>
    </row>
    <row r="2087">
      <c r="A2087" s="49">
        <v>44534.42071982639</v>
      </c>
      <c r="B2087" s="50">
        <v>44534.5456907986</v>
      </c>
      <c r="C2087" s="51">
        <v>1.024</v>
      </c>
      <c r="D2087" s="51">
        <v>64.0</v>
      </c>
      <c r="E2087" s="52" t="s">
        <v>25</v>
      </c>
      <c r="F2087" s="52" t="s">
        <v>26</v>
      </c>
      <c r="G2087" s="53"/>
    </row>
    <row r="2088">
      <c r="A2088" s="49">
        <v>44534.43113144676</v>
      </c>
      <c r="B2088" s="50">
        <v>44534.5561120138</v>
      </c>
      <c r="C2088" s="51">
        <v>1.024</v>
      </c>
      <c r="D2088" s="51">
        <v>64.0</v>
      </c>
      <c r="E2088" s="52" t="s">
        <v>25</v>
      </c>
      <c r="F2088" s="52" t="s">
        <v>26</v>
      </c>
      <c r="G2088" s="53"/>
    </row>
    <row r="2089">
      <c r="A2089" s="49">
        <v>44534.44155870371</v>
      </c>
      <c r="B2089" s="50">
        <v>44534.566531956</v>
      </c>
      <c r="C2089" s="51">
        <v>1.024</v>
      </c>
      <c r="D2089" s="51">
        <v>64.0</v>
      </c>
      <c r="E2089" s="52" t="s">
        <v>25</v>
      </c>
      <c r="F2089" s="52" t="s">
        <v>26</v>
      </c>
      <c r="G2089" s="53"/>
    </row>
    <row r="2090">
      <c r="A2090" s="49">
        <v>44534.45198399306</v>
      </c>
      <c r="B2090" s="50">
        <v>44534.5769519097</v>
      </c>
      <c r="C2090" s="51">
        <v>1.024</v>
      </c>
      <c r="D2090" s="51">
        <v>64.0</v>
      </c>
      <c r="E2090" s="52" t="s">
        <v>25</v>
      </c>
      <c r="F2090" s="52" t="s">
        <v>26</v>
      </c>
      <c r="G2090" s="53"/>
    </row>
    <row r="2091">
      <c r="A2091" s="49">
        <v>44534.46239946759</v>
      </c>
      <c r="B2091" s="50">
        <v>44534.5873718518</v>
      </c>
      <c r="C2091" s="51">
        <v>1.024</v>
      </c>
      <c r="D2091" s="51">
        <v>64.0</v>
      </c>
      <c r="E2091" s="52" t="s">
        <v>25</v>
      </c>
      <c r="F2091" s="52" t="s">
        <v>26</v>
      </c>
      <c r="G2091" s="53"/>
    </row>
    <row r="2092">
      <c r="A2092" s="49">
        <v>44534.472808645834</v>
      </c>
      <c r="B2092" s="50">
        <v>44534.5977918749</v>
      </c>
      <c r="C2092" s="51">
        <v>1.024</v>
      </c>
      <c r="D2092" s="51">
        <v>64.0</v>
      </c>
      <c r="E2092" s="52" t="s">
        <v>25</v>
      </c>
      <c r="F2092" s="52" t="s">
        <v>26</v>
      </c>
      <c r="G2092" s="53"/>
    </row>
    <row r="2093">
      <c r="A2093" s="49">
        <v>44534.48323540509</v>
      </c>
      <c r="B2093" s="50">
        <v>44534.608212824</v>
      </c>
      <c r="C2093" s="51">
        <v>1.024</v>
      </c>
      <c r="D2093" s="51">
        <v>64.0</v>
      </c>
      <c r="E2093" s="52" t="s">
        <v>25</v>
      </c>
      <c r="F2093" s="52" t="s">
        <v>26</v>
      </c>
      <c r="G2093" s="53"/>
    </row>
    <row r="2094">
      <c r="A2094" s="49">
        <v>44534.49365145834</v>
      </c>
      <c r="B2094" s="50">
        <v>44534.6186343171</v>
      </c>
      <c r="C2094" s="51">
        <v>1.024</v>
      </c>
      <c r="D2094" s="51">
        <v>64.0</v>
      </c>
      <c r="E2094" s="52" t="s">
        <v>25</v>
      </c>
      <c r="F2094" s="52" t="s">
        <v>26</v>
      </c>
      <c r="G2094" s="53"/>
    </row>
    <row r="2095">
      <c r="A2095" s="49">
        <v>44534.50409195602</v>
      </c>
      <c r="B2095" s="50">
        <v>44534.6290668518</v>
      </c>
      <c r="C2095" s="51">
        <v>1.024</v>
      </c>
      <c r="D2095" s="51">
        <v>64.0</v>
      </c>
      <c r="E2095" s="52" t="s">
        <v>25</v>
      </c>
      <c r="F2095" s="52" t="s">
        <v>26</v>
      </c>
      <c r="G2095" s="53"/>
    </row>
    <row r="2096">
      <c r="A2096" s="49">
        <v>44534.51451353009</v>
      </c>
      <c r="B2096" s="50">
        <v>44534.6394874768</v>
      </c>
      <c r="C2096" s="51">
        <v>1.024</v>
      </c>
      <c r="D2096" s="51">
        <v>64.0</v>
      </c>
      <c r="E2096" s="52" t="s">
        <v>25</v>
      </c>
      <c r="F2096" s="52" t="s">
        <v>26</v>
      </c>
      <c r="G2096" s="53"/>
    </row>
    <row r="2097">
      <c r="A2097" s="49">
        <v>44534.52493402778</v>
      </c>
      <c r="B2097" s="50">
        <v>44534.6499086805</v>
      </c>
      <c r="C2097" s="51">
        <v>1.024</v>
      </c>
      <c r="D2097" s="51">
        <v>64.0</v>
      </c>
      <c r="E2097" s="52" t="s">
        <v>25</v>
      </c>
      <c r="F2097" s="52" t="s">
        <v>26</v>
      </c>
      <c r="G2097" s="53"/>
    </row>
    <row r="2098">
      <c r="A2098" s="49">
        <v>44534.535357789355</v>
      </c>
      <c r="B2098" s="50">
        <v>44534.6603291782</v>
      </c>
      <c r="C2098" s="51">
        <v>1.024</v>
      </c>
      <c r="D2098" s="51">
        <v>64.0</v>
      </c>
      <c r="E2098" s="52" t="s">
        <v>25</v>
      </c>
      <c r="F2098" s="52" t="s">
        <v>26</v>
      </c>
      <c r="G2098" s="53"/>
    </row>
    <row r="2099">
      <c r="A2099" s="49">
        <v>44534.545769317134</v>
      </c>
      <c r="B2099" s="50">
        <v>44534.6707480787</v>
      </c>
      <c r="C2099" s="51">
        <v>1.024</v>
      </c>
      <c r="D2099" s="51">
        <v>64.0</v>
      </c>
      <c r="E2099" s="52" t="s">
        <v>25</v>
      </c>
      <c r="F2099" s="52" t="s">
        <v>26</v>
      </c>
      <c r="G2099" s="53"/>
    </row>
    <row r="2100">
      <c r="A2100" s="49">
        <v>44534.55619643518</v>
      </c>
      <c r="B2100" s="50">
        <v>44534.6811704282</v>
      </c>
      <c r="C2100" s="51">
        <v>1.024</v>
      </c>
      <c r="D2100" s="51">
        <v>64.0</v>
      </c>
      <c r="E2100" s="52" t="s">
        <v>25</v>
      </c>
      <c r="F2100" s="52" t="s">
        <v>26</v>
      </c>
      <c r="G2100" s="53"/>
    </row>
    <row r="2101">
      <c r="A2101" s="49">
        <v>44534.566617372686</v>
      </c>
      <c r="B2101" s="50">
        <v>44534.6915908217</v>
      </c>
      <c r="C2101" s="51">
        <v>1.024</v>
      </c>
      <c r="D2101" s="51">
        <v>64.0</v>
      </c>
      <c r="E2101" s="52" t="s">
        <v>25</v>
      </c>
      <c r="F2101" s="52" t="s">
        <v>26</v>
      </c>
      <c r="G2101" s="53"/>
    </row>
    <row r="2102">
      <c r="A2102" s="49">
        <v>44534.577034155096</v>
      </c>
      <c r="B2102" s="50">
        <v>44534.7020117129</v>
      </c>
      <c r="C2102" s="51">
        <v>1.024</v>
      </c>
      <c r="D2102" s="51">
        <v>64.0</v>
      </c>
      <c r="E2102" s="52" t="s">
        <v>25</v>
      </c>
      <c r="F2102" s="52" t="s">
        <v>26</v>
      </c>
      <c r="G2102" s="53"/>
    </row>
    <row r="2103">
      <c r="A2103" s="49">
        <v>44534.58745251157</v>
      </c>
      <c r="B2103" s="50">
        <v>44534.7124318518</v>
      </c>
      <c r="C2103" s="51">
        <v>1.024</v>
      </c>
      <c r="D2103" s="51">
        <v>64.0</v>
      </c>
      <c r="E2103" s="52" t="s">
        <v>25</v>
      </c>
      <c r="F2103" s="52" t="s">
        <v>26</v>
      </c>
      <c r="G2103" s="53"/>
    </row>
    <row r="2104">
      <c r="A2104" s="49">
        <v>44534.59787168981</v>
      </c>
      <c r="B2104" s="50">
        <v>44534.7228542013</v>
      </c>
      <c r="C2104" s="51">
        <v>1.024</v>
      </c>
      <c r="D2104" s="51">
        <v>64.0</v>
      </c>
      <c r="E2104" s="52" t="s">
        <v>25</v>
      </c>
      <c r="F2104" s="52" t="s">
        <v>26</v>
      </c>
      <c r="G2104" s="53"/>
    </row>
    <row r="2105">
      <c r="A2105" s="49">
        <v>44534.608295555554</v>
      </c>
      <c r="B2105" s="50">
        <v>44534.7332737847</v>
      </c>
      <c r="C2105" s="51">
        <v>1.024</v>
      </c>
      <c r="D2105" s="51">
        <v>64.0</v>
      </c>
      <c r="E2105" s="52" t="s">
        <v>25</v>
      </c>
      <c r="F2105" s="52" t="s">
        <v>26</v>
      </c>
      <c r="G2105" s="53"/>
    </row>
    <row r="2106">
      <c r="A2106" s="49">
        <v>44534.61871760417</v>
      </c>
      <c r="B2106" s="50">
        <v>44534.7436935416</v>
      </c>
      <c r="C2106" s="51">
        <v>1.024</v>
      </c>
      <c r="D2106" s="51">
        <v>64.0</v>
      </c>
      <c r="E2106" s="52" t="s">
        <v>25</v>
      </c>
      <c r="F2106" s="52" t="s">
        <v>26</v>
      </c>
      <c r="G2106" s="53"/>
    </row>
    <row r="2107">
      <c r="A2107" s="49">
        <v>44534.629142199075</v>
      </c>
      <c r="B2107" s="50">
        <v>44534.7541257523</v>
      </c>
      <c r="C2107" s="51">
        <v>1.024</v>
      </c>
      <c r="D2107" s="51">
        <v>64.0</v>
      </c>
      <c r="E2107" s="52" t="s">
        <v>25</v>
      </c>
      <c r="F2107" s="52" t="s">
        <v>26</v>
      </c>
      <c r="G2107" s="53"/>
    </row>
    <row r="2108">
      <c r="A2108" s="49">
        <v>44534.63957646991</v>
      </c>
      <c r="B2108" s="50">
        <v>44534.7645485416</v>
      </c>
      <c r="C2108" s="51">
        <v>1.024</v>
      </c>
      <c r="D2108" s="51">
        <v>64.0</v>
      </c>
      <c r="E2108" s="52" t="s">
        <v>25</v>
      </c>
      <c r="F2108" s="52" t="s">
        <v>26</v>
      </c>
      <c r="G2108" s="53"/>
    </row>
    <row r="2109">
      <c r="A2109" s="49">
        <v>44534.649999201385</v>
      </c>
      <c r="B2109" s="50">
        <v>44534.7749696759</v>
      </c>
      <c r="C2109" s="51">
        <v>1.024</v>
      </c>
      <c r="D2109" s="51">
        <v>64.0</v>
      </c>
      <c r="E2109" s="52" t="s">
        <v>25</v>
      </c>
      <c r="F2109" s="52" t="s">
        <v>26</v>
      </c>
      <c r="G2109" s="53"/>
    </row>
    <row r="2110">
      <c r="A2110" s="49">
        <v>44534.66041802084</v>
      </c>
      <c r="B2110" s="50">
        <v>44534.785393449</v>
      </c>
      <c r="C2110" s="51">
        <v>1.024</v>
      </c>
      <c r="D2110" s="51">
        <v>64.0</v>
      </c>
      <c r="E2110" s="52" t="s">
        <v>25</v>
      </c>
      <c r="F2110" s="52" t="s">
        <v>26</v>
      </c>
      <c r="G2110" s="53"/>
    </row>
    <row r="2111">
      <c r="A2111" s="49">
        <v>44534.67084162037</v>
      </c>
      <c r="B2111" s="50">
        <v>44534.795815405</v>
      </c>
      <c r="C2111" s="51">
        <v>1.024</v>
      </c>
      <c r="D2111" s="51">
        <v>64.0</v>
      </c>
      <c r="E2111" s="52" t="s">
        <v>25</v>
      </c>
      <c r="F2111" s="52" t="s">
        <v>26</v>
      </c>
      <c r="G2111" s="53"/>
    </row>
    <row r="2112">
      <c r="A2112" s="49">
        <v>44534.68126561343</v>
      </c>
      <c r="B2112" s="50">
        <v>44534.8062478356</v>
      </c>
      <c r="C2112" s="51">
        <v>1.024</v>
      </c>
      <c r="D2112" s="51">
        <v>64.0</v>
      </c>
      <c r="E2112" s="52" t="s">
        <v>25</v>
      </c>
      <c r="F2112" s="52" t="s">
        <v>26</v>
      </c>
      <c r="G2112" s="53"/>
    </row>
    <row r="2113">
      <c r="A2113" s="49">
        <v>44534.69169576389</v>
      </c>
      <c r="B2113" s="50">
        <v>44534.8166715393</v>
      </c>
      <c r="C2113" s="51">
        <v>1.024</v>
      </c>
      <c r="D2113" s="51">
        <v>64.0</v>
      </c>
      <c r="E2113" s="52" t="s">
        <v>25</v>
      </c>
      <c r="F2113" s="52" t="s">
        <v>26</v>
      </c>
      <c r="G2113" s="53"/>
    </row>
    <row r="2114">
      <c r="A2114" s="49">
        <v>44534.70211467592</v>
      </c>
      <c r="B2114" s="50">
        <v>44534.8270922453</v>
      </c>
      <c r="C2114" s="51">
        <v>1.024</v>
      </c>
      <c r="D2114" s="51">
        <v>64.0</v>
      </c>
      <c r="E2114" s="52" t="s">
        <v>25</v>
      </c>
      <c r="F2114" s="52" t="s">
        <v>26</v>
      </c>
      <c r="G2114" s="53"/>
    </row>
    <row r="2115">
      <c r="A2115" s="49">
        <v>44534.71253251158</v>
      </c>
      <c r="B2115" s="50">
        <v>44534.83751375</v>
      </c>
      <c r="C2115" s="51">
        <v>1.024</v>
      </c>
      <c r="D2115" s="51">
        <v>64.0</v>
      </c>
      <c r="E2115" s="52" t="s">
        <v>25</v>
      </c>
      <c r="F2115" s="52" t="s">
        <v>26</v>
      </c>
      <c r="G2115" s="53"/>
    </row>
    <row r="2116">
      <c r="A2116" s="49">
        <v>44534.72295829861</v>
      </c>
      <c r="B2116" s="50">
        <v>44534.8479347801</v>
      </c>
      <c r="C2116" s="51">
        <v>1.024</v>
      </c>
      <c r="D2116" s="51">
        <v>64.0</v>
      </c>
      <c r="E2116" s="52" t="s">
        <v>25</v>
      </c>
      <c r="F2116" s="52" t="s">
        <v>26</v>
      </c>
      <c r="G2116" s="53"/>
    </row>
    <row r="2117">
      <c r="A2117" s="49">
        <v>44534.733390532405</v>
      </c>
      <c r="B2117" s="50">
        <v>44534.8583691203</v>
      </c>
      <c r="C2117" s="51">
        <v>1.024</v>
      </c>
      <c r="D2117" s="51">
        <v>64.0</v>
      </c>
      <c r="E2117" s="52" t="s">
        <v>25</v>
      </c>
      <c r="F2117" s="52" t="s">
        <v>26</v>
      </c>
      <c r="G2117" s="53"/>
    </row>
    <row r="2118">
      <c r="A2118" s="49">
        <v>44534.74382230324</v>
      </c>
      <c r="B2118" s="50">
        <v>44534.8688024999</v>
      </c>
      <c r="C2118" s="51">
        <v>1.024</v>
      </c>
      <c r="D2118" s="51">
        <v>64.0</v>
      </c>
      <c r="E2118" s="52" t="s">
        <v>25</v>
      </c>
      <c r="F2118" s="52" t="s">
        <v>26</v>
      </c>
      <c r="G2118" s="53"/>
    </row>
    <row r="2119">
      <c r="A2119" s="49">
        <v>44534.75424692129</v>
      </c>
      <c r="B2119" s="50">
        <v>44534.8792241666</v>
      </c>
      <c r="C2119" s="51">
        <v>1.024</v>
      </c>
      <c r="D2119" s="51">
        <v>64.0</v>
      </c>
      <c r="E2119" s="52" t="s">
        <v>25</v>
      </c>
      <c r="F2119" s="52" t="s">
        <v>26</v>
      </c>
      <c r="G2119" s="53"/>
    </row>
    <row r="2120">
      <c r="A2120" s="49">
        <v>44534.76467210648</v>
      </c>
      <c r="B2120" s="50">
        <v>44534.8896460185</v>
      </c>
      <c r="C2120" s="51">
        <v>1.024</v>
      </c>
      <c r="D2120" s="51">
        <v>64.0</v>
      </c>
      <c r="E2120" s="52" t="s">
        <v>25</v>
      </c>
      <c r="F2120" s="52" t="s">
        <v>26</v>
      </c>
      <c r="G2120" s="53"/>
    </row>
    <row r="2121">
      <c r="A2121" s="49">
        <v>44534.77510324074</v>
      </c>
      <c r="B2121" s="50">
        <v>44534.9000792245</v>
      </c>
      <c r="C2121" s="51">
        <v>1.024</v>
      </c>
      <c r="D2121" s="51">
        <v>64.0</v>
      </c>
      <c r="E2121" s="52" t="s">
        <v>25</v>
      </c>
      <c r="F2121" s="52" t="s">
        <v>26</v>
      </c>
      <c r="G2121" s="53"/>
    </row>
    <row r="2122">
      <c r="A2122" s="49">
        <v>44534.78551972222</v>
      </c>
      <c r="B2122" s="50">
        <v>44534.9104974768</v>
      </c>
      <c r="C2122" s="51">
        <v>1.024</v>
      </c>
      <c r="D2122" s="51">
        <v>64.0</v>
      </c>
      <c r="E2122" s="52" t="s">
        <v>25</v>
      </c>
      <c r="F2122" s="52" t="s">
        <v>26</v>
      </c>
      <c r="G2122" s="53"/>
    </row>
    <row r="2123">
      <c r="A2123" s="49">
        <v>44534.79595439815</v>
      </c>
      <c r="B2123" s="50">
        <v>44534.920930868</v>
      </c>
      <c r="C2123" s="51">
        <v>1.023</v>
      </c>
      <c r="D2123" s="51">
        <v>64.0</v>
      </c>
      <c r="E2123" s="52" t="s">
        <v>25</v>
      </c>
      <c r="F2123" s="52" t="s">
        <v>26</v>
      </c>
      <c r="G2123" s="53"/>
    </row>
    <row r="2124">
      <c r="A2124" s="49">
        <v>44534.80637857639</v>
      </c>
      <c r="B2124" s="50">
        <v>44534.9313526967</v>
      </c>
      <c r="C2124" s="51">
        <v>1.023</v>
      </c>
      <c r="D2124" s="51">
        <v>64.0</v>
      </c>
      <c r="E2124" s="52" t="s">
        <v>25</v>
      </c>
      <c r="F2124" s="52" t="s">
        <v>26</v>
      </c>
      <c r="G2124" s="53"/>
    </row>
    <row r="2125">
      <c r="A2125" s="49">
        <v>44534.816792592595</v>
      </c>
      <c r="B2125" s="50">
        <v>44534.9417724652</v>
      </c>
      <c r="C2125" s="51">
        <v>1.023</v>
      </c>
      <c r="D2125" s="51">
        <v>64.0</v>
      </c>
      <c r="E2125" s="52" t="s">
        <v>25</v>
      </c>
      <c r="F2125" s="52" t="s">
        <v>26</v>
      </c>
      <c r="G2125" s="53"/>
    </row>
    <row r="2126">
      <c r="A2126" s="49">
        <v>44534.82721229167</v>
      </c>
      <c r="B2126" s="50">
        <v>44534.9521925231</v>
      </c>
      <c r="C2126" s="51">
        <v>1.024</v>
      </c>
      <c r="D2126" s="51">
        <v>64.0</v>
      </c>
      <c r="E2126" s="52" t="s">
        <v>25</v>
      </c>
      <c r="F2126" s="52" t="s">
        <v>26</v>
      </c>
      <c r="G2126" s="53"/>
    </row>
    <row r="2127">
      <c r="A2127" s="49">
        <v>44534.83763041667</v>
      </c>
      <c r="B2127" s="50">
        <v>44534.9626130787</v>
      </c>
      <c r="C2127" s="51">
        <v>1.024</v>
      </c>
      <c r="D2127" s="51">
        <v>64.0</v>
      </c>
      <c r="E2127" s="52" t="s">
        <v>25</v>
      </c>
      <c r="F2127" s="52" t="s">
        <v>26</v>
      </c>
      <c r="G2127" s="53"/>
    </row>
    <row r="2128">
      <c r="A2128" s="49">
        <v>44534.8480645949</v>
      </c>
      <c r="B2128" s="50">
        <v>44534.9730354976</v>
      </c>
      <c r="C2128" s="51">
        <v>1.024</v>
      </c>
      <c r="D2128" s="51">
        <v>64.0</v>
      </c>
      <c r="E2128" s="52" t="s">
        <v>25</v>
      </c>
      <c r="F2128" s="52" t="s">
        <v>26</v>
      </c>
      <c r="G2128" s="53"/>
    </row>
    <row r="2129">
      <c r="A2129" s="49">
        <v>44534.858481724536</v>
      </c>
      <c r="B2129" s="50">
        <v>44534.9834556134</v>
      </c>
      <c r="C2129" s="51">
        <v>1.024</v>
      </c>
      <c r="D2129" s="51">
        <v>64.0</v>
      </c>
      <c r="E2129" s="52" t="s">
        <v>25</v>
      </c>
      <c r="F2129" s="52" t="s">
        <v>26</v>
      </c>
      <c r="G2129" s="53"/>
    </row>
    <row r="2130">
      <c r="A2130" s="49">
        <v>44534.86890120371</v>
      </c>
      <c r="B2130" s="50">
        <v>44534.9938762037</v>
      </c>
      <c r="C2130" s="51">
        <v>1.024</v>
      </c>
      <c r="D2130" s="51">
        <v>64.0</v>
      </c>
      <c r="E2130" s="52" t="s">
        <v>25</v>
      </c>
      <c r="F2130" s="52" t="s">
        <v>26</v>
      </c>
      <c r="G2130" s="53"/>
    </row>
    <row r="2131">
      <c r="A2131" s="49">
        <v>44534.879320057866</v>
      </c>
      <c r="B2131" s="50">
        <v>44535.0042997569</v>
      </c>
      <c r="C2131" s="51">
        <v>1.023</v>
      </c>
      <c r="D2131" s="51">
        <v>64.0</v>
      </c>
      <c r="E2131" s="52" t="s">
        <v>25</v>
      </c>
      <c r="F2131" s="52" t="s">
        <v>26</v>
      </c>
      <c r="G2131" s="53"/>
    </row>
    <row r="2132">
      <c r="A2132" s="49">
        <v>44534.88974697917</v>
      </c>
      <c r="B2132" s="50">
        <v>44535.0147203009</v>
      </c>
      <c r="C2132" s="51">
        <v>1.023</v>
      </c>
      <c r="D2132" s="51">
        <v>64.0</v>
      </c>
      <c r="E2132" s="52" t="s">
        <v>25</v>
      </c>
      <c r="F2132" s="52" t="s">
        <v>26</v>
      </c>
      <c r="G2132" s="53"/>
    </row>
    <row r="2133">
      <c r="A2133" s="49">
        <v>44534.90016622686</v>
      </c>
      <c r="B2133" s="50">
        <v>44535.0251408449</v>
      </c>
      <c r="C2133" s="51">
        <v>1.023</v>
      </c>
      <c r="D2133" s="51">
        <v>64.0</v>
      </c>
      <c r="E2133" s="52" t="s">
        <v>25</v>
      </c>
      <c r="F2133" s="52" t="s">
        <v>26</v>
      </c>
      <c r="G2133" s="53"/>
    </row>
    <row r="2134">
      <c r="A2134" s="49">
        <v>44534.91058070602</v>
      </c>
      <c r="B2134" s="50">
        <v>44535.035561331</v>
      </c>
      <c r="C2134" s="51">
        <v>1.023</v>
      </c>
      <c r="D2134" s="51">
        <v>64.0</v>
      </c>
      <c r="E2134" s="52" t="s">
        <v>25</v>
      </c>
      <c r="F2134" s="52" t="s">
        <v>26</v>
      </c>
      <c r="G2134" s="53"/>
    </row>
    <row r="2135">
      <c r="A2135" s="49">
        <v>44534.92099824074</v>
      </c>
      <c r="B2135" s="50">
        <v>44535.0459815972</v>
      </c>
      <c r="C2135" s="51">
        <v>1.023</v>
      </c>
      <c r="D2135" s="51">
        <v>64.0</v>
      </c>
      <c r="E2135" s="52" t="s">
        <v>25</v>
      </c>
      <c r="F2135" s="52" t="s">
        <v>26</v>
      </c>
      <c r="G2135" s="53"/>
    </row>
    <row r="2136">
      <c r="A2136" s="49">
        <v>44534.931428807875</v>
      </c>
      <c r="B2136" s="50">
        <v>44535.0564025</v>
      </c>
      <c r="C2136" s="51">
        <v>1.023</v>
      </c>
      <c r="D2136" s="51">
        <v>64.0</v>
      </c>
      <c r="E2136" s="52" t="s">
        <v>25</v>
      </c>
      <c r="F2136" s="52" t="s">
        <v>26</v>
      </c>
      <c r="G2136" s="53"/>
    </row>
    <row r="2137">
      <c r="A2137" s="49">
        <v>44534.94187447916</v>
      </c>
      <c r="B2137" s="50">
        <v>44535.06684853</v>
      </c>
      <c r="C2137" s="51">
        <v>1.023</v>
      </c>
      <c r="D2137" s="51">
        <v>64.0</v>
      </c>
      <c r="E2137" s="52" t="s">
        <v>25</v>
      </c>
      <c r="F2137" s="52" t="s">
        <v>26</v>
      </c>
      <c r="G2137" s="53"/>
    </row>
    <row r="2138">
      <c r="A2138" s="49">
        <v>44534.952288217595</v>
      </c>
      <c r="B2138" s="50">
        <v>44535.0772703935</v>
      </c>
      <c r="C2138" s="51">
        <v>1.023</v>
      </c>
      <c r="D2138" s="51">
        <v>64.0</v>
      </c>
      <c r="E2138" s="52" t="s">
        <v>25</v>
      </c>
      <c r="F2138" s="52" t="s">
        <v>26</v>
      </c>
      <c r="G2138" s="53"/>
    </row>
    <row r="2139">
      <c r="A2139" s="49">
        <v>44534.96270923611</v>
      </c>
      <c r="B2139" s="50">
        <v>44535.0876922222</v>
      </c>
      <c r="C2139" s="51">
        <v>1.023</v>
      </c>
      <c r="D2139" s="51">
        <v>64.0</v>
      </c>
      <c r="E2139" s="52" t="s">
        <v>25</v>
      </c>
      <c r="F2139" s="52" t="s">
        <v>26</v>
      </c>
      <c r="G2139" s="53"/>
    </row>
    <row r="2140">
      <c r="A2140" s="49">
        <v>44534.97312768518</v>
      </c>
      <c r="B2140" s="50">
        <v>44535.0981119328</v>
      </c>
      <c r="C2140" s="51">
        <v>1.023</v>
      </c>
      <c r="D2140" s="51">
        <v>64.0</v>
      </c>
      <c r="E2140" s="52" t="s">
        <v>25</v>
      </c>
      <c r="F2140" s="52" t="s">
        <v>26</v>
      </c>
      <c r="G2140" s="53"/>
    </row>
    <row r="2141">
      <c r="A2141" s="49">
        <v>44534.98355626158</v>
      </c>
      <c r="B2141" s="50">
        <v>44535.1085339583</v>
      </c>
      <c r="C2141" s="51">
        <v>1.023</v>
      </c>
      <c r="D2141" s="51">
        <v>64.0</v>
      </c>
      <c r="E2141" s="52" t="s">
        <v>25</v>
      </c>
      <c r="F2141" s="52" t="s">
        <v>26</v>
      </c>
      <c r="G2141" s="53"/>
    </row>
    <row r="2142">
      <c r="A2142" s="49">
        <v>44534.99397704861</v>
      </c>
      <c r="B2142" s="50">
        <v>44535.1189536689</v>
      </c>
      <c r="C2142" s="51">
        <v>1.023</v>
      </c>
      <c r="D2142" s="51">
        <v>64.0</v>
      </c>
      <c r="E2142" s="52" t="s">
        <v>25</v>
      </c>
      <c r="F2142" s="52" t="s">
        <v>26</v>
      </c>
      <c r="G2142" s="53"/>
    </row>
    <row r="2143">
      <c r="A2143" s="49">
        <v>44535.00439133102</v>
      </c>
      <c r="B2143" s="50">
        <v>44535.1293747685</v>
      </c>
      <c r="C2143" s="51">
        <v>1.023</v>
      </c>
      <c r="D2143" s="51">
        <v>64.0</v>
      </c>
      <c r="E2143" s="52" t="s">
        <v>25</v>
      </c>
      <c r="F2143" s="52" t="s">
        <v>26</v>
      </c>
      <c r="G2143" s="53"/>
    </row>
    <row r="2144">
      <c r="A2144" s="49">
        <v>44535.01482277778</v>
      </c>
      <c r="B2144" s="50">
        <v>44535.139795</v>
      </c>
      <c r="C2144" s="51">
        <v>1.023</v>
      </c>
      <c r="D2144" s="51">
        <v>64.0</v>
      </c>
      <c r="E2144" s="52" t="s">
        <v>25</v>
      </c>
      <c r="F2144" s="52" t="s">
        <v>26</v>
      </c>
      <c r="G2144" s="53"/>
    </row>
    <row r="2145">
      <c r="A2145" s="49">
        <v>44535.0252490625</v>
      </c>
      <c r="B2145" s="50">
        <v>44535.1502295601</v>
      </c>
      <c r="C2145" s="51">
        <v>1.023</v>
      </c>
      <c r="D2145" s="51">
        <v>64.0</v>
      </c>
      <c r="E2145" s="52" t="s">
        <v>25</v>
      </c>
      <c r="F2145" s="52" t="s">
        <v>26</v>
      </c>
      <c r="G2145" s="53"/>
    </row>
    <row r="2146">
      <c r="A2146" s="49">
        <v>44535.03567894676</v>
      </c>
      <c r="B2146" s="50">
        <v>44535.1606533912</v>
      </c>
      <c r="C2146" s="51">
        <v>1.023</v>
      </c>
      <c r="D2146" s="51">
        <v>64.0</v>
      </c>
      <c r="E2146" s="52" t="s">
        <v>25</v>
      </c>
      <c r="F2146" s="52" t="s">
        <v>26</v>
      </c>
      <c r="G2146" s="53"/>
    </row>
    <row r="2147">
      <c r="A2147" s="49">
        <v>44535.04609253472</v>
      </c>
      <c r="B2147" s="50">
        <v>44535.1710737037</v>
      </c>
      <c r="C2147" s="51">
        <v>1.023</v>
      </c>
      <c r="D2147" s="51">
        <v>64.0</v>
      </c>
      <c r="E2147" s="52" t="s">
        <v>25</v>
      </c>
      <c r="F2147" s="52" t="s">
        <v>26</v>
      </c>
      <c r="G2147" s="53"/>
    </row>
    <row r="2148">
      <c r="A2148" s="49">
        <v>44535.05653136574</v>
      </c>
      <c r="B2148" s="50">
        <v>44535.1815063194</v>
      </c>
      <c r="C2148" s="51">
        <v>1.023</v>
      </c>
      <c r="D2148" s="51">
        <v>64.0</v>
      </c>
      <c r="E2148" s="52" t="s">
        <v>25</v>
      </c>
      <c r="F2148" s="52" t="s">
        <v>26</v>
      </c>
      <c r="G2148" s="53"/>
    </row>
    <row r="2149">
      <c r="A2149" s="49">
        <v>44535.066952939815</v>
      </c>
      <c r="B2149" s="50">
        <v>44535.1919275462</v>
      </c>
      <c r="C2149" s="51">
        <v>1.023</v>
      </c>
      <c r="D2149" s="51">
        <v>64.0</v>
      </c>
      <c r="E2149" s="52" t="s">
        <v>25</v>
      </c>
      <c r="F2149" s="52" t="s">
        <v>26</v>
      </c>
      <c r="G2149" s="53"/>
    </row>
    <row r="2150">
      <c r="A2150" s="49">
        <v>44535.07738422454</v>
      </c>
      <c r="B2150" s="50">
        <v>44535.2023605555</v>
      </c>
      <c r="C2150" s="51">
        <v>1.023</v>
      </c>
      <c r="D2150" s="51">
        <v>64.0</v>
      </c>
      <c r="E2150" s="52" t="s">
        <v>25</v>
      </c>
      <c r="F2150" s="52" t="s">
        <v>26</v>
      </c>
      <c r="G2150" s="53"/>
    </row>
    <row r="2151">
      <c r="A2151" s="49">
        <v>44535.08781009259</v>
      </c>
      <c r="B2151" s="50">
        <v>44535.2127839583</v>
      </c>
      <c r="C2151" s="51">
        <v>1.023</v>
      </c>
      <c r="D2151" s="51">
        <v>64.0</v>
      </c>
      <c r="E2151" s="52" t="s">
        <v>25</v>
      </c>
      <c r="F2151" s="52" t="s">
        <v>26</v>
      </c>
      <c r="G2151" s="53"/>
    </row>
    <row r="2152">
      <c r="A2152" s="49">
        <v>44535.09823373843</v>
      </c>
      <c r="B2152" s="50">
        <v>44535.2232059027</v>
      </c>
      <c r="C2152" s="51">
        <v>1.023</v>
      </c>
      <c r="D2152" s="51">
        <v>64.0</v>
      </c>
      <c r="E2152" s="52" t="s">
        <v>25</v>
      </c>
      <c r="F2152" s="52" t="s">
        <v>26</v>
      </c>
      <c r="G2152" s="53"/>
    </row>
    <row r="2153">
      <c r="A2153" s="49">
        <v>44535.108650821756</v>
      </c>
      <c r="B2153" s="50">
        <v>44535.2336271759</v>
      </c>
      <c r="C2153" s="51">
        <v>1.023</v>
      </c>
      <c r="D2153" s="51">
        <v>64.0</v>
      </c>
      <c r="E2153" s="52" t="s">
        <v>25</v>
      </c>
      <c r="F2153" s="52" t="s">
        <v>26</v>
      </c>
      <c r="G2153" s="53"/>
    </row>
    <row r="2154">
      <c r="A2154" s="49">
        <v>44535.119069189815</v>
      </c>
      <c r="B2154" s="50">
        <v>44535.2440468055</v>
      </c>
      <c r="C2154" s="51">
        <v>1.023</v>
      </c>
      <c r="D2154" s="51">
        <v>64.0</v>
      </c>
      <c r="E2154" s="52" t="s">
        <v>25</v>
      </c>
      <c r="F2154" s="52" t="s">
        <v>26</v>
      </c>
      <c r="G2154" s="53"/>
    </row>
    <row r="2155">
      <c r="A2155" s="49">
        <v>44535.12949291666</v>
      </c>
      <c r="B2155" s="50">
        <v>44535.2544668981</v>
      </c>
      <c r="C2155" s="51">
        <v>1.023</v>
      </c>
      <c r="D2155" s="51">
        <v>64.0</v>
      </c>
      <c r="E2155" s="52" t="s">
        <v>25</v>
      </c>
      <c r="F2155" s="52" t="s">
        <v>26</v>
      </c>
      <c r="G2155" s="53"/>
    </row>
    <row r="2156">
      <c r="A2156" s="49">
        <v>44535.13991304398</v>
      </c>
      <c r="B2156" s="50">
        <v>44535.264887905</v>
      </c>
      <c r="C2156" s="51">
        <v>1.023</v>
      </c>
      <c r="D2156" s="51">
        <v>64.0</v>
      </c>
      <c r="E2156" s="52" t="s">
        <v>25</v>
      </c>
      <c r="F2156" s="52" t="s">
        <v>26</v>
      </c>
      <c r="G2156" s="53"/>
    </row>
    <row r="2157">
      <c r="A2157" s="49">
        <v>44535.1503359375</v>
      </c>
      <c r="B2157" s="50">
        <v>44535.2753099768</v>
      </c>
      <c r="C2157" s="51">
        <v>1.023</v>
      </c>
      <c r="D2157" s="51">
        <v>64.0</v>
      </c>
      <c r="E2157" s="52" t="s">
        <v>25</v>
      </c>
      <c r="F2157" s="52" t="s">
        <v>26</v>
      </c>
      <c r="G2157" s="53"/>
    </row>
    <row r="2158">
      <c r="A2158" s="49">
        <v>44535.16075509259</v>
      </c>
      <c r="B2158" s="50">
        <v>44535.2857325462</v>
      </c>
      <c r="C2158" s="51">
        <v>1.023</v>
      </c>
      <c r="D2158" s="51">
        <v>64.0</v>
      </c>
      <c r="E2158" s="52" t="s">
        <v>25</v>
      </c>
      <c r="F2158" s="52" t="s">
        <v>26</v>
      </c>
      <c r="G2158" s="53"/>
    </row>
    <row r="2159">
      <c r="A2159" s="49">
        <v>44535.17119893519</v>
      </c>
      <c r="B2159" s="50">
        <v>44535.2961772106</v>
      </c>
      <c r="C2159" s="51">
        <v>1.023</v>
      </c>
      <c r="D2159" s="51">
        <v>64.0</v>
      </c>
      <c r="E2159" s="52" t="s">
        <v>25</v>
      </c>
      <c r="F2159" s="52" t="s">
        <v>26</v>
      </c>
      <c r="G2159" s="53"/>
    </row>
    <row r="2160">
      <c r="A2160" s="49">
        <v>44535.181624687495</v>
      </c>
      <c r="B2160" s="50">
        <v>44535.3065970601</v>
      </c>
      <c r="C2160" s="51">
        <v>1.023</v>
      </c>
      <c r="D2160" s="51">
        <v>64.0</v>
      </c>
      <c r="E2160" s="52" t="s">
        <v>25</v>
      </c>
      <c r="F2160" s="52" t="s">
        <v>26</v>
      </c>
      <c r="G2160" s="53"/>
    </row>
    <row r="2161">
      <c r="A2161" s="49">
        <v>44535.19204915509</v>
      </c>
      <c r="B2161" s="50">
        <v>44535.3170179398</v>
      </c>
      <c r="C2161" s="51">
        <v>1.023</v>
      </c>
      <c r="D2161" s="51">
        <v>64.0</v>
      </c>
      <c r="E2161" s="52" t="s">
        <v>25</v>
      </c>
      <c r="F2161" s="52" t="s">
        <v>26</v>
      </c>
      <c r="G2161" s="53"/>
    </row>
    <row r="2162">
      <c r="A2162" s="49">
        <v>44535.20246320602</v>
      </c>
      <c r="B2162" s="50">
        <v>44535.3274390856</v>
      </c>
      <c r="C2162" s="51">
        <v>1.023</v>
      </c>
      <c r="D2162" s="51">
        <v>64.0</v>
      </c>
      <c r="E2162" s="52" t="s">
        <v>25</v>
      </c>
      <c r="F2162" s="52" t="s">
        <v>26</v>
      </c>
      <c r="G2162" s="53"/>
    </row>
    <row r="2163">
      <c r="A2163" s="49">
        <v>44535.21289563658</v>
      </c>
      <c r="B2163" s="50">
        <v>44535.3378734027</v>
      </c>
      <c r="C2163" s="51">
        <v>1.023</v>
      </c>
      <c r="D2163" s="51">
        <v>64.0</v>
      </c>
      <c r="E2163" s="52" t="s">
        <v>25</v>
      </c>
      <c r="F2163" s="52" t="s">
        <v>26</v>
      </c>
      <c r="G2163" s="53"/>
    </row>
    <row r="2164">
      <c r="A2164" s="49">
        <v>44535.22331297454</v>
      </c>
      <c r="B2164" s="50">
        <v>44535.3482939351</v>
      </c>
      <c r="C2164" s="51">
        <v>1.023</v>
      </c>
      <c r="D2164" s="51">
        <v>64.0</v>
      </c>
      <c r="E2164" s="52" t="s">
        <v>25</v>
      </c>
      <c r="F2164" s="52" t="s">
        <v>26</v>
      </c>
      <c r="G2164" s="53"/>
    </row>
    <row r="2165">
      <c r="A2165" s="49">
        <v>44535.233751064814</v>
      </c>
      <c r="B2165" s="50">
        <v>44535.358725949</v>
      </c>
      <c r="C2165" s="51">
        <v>1.023</v>
      </c>
      <c r="D2165" s="51">
        <v>64.0</v>
      </c>
      <c r="E2165" s="52" t="s">
        <v>25</v>
      </c>
      <c r="F2165" s="52" t="s">
        <v>26</v>
      </c>
      <c r="G2165" s="53"/>
    </row>
    <row r="2166">
      <c r="A2166" s="49">
        <v>44535.24417337963</v>
      </c>
      <c r="B2166" s="50">
        <v>44535.3691463078</v>
      </c>
      <c r="C2166" s="51">
        <v>1.023</v>
      </c>
      <c r="D2166" s="51">
        <v>64.0</v>
      </c>
      <c r="E2166" s="52" t="s">
        <v>25</v>
      </c>
      <c r="F2166" s="52" t="s">
        <v>26</v>
      </c>
      <c r="G2166" s="53"/>
    </row>
    <row r="2167">
      <c r="A2167" s="49">
        <v>44535.25458626157</v>
      </c>
      <c r="B2167" s="50">
        <v>44535.3795668171</v>
      </c>
      <c r="C2167" s="51">
        <v>1.023</v>
      </c>
      <c r="D2167" s="51">
        <v>64.0</v>
      </c>
      <c r="E2167" s="52" t="s">
        <v>25</v>
      </c>
      <c r="F2167" s="52" t="s">
        <v>26</v>
      </c>
      <c r="G2167" s="53"/>
    </row>
    <row r="2168">
      <c r="A2168" s="49">
        <v>44535.26501265046</v>
      </c>
      <c r="B2168" s="50">
        <v>44535.3899891666</v>
      </c>
      <c r="C2168" s="51">
        <v>1.023</v>
      </c>
      <c r="D2168" s="51">
        <v>64.0</v>
      </c>
      <c r="E2168" s="52" t="s">
        <v>25</v>
      </c>
      <c r="F2168" s="52" t="s">
        <v>26</v>
      </c>
      <c r="G2168" s="53"/>
    </row>
    <row r="2169">
      <c r="A2169" s="49">
        <v>44535.275431041664</v>
      </c>
      <c r="B2169" s="50">
        <v>44535.4004073842</v>
      </c>
      <c r="C2169" s="51">
        <v>1.023</v>
      </c>
      <c r="D2169" s="51">
        <v>64.0</v>
      </c>
      <c r="E2169" s="52" t="s">
        <v>25</v>
      </c>
      <c r="F2169" s="52" t="s">
        <v>26</v>
      </c>
      <c r="G2169" s="53"/>
    </row>
    <row r="2170">
      <c r="A2170" s="49">
        <v>44535.28586011574</v>
      </c>
      <c r="B2170" s="50">
        <v>44535.4108406944</v>
      </c>
      <c r="C2170" s="51">
        <v>1.023</v>
      </c>
      <c r="D2170" s="51">
        <v>64.0</v>
      </c>
      <c r="E2170" s="52" t="s">
        <v>25</v>
      </c>
      <c r="F2170" s="52" t="s">
        <v>26</v>
      </c>
      <c r="G2170" s="53"/>
    </row>
    <row r="2171">
      <c r="A2171" s="49">
        <v>44535.296284490745</v>
      </c>
      <c r="B2171" s="50">
        <v>44535.4212608101</v>
      </c>
      <c r="C2171" s="51">
        <v>1.023</v>
      </c>
      <c r="D2171" s="51">
        <v>64.0</v>
      </c>
      <c r="E2171" s="52" t="s">
        <v>25</v>
      </c>
      <c r="F2171" s="52" t="s">
        <v>26</v>
      </c>
      <c r="G2171" s="53"/>
    </row>
    <row r="2172">
      <c r="A2172" s="49">
        <v>44535.30672204861</v>
      </c>
      <c r="B2172" s="50">
        <v>44535.4316944328</v>
      </c>
      <c r="C2172" s="51">
        <v>1.023</v>
      </c>
      <c r="D2172" s="51">
        <v>64.0</v>
      </c>
      <c r="E2172" s="52" t="s">
        <v>25</v>
      </c>
      <c r="F2172" s="52" t="s">
        <v>26</v>
      </c>
      <c r="G2172" s="53"/>
    </row>
    <row r="2173">
      <c r="A2173" s="49">
        <v>44535.31713840278</v>
      </c>
      <c r="B2173" s="50">
        <v>44535.4421160763</v>
      </c>
      <c r="C2173" s="51">
        <v>1.023</v>
      </c>
      <c r="D2173" s="51">
        <v>64.0</v>
      </c>
      <c r="E2173" s="52" t="s">
        <v>25</v>
      </c>
      <c r="F2173" s="52" t="s">
        <v>26</v>
      </c>
      <c r="G2173" s="53"/>
    </row>
    <row r="2174">
      <c r="A2174" s="49">
        <v>44535.32756802083</v>
      </c>
      <c r="B2174" s="50">
        <v>44535.4525480787</v>
      </c>
      <c r="C2174" s="51">
        <v>1.023</v>
      </c>
      <c r="D2174" s="51">
        <v>64.0</v>
      </c>
      <c r="E2174" s="52" t="s">
        <v>25</v>
      </c>
      <c r="F2174" s="52" t="s">
        <v>26</v>
      </c>
      <c r="G2174" s="53"/>
    </row>
    <row r="2175">
      <c r="A2175" s="49">
        <v>44535.338011307875</v>
      </c>
      <c r="B2175" s="50">
        <v>44535.4629816435</v>
      </c>
      <c r="C2175" s="51">
        <v>1.023</v>
      </c>
      <c r="D2175" s="51">
        <v>64.0</v>
      </c>
      <c r="E2175" s="52" t="s">
        <v>25</v>
      </c>
      <c r="F2175" s="52" t="s">
        <v>26</v>
      </c>
      <c r="G2175" s="53"/>
    </row>
    <row r="2176">
      <c r="A2176" s="49">
        <v>44535.34845229167</v>
      </c>
      <c r="B2176" s="50">
        <v>44535.4734268634</v>
      </c>
      <c r="C2176" s="51">
        <v>1.023</v>
      </c>
      <c r="D2176" s="51">
        <v>64.0</v>
      </c>
      <c r="E2176" s="52" t="s">
        <v>25</v>
      </c>
      <c r="F2176" s="52" t="s">
        <v>26</v>
      </c>
      <c r="G2176" s="53"/>
    </row>
    <row r="2177">
      <c r="A2177" s="49">
        <v>44535.35887085648</v>
      </c>
      <c r="B2177" s="50">
        <v>44535.4838463541</v>
      </c>
      <c r="C2177" s="51">
        <v>1.023</v>
      </c>
      <c r="D2177" s="51">
        <v>64.0</v>
      </c>
      <c r="E2177" s="52" t="s">
        <v>25</v>
      </c>
      <c r="F2177" s="52" t="s">
        <v>26</v>
      </c>
      <c r="G2177" s="53"/>
    </row>
    <row r="2178">
      <c r="A2178" s="49">
        <v>44535.36929650463</v>
      </c>
      <c r="B2178" s="50">
        <v>44535.4942779861</v>
      </c>
      <c r="C2178" s="51">
        <v>1.023</v>
      </c>
      <c r="D2178" s="51">
        <v>64.0</v>
      </c>
      <c r="E2178" s="52" t="s">
        <v>25</v>
      </c>
      <c r="F2178" s="52" t="s">
        <v>26</v>
      </c>
      <c r="G2178" s="53"/>
    </row>
    <row r="2179">
      <c r="A2179" s="49">
        <v>44535.37972686342</v>
      </c>
      <c r="B2179" s="50">
        <v>44535.5046991898</v>
      </c>
      <c r="C2179" s="51">
        <v>1.023</v>
      </c>
      <c r="D2179" s="51">
        <v>64.0</v>
      </c>
      <c r="E2179" s="52" t="s">
        <v>25</v>
      </c>
      <c r="F2179" s="52" t="s">
        <v>26</v>
      </c>
      <c r="G2179" s="53"/>
    </row>
    <row r="2180">
      <c r="A2180" s="49">
        <v>44535.390144942125</v>
      </c>
      <c r="B2180" s="50">
        <v>44535.5151202662</v>
      </c>
      <c r="C2180" s="51">
        <v>1.023</v>
      </c>
      <c r="D2180" s="51">
        <v>64.0</v>
      </c>
      <c r="E2180" s="52" t="s">
        <v>25</v>
      </c>
      <c r="F2180" s="52" t="s">
        <v>26</v>
      </c>
      <c r="G2180" s="53"/>
    </row>
    <row r="2181">
      <c r="A2181" s="49">
        <v>44535.40057174768</v>
      </c>
      <c r="B2181" s="50">
        <v>44535.5255546643</v>
      </c>
      <c r="C2181" s="51">
        <v>1.023</v>
      </c>
      <c r="D2181" s="51">
        <v>64.0</v>
      </c>
      <c r="E2181" s="52" t="s">
        <v>25</v>
      </c>
      <c r="F2181" s="52" t="s">
        <v>26</v>
      </c>
      <c r="G2181" s="53"/>
    </row>
    <row r="2182">
      <c r="A2182" s="49">
        <v>44535.41100204861</v>
      </c>
      <c r="B2182" s="50">
        <v>44535.5359760648</v>
      </c>
      <c r="C2182" s="51">
        <v>1.023</v>
      </c>
      <c r="D2182" s="51">
        <v>64.0</v>
      </c>
      <c r="E2182" s="52" t="s">
        <v>25</v>
      </c>
      <c r="F2182" s="52" t="s">
        <v>26</v>
      </c>
      <c r="G2182" s="53"/>
    </row>
    <row r="2183">
      <c r="A2183" s="49">
        <v>44535.42141947917</v>
      </c>
      <c r="B2183" s="50">
        <v>44535.5463993865</v>
      </c>
      <c r="C2183" s="51">
        <v>1.023</v>
      </c>
      <c r="D2183" s="51">
        <v>64.0</v>
      </c>
      <c r="E2183" s="52" t="s">
        <v>25</v>
      </c>
      <c r="F2183" s="52" t="s">
        <v>26</v>
      </c>
      <c r="G2183" s="53"/>
    </row>
    <row r="2184">
      <c r="A2184" s="49">
        <v>44535.43183931713</v>
      </c>
      <c r="B2184" s="50">
        <v>44535.5568204745</v>
      </c>
      <c r="C2184" s="51">
        <v>1.023</v>
      </c>
      <c r="D2184" s="51">
        <v>64.0</v>
      </c>
      <c r="E2184" s="52" t="s">
        <v>25</v>
      </c>
      <c r="F2184" s="52" t="s">
        <v>26</v>
      </c>
      <c r="G2184" s="53"/>
    </row>
    <row r="2185">
      <c r="A2185" s="49">
        <v>44535.442271631946</v>
      </c>
      <c r="B2185" s="50">
        <v>44535.5672540162</v>
      </c>
      <c r="C2185" s="51">
        <v>1.023</v>
      </c>
      <c r="D2185" s="51">
        <v>64.0</v>
      </c>
      <c r="E2185" s="52" t="s">
        <v>25</v>
      </c>
      <c r="F2185" s="52" t="s">
        <v>26</v>
      </c>
      <c r="G2185" s="53"/>
    </row>
    <row r="2186">
      <c r="A2186" s="49">
        <v>44535.45269068287</v>
      </c>
      <c r="B2186" s="50">
        <v>44535.577675405</v>
      </c>
      <c r="C2186" s="51">
        <v>1.023</v>
      </c>
      <c r="D2186" s="51">
        <v>64.0</v>
      </c>
      <c r="E2186" s="52" t="s">
        <v>25</v>
      </c>
      <c r="F2186" s="52" t="s">
        <v>26</v>
      </c>
      <c r="G2186" s="53"/>
    </row>
    <row r="2187">
      <c r="A2187" s="49">
        <v>44535.46312197916</v>
      </c>
      <c r="B2187" s="50">
        <v>44535.5880959027</v>
      </c>
      <c r="C2187" s="51">
        <v>1.023</v>
      </c>
      <c r="D2187" s="51">
        <v>64.0</v>
      </c>
      <c r="E2187" s="52" t="s">
        <v>25</v>
      </c>
      <c r="F2187" s="52" t="s">
        <v>26</v>
      </c>
      <c r="G2187" s="53"/>
    </row>
    <row r="2188">
      <c r="A2188" s="49">
        <v>44535.47355027778</v>
      </c>
      <c r="B2188" s="50">
        <v>44535.5985290277</v>
      </c>
      <c r="C2188" s="51">
        <v>1.023</v>
      </c>
      <c r="D2188" s="51">
        <v>64.0</v>
      </c>
      <c r="E2188" s="52" t="s">
        <v>25</v>
      </c>
      <c r="F2188" s="52" t="s">
        <v>26</v>
      </c>
      <c r="G2188" s="53"/>
    </row>
    <row r="2189">
      <c r="A2189" s="49">
        <v>44535.483966898144</v>
      </c>
      <c r="B2189" s="50">
        <v>44535.6089511458</v>
      </c>
      <c r="C2189" s="51">
        <v>1.023</v>
      </c>
      <c r="D2189" s="51">
        <v>64.0</v>
      </c>
      <c r="E2189" s="52" t="s">
        <v>25</v>
      </c>
      <c r="F2189" s="52" t="s">
        <v>26</v>
      </c>
      <c r="G2189" s="53"/>
    </row>
    <row r="2190">
      <c r="A2190" s="49">
        <v>44535.49439740741</v>
      </c>
      <c r="B2190" s="50">
        <v>44535.6193729513</v>
      </c>
      <c r="C2190" s="51">
        <v>1.023</v>
      </c>
      <c r="D2190" s="51">
        <v>64.0</v>
      </c>
      <c r="E2190" s="52" t="s">
        <v>25</v>
      </c>
      <c r="F2190" s="52" t="s">
        <v>26</v>
      </c>
      <c r="G2190" s="53"/>
    </row>
    <row r="2191">
      <c r="A2191" s="49">
        <v>44535.50482292824</v>
      </c>
      <c r="B2191" s="50">
        <v>44535.6297954398</v>
      </c>
      <c r="C2191" s="51">
        <v>1.023</v>
      </c>
      <c r="D2191" s="51">
        <v>64.0</v>
      </c>
      <c r="E2191" s="52" t="s">
        <v>25</v>
      </c>
      <c r="F2191" s="52" t="s">
        <v>26</v>
      </c>
      <c r="G2191" s="53"/>
    </row>
    <row r="2192">
      <c r="A2192" s="49">
        <v>44535.51523542824</v>
      </c>
      <c r="B2192" s="50">
        <v>44535.6402152777</v>
      </c>
      <c r="C2192" s="51">
        <v>1.023</v>
      </c>
      <c r="D2192" s="51">
        <v>64.0</v>
      </c>
      <c r="E2192" s="52" t="s">
        <v>25</v>
      </c>
      <c r="F2192" s="52" t="s">
        <v>26</v>
      </c>
      <c r="G2192" s="53"/>
    </row>
    <row r="2193">
      <c r="A2193" s="49">
        <v>44535.52565239584</v>
      </c>
      <c r="B2193" s="50">
        <v>44535.6506355671</v>
      </c>
      <c r="C2193" s="51">
        <v>1.023</v>
      </c>
      <c r="D2193" s="51">
        <v>64.0</v>
      </c>
      <c r="E2193" s="52" t="s">
        <v>25</v>
      </c>
      <c r="F2193" s="52" t="s">
        <v>26</v>
      </c>
      <c r="G2193" s="53"/>
    </row>
    <row r="2194">
      <c r="A2194" s="49">
        <v>44535.536077303244</v>
      </c>
      <c r="B2194" s="50">
        <v>44535.6610551273</v>
      </c>
      <c r="C2194" s="51">
        <v>1.023</v>
      </c>
      <c r="D2194" s="51">
        <v>64.0</v>
      </c>
      <c r="E2194" s="52" t="s">
        <v>25</v>
      </c>
      <c r="F2194" s="52" t="s">
        <v>26</v>
      </c>
      <c r="G2194" s="53"/>
    </row>
    <row r="2195">
      <c r="A2195" s="49">
        <v>44535.54649623843</v>
      </c>
      <c r="B2195" s="50">
        <v>44535.6714759259</v>
      </c>
      <c r="C2195" s="51">
        <v>1.023</v>
      </c>
      <c r="D2195" s="51">
        <v>64.0</v>
      </c>
      <c r="E2195" s="52" t="s">
        <v>25</v>
      </c>
      <c r="F2195" s="52" t="s">
        <v>26</v>
      </c>
      <c r="G2195" s="53"/>
    </row>
    <row r="2196">
      <c r="A2196" s="49">
        <v>44535.55691649306</v>
      </c>
      <c r="B2196" s="50">
        <v>44535.6818971874</v>
      </c>
      <c r="C2196" s="51">
        <v>1.023</v>
      </c>
      <c r="D2196" s="51">
        <v>64.0</v>
      </c>
      <c r="E2196" s="52" t="s">
        <v>25</v>
      </c>
      <c r="F2196" s="52" t="s">
        <v>26</v>
      </c>
      <c r="G2196" s="53"/>
    </row>
    <row r="2197">
      <c r="A2197" s="49">
        <v>44535.56733319444</v>
      </c>
      <c r="B2197" s="50">
        <v>44535.6923186111</v>
      </c>
      <c r="C2197" s="51">
        <v>1.023</v>
      </c>
      <c r="D2197" s="51">
        <v>64.0</v>
      </c>
      <c r="E2197" s="52" t="s">
        <v>25</v>
      </c>
      <c r="F2197" s="52" t="s">
        <v>26</v>
      </c>
      <c r="G2197" s="53"/>
    </row>
    <row r="2198">
      <c r="A2198" s="49">
        <v>44535.577766863425</v>
      </c>
      <c r="B2198" s="50">
        <v>44535.7027395254</v>
      </c>
      <c r="C2198" s="51">
        <v>1.023</v>
      </c>
      <c r="D2198" s="51">
        <v>64.0</v>
      </c>
      <c r="E2198" s="52" t="s">
        <v>25</v>
      </c>
      <c r="F2198" s="52" t="s">
        <v>26</v>
      </c>
      <c r="G2198" s="53"/>
    </row>
    <row r="2199">
      <c r="A2199" s="49">
        <v>44535.58819559027</v>
      </c>
      <c r="B2199" s="50">
        <v>44535.713172118</v>
      </c>
      <c r="C2199" s="51">
        <v>1.023</v>
      </c>
      <c r="D2199" s="51">
        <v>64.0</v>
      </c>
      <c r="E2199" s="52" t="s">
        <v>25</v>
      </c>
      <c r="F2199" s="52" t="s">
        <v>26</v>
      </c>
      <c r="G2199" s="53"/>
    </row>
    <row r="2200">
      <c r="A2200" s="49">
        <v>44535.59861880787</v>
      </c>
      <c r="B2200" s="50">
        <v>44535.7235949074</v>
      </c>
      <c r="C2200" s="51">
        <v>1.023</v>
      </c>
      <c r="D2200" s="51">
        <v>64.0</v>
      </c>
      <c r="E2200" s="52" t="s">
        <v>25</v>
      </c>
      <c r="F2200" s="52" t="s">
        <v>26</v>
      </c>
      <c r="G2200" s="53"/>
    </row>
    <row r="2201">
      <c r="A2201" s="49">
        <v>44535.60904138889</v>
      </c>
      <c r="B2201" s="50">
        <v>44535.7340141435</v>
      </c>
      <c r="C2201" s="51">
        <v>1.023</v>
      </c>
      <c r="D2201" s="51">
        <v>64.0</v>
      </c>
      <c r="E2201" s="52" t="s">
        <v>25</v>
      </c>
      <c r="F2201" s="52" t="s">
        <v>26</v>
      </c>
      <c r="G2201" s="53"/>
    </row>
    <row r="2202">
      <c r="A2202" s="49">
        <v>44535.61945074074</v>
      </c>
      <c r="B2202" s="50">
        <v>44535.7444351157</v>
      </c>
      <c r="C2202" s="51">
        <v>1.023</v>
      </c>
      <c r="D2202" s="51">
        <v>64.0</v>
      </c>
      <c r="E2202" s="52" t="s">
        <v>25</v>
      </c>
      <c r="F2202" s="52" t="s">
        <v>26</v>
      </c>
      <c r="G2202" s="53"/>
    </row>
    <row r="2203">
      <c r="A2203" s="49">
        <v>44535.62987567129</v>
      </c>
      <c r="B2203" s="50">
        <v>44535.7548576388</v>
      </c>
      <c r="C2203" s="51">
        <v>1.023</v>
      </c>
      <c r="D2203" s="51">
        <v>64.0</v>
      </c>
      <c r="E2203" s="52" t="s">
        <v>25</v>
      </c>
      <c r="F2203" s="52" t="s">
        <v>26</v>
      </c>
      <c r="G2203" s="53"/>
    </row>
    <row r="2204">
      <c r="A2204" s="49">
        <v>44535.64030967593</v>
      </c>
      <c r="B2204" s="50">
        <v>44535.7652927314</v>
      </c>
      <c r="C2204" s="51">
        <v>1.023</v>
      </c>
      <c r="D2204" s="51">
        <v>64.0</v>
      </c>
      <c r="E2204" s="52" t="s">
        <v>25</v>
      </c>
      <c r="F2204" s="52" t="s">
        <v>26</v>
      </c>
      <c r="G2204" s="53"/>
    </row>
    <row r="2205">
      <c r="A2205" s="49">
        <v>44535.650741770834</v>
      </c>
      <c r="B2205" s="50">
        <v>44535.775715243</v>
      </c>
      <c r="C2205" s="51">
        <v>1.023</v>
      </c>
      <c r="D2205" s="51">
        <v>64.0</v>
      </c>
      <c r="E2205" s="52" t="s">
        <v>25</v>
      </c>
      <c r="F2205" s="52" t="s">
        <v>26</v>
      </c>
      <c r="G2205" s="53"/>
    </row>
    <row r="2206">
      <c r="A2206" s="49">
        <v>44535.66117537037</v>
      </c>
      <c r="B2206" s="50">
        <v>44535.786149074</v>
      </c>
      <c r="C2206" s="51">
        <v>1.023</v>
      </c>
      <c r="D2206" s="51">
        <v>64.0</v>
      </c>
      <c r="E2206" s="52" t="s">
        <v>25</v>
      </c>
      <c r="F2206" s="52" t="s">
        <v>26</v>
      </c>
      <c r="G2206" s="53"/>
    </row>
    <row r="2207">
      <c r="A2207" s="49">
        <v>44535.67159603009</v>
      </c>
      <c r="B2207" s="50">
        <v>44535.7965703356</v>
      </c>
      <c r="C2207" s="51">
        <v>1.023</v>
      </c>
      <c r="D2207" s="51">
        <v>64.0</v>
      </c>
      <c r="E2207" s="52" t="s">
        <v>25</v>
      </c>
      <c r="F2207" s="52" t="s">
        <v>26</v>
      </c>
      <c r="G2207" s="53"/>
    </row>
    <row r="2208">
      <c r="A2208" s="49">
        <v>44535.682018680556</v>
      </c>
      <c r="B2208" s="50">
        <v>44535.8069905092</v>
      </c>
      <c r="C2208" s="51">
        <v>1.023</v>
      </c>
      <c r="D2208" s="51">
        <v>64.0</v>
      </c>
      <c r="E2208" s="52" t="s">
        <v>25</v>
      </c>
      <c r="F2208" s="52" t="s">
        <v>26</v>
      </c>
      <c r="G2208" s="53"/>
    </row>
    <row r="2209">
      <c r="A2209" s="49">
        <v>44535.69243115741</v>
      </c>
      <c r="B2209" s="50">
        <v>44535.8174118865</v>
      </c>
      <c r="C2209" s="51">
        <v>1.023</v>
      </c>
      <c r="D2209" s="51">
        <v>64.0</v>
      </c>
      <c r="E2209" s="52" t="s">
        <v>25</v>
      </c>
      <c r="F2209" s="52" t="s">
        <v>26</v>
      </c>
      <c r="G2209" s="53"/>
    </row>
    <row r="2210">
      <c r="A2210" s="49">
        <v>44535.70285635417</v>
      </c>
      <c r="B2210" s="50">
        <v>44535.8278330439</v>
      </c>
      <c r="C2210" s="51">
        <v>1.023</v>
      </c>
      <c r="D2210" s="51">
        <v>64.0</v>
      </c>
      <c r="E2210" s="52" t="s">
        <v>25</v>
      </c>
      <c r="F2210" s="52" t="s">
        <v>26</v>
      </c>
      <c r="G2210" s="53"/>
    </row>
    <row r="2211">
      <c r="A2211" s="49">
        <v>44535.71327390046</v>
      </c>
      <c r="B2211" s="50">
        <v>44535.8382543402</v>
      </c>
      <c r="C2211" s="51">
        <v>1.023</v>
      </c>
      <c r="D2211" s="51">
        <v>64.0</v>
      </c>
      <c r="E2211" s="52" t="s">
        <v>25</v>
      </c>
      <c r="F2211" s="52" t="s">
        <v>26</v>
      </c>
      <c r="G2211" s="53"/>
    </row>
    <row r="2212">
      <c r="A2212" s="49">
        <v>44535.72369322917</v>
      </c>
      <c r="B2212" s="50">
        <v>44535.8486756134</v>
      </c>
      <c r="C2212" s="51">
        <v>1.023</v>
      </c>
      <c r="D2212" s="51">
        <v>64.0</v>
      </c>
      <c r="E2212" s="52" t="s">
        <v>25</v>
      </c>
      <c r="F2212" s="52" t="s">
        <v>26</v>
      </c>
      <c r="G2212" s="53"/>
    </row>
    <row r="2213">
      <c r="A2213" s="49">
        <v>44535.734124675924</v>
      </c>
      <c r="B2213" s="50">
        <v>44535.859097662</v>
      </c>
      <c r="C2213" s="51">
        <v>1.023</v>
      </c>
      <c r="D2213" s="51">
        <v>64.0</v>
      </c>
      <c r="E2213" s="52" t="s">
        <v>25</v>
      </c>
      <c r="F2213" s="52" t="s">
        <v>26</v>
      </c>
      <c r="G2213" s="53"/>
    </row>
    <row r="2214">
      <c r="A2214" s="49">
        <v>44535.74454035879</v>
      </c>
      <c r="B2214" s="50">
        <v>44535.8695183101</v>
      </c>
      <c r="C2214" s="51">
        <v>1.023</v>
      </c>
      <c r="D2214" s="51">
        <v>64.0</v>
      </c>
      <c r="E2214" s="52" t="s">
        <v>25</v>
      </c>
      <c r="F2214" s="52" t="s">
        <v>26</v>
      </c>
      <c r="G2214" s="53"/>
    </row>
    <row r="2215">
      <c r="A2215" s="49">
        <v>44535.75495884259</v>
      </c>
      <c r="B2215" s="50">
        <v>44535.879937662</v>
      </c>
      <c r="C2215" s="51">
        <v>1.023</v>
      </c>
      <c r="D2215" s="51">
        <v>64.0</v>
      </c>
      <c r="E2215" s="52" t="s">
        <v>25</v>
      </c>
      <c r="F2215" s="52" t="s">
        <v>26</v>
      </c>
      <c r="G2215" s="53"/>
    </row>
    <row r="2216">
      <c r="A2216" s="49">
        <v>44535.76539935185</v>
      </c>
      <c r="B2216" s="50">
        <v>44535.8903715972</v>
      </c>
      <c r="C2216" s="51">
        <v>1.023</v>
      </c>
      <c r="D2216" s="51">
        <v>64.0</v>
      </c>
      <c r="E2216" s="52" t="s">
        <v>25</v>
      </c>
      <c r="F2216" s="52" t="s">
        <v>26</v>
      </c>
      <c r="G2216" s="53"/>
    </row>
    <row r="2217">
      <c r="A2217" s="49">
        <v>44535.77581427083</v>
      </c>
      <c r="B2217" s="50">
        <v>44535.9007923032</v>
      </c>
      <c r="C2217" s="51">
        <v>1.023</v>
      </c>
      <c r="D2217" s="51">
        <v>64.0</v>
      </c>
      <c r="E2217" s="52" t="s">
        <v>25</v>
      </c>
      <c r="F2217" s="52" t="s">
        <v>26</v>
      </c>
      <c r="G2217" s="53"/>
    </row>
    <row r="2218">
      <c r="A2218" s="49">
        <v>44535.78624631945</v>
      </c>
      <c r="B2218" s="50">
        <v>44535.9112245023</v>
      </c>
      <c r="C2218" s="51">
        <v>1.023</v>
      </c>
      <c r="D2218" s="51">
        <v>64.0</v>
      </c>
      <c r="E2218" s="52" t="s">
        <v>25</v>
      </c>
      <c r="F2218" s="52" t="s">
        <v>26</v>
      </c>
      <c r="G2218" s="53"/>
    </row>
    <row r="2219">
      <c r="A2219" s="49">
        <v>44535.79667214121</v>
      </c>
      <c r="B2219" s="50">
        <v>44535.9216461805</v>
      </c>
      <c r="C2219" s="51">
        <v>1.023</v>
      </c>
      <c r="D2219" s="51">
        <v>64.0</v>
      </c>
      <c r="E2219" s="52" t="s">
        <v>25</v>
      </c>
      <c r="F2219" s="52" t="s">
        <v>26</v>
      </c>
      <c r="G2219" s="53"/>
    </row>
    <row r="2220">
      <c r="A2220" s="49">
        <v>44535.807092048606</v>
      </c>
      <c r="B2220" s="50">
        <v>44535.9320669328</v>
      </c>
      <c r="C2220" s="51">
        <v>1.023</v>
      </c>
      <c r="D2220" s="51">
        <v>64.0</v>
      </c>
      <c r="E2220" s="52" t="s">
        <v>25</v>
      </c>
      <c r="F2220" s="52" t="s">
        <v>26</v>
      </c>
      <c r="G2220" s="53"/>
    </row>
    <row r="2221">
      <c r="A2221" s="49">
        <v>44535.8175112037</v>
      </c>
      <c r="B2221" s="50">
        <v>44535.9424878124</v>
      </c>
      <c r="C2221" s="51">
        <v>1.023</v>
      </c>
      <c r="D2221" s="51">
        <v>64.0</v>
      </c>
      <c r="E2221" s="52" t="s">
        <v>25</v>
      </c>
      <c r="F2221" s="52" t="s">
        <v>26</v>
      </c>
      <c r="G2221" s="53"/>
    </row>
    <row r="2222">
      <c r="A2222" s="49">
        <v>44535.827929085644</v>
      </c>
      <c r="B2222" s="50">
        <v>44535.9529067939</v>
      </c>
      <c r="C2222" s="51">
        <v>1.023</v>
      </c>
      <c r="D2222" s="51">
        <v>64.0</v>
      </c>
      <c r="E2222" s="52" t="s">
        <v>25</v>
      </c>
      <c r="F2222" s="52" t="s">
        <v>26</v>
      </c>
      <c r="G2222" s="53"/>
    </row>
    <row r="2223">
      <c r="A2223" s="49">
        <v>44535.83834325231</v>
      </c>
      <c r="B2223" s="50">
        <v>44535.9633275347</v>
      </c>
      <c r="C2223" s="51">
        <v>1.023</v>
      </c>
      <c r="D2223" s="51">
        <v>64.0</v>
      </c>
      <c r="E2223" s="52" t="s">
        <v>25</v>
      </c>
      <c r="F2223" s="52" t="s">
        <v>26</v>
      </c>
      <c r="G2223" s="53"/>
    </row>
    <row r="2224">
      <c r="A2224" s="49">
        <v>44535.84877989584</v>
      </c>
      <c r="B2224" s="50">
        <v>44535.973748287</v>
      </c>
      <c r="C2224" s="51">
        <v>1.023</v>
      </c>
      <c r="D2224" s="51">
        <v>64.0</v>
      </c>
      <c r="E2224" s="52" t="s">
        <v>25</v>
      </c>
      <c r="F2224" s="52" t="s">
        <v>26</v>
      </c>
      <c r="G2224" s="53"/>
    </row>
    <row r="2225">
      <c r="A2225" s="49">
        <v>44535.859206875</v>
      </c>
      <c r="B2225" s="50">
        <v>44535.9841816666</v>
      </c>
      <c r="C2225" s="51">
        <v>1.022</v>
      </c>
      <c r="D2225" s="51">
        <v>64.0</v>
      </c>
      <c r="E2225" s="52" t="s">
        <v>25</v>
      </c>
      <c r="F2225" s="52" t="s">
        <v>26</v>
      </c>
      <c r="G2225" s="53"/>
    </row>
    <row r="2226">
      <c r="A2226" s="49">
        <v>44535.86963768519</v>
      </c>
      <c r="B2226" s="50">
        <v>44535.9946006481</v>
      </c>
      <c r="C2226" s="51">
        <v>1.022</v>
      </c>
      <c r="D2226" s="51">
        <v>64.0</v>
      </c>
      <c r="E2226" s="52" t="s">
        <v>25</v>
      </c>
      <c r="F2226" s="52" t="s">
        <v>26</v>
      </c>
      <c r="G2226" s="53"/>
    </row>
    <row r="2227">
      <c r="A2227" s="49">
        <v>44535.880039131946</v>
      </c>
      <c r="B2227" s="50">
        <v>44536.0050215625</v>
      </c>
      <c r="C2227" s="51">
        <v>1.022</v>
      </c>
      <c r="D2227" s="51">
        <v>64.0</v>
      </c>
      <c r="E2227" s="52" t="s">
        <v>25</v>
      </c>
      <c r="F2227" s="52" t="s">
        <v>26</v>
      </c>
      <c r="G2227" s="53"/>
    </row>
    <row r="2228">
      <c r="A2228" s="49">
        <v>44535.89046892361</v>
      </c>
      <c r="B2228" s="50">
        <v>44536.0154427083</v>
      </c>
      <c r="C2228" s="51">
        <v>1.023</v>
      </c>
      <c r="D2228" s="51">
        <v>64.0</v>
      </c>
      <c r="E2228" s="52" t="s">
        <v>25</v>
      </c>
      <c r="F2228" s="52" t="s">
        <v>26</v>
      </c>
      <c r="G2228" s="53"/>
    </row>
    <row r="2229">
      <c r="A2229" s="49">
        <v>44535.90088898149</v>
      </c>
      <c r="B2229" s="50">
        <v>44536.0258639699</v>
      </c>
      <c r="C2229" s="51">
        <v>1.022</v>
      </c>
      <c r="D2229" s="51">
        <v>64.0</v>
      </c>
      <c r="E2229" s="52" t="s">
        <v>25</v>
      </c>
      <c r="F2229" s="52" t="s">
        <v>26</v>
      </c>
      <c r="G2229" s="53"/>
    </row>
    <row r="2230">
      <c r="A2230" s="49">
        <v>44535.91131445602</v>
      </c>
      <c r="B2230" s="50">
        <v>44536.0362867013</v>
      </c>
      <c r="C2230" s="51">
        <v>1.023</v>
      </c>
      <c r="D2230" s="51">
        <v>64.0</v>
      </c>
      <c r="E2230" s="52" t="s">
        <v>25</v>
      </c>
      <c r="F2230" s="52" t="s">
        <v>26</v>
      </c>
      <c r="G2230" s="53"/>
    </row>
    <row r="2231">
      <c r="A2231" s="49">
        <v>44535.9217380787</v>
      </c>
      <c r="B2231" s="50">
        <v>44536.0467178703</v>
      </c>
      <c r="C2231" s="51">
        <v>1.022</v>
      </c>
      <c r="D2231" s="51">
        <v>64.0</v>
      </c>
      <c r="E2231" s="52" t="s">
        <v>25</v>
      </c>
      <c r="F2231" s="52" t="s">
        <v>26</v>
      </c>
      <c r="G2231" s="53"/>
    </row>
    <row r="2232">
      <c r="A2232" s="49">
        <v>44535.93215408565</v>
      </c>
      <c r="B2232" s="50">
        <v>44536.0571390393</v>
      </c>
      <c r="C2232" s="51">
        <v>1.022</v>
      </c>
      <c r="D2232" s="51">
        <v>64.0</v>
      </c>
      <c r="E2232" s="52" t="s">
        <v>25</v>
      </c>
      <c r="F2232" s="52" t="s">
        <v>26</v>
      </c>
      <c r="G2232" s="53"/>
    </row>
    <row r="2233">
      <c r="A2233" s="49">
        <v>44535.94258793982</v>
      </c>
      <c r="B2233" s="50">
        <v>44536.0675613541</v>
      </c>
      <c r="C2233" s="51">
        <v>1.022</v>
      </c>
      <c r="D2233" s="51">
        <v>64.0</v>
      </c>
      <c r="E2233" s="52" t="s">
        <v>25</v>
      </c>
      <c r="F2233" s="52" t="s">
        <v>26</v>
      </c>
      <c r="G2233" s="53"/>
    </row>
    <row r="2234">
      <c r="A2234" s="49">
        <v>44535.953007488424</v>
      </c>
      <c r="B2234" s="50">
        <v>44536.077981331</v>
      </c>
      <c r="C2234" s="51">
        <v>1.022</v>
      </c>
      <c r="D2234" s="51">
        <v>64.0</v>
      </c>
      <c r="E2234" s="52" t="s">
        <v>25</v>
      </c>
      <c r="F2234" s="52" t="s">
        <v>26</v>
      </c>
      <c r="G2234" s="53"/>
    </row>
    <row r="2235">
      <c r="A2235" s="49">
        <v>44535.963433888886</v>
      </c>
      <c r="B2235" s="50">
        <v>44536.0884028588</v>
      </c>
      <c r="C2235" s="51">
        <v>1.022</v>
      </c>
      <c r="D2235" s="51">
        <v>64.0</v>
      </c>
      <c r="E2235" s="52" t="s">
        <v>25</v>
      </c>
      <c r="F2235" s="52" t="s">
        <v>26</v>
      </c>
      <c r="G2235" s="53"/>
    </row>
    <row r="2236">
      <c r="A2236" s="49">
        <v>44535.973849375005</v>
      </c>
      <c r="B2236" s="50">
        <v>44536.0988244328</v>
      </c>
      <c r="C2236" s="51">
        <v>1.022</v>
      </c>
      <c r="D2236" s="51">
        <v>64.0</v>
      </c>
      <c r="E2236" s="52" t="s">
        <v>25</v>
      </c>
      <c r="F2236" s="52" t="s">
        <v>26</v>
      </c>
      <c r="G2236" s="53"/>
    </row>
    <row r="2237">
      <c r="A2237" s="49">
        <v>44535.98427265046</v>
      </c>
      <c r="B2237" s="50">
        <v>44536.109245405</v>
      </c>
      <c r="C2237" s="51">
        <v>1.022</v>
      </c>
      <c r="D2237" s="51">
        <v>64.0</v>
      </c>
      <c r="E2237" s="52" t="s">
        <v>25</v>
      </c>
      <c r="F2237" s="52" t="s">
        <v>26</v>
      </c>
      <c r="G2237" s="53"/>
    </row>
    <row r="2238">
      <c r="A2238" s="49">
        <v>44535.994700497686</v>
      </c>
      <c r="B2238" s="50">
        <v>44536.1196668287</v>
      </c>
      <c r="C2238" s="51">
        <v>1.022</v>
      </c>
      <c r="D2238" s="51">
        <v>64.0</v>
      </c>
      <c r="E2238" s="52" t="s">
        <v>25</v>
      </c>
      <c r="F2238" s="52" t="s">
        <v>26</v>
      </c>
      <c r="G2238" s="53"/>
    </row>
    <row r="2239">
      <c r="A2239" s="49">
        <v>44536.00511521991</v>
      </c>
      <c r="B2239" s="50">
        <v>44536.1300871527</v>
      </c>
      <c r="C2239" s="51">
        <v>1.022</v>
      </c>
      <c r="D2239" s="51">
        <v>64.0</v>
      </c>
      <c r="E2239" s="52" t="s">
        <v>25</v>
      </c>
      <c r="F2239" s="52" t="s">
        <v>26</v>
      </c>
      <c r="G2239" s="53"/>
    </row>
    <row r="2240">
      <c r="A2240" s="49">
        <v>44536.01553420139</v>
      </c>
      <c r="B2240" s="50">
        <v>44536.1405073958</v>
      </c>
      <c r="C2240" s="51">
        <v>1.022</v>
      </c>
      <c r="D2240" s="51">
        <v>64.0</v>
      </c>
      <c r="E2240" s="52" t="s">
        <v>25</v>
      </c>
      <c r="F2240" s="52" t="s">
        <v>26</v>
      </c>
      <c r="G2240" s="53"/>
    </row>
    <row r="2241">
      <c r="A2241" s="49">
        <v>44536.0259487963</v>
      </c>
      <c r="B2241" s="50">
        <v>44536.1509295717</v>
      </c>
      <c r="C2241" s="51">
        <v>1.022</v>
      </c>
      <c r="D2241" s="51">
        <v>64.0</v>
      </c>
      <c r="E2241" s="52" t="s">
        <v>25</v>
      </c>
      <c r="F2241" s="52" t="s">
        <v>26</v>
      </c>
      <c r="G2241" s="53"/>
    </row>
    <row r="2242">
      <c r="A2242" s="49">
        <v>44536.036376516204</v>
      </c>
      <c r="B2242" s="50">
        <v>44536.1613499884</v>
      </c>
      <c r="C2242" s="51">
        <v>1.022</v>
      </c>
      <c r="D2242" s="51">
        <v>64.0</v>
      </c>
      <c r="E2242" s="52" t="s">
        <v>25</v>
      </c>
      <c r="F2242" s="52" t="s">
        <v>26</v>
      </c>
      <c r="G2242" s="53"/>
    </row>
    <row r="2243">
      <c r="A2243" s="49">
        <v>44536.04678709491</v>
      </c>
      <c r="B2243" s="50">
        <v>44536.1717714004</v>
      </c>
      <c r="C2243" s="51">
        <v>1.022</v>
      </c>
      <c r="D2243" s="51">
        <v>64.0</v>
      </c>
      <c r="E2243" s="52" t="s">
        <v>25</v>
      </c>
      <c r="F2243" s="52" t="s">
        <v>26</v>
      </c>
      <c r="G2243" s="53"/>
    </row>
    <row r="2244">
      <c r="A2244" s="49">
        <v>44536.05721990741</v>
      </c>
      <c r="B2244" s="50">
        <v>44536.1821926388</v>
      </c>
      <c r="C2244" s="51">
        <v>1.022</v>
      </c>
      <c r="D2244" s="51">
        <v>64.0</v>
      </c>
      <c r="E2244" s="52" t="s">
        <v>25</v>
      </c>
      <c r="F2244" s="52" t="s">
        <v>26</v>
      </c>
      <c r="G2244" s="53"/>
    </row>
    <row r="2245">
      <c r="A2245" s="49">
        <v>44536.06763153935</v>
      </c>
      <c r="B2245" s="50">
        <v>44536.1926136342</v>
      </c>
      <c r="C2245" s="51">
        <v>1.022</v>
      </c>
      <c r="D2245" s="51">
        <v>64.0</v>
      </c>
      <c r="E2245" s="52" t="s">
        <v>25</v>
      </c>
      <c r="F2245" s="52" t="s">
        <v>26</v>
      </c>
      <c r="G2245" s="53"/>
    </row>
    <row r="2246">
      <c r="A2246" s="49">
        <v>44536.078059120366</v>
      </c>
      <c r="B2246" s="50">
        <v>44536.2030349421</v>
      </c>
      <c r="C2246" s="51">
        <v>1.022</v>
      </c>
      <c r="D2246" s="51">
        <v>64.0</v>
      </c>
      <c r="E2246" s="52" t="s">
        <v>25</v>
      </c>
      <c r="F2246" s="52" t="s">
        <v>26</v>
      </c>
      <c r="G2246" s="53"/>
    </row>
    <row r="2247">
      <c r="A2247" s="49">
        <v>44536.08848133102</v>
      </c>
      <c r="B2247" s="50">
        <v>44536.2134564699</v>
      </c>
      <c r="C2247" s="51">
        <v>1.022</v>
      </c>
      <c r="D2247" s="51">
        <v>64.0</v>
      </c>
      <c r="E2247" s="52" t="s">
        <v>25</v>
      </c>
      <c r="F2247" s="52" t="s">
        <v>26</v>
      </c>
      <c r="G2247" s="53"/>
    </row>
    <row r="2248">
      <c r="A2248" s="49">
        <v>44536.098909884255</v>
      </c>
      <c r="B2248" s="50">
        <v>44536.2238785416</v>
      </c>
      <c r="C2248" s="51">
        <v>1.022</v>
      </c>
      <c r="D2248" s="51">
        <v>64.0</v>
      </c>
      <c r="E2248" s="52" t="s">
        <v>25</v>
      </c>
      <c r="F2248" s="52" t="s">
        <v>26</v>
      </c>
      <c r="G2248" s="53"/>
    </row>
    <row r="2249">
      <c r="A2249" s="49">
        <v>44536.10931482639</v>
      </c>
      <c r="B2249" s="50">
        <v>44536.234299375</v>
      </c>
      <c r="C2249" s="51">
        <v>1.022</v>
      </c>
      <c r="D2249" s="51">
        <v>64.0</v>
      </c>
      <c r="E2249" s="52" t="s">
        <v>25</v>
      </c>
      <c r="F2249" s="52" t="s">
        <v>26</v>
      </c>
      <c r="G2249" s="53"/>
    </row>
    <row r="2250">
      <c r="A2250" s="49">
        <v>44536.11973701389</v>
      </c>
      <c r="B2250" s="50">
        <v>44536.2447210879</v>
      </c>
      <c r="C2250" s="51">
        <v>1.022</v>
      </c>
      <c r="D2250" s="51">
        <v>64.0</v>
      </c>
      <c r="E2250" s="52" t="s">
        <v>25</v>
      </c>
      <c r="F2250" s="52" t="s">
        <v>26</v>
      </c>
      <c r="G2250" s="53"/>
    </row>
    <row r="2251">
      <c r="A2251" s="49">
        <v>44536.13016025463</v>
      </c>
      <c r="B2251" s="50">
        <v>44536.255142037</v>
      </c>
      <c r="C2251" s="51">
        <v>1.022</v>
      </c>
      <c r="D2251" s="51">
        <v>64.0</v>
      </c>
      <c r="E2251" s="52" t="s">
        <v>25</v>
      </c>
      <c r="F2251" s="52" t="s">
        <v>26</v>
      </c>
      <c r="G2251" s="53"/>
    </row>
    <row r="2252">
      <c r="A2252" s="49">
        <v>44536.140599895836</v>
      </c>
      <c r="B2252" s="50">
        <v>44536.2655735416</v>
      </c>
      <c r="C2252" s="51">
        <v>1.022</v>
      </c>
      <c r="D2252" s="51">
        <v>64.0</v>
      </c>
      <c r="E2252" s="52" t="s">
        <v>25</v>
      </c>
      <c r="F2252" s="52" t="s">
        <v>26</v>
      </c>
      <c r="G2252" s="53"/>
    </row>
    <row r="2253">
      <c r="A2253" s="49">
        <v>44536.15103</v>
      </c>
      <c r="B2253" s="50">
        <v>44536.2760062731</v>
      </c>
      <c r="C2253" s="51">
        <v>1.022</v>
      </c>
      <c r="D2253" s="51">
        <v>64.0</v>
      </c>
      <c r="E2253" s="52" t="s">
        <v>25</v>
      </c>
      <c r="F2253" s="52" t="s">
        <v>26</v>
      </c>
      <c r="G2253" s="53"/>
    </row>
    <row r="2254">
      <c r="A2254" s="49">
        <v>44536.161450266205</v>
      </c>
      <c r="B2254" s="50">
        <v>44536.286428831</v>
      </c>
      <c r="C2254" s="51">
        <v>1.022</v>
      </c>
      <c r="D2254" s="51">
        <v>64.0</v>
      </c>
      <c r="E2254" s="52" t="s">
        <v>25</v>
      </c>
      <c r="F2254" s="52" t="s">
        <v>26</v>
      </c>
      <c r="G2254" s="53"/>
    </row>
    <row r="2255">
      <c r="A2255" s="49">
        <v>44536.17188609954</v>
      </c>
      <c r="B2255" s="50">
        <v>44536.2968629745</v>
      </c>
      <c r="C2255" s="51">
        <v>1.022</v>
      </c>
      <c r="D2255" s="51">
        <v>64.0</v>
      </c>
      <c r="E2255" s="52" t="s">
        <v>25</v>
      </c>
      <c r="F2255" s="52" t="s">
        <v>26</v>
      </c>
      <c r="G2255" s="53"/>
    </row>
    <row r="2256">
      <c r="A2256" s="49">
        <v>44536.18230622685</v>
      </c>
      <c r="B2256" s="50">
        <v>44536.3072834953</v>
      </c>
      <c r="C2256" s="51">
        <v>1.022</v>
      </c>
      <c r="D2256" s="51">
        <v>64.0</v>
      </c>
      <c r="E2256" s="52" t="s">
        <v>25</v>
      </c>
      <c r="F2256" s="52" t="s">
        <v>26</v>
      </c>
      <c r="G2256" s="53"/>
    </row>
    <row r="2257">
      <c r="A2257" s="49">
        <v>44536.19274135417</v>
      </c>
      <c r="B2257" s="50">
        <v>44536.3177040277</v>
      </c>
      <c r="C2257" s="51">
        <v>1.022</v>
      </c>
      <c r="D2257" s="51">
        <v>64.0</v>
      </c>
      <c r="E2257" s="52" t="s">
        <v>25</v>
      </c>
      <c r="F2257" s="52" t="s">
        <v>26</v>
      </c>
      <c r="G2257" s="53"/>
    </row>
    <row r="2258">
      <c r="A2258" s="49">
        <v>44536.20314784722</v>
      </c>
      <c r="B2258" s="50">
        <v>44536.3281252199</v>
      </c>
      <c r="C2258" s="51">
        <v>1.022</v>
      </c>
      <c r="D2258" s="51">
        <v>64.0</v>
      </c>
      <c r="E2258" s="52" t="s">
        <v>25</v>
      </c>
      <c r="F2258" s="52" t="s">
        <v>26</v>
      </c>
      <c r="G2258" s="53"/>
    </row>
    <row r="2259">
      <c r="A2259" s="49">
        <v>44536.21356365741</v>
      </c>
      <c r="B2259" s="50">
        <v>44536.3385459375</v>
      </c>
      <c r="C2259" s="51">
        <v>1.022</v>
      </c>
      <c r="D2259" s="51">
        <v>64.0</v>
      </c>
      <c r="E2259" s="52" t="s">
        <v>25</v>
      </c>
      <c r="F2259" s="52" t="s">
        <v>26</v>
      </c>
      <c r="G2259" s="53"/>
    </row>
    <row r="2260">
      <c r="A2260" s="49">
        <v>44536.22398898148</v>
      </c>
      <c r="B2260" s="50">
        <v>44536.3489664351</v>
      </c>
      <c r="C2260" s="51">
        <v>1.022</v>
      </c>
      <c r="D2260" s="51">
        <v>64.0</v>
      </c>
      <c r="E2260" s="52" t="s">
        <v>25</v>
      </c>
      <c r="F2260" s="52" t="s">
        <v>26</v>
      </c>
      <c r="G2260" s="53"/>
    </row>
    <row r="2261">
      <c r="A2261" s="49">
        <v>44536.23440710648</v>
      </c>
      <c r="B2261" s="50">
        <v>44536.359388993</v>
      </c>
      <c r="C2261" s="51">
        <v>1.022</v>
      </c>
      <c r="D2261" s="51">
        <v>64.0</v>
      </c>
      <c r="E2261" s="52" t="s">
        <v>25</v>
      </c>
      <c r="F2261" s="52" t="s">
        <v>26</v>
      </c>
      <c r="G2261" s="53"/>
    </row>
    <row r="2262">
      <c r="A2262" s="49">
        <v>44536.244837962964</v>
      </c>
      <c r="B2262" s="50">
        <v>44536.3698118749</v>
      </c>
      <c r="C2262" s="51">
        <v>1.022</v>
      </c>
      <c r="D2262" s="51">
        <v>64.0</v>
      </c>
      <c r="E2262" s="52" t="s">
        <v>25</v>
      </c>
      <c r="F2262" s="52" t="s">
        <v>26</v>
      </c>
      <c r="G2262" s="53"/>
    </row>
    <row r="2263">
      <c r="A2263" s="49">
        <v>44536.255317766205</v>
      </c>
      <c r="B2263" s="50">
        <v>44536.3802561574</v>
      </c>
      <c r="C2263" s="51">
        <v>1.022</v>
      </c>
      <c r="D2263" s="51">
        <v>64.0</v>
      </c>
      <c r="E2263" s="52" t="s">
        <v>25</v>
      </c>
      <c r="F2263" s="52" t="s">
        <v>26</v>
      </c>
      <c r="G2263" s="53"/>
    </row>
    <row r="2264">
      <c r="A2264" s="49">
        <v>44536.26571868056</v>
      </c>
      <c r="B2264" s="50">
        <v>44536.3906900463</v>
      </c>
      <c r="C2264" s="51">
        <v>1.022</v>
      </c>
      <c r="D2264" s="51">
        <v>64.0</v>
      </c>
      <c r="E2264" s="52" t="s">
        <v>25</v>
      </c>
      <c r="F2264" s="52" t="s">
        <v>26</v>
      </c>
      <c r="G2264" s="53"/>
    </row>
    <row r="2265">
      <c r="A2265" s="49">
        <v>44536.27613587963</v>
      </c>
      <c r="B2265" s="50">
        <v>44536.4011113541</v>
      </c>
      <c r="C2265" s="51">
        <v>1.022</v>
      </c>
      <c r="D2265" s="51">
        <v>64.0</v>
      </c>
      <c r="E2265" s="52" t="s">
        <v>25</v>
      </c>
      <c r="F2265" s="52" t="s">
        <v>26</v>
      </c>
      <c r="G2265" s="53"/>
    </row>
    <row r="2266">
      <c r="A2266" s="49">
        <v>44536.28656260417</v>
      </c>
      <c r="B2266" s="50">
        <v>44536.4115335763</v>
      </c>
      <c r="C2266" s="51">
        <v>1.022</v>
      </c>
      <c r="D2266" s="51">
        <v>64.0</v>
      </c>
      <c r="E2266" s="52" t="s">
        <v>25</v>
      </c>
      <c r="F2266" s="52" t="s">
        <v>26</v>
      </c>
      <c r="G2266" s="53"/>
    </row>
    <row r="2267">
      <c r="A2267" s="49">
        <v>44536.29697729167</v>
      </c>
      <c r="B2267" s="50">
        <v>44536.4219549652</v>
      </c>
      <c r="C2267" s="51">
        <v>1.022</v>
      </c>
      <c r="D2267" s="51">
        <v>64.0</v>
      </c>
      <c r="E2267" s="52" t="s">
        <v>25</v>
      </c>
      <c r="F2267" s="52" t="s">
        <v>26</v>
      </c>
      <c r="G2267" s="53"/>
    </row>
    <row r="2268">
      <c r="A2268" s="49">
        <v>44536.30740935185</v>
      </c>
      <c r="B2268" s="50">
        <v>44536.432377118</v>
      </c>
      <c r="C2268" s="51">
        <v>1.022</v>
      </c>
      <c r="D2268" s="51">
        <v>64.0</v>
      </c>
      <c r="E2268" s="52" t="s">
        <v>25</v>
      </c>
      <c r="F2268" s="52" t="s">
        <v>26</v>
      </c>
      <c r="G2268" s="53"/>
    </row>
    <row r="2269">
      <c r="A2269" s="49">
        <v>44536.31782327546</v>
      </c>
      <c r="B2269" s="50">
        <v>44536.4427980671</v>
      </c>
      <c r="C2269" s="51">
        <v>1.022</v>
      </c>
      <c r="D2269" s="51">
        <v>64.0</v>
      </c>
      <c r="E2269" s="52" t="s">
        <v>25</v>
      </c>
      <c r="F2269" s="52" t="s">
        <v>26</v>
      </c>
      <c r="G2269" s="53"/>
    </row>
    <row r="2270">
      <c r="A2270" s="49">
        <v>44536.32825482639</v>
      </c>
      <c r="B2270" s="50">
        <v>44536.45321978</v>
      </c>
      <c r="C2270" s="51">
        <v>1.022</v>
      </c>
      <c r="D2270" s="51">
        <v>64.0</v>
      </c>
      <c r="E2270" s="52" t="s">
        <v>25</v>
      </c>
      <c r="F2270" s="52" t="s">
        <v>26</v>
      </c>
      <c r="G2270" s="53"/>
    </row>
    <row r="2271">
      <c r="A2271" s="49">
        <v>44536.33866208333</v>
      </c>
      <c r="B2271" s="50">
        <v>44536.4636401273</v>
      </c>
      <c r="C2271" s="51">
        <v>1.022</v>
      </c>
      <c r="D2271" s="51">
        <v>64.0</v>
      </c>
      <c r="E2271" s="52" t="s">
        <v>25</v>
      </c>
      <c r="F2271" s="52" t="s">
        <v>26</v>
      </c>
      <c r="G2271" s="53"/>
    </row>
    <row r="2272">
      <c r="A2272" s="49">
        <v>44536.34907707176</v>
      </c>
      <c r="B2272" s="50">
        <v>44536.4740615277</v>
      </c>
      <c r="C2272" s="51">
        <v>1.022</v>
      </c>
      <c r="D2272" s="51">
        <v>64.0</v>
      </c>
      <c r="E2272" s="52" t="s">
        <v>25</v>
      </c>
      <c r="F2272" s="52" t="s">
        <v>26</v>
      </c>
      <c r="G2272" s="53"/>
    </row>
    <row r="2273">
      <c r="A2273" s="49">
        <v>44536.35951328704</v>
      </c>
      <c r="B2273" s="50">
        <v>44536.484484155</v>
      </c>
      <c r="C2273" s="51">
        <v>1.022</v>
      </c>
      <c r="D2273" s="51">
        <v>64.0</v>
      </c>
      <c r="E2273" s="52" t="s">
        <v>25</v>
      </c>
      <c r="F2273" s="52" t="s">
        <v>26</v>
      </c>
      <c r="G2273" s="53"/>
    </row>
    <row r="2274">
      <c r="A2274" s="49">
        <v>44536.369937870375</v>
      </c>
      <c r="B2274" s="50">
        <v>44536.4949075462</v>
      </c>
      <c r="C2274" s="51">
        <v>1.022</v>
      </c>
      <c r="D2274" s="51">
        <v>64.0</v>
      </c>
      <c r="E2274" s="52" t="s">
        <v>25</v>
      </c>
      <c r="F2274" s="52" t="s">
        <v>26</v>
      </c>
      <c r="G2274" s="53"/>
    </row>
    <row r="2275">
      <c r="A2275" s="49">
        <v>44536.38035415509</v>
      </c>
      <c r="B2275" s="50">
        <v>44536.5053311458</v>
      </c>
      <c r="C2275" s="51">
        <v>1.022</v>
      </c>
      <c r="D2275" s="51">
        <v>64.0</v>
      </c>
      <c r="E2275" s="52" t="s">
        <v>25</v>
      </c>
      <c r="F2275" s="52" t="s">
        <v>26</v>
      </c>
      <c r="G2275" s="53"/>
    </row>
    <row r="2276">
      <c r="A2276" s="49">
        <v>44536.39081859954</v>
      </c>
      <c r="B2276" s="50">
        <v>44536.5157529398</v>
      </c>
      <c r="C2276" s="51">
        <v>1.022</v>
      </c>
      <c r="D2276" s="51">
        <v>64.0</v>
      </c>
      <c r="E2276" s="52" t="s">
        <v>25</v>
      </c>
      <c r="F2276" s="52" t="s">
        <v>26</v>
      </c>
      <c r="G2276" s="53"/>
    </row>
    <row r="2277">
      <c r="A2277" s="49">
        <v>44536.40120175926</v>
      </c>
      <c r="B2277" s="50">
        <v>44536.526174074</v>
      </c>
      <c r="C2277" s="51">
        <v>1.022</v>
      </c>
      <c r="D2277" s="51">
        <v>64.0</v>
      </c>
      <c r="E2277" s="52" t="s">
        <v>25</v>
      </c>
      <c r="F2277" s="52" t="s">
        <v>26</v>
      </c>
      <c r="G2277" s="53"/>
    </row>
    <row r="2278">
      <c r="A2278" s="49">
        <v>44536.41162318287</v>
      </c>
      <c r="B2278" s="50">
        <v>44536.536596493</v>
      </c>
      <c r="C2278" s="51">
        <v>1.022</v>
      </c>
      <c r="D2278" s="51">
        <v>64.0</v>
      </c>
      <c r="E2278" s="52" t="s">
        <v>25</v>
      </c>
      <c r="F2278" s="52" t="s">
        <v>26</v>
      </c>
      <c r="G2278" s="53"/>
    </row>
    <row r="2279">
      <c r="A2279" s="49">
        <v>44536.42204366898</v>
      </c>
      <c r="B2279" s="50">
        <v>44536.5470174537</v>
      </c>
      <c r="C2279" s="51">
        <v>1.022</v>
      </c>
      <c r="D2279" s="51">
        <v>64.0</v>
      </c>
      <c r="E2279" s="52" t="s">
        <v>25</v>
      </c>
      <c r="F2279" s="52" t="s">
        <v>26</v>
      </c>
      <c r="G2279" s="53"/>
    </row>
    <row r="2280">
      <c r="A2280" s="49">
        <v>44536.432486527774</v>
      </c>
      <c r="B2280" s="50">
        <v>44536.5574509259</v>
      </c>
      <c r="C2280" s="51">
        <v>1.022</v>
      </c>
      <c r="D2280" s="51">
        <v>64.0</v>
      </c>
      <c r="E2280" s="52" t="s">
        <v>25</v>
      </c>
      <c r="F2280" s="52" t="s">
        <v>26</v>
      </c>
      <c r="G2280" s="53"/>
    </row>
    <row r="2281">
      <c r="A2281" s="49">
        <v>44536.442895810185</v>
      </c>
      <c r="B2281" s="50">
        <v>44536.5678730324</v>
      </c>
      <c r="C2281" s="51">
        <v>1.022</v>
      </c>
      <c r="D2281" s="51">
        <v>64.0</v>
      </c>
      <c r="E2281" s="52" t="s">
        <v>25</v>
      </c>
      <c r="F2281" s="52" t="s">
        <v>26</v>
      </c>
      <c r="G2281" s="53"/>
    </row>
    <row r="2282">
      <c r="A2282" s="49">
        <v>44536.45332421296</v>
      </c>
      <c r="B2282" s="50">
        <v>44536.5782936226</v>
      </c>
      <c r="C2282" s="51">
        <v>1.022</v>
      </c>
      <c r="D2282" s="51">
        <v>64.0</v>
      </c>
      <c r="E2282" s="52" t="s">
        <v>25</v>
      </c>
      <c r="F2282" s="52" t="s">
        <v>26</v>
      </c>
      <c r="G2282" s="53"/>
    </row>
    <row r="2283">
      <c r="A2283" s="49">
        <v>44536.46374090278</v>
      </c>
      <c r="B2283" s="50">
        <v>44536.5887133796</v>
      </c>
      <c r="C2283" s="51">
        <v>1.022</v>
      </c>
      <c r="D2283" s="51">
        <v>64.0</v>
      </c>
      <c r="E2283" s="52" t="s">
        <v>25</v>
      </c>
      <c r="F2283" s="52" t="s">
        <v>26</v>
      </c>
      <c r="G2283" s="53"/>
    </row>
    <row r="2284">
      <c r="A2284" s="49">
        <v>44536.47416157408</v>
      </c>
      <c r="B2284" s="50">
        <v>44536.5991344212</v>
      </c>
      <c r="C2284" s="51">
        <v>1.022</v>
      </c>
      <c r="D2284" s="51">
        <v>64.0</v>
      </c>
      <c r="E2284" s="52" t="s">
        <v>25</v>
      </c>
      <c r="F2284" s="52" t="s">
        <v>26</v>
      </c>
      <c r="G2284" s="53"/>
    </row>
    <row r="2285">
      <c r="A2285" s="49">
        <v>44536.48457371528</v>
      </c>
      <c r="B2285" s="50">
        <v>44536.609555787</v>
      </c>
      <c r="C2285" s="51">
        <v>1.022</v>
      </c>
      <c r="D2285" s="51">
        <v>64.0</v>
      </c>
      <c r="E2285" s="52" t="s">
        <v>25</v>
      </c>
      <c r="F2285" s="52" t="s">
        <v>26</v>
      </c>
      <c r="G2285" s="53"/>
    </row>
    <row r="2286">
      <c r="A2286" s="49">
        <v>44536.49532030092</v>
      </c>
      <c r="B2286" s="50">
        <v>44536.6199751967</v>
      </c>
      <c r="C2286" s="51">
        <v>1.022</v>
      </c>
      <c r="D2286" s="51">
        <v>64.0</v>
      </c>
      <c r="E2286" s="52" t="s">
        <v>25</v>
      </c>
      <c r="F2286" s="52" t="s">
        <v>26</v>
      </c>
      <c r="G2286" s="53"/>
    </row>
    <row r="2287">
      <c r="A2287" s="49">
        <v>44536.505422372684</v>
      </c>
      <c r="B2287" s="50">
        <v>44536.6303953819</v>
      </c>
      <c r="C2287" s="51">
        <v>1.022</v>
      </c>
      <c r="D2287" s="51">
        <v>64.0</v>
      </c>
      <c r="E2287" s="52" t="s">
        <v>25</v>
      </c>
      <c r="F2287" s="52" t="s">
        <v>26</v>
      </c>
      <c r="G2287" s="53"/>
    </row>
    <row r="2288">
      <c r="A2288" s="49">
        <v>44536.51584266203</v>
      </c>
      <c r="B2288" s="50">
        <v>44536.6408172569</v>
      </c>
      <c r="C2288" s="51">
        <v>1.022</v>
      </c>
      <c r="D2288" s="51">
        <v>64.0</v>
      </c>
      <c r="E2288" s="52" t="s">
        <v>25</v>
      </c>
      <c r="F2288" s="52" t="s">
        <v>26</v>
      </c>
      <c r="G2288" s="53"/>
    </row>
    <row r="2289">
      <c r="A2289" s="49">
        <v>44536.526268912035</v>
      </c>
      <c r="B2289" s="50">
        <v>44536.6512396527</v>
      </c>
      <c r="C2289" s="51">
        <v>1.022</v>
      </c>
      <c r="D2289" s="51">
        <v>64.0</v>
      </c>
      <c r="E2289" s="52" t="s">
        <v>25</v>
      </c>
      <c r="F2289" s="52" t="s">
        <v>26</v>
      </c>
      <c r="G2289" s="53"/>
    </row>
    <row r="2290">
      <c r="A2290" s="49">
        <v>44536.536687824075</v>
      </c>
      <c r="B2290" s="50">
        <v>44536.6616602314</v>
      </c>
      <c r="C2290" s="51">
        <v>1.022</v>
      </c>
      <c r="D2290" s="51">
        <v>64.0</v>
      </c>
      <c r="E2290" s="52" t="s">
        <v>25</v>
      </c>
      <c r="F2290" s="52" t="s">
        <v>26</v>
      </c>
      <c r="G2290" s="53"/>
    </row>
    <row r="2291">
      <c r="A2291" s="49">
        <v>44536.547116747686</v>
      </c>
      <c r="B2291" s="50">
        <v>44536.672092905</v>
      </c>
      <c r="C2291" s="51">
        <v>1.022</v>
      </c>
      <c r="D2291" s="51">
        <v>64.0</v>
      </c>
      <c r="E2291" s="52" t="s">
        <v>25</v>
      </c>
      <c r="F2291" s="52" t="s">
        <v>26</v>
      </c>
      <c r="G2291" s="53"/>
    </row>
    <row r="2292">
      <c r="A2292" s="49">
        <v>44536.557551273145</v>
      </c>
      <c r="B2292" s="50">
        <v>44536.682525324</v>
      </c>
      <c r="C2292" s="51">
        <v>1.022</v>
      </c>
      <c r="D2292" s="51">
        <v>64.0</v>
      </c>
      <c r="E2292" s="52" t="s">
        <v>25</v>
      </c>
      <c r="F2292" s="52" t="s">
        <v>26</v>
      </c>
      <c r="G2292" s="53"/>
    </row>
    <row r="2293">
      <c r="A2293" s="49">
        <v>44536.56796508102</v>
      </c>
      <c r="B2293" s="50">
        <v>44536.6929472685</v>
      </c>
      <c r="C2293" s="51">
        <v>1.022</v>
      </c>
      <c r="D2293" s="51">
        <v>64.0</v>
      </c>
      <c r="E2293" s="52" t="s">
        <v>25</v>
      </c>
      <c r="F2293" s="52" t="s">
        <v>26</v>
      </c>
      <c r="G2293" s="53"/>
    </row>
    <row r="2294">
      <c r="A2294" s="49">
        <v>44536.578400694445</v>
      </c>
      <c r="B2294" s="50">
        <v>44536.7033682291</v>
      </c>
      <c r="C2294" s="51">
        <v>1.022</v>
      </c>
      <c r="D2294" s="51">
        <v>64.0</v>
      </c>
      <c r="E2294" s="52" t="s">
        <v>25</v>
      </c>
      <c r="F2294" s="52" t="s">
        <v>26</v>
      </c>
      <c r="G2294" s="53"/>
    </row>
    <row r="2295">
      <c r="A2295" s="49">
        <v>44536.58881236111</v>
      </c>
      <c r="B2295" s="50">
        <v>44536.7137896064</v>
      </c>
      <c r="C2295" s="51">
        <v>1.022</v>
      </c>
      <c r="D2295" s="51">
        <v>64.0</v>
      </c>
      <c r="E2295" s="52" t="s">
        <v>25</v>
      </c>
      <c r="F2295" s="52" t="s">
        <v>26</v>
      </c>
      <c r="G2295" s="53"/>
    </row>
    <row r="2296">
      <c r="A2296" s="49">
        <v>44536.599230775464</v>
      </c>
      <c r="B2296" s="50">
        <v>44536.7242107638</v>
      </c>
      <c r="C2296" s="51">
        <v>1.022</v>
      </c>
      <c r="D2296" s="51">
        <v>64.0</v>
      </c>
      <c r="E2296" s="52" t="s">
        <v>25</v>
      </c>
      <c r="F2296" s="52" t="s">
        <v>26</v>
      </c>
      <c r="G2296" s="53"/>
    </row>
    <row r="2297">
      <c r="A2297" s="49">
        <v>44536.60965734954</v>
      </c>
      <c r="B2297" s="50">
        <v>44536.7346307291</v>
      </c>
      <c r="C2297" s="51">
        <v>1.022</v>
      </c>
      <c r="D2297" s="51">
        <v>64.0</v>
      </c>
      <c r="E2297" s="52" t="s">
        <v>25</v>
      </c>
      <c r="F2297" s="52" t="s">
        <v>26</v>
      </c>
      <c r="G2297" s="53"/>
    </row>
    <row r="2298">
      <c r="A2298" s="49">
        <v>44536.620076493055</v>
      </c>
      <c r="B2298" s="50">
        <v>44536.7450529976</v>
      </c>
      <c r="C2298" s="51">
        <v>1.022</v>
      </c>
      <c r="D2298" s="51">
        <v>64.0</v>
      </c>
      <c r="E2298" s="52" t="s">
        <v>25</v>
      </c>
      <c r="F2298" s="52" t="s">
        <v>26</v>
      </c>
      <c r="G2298" s="53"/>
    </row>
    <row r="2299">
      <c r="A2299" s="49">
        <v>44537.07872959491</v>
      </c>
      <c r="B2299" s="50">
        <v>44537.2036925462</v>
      </c>
      <c r="C2299" s="51">
        <v>1.021</v>
      </c>
      <c r="D2299" s="51">
        <v>64.0</v>
      </c>
      <c r="E2299" s="52" t="s">
        <v>25</v>
      </c>
      <c r="F2299" s="52" t="s">
        <v>26</v>
      </c>
      <c r="G2299" s="53"/>
    </row>
    <row r="2300">
      <c r="A2300" s="49">
        <v>44537.08914236111</v>
      </c>
      <c r="B2300" s="50">
        <v>44537.2141130671</v>
      </c>
      <c r="C2300" s="51">
        <v>1.021</v>
      </c>
      <c r="D2300" s="51">
        <v>64.0</v>
      </c>
      <c r="E2300" s="52" t="s">
        <v>25</v>
      </c>
      <c r="F2300" s="52" t="s">
        <v>26</v>
      </c>
      <c r="G2300" s="53"/>
    </row>
    <row r="2301">
      <c r="A2301" s="49">
        <v>44537.099572499996</v>
      </c>
      <c r="B2301" s="50">
        <v>44537.22453478</v>
      </c>
      <c r="C2301" s="51">
        <v>1.021</v>
      </c>
      <c r="D2301" s="51">
        <v>64.0</v>
      </c>
      <c r="E2301" s="52" t="s">
        <v>25</v>
      </c>
      <c r="F2301" s="52" t="s">
        <v>26</v>
      </c>
      <c r="G2301" s="53"/>
    </row>
    <row r="2302">
      <c r="A2302" s="49">
        <v>44537.10998796296</v>
      </c>
      <c r="B2302" s="50">
        <v>44537.2349566319</v>
      </c>
      <c r="C2302" s="51">
        <v>1.021</v>
      </c>
      <c r="D2302" s="51">
        <v>64.0</v>
      </c>
      <c r="E2302" s="52" t="s">
        <v>25</v>
      </c>
      <c r="F2302" s="52" t="s">
        <v>26</v>
      </c>
      <c r="G2302" s="53"/>
    </row>
    <row r="2303">
      <c r="A2303" s="49">
        <v>44537.120416805556</v>
      </c>
      <c r="B2303" s="50">
        <v>44537.2453887963</v>
      </c>
      <c r="C2303" s="51">
        <v>1.021</v>
      </c>
      <c r="D2303" s="51">
        <v>64.0</v>
      </c>
      <c r="E2303" s="52" t="s">
        <v>25</v>
      </c>
      <c r="F2303" s="52" t="s">
        <v>26</v>
      </c>
      <c r="G2303" s="53"/>
    </row>
    <row r="2304">
      <c r="A2304" s="49">
        <v>44537.1308640162</v>
      </c>
      <c r="B2304" s="50">
        <v>44537.2558216203</v>
      </c>
      <c r="C2304" s="51">
        <v>1.021</v>
      </c>
      <c r="D2304" s="51">
        <v>64.0</v>
      </c>
      <c r="E2304" s="52" t="s">
        <v>25</v>
      </c>
      <c r="F2304" s="52" t="s">
        <v>26</v>
      </c>
      <c r="G2304" s="53"/>
    </row>
    <row r="2305">
      <c r="A2305" s="49">
        <v>44537.1412810301</v>
      </c>
      <c r="B2305" s="50">
        <v>44537.2662433796</v>
      </c>
      <c r="C2305" s="51">
        <v>1.021</v>
      </c>
      <c r="D2305" s="51">
        <v>64.0</v>
      </c>
      <c r="E2305" s="52" t="s">
        <v>25</v>
      </c>
      <c r="F2305" s="52" t="s">
        <v>26</v>
      </c>
      <c r="G2305" s="53"/>
    </row>
    <row r="2306">
      <c r="A2306" s="49">
        <v>44537.15170328703</v>
      </c>
      <c r="B2306" s="50">
        <v>44537.2766650347</v>
      </c>
      <c r="C2306" s="51">
        <v>1.021</v>
      </c>
      <c r="D2306" s="51">
        <v>64.0</v>
      </c>
      <c r="E2306" s="52" t="s">
        <v>25</v>
      </c>
      <c r="F2306" s="52" t="s">
        <v>26</v>
      </c>
      <c r="G2306" s="53"/>
    </row>
    <row r="2307">
      <c r="A2307" s="49">
        <v>44537.16212658565</v>
      </c>
      <c r="B2307" s="50">
        <v>44537.2870958796</v>
      </c>
      <c r="C2307" s="51">
        <v>1.021</v>
      </c>
      <c r="D2307" s="51">
        <v>64.0</v>
      </c>
      <c r="E2307" s="52" t="s">
        <v>25</v>
      </c>
      <c r="F2307" s="52" t="s">
        <v>26</v>
      </c>
      <c r="G2307" s="53"/>
    </row>
    <row r="2308">
      <c r="A2308" s="49">
        <v>44537.17255942129</v>
      </c>
      <c r="B2308" s="50">
        <v>44537.2975173263</v>
      </c>
      <c r="C2308" s="51">
        <v>1.021</v>
      </c>
      <c r="D2308" s="51">
        <v>64.0</v>
      </c>
      <c r="E2308" s="52" t="s">
        <v>25</v>
      </c>
      <c r="F2308" s="52" t="s">
        <v>26</v>
      </c>
      <c r="G2308" s="53"/>
    </row>
    <row r="2309">
      <c r="A2309" s="49">
        <v>44537.182971064816</v>
      </c>
      <c r="B2309" s="50">
        <v>44537.3079392129</v>
      </c>
      <c r="C2309" s="51">
        <v>1.021</v>
      </c>
      <c r="D2309" s="51">
        <v>64.0</v>
      </c>
      <c r="E2309" s="52" t="s">
        <v>25</v>
      </c>
      <c r="F2309" s="52" t="s">
        <v>26</v>
      </c>
      <c r="G2309" s="53"/>
    </row>
    <row r="2310">
      <c r="A2310" s="49">
        <v>44537.19339170139</v>
      </c>
      <c r="B2310" s="50">
        <v>44537.3183611921</v>
      </c>
      <c r="C2310" s="51">
        <v>1.021</v>
      </c>
      <c r="D2310" s="51">
        <v>64.0</v>
      </c>
      <c r="E2310" s="52" t="s">
        <v>25</v>
      </c>
      <c r="F2310" s="52" t="s">
        <v>26</v>
      </c>
      <c r="G2310" s="53"/>
    </row>
    <row r="2311">
      <c r="A2311" s="49">
        <v>44537.20381584491</v>
      </c>
      <c r="B2311" s="50">
        <v>44537.3287836921</v>
      </c>
      <c r="C2311" s="51">
        <v>1.021</v>
      </c>
      <c r="D2311" s="51">
        <v>64.0</v>
      </c>
      <c r="E2311" s="52" t="s">
        <v>25</v>
      </c>
      <c r="F2311" s="52" t="s">
        <v>26</v>
      </c>
      <c r="G2311" s="53"/>
    </row>
    <row r="2312">
      <c r="A2312" s="49">
        <v>44537.214239189816</v>
      </c>
      <c r="B2312" s="50">
        <v>44537.3392166666</v>
      </c>
      <c r="C2312" s="51">
        <v>1.021</v>
      </c>
      <c r="D2312" s="51">
        <v>64.0</v>
      </c>
      <c r="E2312" s="52" t="s">
        <v>25</v>
      </c>
      <c r="F2312" s="52" t="s">
        <v>26</v>
      </c>
      <c r="G2312" s="53"/>
    </row>
    <row r="2313">
      <c r="A2313" s="49">
        <v>44537.22467777778</v>
      </c>
      <c r="B2313" s="50">
        <v>44537.3496379629</v>
      </c>
      <c r="C2313" s="51">
        <v>1.021</v>
      </c>
      <c r="D2313" s="51">
        <v>64.0</v>
      </c>
      <c r="E2313" s="52" t="s">
        <v>25</v>
      </c>
      <c r="F2313" s="52" t="s">
        <v>26</v>
      </c>
      <c r="G2313" s="53"/>
    </row>
    <row r="2314">
      <c r="A2314" s="49">
        <v>44537.2350950463</v>
      </c>
      <c r="B2314" s="50">
        <v>44537.3600589351</v>
      </c>
      <c r="C2314" s="51">
        <v>1.021</v>
      </c>
      <c r="D2314" s="51">
        <v>64.0</v>
      </c>
      <c r="E2314" s="52" t="s">
        <v>25</v>
      </c>
      <c r="F2314" s="52" t="s">
        <v>26</v>
      </c>
      <c r="G2314" s="53"/>
    </row>
    <row r="2315">
      <c r="A2315" s="49">
        <v>44537.24551283565</v>
      </c>
      <c r="B2315" s="50">
        <v>44537.3704814699</v>
      </c>
      <c r="C2315" s="51">
        <v>1.021</v>
      </c>
      <c r="D2315" s="51">
        <v>64.0</v>
      </c>
      <c r="E2315" s="52" t="s">
        <v>25</v>
      </c>
      <c r="F2315" s="52" t="s">
        <v>26</v>
      </c>
      <c r="G2315" s="53"/>
    </row>
    <row r="2316">
      <c r="A2316" s="49">
        <v>44537.255932361106</v>
      </c>
      <c r="B2316" s="50">
        <v>44537.3809043171</v>
      </c>
      <c r="C2316" s="51">
        <v>1.021</v>
      </c>
      <c r="D2316" s="51">
        <v>64.0</v>
      </c>
      <c r="E2316" s="52" t="s">
        <v>25</v>
      </c>
      <c r="F2316" s="52" t="s">
        <v>26</v>
      </c>
      <c r="G2316" s="53"/>
    </row>
    <row r="2317">
      <c r="A2317" s="49">
        <v>44537.26635543982</v>
      </c>
      <c r="B2317" s="50">
        <v>44537.3913244675</v>
      </c>
      <c r="C2317" s="51">
        <v>1.021</v>
      </c>
      <c r="D2317" s="51">
        <v>64.0</v>
      </c>
      <c r="E2317" s="52" t="s">
        <v>25</v>
      </c>
      <c r="F2317" s="52" t="s">
        <v>26</v>
      </c>
      <c r="G2317" s="53"/>
    </row>
    <row r="2318">
      <c r="A2318" s="49">
        <v>44537.27677010417</v>
      </c>
      <c r="B2318" s="50">
        <v>44537.4017442939</v>
      </c>
      <c r="C2318" s="51">
        <v>1.021</v>
      </c>
      <c r="D2318" s="51">
        <v>64.0</v>
      </c>
      <c r="E2318" s="52" t="s">
        <v>25</v>
      </c>
      <c r="F2318" s="52" t="s">
        <v>26</v>
      </c>
      <c r="G2318" s="53"/>
    </row>
    <row r="2319">
      <c r="A2319" s="49">
        <v>44537.28720041667</v>
      </c>
      <c r="B2319" s="50">
        <v>44537.4121657754</v>
      </c>
      <c r="C2319" s="51">
        <v>1.021</v>
      </c>
      <c r="D2319" s="51">
        <v>64.0</v>
      </c>
      <c r="E2319" s="52" t="s">
        <v>25</v>
      </c>
      <c r="F2319" s="52" t="s">
        <v>26</v>
      </c>
      <c r="G2319" s="53"/>
    </row>
    <row r="2320">
      <c r="A2320" s="49">
        <v>44537.29762431713</v>
      </c>
      <c r="B2320" s="50">
        <v>44537.4225852546</v>
      </c>
      <c r="C2320" s="51">
        <v>1.021</v>
      </c>
      <c r="D2320" s="51">
        <v>64.0</v>
      </c>
      <c r="E2320" s="52" t="s">
        <v>25</v>
      </c>
      <c r="F2320" s="52" t="s">
        <v>26</v>
      </c>
      <c r="G2320" s="53"/>
    </row>
    <row r="2321">
      <c r="A2321" s="49">
        <v>44537.30803712963</v>
      </c>
      <c r="B2321" s="50">
        <v>44537.4330069791</v>
      </c>
      <c r="C2321" s="51">
        <v>1.021</v>
      </c>
      <c r="D2321" s="51">
        <v>64.0</v>
      </c>
      <c r="E2321" s="52" t="s">
        <v>25</v>
      </c>
      <c r="F2321" s="52" t="s">
        <v>26</v>
      </c>
      <c r="G2321" s="53"/>
    </row>
    <row r="2322">
      <c r="A2322" s="49">
        <v>44537.31844984954</v>
      </c>
      <c r="B2322" s="50">
        <v>44537.4434272337</v>
      </c>
      <c r="C2322" s="51">
        <v>1.021</v>
      </c>
      <c r="D2322" s="51">
        <v>64.0</v>
      </c>
      <c r="E2322" s="52" t="s">
        <v>25</v>
      </c>
      <c r="F2322" s="52" t="s">
        <v>26</v>
      </c>
      <c r="G2322" s="53"/>
    </row>
    <row r="2323">
      <c r="A2323" s="49">
        <v>44537.32891056713</v>
      </c>
      <c r="B2323" s="50">
        <v>44537.453858912</v>
      </c>
      <c r="C2323" s="51">
        <v>1.021</v>
      </c>
      <c r="D2323" s="51">
        <v>64.0</v>
      </c>
      <c r="E2323" s="52" t="s">
        <v>25</v>
      </c>
      <c r="F2323" s="52" t="s">
        <v>26</v>
      </c>
      <c r="G2323" s="53"/>
    </row>
    <row r="2324">
      <c r="A2324" s="49">
        <v>44537.33931438657</v>
      </c>
      <c r="B2324" s="50">
        <v>44537.4642830324</v>
      </c>
      <c r="C2324" s="51">
        <v>1.021</v>
      </c>
      <c r="D2324" s="51">
        <v>64.0</v>
      </c>
      <c r="E2324" s="52" t="s">
        <v>25</v>
      </c>
      <c r="F2324" s="52" t="s">
        <v>26</v>
      </c>
      <c r="G2324" s="53"/>
    </row>
    <row r="2325">
      <c r="A2325" s="49">
        <v>44537.3497343287</v>
      </c>
      <c r="B2325" s="50">
        <v>44537.474702581</v>
      </c>
      <c r="C2325" s="51">
        <v>1.021</v>
      </c>
      <c r="D2325" s="51">
        <v>64.0</v>
      </c>
      <c r="E2325" s="52" t="s">
        <v>25</v>
      </c>
      <c r="F2325" s="52" t="s">
        <v>26</v>
      </c>
      <c r="G2325" s="53"/>
    </row>
    <row r="2326">
      <c r="A2326" s="49">
        <v>44537.36015446759</v>
      </c>
      <c r="B2326" s="50">
        <v>44537.4851243055</v>
      </c>
      <c r="C2326" s="51">
        <v>1.021</v>
      </c>
      <c r="D2326" s="51">
        <v>64.0</v>
      </c>
      <c r="E2326" s="52" t="s">
        <v>25</v>
      </c>
      <c r="F2326" s="52" t="s">
        <v>26</v>
      </c>
      <c r="G2326" s="53"/>
    </row>
    <row r="2327">
      <c r="A2327" s="49">
        <v>44537.37058282408</v>
      </c>
      <c r="B2327" s="50">
        <v>44537.4955454976</v>
      </c>
      <c r="C2327" s="51">
        <v>1.021</v>
      </c>
      <c r="D2327" s="51">
        <v>64.0</v>
      </c>
      <c r="E2327" s="52" t="s">
        <v>25</v>
      </c>
      <c r="F2327" s="52" t="s">
        <v>26</v>
      </c>
      <c r="G2327" s="53"/>
    </row>
    <row r="2328">
      <c r="A2328" s="49">
        <v>44537.38099810186</v>
      </c>
      <c r="B2328" s="50">
        <v>44537.505966875</v>
      </c>
      <c r="C2328" s="51">
        <v>1.021</v>
      </c>
      <c r="D2328" s="51">
        <v>64.0</v>
      </c>
      <c r="E2328" s="52" t="s">
        <v>25</v>
      </c>
      <c r="F2328" s="52" t="s">
        <v>26</v>
      </c>
      <c r="G2328" s="53"/>
    </row>
    <row r="2329">
      <c r="A2329" s="49">
        <v>44537.39141943287</v>
      </c>
      <c r="B2329" s="50">
        <v>44537.5163877083</v>
      </c>
      <c r="C2329" s="51">
        <v>1.021</v>
      </c>
      <c r="D2329" s="51">
        <v>64.0</v>
      </c>
      <c r="E2329" s="52" t="s">
        <v>25</v>
      </c>
      <c r="F2329" s="52" t="s">
        <v>26</v>
      </c>
      <c r="G2329" s="53"/>
    </row>
    <row r="2330">
      <c r="A2330" s="49">
        <v>44537.40183815973</v>
      </c>
      <c r="B2330" s="50">
        <v>44537.5268065972</v>
      </c>
      <c r="C2330" s="51">
        <v>1.021</v>
      </c>
      <c r="D2330" s="51">
        <v>64.0</v>
      </c>
      <c r="E2330" s="52" t="s">
        <v>25</v>
      </c>
      <c r="F2330" s="52" t="s">
        <v>26</v>
      </c>
      <c r="G2330" s="53"/>
    </row>
    <row r="2331">
      <c r="A2331" s="49">
        <v>44537.41225459491</v>
      </c>
      <c r="B2331" s="50">
        <v>44537.5372272453</v>
      </c>
      <c r="C2331" s="51">
        <v>1.021</v>
      </c>
      <c r="D2331" s="51">
        <v>64.0</v>
      </c>
      <c r="E2331" s="52" t="s">
        <v>25</v>
      </c>
      <c r="F2331" s="52" t="s">
        <v>26</v>
      </c>
      <c r="G2331" s="53"/>
    </row>
    <row r="2332">
      <c r="A2332" s="49">
        <v>44537.42268020833</v>
      </c>
      <c r="B2332" s="50">
        <v>44537.5476478935</v>
      </c>
      <c r="C2332" s="51">
        <v>1.021</v>
      </c>
      <c r="D2332" s="51">
        <v>64.0</v>
      </c>
      <c r="E2332" s="52" t="s">
        <v>25</v>
      </c>
      <c r="F2332" s="52" t="s">
        <v>26</v>
      </c>
      <c r="G2332" s="53"/>
    </row>
    <row r="2333">
      <c r="A2333" s="49">
        <v>44537.43310357639</v>
      </c>
      <c r="B2333" s="50">
        <v>44537.5580707407</v>
      </c>
      <c r="C2333" s="51">
        <v>1.021</v>
      </c>
      <c r="D2333" s="51">
        <v>64.0</v>
      </c>
      <c r="E2333" s="52" t="s">
        <v>25</v>
      </c>
      <c r="F2333" s="52" t="s">
        <v>26</v>
      </c>
      <c r="G2333" s="53"/>
    </row>
    <row r="2334">
      <c r="A2334" s="49">
        <v>44537.44352001157</v>
      </c>
      <c r="B2334" s="50">
        <v>44537.5684921527</v>
      </c>
      <c r="C2334" s="51">
        <v>1.021</v>
      </c>
      <c r="D2334" s="51">
        <v>64.0</v>
      </c>
      <c r="E2334" s="52" t="s">
        <v>25</v>
      </c>
      <c r="F2334" s="52" t="s">
        <v>26</v>
      </c>
      <c r="G2334" s="53"/>
    </row>
    <row r="2335">
      <c r="A2335" s="49">
        <v>44537.4539515162</v>
      </c>
      <c r="B2335" s="50">
        <v>44537.5789132175</v>
      </c>
      <c r="C2335" s="51">
        <v>1.021</v>
      </c>
      <c r="D2335" s="51">
        <v>64.0</v>
      </c>
      <c r="E2335" s="52" t="s">
        <v>25</v>
      </c>
      <c r="F2335" s="52" t="s">
        <v>26</v>
      </c>
      <c r="G2335" s="53"/>
    </row>
    <row r="2336">
      <c r="A2336" s="49">
        <v>44537.46440162037</v>
      </c>
      <c r="B2336" s="50">
        <v>44537.5893700347</v>
      </c>
      <c r="C2336" s="51">
        <v>1.021</v>
      </c>
      <c r="D2336" s="51">
        <v>64.0</v>
      </c>
      <c r="E2336" s="52" t="s">
        <v>25</v>
      </c>
      <c r="F2336" s="52" t="s">
        <v>26</v>
      </c>
      <c r="G2336" s="53"/>
    </row>
    <row r="2337">
      <c r="A2337" s="49">
        <v>44537.474815740745</v>
      </c>
      <c r="B2337" s="50">
        <v>44537.5997923263</v>
      </c>
      <c r="C2337" s="51">
        <v>1.021</v>
      </c>
      <c r="D2337" s="51">
        <v>64.0</v>
      </c>
      <c r="E2337" s="52" t="s">
        <v>25</v>
      </c>
      <c r="F2337" s="52" t="s">
        <v>26</v>
      </c>
      <c r="G2337" s="53"/>
    </row>
    <row r="2338">
      <c r="A2338" s="49">
        <v>44537.48529840278</v>
      </c>
      <c r="B2338" s="50">
        <v>44537.6102138425</v>
      </c>
      <c r="C2338" s="51">
        <v>1.021</v>
      </c>
      <c r="D2338" s="51">
        <v>64.0</v>
      </c>
      <c r="E2338" s="52" t="s">
        <v>25</v>
      </c>
      <c r="F2338" s="52" t="s">
        <v>26</v>
      </c>
      <c r="G2338" s="53"/>
    </row>
    <row r="2339">
      <c r="A2339" s="49">
        <v>44537.49566434028</v>
      </c>
      <c r="B2339" s="50">
        <v>44537.620635081</v>
      </c>
      <c r="C2339" s="51">
        <v>1.021</v>
      </c>
      <c r="D2339" s="51">
        <v>64.0</v>
      </c>
      <c r="E2339" s="52" t="s">
        <v>25</v>
      </c>
      <c r="F2339" s="52" t="s">
        <v>26</v>
      </c>
      <c r="G2339" s="53"/>
    </row>
    <row r="2340">
      <c r="A2340" s="49">
        <v>44537.506083217595</v>
      </c>
      <c r="B2340" s="50">
        <v>44537.6310552314</v>
      </c>
      <c r="C2340" s="51">
        <v>1.021</v>
      </c>
      <c r="D2340" s="51">
        <v>64.0</v>
      </c>
      <c r="E2340" s="52" t="s">
        <v>25</v>
      </c>
      <c r="F2340" s="52" t="s">
        <v>26</v>
      </c>
      <c r="G2340" s="53"/>
    </row>
    <row r="2341">
      <c r="A2341" s="49">
        <v>44537.516507673616</v>
      </c>
      <c r="B2341" s="50">
        <v>44537.641474699</v>
      </c>
      <c r="C2341" s="51">
        <v>1.021</v>
      </c>
      <c r="D2341" s="51">
        <v>64.0</v>
      </c>
      <c r="E2341" s="52" t="s">
        <v>25</v>
      </c>
      <c r="F2341" s="52" t="s">
        <v>26</v>
      </c>
      <c r="G2341" s="53"/>
    </row>
    <row r="2342">
      <c r="A2342" s="49">
        <v>44537.52692556713</v>
      </c>
      <c r="B2342" s="50">
        <v>44537.6518949768</v>
      </c>
      <c r="C2342" s="51">
        <v>1.021</v>
      </c>
      <c r="D2342" s="51">
        <v>64.0</v>
      </c>
      <c r="E2342" s="52" t="s">
        <v>25</v>
      </c>
      <c r="F2342" s="52" t="s">
        <v>26</v>
      </c>
      <c r="G2342" s="53"/>
    </row>
    <row r="2343">
      <c r="A2343" s="49">
        <v>44537.53736231482</v>
      </c>
      <c r="B2343" s="50">
        <v>44537.6623265856</v>
      </c>
      <c r="C2343" s="51">
        <v>1.021</v>
      </c>
      <c r="D2343" s="51">
        <v>64.0</v>
      </c>
      <c r="E2343" s="52" t="s">
        <v>25</v>
      </c>
      <c r="F2343" s="52" t="s">
        <v>26</v>
      </c>
      <c r="G2343" s="53"/>
    </row>
    <row r="2344">
      <c r="A2344" s="49">
        <v>44537.5477781713</v>
      </c>
      <c r="B2344" s="50">
        <v>44537.6727478009</v>
      </c>
      <c r="C2344" s="51">
        <v>1.021</v>
      </c>
      <c r="D2344" s="51">
        <v>64.0</v>
      </c>
      <c r="E2344" s="52" t="s">
        <v>25</v>
      </c>
      <c r="F2344" s="52" t="s">
        <v>26</v>
      </c>
      <c r="G2344" s="53"/>
    </row>
    <row r="2345">
      <c r="A2345" s="49">
        <v>44537.55819649306</v>
      </c>
      <c r="B2345" s="50">
        <v>44537.6831671527</v>
      </c>
      <c r="C2345" s="51">
        <v>1.02</v>
      </c>
      <c r="D2345" s="51">
        <v>64.0</v>
      </c>
      <c r="E2345" s="52" t="s">
        <v>25</v>
      </c>
      <c r="F2345" s="52" t="s">
        <v>26</v>
      </c>
      <c r="G2345" s="53"/>
    </row>
    <row r="2346">
      <c r="A2346" s="49">
        <v>44537.568613379626</v>
      </c>
      <c r="B2346" s="50">
        <v>44537.6935878935</v>
      </c>
      <c r="C2346" s="51">
        <v>1.021</v>
      </c>
      <c r="D2346" s="51">
        <v>64.0</v>
      </c>
      <c r="E2346" s="52" t="s">
        <v>25</v>
      </c>
      <c r="F2346" s="52" t="s">
        <v>26</v>
      </c>
      <c r="G2346" s="53"/>
    </row>
    <row r="2347">
      <c r="A2347" s="49">
        <v>44537.57903443287</v>
      </c>
      <c r="B2347" s="50">
        <v>44537.7040103356</v>
      </c>
      <c r="C2347" s="51">
        <v>1.02</v>
      </c>
      <c r="D2347" s="51">
        <v>64.0</v>
      </c>
      <c r="E2347" s="52" t="s">
        <v>25</v>
      </c>
      <c r="F2347" s="52" t="s">
        <v>26</v>
      </c>
      <c r="G2347" s="53"/>
    </row>
    <row r="2348">
      <c r="A2348" s="49">
        <v>44537.589450150466</v>
      </c>
      <c r="B2348" s="50">
        <v>44537.7144316203</v>
      </c>
      <c r="C2348" s="51">
        <v>1.021</v>
      </c>
      <c r="D2348" s="51">
        <v>64.0</v>
      </c>
      <c r="E2348" s="52" t="s">
        <v>25</v>
      </c>
      <c r="F2348" s="52" t="s">
        <v>26</v>
      </c>
      <c r="G2348" s="53"/>
    </row>
    <row r="2349">
      <c r="A2349" s="49">
        <v>44537.5998828125</v>
      </c>
      <c r="B2349" s="50">
        <v>44537.7248524537</v>
      </c>
      <c r="C2349" s="51">
        <v>1.021</v>
      </c>
      <c r="D2349" s="51">
        <v>64.0</v>
      </c>
      <c r="E2349" s="52" t="s">
        <v>25</v>
      </c>
      <c r="F2349" s="52" t="s">
        <v>26</v>
      </c>
      <c r="G2349" s="53"/>
    </row>
    <row r="2350">
      <c r="A2350" s="49">
        <v>44537.61029130787</v>
      </c>
      <c r="B2350" s="50">
        <v>44537.7352721412</v>
      </c>
      <c r="C2350" s="51">
        <v>1.021</v>
      </c>
      <c r="D2350" s="51">
        <v>64.0</v>
      </c>
      <c r="E2350" s="52" t="s">
        <v>25</v>
      </c>
      <c r="F2350" s="52" t="s">
        <v>26</v>
      </c>
      <c r="G2350" s="53"/>
    </row>
    <row r="2351">
      <c r="A2351" s="49">
        <v>44537.620717025464</v>
      </c>
      <c r="B2351" s="50">
        <v>44537.7456944328</v>
      </c>
      <c r="C2351" s="51">
        <v>1.021</v>
      </c>
      <c r="D2351" s="51">
        <v>64.0</v>
      </c>
      <c r="E2351" s="52" t="s">
        <v>25</v>
      </c>
      <c r="F2351" s="52" t="s">
        <v>26</v>
      </c>
      <c r="G2351" s="53"/>
    </row>
    <row r="2352">
      <c r="A2352" s="49">
        <v>44537.63116534722</v>
      </c>
      <c r="B2352" s="50">
        <v>44537.7561374652</v>
      </c>
      <c r="C2352" s="51">
        <v>1.02</v>
      </c>
      <c r="D2352" s="51">
        <v>64.0</v>
      </c>
      <c r="E2352" s="52" t="s">
        <v>25</v>
      </c>
      <c r="F2352" s="52" t="s">
        <v>26</v>
      </c>
      <c r="G2352" s="53"/>
    </row>
    <row r="2353">
      <c r="A2353" s="49">
        <v>44537.64160962963</v>
      </c>
      <c r="B2353" s="50">
        <v>44537.7665698495</v>
      </c>
      <c r="C2353" s="51">
        <v>1.021</v>
      </c>
      <c r="D2353" s="51">
        <v>64.0</v>
      </c>
      <c r="E2353" s="52" t="s">
        <v>25</v>
      </c>
      <c r="F2353" s="52" t="s">
        <v>26</v>
      </c>
      <c r="G2353" s="53"/>
    </row>
    <row r="2354">
      <c r="A2354" s="49">
        <v>44537.65201820602</v>
      </c>
      <c r="B2354" s="50">
        <v>44537.7769894097</v>
      </c>
      <c r="C2354" s="51">
        <v>1.021</v>
      </c>
      <c r="D2354" s="51">
        <v>64.0</v>
      </c>
      <c r="E2354" s="52" t="s">
        <v>25</v>
      </c>
      <c r="F2354" s="52" t="s">
        <v>26</v>
      </c>
      <c r="G2354" s="53"/>
    </row>
    <row r="2355">
      <c r="A2355" s="49">
        <v>44537.66243872685</v>
      </c>
      <c r="B2355" s="50">
        <v>44537.7874100694</v>
      </c>
      <c r="C2355" s="51">
        <v>1.021</v>
      </c>
      <c r="D2355" s="51">
        <v>64.0</v>
      </c>
      <c r="E2355" s="52" t="s">
        <v>25</v>
      </c>
      <c r="F2355" s="52" t="s">
        <v>26</v>
      </c>
      <c r="G2355" s="53"/>
    </row>
    <row r="2356">
      <c r="A2356" s="49">
        <v>44537.67285212963</v>
      </c>
      <c r="B2356" s="50">
        <v>44537.7978323263</v>
      </c>
      <c r="C2356" s="51">
        <v>1.021</v>
      </c>
      <c r="D2356" s="51">
        <v>64.0</v>
      </c>
      <c r="E2356" s="52" t="s">
        <v>25</v>
      </c>
      <c r="F2356" s="52" t="s">
        <v>26</v>
      </c>
      <c r="G2356" s="53"/>
    </row>
    <row r="2357">
      <c r="A2357" s="49">
        <v>44537.683271041664</v>
      </c>
      <c r="B2357" s="50">
        <v>44537.808252905</v>
      </c>
      <c r="C2357" s="51">
        <v>1.021</v>
      </c>
      <c r="D2357" s="51">
        <v>64.0</v>
      </c>
      <c r="E2357" s="52" t="s">
        <v>25</v>
      </c>
      <c r="F2357" s="52" t="s">
        <v>26</v>
      </c>
      <c r="G2357" s="53"/>
    </row>
    <row r="2358">
      <c r="A2358" s="49">
        <v>44537.69370134259</v>
      </c>
      <c r="B2358" s="50">
        <v>44537.8186734259</v>
      </c>
      <c r="C2358" s="51">
        <v>1.021</v>
      </c>
      <c r="D2358" s="51">
        <v>64.0</v>
      </c>
      <c r="E2358" s="52" t="s">
        <v>25</v>
      </c>
      <c r="F2358" s="52" t="s">
        <v>26</v>
      </c>
      <c r="G2358" s="53"/>
    </row>
    <row r="2359">
      <c r="A2359" s="49">
        <v>44537.7041215625</v>
      </c>
      <c r="B2359" s="50">
        <v>44537.8290946643</v>
      </c>
      <c r="C2359" s="51">
        <v>1.021</v>
      </c>
      <c r="D2359" s="51">
        <v>64.0</v>
      </c>
      <c r="E2359" s="52" t="s">
        <v>25</v>
      </c>
      <c r="F2359" s="52" t="s">
        <v>26</v>
      </c>
      <c r="G2359" s="53"/>
    </row>
    <row r="2360">
      <c r="A2360" s="49">
        <v>44537.714538935186</v>
      </c>
      <c r="B2360" s="50">
        <v>44537.8395148263</v>
      </c>
      <c r="C2360" s="51">
        <v>1.021</v>
      </c>
      <c r="D2360" s="51">
        <v>64.0</v>
      </c>
      <c r="E2360" s="52" t="s">
        <v>25</v>
      </c>
      <c r="F2360" s="52" t="s">
        <v>26</v>
      </c>
      <c r="G2360" s="53"/>
    </row>
    <row r="2361">
      <c r="A2361" s="49">
        <v>44537.724956817125</v>
      </c>
      <c r="B2361" s="50">
        <v>44537.8499340856</v>
      </c>
      <c r="C2361" s="51">
        <v>1.021</v>
      </c>
      <c r="D2361" s="51">
        <v>64.0</v>
      </c>
      <c r="E2361" s="52" t="s">
        <v>25</v>
      </c>
      <c r="F2361" s="52" t="s">
        <v>26</v>
      </c>
      <c r="G2361" s="53"/>
    </row>
    <row r="2362">
      <c r="A2362" s="49">
        <v>44537.735410671296</v>
      </c>
      <c r="B2362" s="50">
        <v>44537.8603910763</v>
      </c>
      <c r="C2362" s="51">
        <v>1.021</v>
      </c>
      <c r="D2362" s="51">
        <v>64.0</v>
      </c>
      <c r="E2362" s="52" t="s">
        <v>25</v>
      </c>
      <c r="F2362" s="52" t="s">
        <v>26</v>
      </c>
      <c r="G2362" s="53"/>
    </row>
    <row r="2363">
      <c r="A2363" s="49">
        <v>44537.74583403935</v>
      </c>
      <c r="B2363" s="50">
        <v>44537.8708129282</v>
      </c>
      <c r="C2363" s="51">
        <v>1.02</v>
      </c>
      <c r="D2363" s="51">
        <v>64.0</v>
      </c>
      <c r="E2363" s="52" t="s">
        <v>25</v>
      </c>
      <c r="F2363" s="52" t="s">
        <v>26</v>
      </c>
      <c r="G2363" s="53"/>
    </row>
    <row r="2364">
      <c r="A2364" s="49">
        <v>44537.75625726852</v>
      </c>
      <c r="B2364" s="50">
        <v>44537.8812327199</v>
      </c>
      <c r="C2364" s="51">
        <v>1.021</v>
      </c>
      <c r="D2364" s="51">
        <v>64.0</v>
      </c>
      <c r="E2364" s="52" t="s">
        <v>25</v>
      </c>
      <c r="F2364" s="52" t="s">
        <v>26</v>
      </c>
      <c r="G2364" s="53"/>
    </row>
    <row r="2365">
      <c r="A2365" s="49">
        <v>44537.766676851854</v>
      </c>
      <c r="B2365" s="50">
        <v>44537.8916539351</v>
      </c>
      <c r="C2365" s="51">
        <v>1.02</v>
      </c>
      <c r="D2365" s="51">
        <v>64.0</v>
      </c>
      <c r="E2365" s="52" t="s">
        <v>25</v>
      </c>
      <c r="F2365" s="52" t="s">
        <v>26</v>
      </c>
      <c r="G2365" s="53"/>
    </row>
    <row r="2366">
      <c r="A2366" s="49">
        <v>44537.77709686343</v>
      </c>
      <c r="B2366" s="50">
        <v>44537.9020744097</v>
      </c>
      <c r="C2366" s="51">
        <v>1.021</v>
      </c>
      <c r="D2366" s="51">
        <v>64.0</v>
      </c>
      <c r="E2366" s="52" t="s">
        <v>25</v>
      </c>
      <c r="F2366" s="52" t="s">
        <v>26</v>
      </c>
      <c r="G2366" s="53"/>
    </row>
    <row r="2367">
      <c r="A2367" s="49">
        <v>44537.7875152662</v>
      </c>
      <c r="B2367" s="50">
        <v>44537.912495243</v>
      </c>
      <c r="C2367" s="51">
        <v>1.02</v>
      </c>
      <c r="D2367" s="51">
        <v>64.0</v>
      </c>
      <c r="E2367" s="52" t="s">
        <v>25</v>
      </c>
      <c r="F2367" s="52" t="s">
        <v>26</v>
      </c>
      <c r="G2367" s="53"/>
    </row>
    <row r="2368">
      <c r="A2368" s="49">
        <v>44537.79795490741</v>
      </c>
      <c r="B2368" s="50">
        <v>44537.9229278356</v>
      </c>
      <c r="C2368" s="51">
        <v>1.021</v>
      </c>
      <c r="D2368" s="51">
        <v>64.0</v>
      </c>
      <c r="E2368" s="52" t="s">
        <v>25</v>
      </c>
      <c r="F2368" s="52" t="s">
        <v>26</v>
      </c>
      <c r="G2368" s="53"/>
    </row>
    <row r="2369">
      <c r="A2369" s="49">
        <v>44537.808377071764</v>
      </c>
      <c r="B2369" s="50">
        <v>44537.9333492592</v>
      </c>
      <c r="C2369" s="51">
        <v>1.021</v>
      </c>
      <c r="D2369" s="51">
        <v>64.0</v>
      </c>
      <c r="E2369" s="52" t="s">
        <v>25</v>
      </c>
      <c r="F2369" s="52" t="s">
        <v>26</v>
      </c>
      <c r="G2369" s="53"/>
    </row>
    <row r="2370">
      <c r="A2370" s="49">
        <v>44537.818819085645</v>
      </c>
      <c r="B2370" s="50">
        <v>44537.9437942592</v>
      </c>
      <c r="C2370" s="51">
        <v>1.02</v>
      </c>
      <c r="D2370" s="51">
        <v>64.0</v>
      </c>
      <c r="E2370" s="52" t="s">
        <v>25</v>
      </c>
      <c r="F2370" s="52" t="s">
        <v>26</v>
      </c>
      <c r="G2370" s="53"/>
    </row>
    <row r="2371">
      <c r="A2371" s="49">
        <v>44537.82924122685</v>
      </c>
      <c r="B2371" s="50">
        <v>44537.9542156134</v>
      </c>
      <c r="C2371" s="51">
        <v>1.021</v>
      </c>
      <c r="D2371" s="51">
        <v>64.0</v>
      </c>
      <c r="E2371" s="52" t="s">
        <v>25</v>
      </c>
      <c r="F2371" s="52" t="s">
        <v>26</v>
      </c>
      <c r="G2371" s="53"/>
    </row>
    <row r="2372">
      <c r="A2372" s="49">
        <v>44537.839673703704</v>
      </c>
      <c r="B2372" s="50">
        <v>44537.9646474884</v>
      </c>
      <c r="C2372" s="51">
        <v>1.02</v>
      </c>
      <c r="D2372" s="51">
        <v>64.0</v>
      </c>
      <c r="E2372" s="52" t="s">
        <v>25</v>
      </c>
      <c r="F2372" s="52" t="s">
        <v>26</v>
      </c>
      <c r="G2372" s="53"/>
    </row>
    <row r="2373">
      <c r="A2373" s="49">
        <v>44537.85010452547</v>
      </c>
      <c r="B2373" s="50">
        <v>44537.9750801967</v>
      </c>
      <c r="C2373" s="51">
        <v>1.021</v>
      </c>
      <c r="D2373" s="51">
        <v>64.0</v>
      </c>
      <c r="E2373" s="52" t="s">
        <v>25</v>
      </c>
      <c r="F2373" s="52" t="s">
        <v>26</v>
      </c>
      <c r="G2373" s="53"/>
    </row>
    <row r="2374">
      <c r="A2374" s="49">
        <v>44537.860524675925</v>
      </c>
      <c r="B2374" s="50">
        <v>44537.9855008796</v>
      </c>
      <c r="C2374" s="51">
        <v>1.021</v>
      </c>
      <c r="D2374" s="51">
        <v>64.0</v>
      </c>
      <c r="E2374" s="52" t="s">
        <v>25</v>
      </c>
      <c r="F2374" s="52" t="s">
        <v>26</v>
      </c>
      <c r="G2374" s="53"/>
    </row>
    <row r="2375">
      <c r="A2375" s="49">
        <v>44537.87095626157</v>
      </c>
      <c r="B2375" s="50">
        <v>44537.9959238194</v>
      </c>
      <c r="C2375" s="51">
        <v>1.02</v>
      </c>
      <c r="D2375" s="51">
        <v>64.0</v>
      </c>
      <c r="E2375" s="52" t="s">
        <v>25</v>
      </c>
      <c r="F2375" s="52" t="s">
        <v>26</v>
      </c>
      <c r="G2375" s="53"/>
    </row>
    <row r="2376">
      <c r="A2376" s="49">
        <v>44537.8813715625</v>
      </c>
      <c r="B2376" s="50">
        <v>44538.0063466782</v>
      </c>
      <c r="C2376" s="51">
        <v>1.021</v>
      </c>
      <c r="D2376" s="51">
        <v>64.0</v>
      </c>
      <c r="E2376" s="52" t="s">
        <v>25</v>
      </c>
      <c r="F2376" s="52" t="s">
        <v>26</v>
      </c>
      <c r="G2376" s="53"/>
    </row>
    <row r="2377">
      <c r="A2377" s="49">
        <v>44537.89179678241</v>
      </c>
      <c r="B2377" s="50">
        <v>44538.0167679745</v>
      </c>
      <c r="C2377" s="51">
        <v>1.021</v>
      </c>
      <c r="D2377" s="51">
        <v>64.0</v>
      </c>
      <c r="E2377" s="52" t="s">
        <v>25</v>
      </c>
      <c r="F2377" s="52" t="s">
        <v>26</v>
      </c>
      <c r="G2377" s="53"/>
    </row>
    <row r="2378">
      <c r="A2378" s="49">
        <v>44537.902216400464</v>
      </c>
      <c r="B2378" s="50">
        <v>44538.0271883333</v>
      </c>
      <c r="C2378" s="51">
        <v>1.02</v>
      </c>
      <c r="D2378" s="51">
        <v>64.0</v>
      </c>
      <c r="E2378" s="52" t="s">
        <v>25</v>
      </c>
      <c r="F2378" s="52" t="s">
        <v>26</v>
      </c>
      <c r="G2378" s="53"/>
    </row>
    <row r="2379">
      <c r="A2379" s="49">
        <v>44537.91263332176</v>
      </c>
      <c r="B2379" s="50">
        <v>44538.0376092592</v>
      </c>
      <c r="C2379" s="51">
        <v>1.021</v>
      </c>
      <c r="D2379" s="51">
        <v>64.0</v>
      </c>
      <c r="E2379" s="52" t="s">
        <v>25</v>
      </c>
      <c r="F2379" s="52" t="s">
        <v>26</v>
      </c>
      <c r="G2379" s="53"/>
    </row>
    <row r="2380">
      <c r="A2380" s="49">
        <v>44537.9230522338</v>
      </c>
      <c r="B2380" s="50">
        <v>44538.0480324421</v>
      </c>
      <c r="C2380" s="51">
        <v>1.02</v>
      </c>
      <c r="D2380" s="51">
        <v>64.0</v>
      </c>
      <c r="E2380" s="52" t="s">
        <v>25</v>
      </c>
      <c r="F2380" s="52" t="s">
        <v>26</v>
      </c>
      <c r="G2380" s="53"/>
    </row>
    <row r="2381">
      <c r="A2381" s="49">
        <v>44537.9334758912</v>
      </c>
      <c r="B2381" s="50">
        <v>44538.0584535069</v>
      </c>
      <c r="C2381" s="51">
        <v>1.021</v>
      </c>
      <c r="D2381" s="51">
        <v>64.0</v>
      </c>
      <c r="E2381" s="52" t="s">
        <v>25</v>
      </c>
      <c r="F2381" s="52" t="s">
        <v>26</v>
      </c>
      <c r="G2381" s="53"/>
    </row>
    <row r="2382">
      <c r="A2382" s="49">
        <v>44537.943900162034</v>
      </c>
      <c r="B2382" s="50">
        <v>44538.0688747106</v>
      </c>
      <c r="C2382" s="51">
        <v>1.021</v>
      </c>
      <c r="D2382" s="51">
        <v>64.0</v>
      </c>
      <c r="E2382" s="52" t="s">
        <v>25</v>
      </c>
      <c r="F2382" s="52" t="s">
        <v>26</v>
      </c>
      <c r="G2382" s="53"/>
    </row>
    <row r="2383">
      <c r="A2383" s="49">
        <v>44537.9543253588</v>
      </c>
      <c r="B2383" s="50">
        <v>44538.0792965393</v>
      </c>
      <c r="C2383" s="51">
        <v>1.02</v>
      </c>
      <c r="D2383" s="51">
        <v>64.0</v>
      </c>
      <c r="E2383" s="52" t="s">
        <v>25</v>
      </c>
      <c r="F2383" s="52" t="s">
        <v>26</v>
      </c>
      <c r="G2383" s="53"/>
    </row>
    <row r="2384">
      <c r="A2384" s="49">
        <v>44537.96474811343</v>
      </c>
      <c r="B2384" s="50">
        <v>44538.0897180671</v>
      </c>
      <c r="C2384" s="51">
        <v>1.02</v>
      </c>
      <c r="D2384" s="51">
        <v>64.0</v>
      </c>
      <c r="E2384" s="52" t="s">
        <v>25</v>
      </c>
      <c r="F2384" s="52" t="s">
        <v>26</v>
      </c>
      <c r="G2384" s="53"/>
    </row>
    <row r="2385">
      <c r="A2385" s="49">
        <v>44537.97518521991</v>
      </c>
      <c r="B2385" s="50">
        <v>44538.100149456</v>
      </c>
      <c r="C2385" s="51">
        <v>1.02</v>
      </c>
      <c r="D2385" s="51">
        <v>64.0</v>
      </c>
      <c r="E2385" s="52" t="s">
        <v>25</v>
      </c>
      <c r="F2385" s="52" t="s">
        <v>26</v>
      </c>
      <c r="G2385" s="53"/>
    </row>
    <row r="2386">
      <c r="A2386" s="49">
        <v>44537.98559664351</v>
      </c>
      <c r="B2386" s="50">
        <v>44538.1105707291</v>
      </c>
      <c r="C2386" s="51">
        <v>1.02</v>
      </c>
      <c r="D2386" s="51">
        <v>64.0</v>
      </c>
      <c r="E2386" s="52" t="s">
        <v>25</v>
      </c>
      <c r="F2386" s="52" t="s">
        <v>26</v>
      </c>
      <c r="G2386" s="53"/>
    </row>
    <row r="2387">
      <c r="A2387" s="49">
        <v>44537.996019259255</v>
      </c>
      <c r="B2387" s="50">
        <v>44538.1209902893</v>
      </c>
      <c r="C2387" s="51">
        <v>1.02</v>
      </c>
      <c r="D2387" s="51">
        <v>64.0</v>
      </c>
      <c r="E2387" s="52" t="s">
        <v>25</v>
      </c>
      <c r="F2387" s="52" t="s">
        <v>26</v>
      </c>
      <c r="G2387" s="53"/>
    </row>
    <row r="2388">
      <c r="A2388" s="49">
        <v>44538.00644736111</v>
      </c>
      <c r="B2388" s="50">
        <v>44538.1314230324</v>
      </c>
      <c r="C2388" s="51">
        <v>1.02</v>
      </c>
      <c r="D2388" s="51">
        <v>64.0</v>
      </c>
      <c r="E2388" s="52" t="s">
        <v>25</v>
      </c>
      <c r="F2388" s="52" t="s">
        <v>26</v>
      </c>
      <c r="G2388" s="53"/>
    </row>
    <row r="2389">
      <c r="A2389" s="49">
        <v>44538.01686449074</v>
      </c>
      <c r="B2389" s="50">
        <v>44538.1418450694</v>
      </c>
      <c r="C2389" s="51">
        <v>1.02</v>
      </c>
      <c r="D2389" s="51">
        <v>64.0</v>
      </c>
      <c r="E2389" s="52" t="s">
        <v>25</v>
      </c>
      <c r="F2389" s="52" t="s">
        <v>26</v>
      </c>
      <c r="G2389" s="53"/>
    </row>
    <row r="2390">
      <c r="A2390" s="49">
        <v>44538.02729716436</v>
      </c>
      <c r="B2390" s="50">
        <v>44538.1522668518</v>
      </c>
      <c r="C2390" s="51">
        <v>1.02</v>
      </c>
      <c r="D2390" s="51">
        <v>64.0</v>
      </c>
      <c r="E2390" s="52" t="s">
        <v>25</v>
      </c>
      <c r="F2390" s="52" t="s">
        <v>26</v>
      </c>
      <c r="G2390" s="53"/>
    </row>
    <row r="2391">
      <c r="A2391" s="49">
        <v>44538.037712523146</v>
      </c>
      <c r="B2391" s="50">
        <v>44538.1626881481</v>
      </c>
      <c r="C2391" s="51">
        <v>1.02</v>
      </c>
      <c r="D2391" s="51">
        <v>64.0</v>
      </c>
      <c r="E2391" s="52" t="s">
        <v>25</v>
      </c>
      <c r="F2391" s="52" t="s">
        <v>26</v>
      </c>
      <c r="G2391" s="53"/>
    </row>
    <row r="2392">
      <c r="A2392" s="49">
        <v>44538.04813200231</v>
      </c>
      <c r="B2392" s="50">
        <v>44538.1731092129</v>
      </c>
      <c r="C2392" s="51">
        <v>1.02</v>
      </c>
      <c r="D2392" s="51">
        <v>64.0</v>
      </c>
      <c r="E2392" s="52" t="s">
        <v>25</v>
      </c>
      <c r="F2392" s="52" t="s">
        <v>26</v>
      </c>
      <c r="G2392" s="53"/>
    </row>
    <row r="2393">
      <c r="A2393" s="49">
        <v>44538.058585798615</v>
      </c>
      <c r="B2393" s="50">
        <v>44538.1835306944</v>
      </c>
      <c r="C2393" s="51">
        <v>1.02</v>
      </c>
      <c r="D2393" s="51">
        <v>64.0</v>
      </c>
      <c r="E2393" s="52" t="s">
        <v>25</v>
      </c>
      <c r="F2393" s="52" t="s">
        <v>26</v>
      </c>
      <c r="G2393" s="53"/>
    </row>
    <row r="2394">
      <c r="A2394" s="49">
        <v>44538.0689890162</v>
      </c>
      <c r="B2394" s="50">
        <v>44538.1939647453</v>
      </c>
      <c r="C2394" s="51">
        <v>1.02</v>
      </c>
      <c r="D2394" s="51">
        <v>63.0</v>
      </c>
      <c r="E2394" s="52" t="s">
        <v>25</v>
      </c>
      <c r="F2394" s="52" t="s">
        <v>26</v>
      </c>
      <c r="G2394" s="53"/>
    </row>
    <row r="2395">
      <c r="A2395" s="49">
        <v>44538.0794181713</v>
      </c>
      <c r="B2395" s="50">
        <v>44538.2043965277</v>
      </c>
      <c r="C2395" s="51">
        <v>1.02</v>
      </c>
      <c r="D2395" s="51">
        <v>64.0</v>
      </c>
      <c r="E2395" s="52" t="s">
        <v>25</v>
      </c>
      <c r="F2395" s="52" t="s">
        <v>26</v>
      </c>
      <c r="G2395" s="53"/>
    </row>
    <row r="2396">
      <c r="A2396" s="49">
        <v>44538.089835300925</v>
      </c>
      <c r="B2396" s="50">
        <v>44538.2148178703</v>
      </c>
      <c r="C2396" s="51">
        <v>1.02</v>
      </c>
      <c r="D2396" s="51">
        <v>64.0</v>
      </c>
      <c r="E2396" s="52" t="s">
        <v>25</v>
      </c>
      <c r="F2396" s="52" t="s">
        <v>26</v>
      </c>
      <c r="G2396" s="53"/>
    </row>
    <row r="2397">
      <c r="A2397" s="49">
        <v>44538.100267511574</v>
      </c>
      <c r="B2397" s="50">
        <v>44538.2252378703</v>
      </c>
      <c r="C2397" s="51">
        <v>1.02</v>
      </c>
      <c r="D2397" s="51">
        <v>63.0</v>
      </c>
      <c r="E2397" s="52" t="s">
        <v>25</v>
      </c>
      <c r="F2397" s="52" t="s">
        <v>26</v>
      </c>
      <c r="G2397" s="53"/>
    </row>
    <row r="2398">
      <c r="A2398" s="49">
        <v>44538.110686921296</v>
      </c>
      <c r="B2398" s="50">
        <v>44538.2356589583</v>
      </c>
      <c r="C2398" s="51">
        <v>1.02</v>
      </c>
      <c r="D2398" s="51">
        <v>64.0</v>
      </c>
      <c r="E2398" s="52" t="s">
        <v>25</v>
      </c>
      <c r="F2398" s="52" t="s">
        <v>26</v>
      </c>
      <c r="G2398" s="53"/>
    </row>
    <row r="2399">
      <c r="A2399" s="49">
        <v>44538.12110344907</v>
      </c>
      <c r="B2399" s="50">
        <v>44538.2460806481</v>
      </c>
      <c r="C2399" s="51">
        <v>1.02</v>
      </c>
      <c r="D2399" s="51">
        <v>63.0</v>
      </c>
      <c r="E2399" s="52" t="s">
        <v>25</v>
      </c>
      <c r="F2399" s="52" t="s">
        <v>26</v>
      </c>
      <c r="G2399" s="53"/>
    </row>
    <row r="2400">
      <c r="A2400" s="49">
        <v>44538.13153368056</v>
      </c>
      <c r="B2400" s="50">
        <v>44538.2565124768</v>
      </c>
      <c r="C2400" s="51">
        <v>1.02</v>
      </c>
      <c r="D2400" s="51">
        <v>63.0</v>
      </c>
      <c r="E2400" s="52" t="s">
        <v>25</v>
      </c>
      <c r="F2400" s="52" t="s">
        <v>26</v>
      </c>
      <c r="G2400" s="53"/>
    </row>
    <row r="2401">
      <c r="A2401" s="49">
        <v>44538.141964594906</v>
      </c>
      <c r="B2401" s="50">
        <v>44538.2669349421</v>
      </c>
      <c r="C2401" s="51">
        <v>1.02</v>
      </c>
      <c r="D2401" s="51">
        <v>63.0</v>
      </c>
      <c r="E2401" s="52" t="s">
        <v>25</v>
      </c>
      <c r="F2401" s="52" t="s">
        <v>26</v>
      </c>
      <c r="G2401" s="53"/>
    </row>
    <row r="2402">
      <c r="A2402" s="49">
        <v>44538.15238545139</v>
      </c>
      <c r="B2402" s="50">
        <v>44538.2773561458</v>
      </c>
      <c r="C2402" s="51">
        <v>1.02</v>
      </c>
      <c r="D2402" s="51">
        <v>63.0</v>
      </c>
      <c r="E2402" s="52" t="s">
        <v>25</v>
      </c>
      <c r="F2402" s="52" t="s">
        <v>26</v>
      </c>
      <c r="G2402" s="53"/>
    </row>
    <row r="2403">
      <c r="A2403" s="49">
        <v>44538.1628031713</v>
      </c>
      <c r="B2403" s="50">
        <v>44538.2877778356</v>
      </c>
      <c r="C2403" s="51">
        <v>1.02</v>
      </c>
      <c r="D2403" s="51">
        <v>64.0</v>
      </c>
      <c r="E2403" s="52" t="s">
        <v>25</v>
      </c>
      <c r="F2403" s="52" t="s">
        <v>26</v>
      </c>
      <c r="G2403" s="53"/>
    </row>
    <row r="2404">
      <c r="A2404" s="49">
        <v>44538.173244247686</v>
      </c>
      <c r="B2404" s="50">
        <v>44538.2982111458</v>
      </c>
      <c r="C2404" s="51">
        <v>1.02</v>
      </c>
      <c r="D2404" s="51">
        <v>63.0</v>
      </c>
      <c r="E2404" s="52" t="s">
        <v>25</v>
      </c>
      <c r="F2404" s="52" t="s">
        <v>26</v>
      </c>
      <c r="G2404" s="53"/>
    </row>
    <row r="2405">
      <c r="A2405" s="49">
        <v>44538.1836724537</v>
      </c>
      <c r="B2405" s="50">
        <v>44538.3086320023</v>
      </c>
      <c r="C2405" s="51">
        <v>1.02</v>
      </c>
      <c r="D2405" s="51">
        <v>64.0</v>
      </c>
      <c r="E2405" s="52" t="s">
        <v>25</v>
      </c>
      <c r="F2405" s="52" t="s">
        <v>26</v>
      </c>
      <c r="G2405" s="53"/>
    </row>
    <row r="2406">
      <c r="A2406" s="49">
        <v>44538.19407320602</v>
      </c>
      <c r="B2406" s="50">
        <v>44538.3190523958</v>
      </c>
      <c r="C2406" s="51">
        <v>1.02</v>
      </c>
      <c r="D2406" s="51">
        <v>64.0</v>
      </c>
      <c r="E2406" s="52" t="s">
        <v>25</v>
      </c>
      <c r="F2406" s="52" t="s">
        <v>26</v>
      </c>
      <c r="G2406" s="53"/>
    </row>
    <row r="2407">
      <c r="A2407" s="49">
        <v>44538.204506145834</v>
      </c>
      <c r="B2407" s="50">
        <v>44538.3294751273</v>
      </c>
      <c r="C2407" s="51">
        <v>1.02</v>
      </c>
      <c r="D2407" s="51">
        <v>63.0</v>
      </c>
      <c r="E2407" s="52" t="s">
        <v>25</v>
      </c>
      <c r="F2407" s="52" t="s">
        <v>26</v>
      </c>
      <c r="G2407" s="53"/>
    </row>
    <row r="2408">
      <c r="A2408" s="49">
        <v>44538.21493934028</v>
      </c>
      <c r="B2408" s="50">
        <v>44538.3399080092</v>
      </c>
      <c r="C2408" s="51">
        <v>1.02</v>
      </c>
      <c r="D2408" s="51">
        <v>64.0</v>
      </c>
      <c r="E2408" s="52" t="s">
        <v>25</v>
      </c>
      <c r="F2408" s="52" t="s">
        <v>26</v>
      </c>
      <c r="G2408" s="53"/>
    </row>
    <row r="2409">
      <c r="A2409" s="49">
        <v>44538.2253466088</v>
      </c>
      <c r="B2409" s="50">
        <v>44538.3503293518</v>
      </c>
      <c r="C2409" s="51">
        <v>1.02</v>
      </c>
      <c r="D2409" s="51">
        <v>63.0</v>
      </c>
      <c r="E2409" s="52" t="s">
        <v>25</v>
      </c>
      <c r="F2409" s="52" t="s">
        <v>26</v>
      </c>
      <c r="G2409" s="53"/>
    </row>
    <row r="2410">
      <c r="A2410" s="49">
        <v>44538.23578128472</v>
      </c>
      <c r="B2410" s="50">
        <v>44538.3607511921</v>
      </c>
      <c r="C2410" s="51">
        <v>1.02</v>
      </c>
      <c r="D2410" s="51">
        <v>63.0</v>
      </c>
      <c r="E2410" s="52" t="s">
        <v>25</v>
      </c>
      <c r="F2410" s="52" t="s">
        <v>26</v>
      </c>
      <c r="G2410" s="53"/>
    </row>
    <row r="2411">
      <c r="A2411" s="49">
        <v>44538.246200208334</v>
      </c>
      <c r="B2411" s="50">
        <v>44538.37117103</v>
      </c>
      <c r="C2411" s="51">
        <v>1.02</v>
      </c>
      <c r="D2411" s="51">
        <v>63.0</v>
      </c>
      <c r="E2411" s="52" t="s">
        <v>25</v>
      </c>
      <c r="F2411" s="52" t="s">
        <v>26</v>
      </c>
      <c r="G2411" s="53"/>
    </row>
    <row r="2412">
      <c r="A2412" s="49">
        <v>44538.25662826389</v>
      </c>
      <c r="B2412" s="50">
        <v>44538.3815915509</v>
      </c>
      <c r="C2412" s="51">
        <v>1.02</v>
      </c>
      <c r="D2412" s="51">
        <v>64.0</v>
      </c>
      <c r="E2412" s="52" t="s">
        <v>25</v>
      </c>
      <c r="F2412" s="52" t="s">
        <v>26</v>
      </c>
      <c r="G2412" s="53"/>
    </row>
    <row r="2413">
      <c r="A2413" s="49">
        <v>44538.26706334491</v>
      </c>
      <c r="B2413" s="50">
        <v>44538.3920367013</v>
      </c>
      <c r="C2413" s="51">
        <v>1.02</v>
      </c>
      <c r="D2413" s="51">
        <v>63.0</v>
      </c>
      <c r="E2413" s="52" t="s">
        <v>25</v>
      </c>
      <c r="F2413" s="52" t="s">
        <v>26</v>
      </c>
      <c r="G2413" s="53"/>
    </row>
    <row r="2414">
      <c r="A2414" s="49">
        <v>44538.277495277776</v>
      </c>
      <c r="B2414" s="50">
        <v>44538.4024683564</v>
      </c>
      <c r="C2414" s="51">
        <v>1.02</v>
      </c>
      <c r="D2414" s="51">
        <v>63.0</v>
      </c>
      <c r="E2414" s="52" t="s">
        <v>25</v>
      </c>
      <c r="F2414" s="52" t="s">
        <v>26</v>
      </c>
      <c r="G2414" s="53"/>
    </row>
    <row r="2415">
      <c r="A2415" s="49">
        <v>44538.28792590278</v>
      </c>
      <c r="B2415" s="50">
        <v>44538.412887743</v>
      </c>
      <c r="C2415" s="51">
        <v>1.02</v>
      </c>
      <c r="D2415" s="51">
        <v>63.0</v>
      </c>
      <c r="E2415" s="52" t="s">
        <v>25</v>
      </c>
      <c r="F2415" s="52" t="s">
        <v>26</v>
      </c>
      <c r="G2415" s="53"/>
    </row>
    <row r="2416">
      <c r="A2416" s="49">
        <v>44538.298332129634</v>
      </c>
      <c r="B2416" s="50">
        <v>44538.4233077777</v>
      </c>
      <c r="C2416" s="51">
        <v>1.02</v>
      </c>
      <c r="D2416" s="51">
        <v>63.0</v>
      </c>
      <c r="E2416" s="52" t="s">
        <v>25</v>
      </c>
      <c r="F2416" s="52" t="s">
        <v>26</v>
      </c>
      <c r="G2416" s="53"/>
    </row>
    <row r="2417">
      <c r="A2417" s="49">
        <v>44538.308750972225</v>
      </c>
      <c r="B2417" s="50">
        <v>44538.4337293981</v>
      </c>
      <c r="C2417" s="51">
        <v>1.02</v>
      </c>
      <c r="D2417" s="51">
        <v>63.0</v>
      </c>
      <c r="E2417" s="52" t="s">
        <v>25</v>
      </c>
      <c r="F2417" s="52" t="s">
        <v>26</v>
      </c>
      <c r="G2417" s="53"/>
    </row>
    <row r="2418">
      <c r="A2418" s="49">
        <v>44538.31919318287</v>
      </c>
      <c r="B2418" s="50">
        <v>44538.4441523379</v>
      </c>
      <c r="C2418" s="51">
        <v>1.02</v>
      </c>
      <c r="D2418" s="51">
        <v>63.0</v>
      </c>
      <c r="E2418" s="52" t="s">
        <v>25</v>
      </c>
      <c r="F2418" s="52" t="s">
        <v>26</v>
      </c>
      <c r="G2418" s="53"/>
    </row>
    <row r="2419">
      <c r="A2419" s="49">
        <v>44538.32960643519</v>
      </c>
      <c r="B2419" s="50">
        <v>44538.4545744907</v>
      </c>
      <c r="C2419" s="51">
        <v>1.02</v>
      </c>
      <c r="D2419" s="51">
        <v>63.0</v>
      </c>
      <c r="E2419" s="52" t="s">
        <v>25</v>
      </c>
      <c r="F2419" s="52" t="s">
        <v>26</v>
      </c>
      <c r="G2419" s="53"/>
    </row>
    <row r="2420">
      <c r="A2420" s="49">
        <v>44538.340018726856</v>
      </c>
      <c r="B2420" s="50">
        <v>44538.4649941898</v>
      </c>
      <c r="C2420" s="51">
        <v>1.02</v>
      </c>
      <c r="D2420" s="51">
        <v>63.0</v>
      </c>
      <c r="E2420" s="52" t="s">
        <v>25</v>
      </c>
      <c r="F2420" s="52" t="s">
        <v>26</v>
      </c>
      <c r="G2420" s="53"/>
    </row>
    <row r="2421">
      <c r="A2421" s="49">
        <v>44538.35046241898</v>
      </c>
      <c r="B2421" s="50">
        <v>44538.4754165046</v>
      </c>
      <c r="C2421" s="51">
        <v>1.02</v>
      </c>
      <c r="D2421" s="51">
        <v>63.0</v>
      </c>
      <c r="E2421" s="52" t="s">
        <v>25</v>
      </c>
      <c r="F2421" s="52" t="s">
        <v>26</v>
      </c>
      <c r="G2421" s="53"/>
    </row>
    <row r="2422">
      <c r="A2422" s="49">
        <v>44538.36086509259</v>
      </c>
      <c r="B2422" s="50">
        <v>44538.4858377777</v>
      </c>
      <c r="C2422" s="51">
        <v>1.02</v>
      </c>
      <c r="D2422" s="51">
        <v>63.0</v>
      </c>
      <c r="E2422" s="52" t="s">
        <v>25</v>
      </c>
      <c r="F2422" s="52" t="s">
        <v>26</v>
      </c>
      <c r="G2422" s="53"/>
    </row>
    <row r="2423">
      <c r="A2423" s="49">
        <v>44538.371307430556</v>
      </c>
      <c r="B2423" s="50">
        <v>44538.4962828009</v>
      </c>
      <c r="C2423" s="51">
        <v>1.02</v>
      </c>
      <c r="D2423" s="51">
        <v>63.0</v>
      </c>
      <c r="E2423" s="52" t="s">
        <v>25</v>
      </c>
      <c r="F2423" s="52" t="s">
        <v>26</v>
      </c>
      <c r="G2423" s="53"/>
    </row>
    <row r="2424">
      <c r="A2424" s="49">
        <v>44538.38172450232</v>
      </c>
      <c r="B2424" s="50">
        <v>44538.5067029629</v>
      </c>
      <c r="C2424" s="51">
        <v>1.02</v>
      </c>
      <c r="D2424" s="51">
        <v>63.0</v>
      </c>
      <c r="E2424" s="52" t="s">
        <v>25</v>
      </c>
      <c r="F2424" s="52" t="s">
        <v>26</v>
      </c>
      <c r="G2424" s="53"/>
    </row>
    <row r="2425">
      <c r="A2425" s="49">
        <v>44538.39215354167</v>
      </c>
      <c r="B2425" s="50">
        <v>44538.5171247569</v>
      </c>
      <c r="C2425" s="51">
        <v>1.02</v>
      </c>
      <c r="D2425" s="51">
        <v>63.0</v>
      </c>
      <c r="E2425" s="52" t="s">
        <v>25</v>
      </c>
      <c r="F2425" s="52" t="s">
        <v>26</v>
      </c>
      <c r="G2425" s="53"/>
    </row>
    <row r="2426">
      <c r="A2426" s="49">
        <v>44538.40258166667</v>
      </c>
      <c r="B2426" s="50">
        <v>44538.5275465046</v>
      </c>
      <c r="C2426" s="51">
        <v>1.02</v>
      </c>
      <c r="D2426" s="51">
        <v>63.0</v>
      </c>
      <c r="E2426" s="52" t="s">
        <v>25</v>
      </c>
      <c r="F2426" s="52" t="s">
        <v>26</v>
      </c>
      <c r="G2426" s="53"/>
    </row>
    <row r="2427">
      <c r="A2427" s="49">
        <v>44538.41299516204</v>
      </c>
      <c r="B2427" s="50">
        <v>44538.5379675347</v>
      </c>
      <c r="C2427" s="51">
        <v>1.02</v>
      </c>
      <c r="D2427" s="51">
        <v>63.0</v>
      </c>
      <c r="E2427" s="52" t="s">
        <v>25</v>
      </c>
      <c r="F2427" s="52" t="s">
        <v>26</v>
      </c>
      <c r="G2427" s="53"/>
    </row>
    <row r="2428">
      <c r="A2428" s="49">
        <v>44538.42341908565</v>
      </c>
      <c r="B2428" s="50">
        <v>44538.5483887037</v>
      </c>
      <c r="C2428" s="51">
        <v>1.02</v>
      </c>
      <c r="D2428" s="51">
        <v>63.0</v>
      </c>
      <c r="E2428" s="52" t="s">
        <v>25</v>
      </c>
      <c r="F2428" s="52" t="s">
        <v>26</v>
      </c>
      <c r="G2428" s="53"/>
    </row>
    <row r="2429">
      <c r="A2429" s="49">
        <v>44538.43384273148</v>
      </c>
      <c r="B2429" s="50">
        <v>44538.5588109027</v>
      </c>
      <c r="C2429" s="51">
        <v>1.02</v>
      </c>
      <c r="D2429" s="51">
        <v>63.0</v>
      </c>
      <c r="E2429" s="52" t="s">
        <v>25</v>
      </c>
      <c r="F2429" s="52" t="s">
        <v>26</v>
      </c>
      <c r="G2429" s="53"/>
    </row>
    <row r="2430">
      <c r="A2430" s="49">
        <v>44538.4442809375</v>
      </c>
      <c r="B2430" s="50">
        <v>44538.5692428819</v>
      </c>
      <c r="C2430" s="51">
        <v>1.02</v>
      </c>
      <c r="D2430" s="51">
        <v>63.0</v>
      </c>
      <c r="E2430" s="52" t="s">
        <v>25</v>
      </c>
      <c r="F2430" s="52" t="s">
        <v>26</v>
      </c>
      <c r="G2430" s="53"/>
    </row>
    <row r="2431">
      <c r="A2431" s="49">
        <v>44538.454690694445</v>
      </c>
      <c r="B2431" s="50">
        <v>44538.579665324</v>
      </c>
      <c r="C2431" s="51">
        <v>1.02</v>
      </c>
      <c r="D2431" s="51">
        <v>63.0</v>
      </c>
      <c r="E2431" s="52" t="s">
        <v>25</v>
      </c>
      <c r="F2431" s="52" t="s">
        <v>26</v>
      </c>
      <c r="G2431" s="53"/>
    </row>
    <row r="2432">
      <c r="A2432" s="49">
        <v>44538.465108344906</v>
      </c>
      <c r="B2432" s="50">
        <v>44538.5900862152</v>
      </c>
      <c r="C2432" s="51">
        <v>1.02</v>
      </c>
      <c r="D2432" s="51">
        <v>63.0</v>
      </c>
      <c r="E2432" s="52" t="s">
        <v>25</v>
      </c>
      <c r="F2432" s="52" t="s">
        <v>26</v>
      </c>
      <c r="G2432" s="53"/>
    </row>
    <row r="2433">
      <c r="A2433" s="49">
        <v>44538.47552813657</v>
      </c>
      <c r="B2433" s="50">
        <v>44538.6005069444</v>
      </c>
      <c r="C2433" s="51">
        <v>1.02</v>
      </c>
      <c r="D2433" s="51">
        <v>63.0</v>
      </c>
      <c r="E2433" s="52" t="s">
        <v>25</v>
      </c>
      <c r="F2433" s="52" t="s">
        <v>26</v>
      </c>
      <c r="G2433" s="53"/>
    </row>
    <row r="2434">
      <c r="A2434" s="49">
        <v>44538.48595822917</v>
      </c>
      <c r="B2434" s="50">
        <v>44538.6109289583</v>
      </c>
      <c r="C2434" s="51">
        <v>1.02</v>
      </c>
      <c r="D2434" s="51">
        <v>63.0</v>
      </c>
      <c r="E2434" s="52" t="s">
        <v>25</v>
      </c>
      <c r="F2434" s="52" t="s">
        <v>26</v>
      </c>
      <c r="G2434" s="53"/>
    </row>
    <row r="2435">
      <c r="A2435" s="49">
        <v>44538.49637712963</v>
      </c>
      <c r="B2435" s="50">
        <v>44538.6213506828</v>
      </c>
      <c r="C2435" s="51">
        <v>1.02</v>
      </c>
      <c r="D2435" s="51">
        <v>63.0</v>
      </c>
      <c r="E2435" s="52" t="s">
        <v>25</v>
      </c>
      <c r="F2435" s="52" t="s">
        <v>26</v>
      </c>
      <c r="G2435" s="53"/>
    </row>
    <row r="2436">
      <c r="A2436" s="49">
        <v>44538.50679747685</v>
      </c>
      <c r="B2436" s="50">
        <v>44538.6317720138</v>
      </c>
      <c r="C2436" s="51">
        <v>1.02</v>
      </c>
      <c r="D2436" s="51">
        <v>63.0</v>
      </c>
      <c r="E2436" s="52" t="s">
        <v>25</v>
      </c>
      <c r="F2436" s="52" t="s">
        <v>26</v>
      </c>
      <c r="G2436" s="53"/>
    </row>
    <row r="2437">
      <c r="A2437" s="49">
        <v>44538.517226724536</v>
      </c>
      <c r="B2437" s="50">
        <v>44538.6422043634</v>
      </c>
      <c r="C2437" s="51">
        <v>1.02</v>
      </c>
      <c r="D2437" s="51">
        <v>63.0</v>
      </c>
      <c r="E2437" s="52" t="s">
        <v>25</v>
      </c>
      <c r="F2437" s="52" t="s">
        <v>26</v>
      </c>
      <c r="G2437" s="53"/>
    </row>
    <row r="2438">
      <c r="A2438" s="49">
        <v>44538.527649537034</v>
      </c>
      <c r="B2438" s="50">
        <v>44538.6526267245</v>
      </c>
      <c r="C2438" s="51">
        <v>1.02</v>
      </c>
      <c r="D2438" s="51">
        <v>63.0</v>
      </c>
      <c r="E2438" s="52" t="s">
        <v>25</v>
      </c>
      <c r="F2438" s="52" t="s">
        <v>26</v>
      </c>
      <c r="G2438" s="53"/>
    </row>
    <row r="2439">
      <c r="A2439" s="49">
        <v>44538.53808096064</v>
      </c>
      <c r="B2439" s="50">
        <v>44538.6630586805</v>
      </c>
      <c r="C2439" s="51">
        <v>1.02</v>
      </c>
      <c r="D2439" s="51">
        <v>63.0</v>
      </c>
      <c r="E2439" s="52" t="s">
        <v>25</v>
      </c>
      <c r="F2439" s="52" t="s">
        <v>26</v>
      </c>
      <c r="G2439" s="53"/>
    </row>
    <row r="2440">
      <c r="A2440" s="49">
        <v>44538.54850157407</v>
      </c>
      <c r="B2440" s="50">
        <v>44538.6734792476</v>
      </c>
      <c r="C2440" s="51">
        <v>1.02</v>
      </c>
      <c r="D2440" s="51">
        <v>63.0</v>
      </c>
      <c r="E2440" s="52" t="s">
        <v>25</v>
      </c>
      <c r="F2440" s="52" t="s">
        <v>26</v>
      </c>
      <c r="G2440" s="53"/>
    </row>
    <row r="2441">
      <c r="A2441" s="49">
        <v>44538.55894241898</v>
      </c>
      <c r="B2441" s="50">
        <v>44538.6839129398</v>
      </c>
      <c r="C2441" s="51">
        <v>1.019</v>
      </c>
      <c r="D2441" s="51">
        <v>63.0</v>
      </c>
      <c r="E2441" s="52" t="s">
        <v>25</v>
      </c>
      <c r="F2441" s="52" t="s">
        <v>26</v>
      </c>
      <c r="G2441" s="53"/>
    </row>
    <row r="2442">
      <c r="A2442" s="49">
        <v>44538.569365891206</v>
      </c>
      <c r="B2442" s="50">
        <v>44538.6943361342</v>
      </c>
      <c r="C2442" s="51">
        <v>1.02</v>
      </c>
      <c r="D2442" s="51">
        <v>63.0</v>
      </c>
      <c r="E2442" s="52" t="s">
        <v>25</v>
      </c>
      <c r="F2442" s="52" t="s">
        <v>26</v>
      </c>
      <c r="G2442" s="53"/>
    </row>
    <row r="2443">
      <c r="A2443" s="49">
        <v>44538.57978006944</v>
      </c>
      <c r="B2443" s="50">
        <v>44538.7047556712</v>
      </c>
      <c r="C2443" s="51">
        <v>1.02</v>
      </c>
      <c r="D2443" s="51">
        <v>63.0</v>
      </c>
      <c r="E2443" s="52" t="s">
        <v>25</v>
      </c>
      <c r="F2443" s="52" t="s">
        <v>26</v>
      </c>
      <c r="G2443" s="53"/>
    </row>
    <row r="2444">
      <c r="A2444" s="49">
        <v>44538.590209525464</v>
      </c>
      <c r="B2444" s="50">
        <v>44538.7151753703</v>
      </c>
      <c r="C2444" s="51">
        <v>1.02</v>
      </c>
      <c r="D2444" s="51">
        <v>63.0</v>
      </c>
      <c r="E2444" s="52" t="s">
        <v>25</v>
      </c>
      <c r="F2444" s="52" t="s">
        <v>26</v>
      </c>
      <c r="G2444" s="53"/>
    </row>
    <row r="2445">
      <c r="A2445" s="49">
        <v>44538.600617696764</v>
      </c>
      <c r="B2445" s="50">
        <v>44538.72559625</v>
      </c>
      <c r="C2445" s="51">
        <v>1.02</v>
      </c>
      <c r="D2445" s="51">
        <v>63.0</v>
      </c>
      <c r="E2445" s="52" t="s">
        <v>25</v>
      </c>
      <c r="F2445" s="52" t="s">
        <v>26</v>
      </c>
      <c r="G2445" s="53"/>
    </row>
    <row r="2446">
      <c r="A2446" s="49">
        <v>44538.61104754629</v>
      </c>
      <c r="B2446" s="50">
        <v>44538.736017824</v>
      </c>
      <c r="C2446" s="51">
        <v>1.02</v>
      </c>
      <c r="D2446" s="51">
        <v>63.0</v>
      </c>
      <c r="E2446" s="52" t="s">
        <v>25</v>
      </c>
      <c r="F2446" s="52" t="s">
        <v>26</v>
      </c>
      <c r="G2446" s="53"/>
    </row>
    <row r="2447">
      <c r="A2447" s="49">
        <v>44538.62146394676</v>
      </c>
      <c r="B2447" s="50">
        <v>44538.746438449</v>
      </c>
      <c r="C2447" s="51">
        <v>1.02</v>
      </c>
      <c r="D2447" s="51">
        <v>63.0</v>
      </c>
      <c r="E2447" s="52" t="s">
        <v>25</v>
      </c>
      <c r="F2447" s="52" t="s">
        <v>26</v>
      </c>
      <c r="G2447" s="53"/>
    </row>
    <row r="2448">
      <c r="A2448" s="49">
        <v>44538.631880879635</v>
      </c>
      <c r="B2448" s="50">
        <v>44538.75686103</v>
      </c>
      <c r="C2448" s="51">
        <v>1.02</v>
      </c>
      <c r="D2448" s="51">
        <v>63.0</v>
      </c>
      <c r="E2448" s="52" t="s">
        <v>25</v>
      </c>
      <c r="F2448" s="52" t="s">
        <v>26</v>
      </c>
      <c r="G2448" s="53"/>
    </row>
    <row r="2449">
      <c r="A2449" s="49">
        <v>44538.64230153935</v>
      </c>
      <c r="B2449" s="50">
        <v>44538.7672826504</v>
      </c>
      <c r="C2449" s="51">
        <v>1.019</v>
      </c>
      <c r="D2449" s="51">
        <v>63.0</v>
      </c>
      <c r="E2449" s="52" t="s">
        <v>25</v>
      </c>
      <c r="F2449" s="52" t="s">
        <v>26</v>
      </c>
      <c r="G2449" s="53"/>
    </row>
    <row r="2450">
      <c r="A2450" s="49">
        <v>44538.65272655092</v>
      </c>
      <c r="B2450" s="50">
        <v>44538.7777039814</v>
      </c>
      <c r="C2450" s="51">
        <v>1.02</v>
      </c>
      <c r="D2450" s="51">
        <v>63.0</v>
      </c>
      <c r="E2450" s="52" t="s">
        <v>25</v>
      </c>
      <c r="F2450" s="52" t="s">
        <v>26</v>
      </c>
      <c r="G2450" s="53"/>
    </row>
    <row r="2451">
      <c r="A2451" s="49">
        <v>44538.66314616898</v>
      </c>
      <c r="B2451" s="50">
        <v>44538.7881231134</v>
      </c>
      <c r="C2451" s="51">
        <v>1.02</v>
      </c>
      <c r="D2451" s="51">
        <v>63.0</v>
      </c>
      <c r="E2451" s="52" t="s">
        <v>25</v>
      </c>
      <c r="F2451" s="52" t="s">
        <v>26</v>
      </c>
      <c r="G2451" s="53"/>
    </row>
    <row r="2452">
      <c r="A2452" s="49">
        <v>44538.67356900463</v>
      </c>
      <c r="B2452" s="50">
        <v>44538.7985444675</v>
      </c>
      <c r="C2452" s="51">
        <v>1.02</v>
      </c>
      <c r="D2452" s="51">
        <v>63.0</v>
      </c>
      <c r="E2452" s="52" t="s">
        <v>25</v>
      </c>
      <c r="F2452" s="52" t="s">
        <v>26</v>
      </c>
      <c r="G2452" s="53"/>
    </row>
    <row r="2453">
      <c r="A2453" s="49">
        <v>44538.6839927199</v>
      </c>
      <c r="B2453" s="50">
        <v>44538.8089656481</v>
      </c>
      <c r="C2453" s="51">
        <v>1.02</v>
      </c>
      <c r="D2453" s="51">
        <v>63.0</v>
      </c>
      <c r="E2453" s="52" t="s">
        <v>25</v>
      </c>
      <c r="F2453" s="52" t="s">
        <v>26</v>
      </c>
      <c r="G2453" s="53"/>
    </row>
    <row r="2454">
      <c r="A2454" s="49">
        <v>44538.694411689816</v>
      </c>
      <c r="B2454" s="50">
        <v>44538.8193872801</v>
      </c>
      <c r="C2454" s="51">
        <v>1.019</v>
      </c>
      <c r="D2454" s="51">
        <v>63.0</v>
      </c>
      <c r="E2454" s="52" t="s">
        <v>25</v>
      </c>
      <c r="F2454" s="52" t="s">
        <v>26</v>
      </c>
      <c r="G2454" s="53"/>
    </row>
    <row r="2455">
      <c r="A2455" s="49">
        <v>44538.70483297454</v>
      </c>
      <c r="B2455" s="50">
        <v>44538.8298069444</v>
      </c>
      <c r="C2455" s="51">
        <v>1.019</v>
      </c>
      <c r="D2455" s="51">
        <v>63.0</v>
      </c>
      <c r="E2455" s="52" t="s">
        <v>25</v>
      </c>
      <c r="F2455" s="52" t="s">
        <v>26</v>
      </c>
      <c r="G2455" s="53"/>
    </row>
    <row r="2456">
      <c r="A2456" s="49">
        <v>44538.715249988425</v>
      </c>
      <c r="B2456" s="50">
        <v>44538.8402280092</v>
      </c>
      <c r="C2456" s="51">
        <v>1.019</v>
      </c>
      <c r="D2456" s="51">
        <v>63.0</v>
      </c>
      <c r="E2456" s="52" t="s">
        <v>25</v>
      </c>
      <c r="F2456" s="52" t="s">
        <v>26</v>
      </c>
      <c r="G2456" s="53"/>
    </row>
    <row r="2457">
      <c r="A2457" s="49">
        <v>44538.72568703703</v>
      </c>
      <c r="B2457" s="50">
        <v>44538.8506617592</v>
      </c>
      <c r="C2457" s="51">
        <v>1.02</v>
      </c>
      <c r="D2457" s="51">
        <v>63.0</v>
      </c>
      <c r="E2457" s="52" t="s">
        <v>25</v>
      </c>
      <c r="F2457" s="52" t="s">
        <v>26</v>
      </c>
      <c r="G2457" s="53"/>
    </row>
    <row r="2458">
      <c r="A2458" s="49">
        <v>44538.73610592593</v>
      </c>
      <c r="B2458" s="50">
        <v>44538.8610818865</v>
      </c>
      <c r="C2458" s="51">
        <v>1.02</v>
      </c>
      <c r="D2458" s="51">
        <v>63.0</v>
      </c>
      <c r="E2458" s="52" t="s">
        <v>25</v>
      </c>
      <c r="F2458" s="52" t="s">
        <v>26</v>
      </c>
      <c r="G2458" s="53"/>
    </row>
    <row r="2459">
      <c r="A2459" s="49">
        <v>44538.74652577547</v>
      </c>
      <c r="B2459" s="50">
        <v>44538.871501956</v>
      </c>
      <c r="C2459" s="51">
        <v>1.019</v>
      </c>
      <c r="D2459" s="51">
        <v>63.0</v>
      </c>
      <c r="E2459" s="52" t="s">
        <v>25</v>
      </c>
      <c r="F2459" s="52" t="s">
        <v>26</v>
      </c>
      <c r="G2459" s="53"/>
    </row>
    <row r="2460">
      <c r="A2460" s="49">
        <v>44538.75696121527</v>
      </c>
      <c r="B2460" s="50">
        <v>44538.8819356018</v>
      </c>
      <c r="C2460" s="51">
        <v>1.019</v>
      </c>
      <c r="D2460" s="51">
        <v>63.0</v>
      </c>
      <c r="E2460" s="52" t="s">
        <v>25</v>
      </c>
      <c r="F2460" s="52" t="s">
        <v>26</v>
      </c>
      <c r="G2460" s="53"/>
    </row>
    <row r="2461">
      <c r="A2461" s="49">
        <v>44538.767379490746</v>
      </c>
      <c r="B2461" s="50">
        <v>44538.8923560185</v>
      </c>
      <c r="C2461" s="51">
        <v>1.019</v>
      </c>
      <c r="D2461" s="51">
        <v>63.0</v>
      </c>
      <c r="E2461" s="52" t="s">
        <v>25</v>
      </c>
      <c r="F2461" s="52" t="s">
        <v>26</v>
      </c>
      <c r="G2461" s="53"/>
    </row>
    <row r="2462">
      <c r="A2462" s="49">
        <v>44538.77779584491</v>
      </c>
      <c r="B2462" s="50">
        <v>44538.9027772685</v>
      </c>
      <c r="C2462" s="51">
        <v>1.019</v>
      </c>
      <c r="D2462" s="51">
        <v>63.0</v>
      </c>
      <c r="E2462" s="52" t="s">
        <v>25</v>
      </c>
      <c r="F2462" s="52" t="s">
        <v>26</v>
      </c>
      <c r="G2462" s="53"/>
    </row>
    <row r="2463">
      <c r="A2463" s="49">
        <v>44538.78822833333</v>
      </c>
      <c r="B2463" s="50">
        <v>44538.9131983564</v>
      </c>
      <c r="C2463" s="51">
        <v>1.019</v>
      </c>
      <c r="D2463" s="51">
        <v>63.0</v>
      </c>
      <c r="E2463" s="52" t="s">
        <v>25</v>
      </c>
      <c r="F2463" s="52" t="s">
        <v>26</v>
      </c>
      <c r="G2463" s="53"/>
    </row>
    <row r="2464">
      <c r="A2464" s="49">
        <v>44538.79865030093</v>
      </c>
      <c r="B2464" s="50">
        <v>44538.9236202546</v>
      </c>
      <c r="C2464" s="51">
        <v>1.019</v>
      </c>
      <c r="D2464" s="51">
        <v>63.0</v>
      </c>
      <c r="E2464" s="52" t="s">
        <v>25</v>
      </c>
      <c r="F2464" s="52" t="s">
        <v>26</v>
      </c>
      <c r="G2464" s="53"/>
    </row>
    <row r="2465">
      <c r="A2465" s="49">
        <v>44538.80906987269</v>
      </c>
      <c r="B2465" s="50">
        <v>44538.934041412</v>
      </c>
      <c r="C2465" s="51">
        <v>1.019</v>
      </c>
      <c r="D2465" s="51">
        <v>63.0</v>
      </c>
      <c r="E2465" s="52" t="s">
        <v>25</v>
      </c>
      <c r="F2465" s="52" t="s">
        <v>26</v>
      </c>
      <c r="G2465" s="53"/>
    </row>
    <row r="2466">
      <c r="A2466" s="49">
        <v>44538.81948835649</v>
      </c>
      <c r="B2466" s="50">
        <v>44538.9444609953</v>
      </c>
      <c r="C2466" s="51">
        <v>1.019</v>
      </c>
      <c r="D2466" s="51">
        <v>63.0</v>
      </c>
      <c r="E2466" s="52" t="s">
        <v>25</v>
      </c>
      <c r="F2466" s="52" t="s">
        <v>26</v>
      </c>
      <c r="G2466" s="53"/>
    </row>
    <row r="2467">
      <c r="A2467" s="49">
        <v>44538.82993317129</v>
      </c>
      <c r="B2467" s="50">
        <v>44538.9549042592</v>
      </c>
      <c r="C2467" s="51">
        <v>1.019</v>
      </c>
      <c r="D2467" s="51">
        <v>63.0</v>
      </c>
      <c r="E2467" s="52" t="s">
        <v>25</v>
      </c>
      <c r="F2467" s="52" t="s">
        <v>26</v>
      </c>
      <c r="G2467" s="53"/>
    </row>
    <row r="2468">
      <c r="A2468" s="49">
        <v>44538.84035377315</v>
      </c>
      <c r="B2468" s="50">
        <v>44538.9653258796</v>
      </c>
      <c r="C2468" s="51">
        <v>1.019</v>
      </c>
      <c r="D2468" s="51">
        <v>63.0</v>
      </c>
      <c r="E2468" s="52" t="s">
        <v>25</v>
      </c>
      <c r="F2468" s="52" t="s">
        <v>26</v>
      </c>
      <c r="G2468" s="53"/>
    </row>
    <row r="2469">
      <c r="A2469" s="49">
        <v>44538.85076645833</v>
      </c>
      <c r="B2469" s="50">
        <v>44538.975748831</v>
      </c>
      <c r="C2469" s="51">
        <v>1.019</v>
      </c>
      <c r="D2469" s="51">
        <v>63.0</v>
      </c>
      <c r="E2469" s="52" t="s">
        <v>25</v>
      </c>
      <c r="F2469" s="52" t="s">
        <v>26</v>
      </c>
      <c r="G2469" s="53"/>
    </row>
    <row r="2470">
      <c r="A2470" s="49">
        <v>44538.861185092595</v>
      </c>
      <c r="B2470" s="50">
        <v>44538.986168912</v>
      </c>
      <c r="C2470" s="51">
        <v>1.019</v>
      </c>
      <c r="D2470" s="51">
        <v>63.0</v>
      </c>
      <c r="E2470" s="52" t="s">
        <v>25</v>
      </c>
      <c r="F2470" s="52" t="s">
        <v>26</v>
      </c>
      <c r="G2470" s="53"/>
    </row>
    <row r="2471">
      <c r="A2471" s="49">
        <v>44538.87162145833</v>
      </c>
      <c r="B2471" s="50">
        <v>44538.99659103</v>
      </c>
      <c r="C2471" s="51">
        <v>1.019</v>
      </c>
      <c r="D2471" s="51">
        <v>63.0</v>
      </c>
      <c r="E2471" s="52" t="s">
        <v>25</v>
      </c>
      <c r="F2471" s="52" t="s">
        <v>26</v>
      </c>
      <c r="G2471" s="53"/>
    </row>
    <row r="2472">
      <c r="A2472" s="49">
        <v>44538.88203944445</v>
      </c>
      <c r="B2472" s="50">
        <v>44539.0070110879</v>
      </c>
      <c r="C2472" s="51">
        <v>1.019</v>
      </c>
      <c r="D2472" s="51">
        <v>63.0</v>
      </c>
      <c r="E2472" s="52" t="s">
        <v>25</v>
      </c>
      <c r="F2472" s="52" t="s">
        <v>26</v>
      </c>
      <c r="G2472" s="53"/>
    </row>
    <row r="2473">
      <c r="A2473" s="49">
        <v>44538.89247740741</v>
      </c>
      <c r="B2473" s="50">
        <v>44539.0174323726</v>
      </c>
      <c r="C2473" s="51">
        <v>1.019</v>
      </c>
      <c r="D2473" s="51">
        <v>63.0</v>
      </c>
      <c r="E2473" s="52" t="s">
        <v>25</v>
      </c>
      <c r="F2473" s="52" t="s">
        <v>26</v>
      </c>
      <c r="G2473" s="53"/>
    </row>
    <row r="2474">
      <c r="A2474" s="49">
        <v>44538.902910833334</v>
      </c>
      <c r="B2474" s="50">
        <v>44539.0278663541</v>
      </c>
      <c r="C2474" s="51">
        <v>1.019</v>
      </c>
      <c r="D2474" s="51">
        <v>63.0</v>
      </c>
      <c r="E2474" s="52" t="s">
        <v>25</v>
      </c>
      <c r="F2474" s="52" t="s">
        <v>26</v>
      </c>
      <c r="G2474" s="53"/>
    </row>
    <row r="2475">
      <c r="A2475" s="49">
        <v>44538.91330758102</v>
      </c>
      <c r="B2475" s="50">
        <v>44539.0382878125</v>
      </c>
      <c r="C2475" s="51">
        <v>1.019</v>
      </c>
      <c r="D2475" s="51">
        <v>63.0</v>
      </c>
      <c r="E2475" s="52" t="s">
        <v>25</v>
      </c>
      <c r="F2475" s="52" t="s">
        <v>26</v>
      </c>
      <c r="G2475" s="53"/>
    </row>
    <row r="2476">
      <c r="A2476" s="49">
        <v>44538.923731828705</v>
      </c>
      <c r="B2476" s="50">
        <v>44539.0487089699</v>
      </c>
      <c r="C2476" s="51">
        <v>1.019</v>
      </c>
      <c r="D2476" s="51">
        <v>63.0</v>
      </c>
      <c r="E2476" s="52" t="s">
        <v>25</v>
      </c>
      <c r="F2476" s="52" t="s">
        <v>26</v>
      </c>
      <c r="G2476" s="53"/>
    </row>
    <row r="2477">
      <c r="A2477" s="49">
        <v>44538.934162453705</v>
      </c>
      <c r="B2477" s="50">
        <v>44539.0591312152</v>
      </c>
      <c r="C2477" s="51">
        <v>1.019</v>
      </c>
      <c r="D2477" s="51">
        <v>63.0</v>
      </c>
      <c r="E2477" s="52" t="s">
        <v>25</v>
      </c>
      <c r="F2477" s="52" t="s">
        <v>26</v>
      </c>
      <c r="G2477" s="53"/>
    </row>
    <row r="2478">
      <c r="A2478" s="49">
        <v>44538.94457290509</v>
      </c>
      <c r="B2478" s="50">
        <v>44539.0695521527</v>
      </c>
      <c r="C2478" s="51">
        <v>1.019</v>
      </c>
      <c r="D2478" s="51">
        <v>63.0</v>
      </c>
      <c r="E2478" s="52" t="s">
        <v>25</v>
      </c>
      <c r="F2478" s="52" t="s">
        <v>26</v>
      </c>
      <c r="G2478" s="53"/>
    </row>
    <row r="2479">
      <c r="A2479" s="49">
        <v>44538.95499866898</v>
      </c>
      <c r="B2479" s="50">
        <v>44539.0799735416</v>
      </c>
      <c r="C2479" s="51">
        <v>1.019</v>
      </c>
      <c r="D2479" s="51">
        <v>63.0</v>
      </c>
      <c r="E2479" s="52" t="s">
        <v>25</v>
      </c>
      <c r="F2479" s="52" t="s">
        <v>26</v>
      </c>
      <c r="G2479" s="53"/>
    </row>
    <row r="2480">
      <c r="A2480" s="49">
        <v>44538.96542695602</v>
      </c>
      <c r="B2480" s="50">
        <v>44539.0903934259</v>
      </c>
      <c r="C2480" s="51">
        <v>1.019</v>
      </c>
      <c r="D2480" s="51">
        <v>63.0</v>
      </c>
      <c r="E2480" s="52" t="s">
        <v>25</v>
      </c>
      <c r="F2480" s="52" t="s">
        <v>26</v>
      </c>
      <c r="G2480" s="53"/>
    </row>
    <row r="2481">
      <c r="A2481" s="49">
        <v>44538.97583570602</v>
      </c>
      <c r="B2481" s="50">
        <v>44539.1008133796</v>
      </c>
      <c r="C2481" s="51">
        <v>1.019</v>
      </c>
      <c r="D2481" s="51">
        <v>63.0</v>
      </c>
      <c r="E2481" s="52" t="s">
        <v>25</v>
      </c>
      <c r="F2481" s="52" t="s">
        <v>26</v>
      </c>
      <c r="G2481" s="53"/>
    </row>
    <row r="2482">
      <c r="A2482" s="49">
        <v>44538.98626597223</v>
      </c>
      <c r="B2482" s="50">
        <v>44539.1112351273</v>
      </c>
      <c r="C2482" s="51">
        <v>1.019</v>
      </c>
      <c r="D2482" s="51">
        <v>63.0</v>
      </c>
      <c r="E2482" s="52" t="s">
        <v>25</v>
      </c>
      <c r="F2482" s="52" t="s">
        <v>26</v>
      </c>
      <c r="G2482" s="53"/>
    </row>
    <row r="2483">
      <c r="A2483" s="49">
        <v>44538.9966853125</v>
      </c>
      <c r="B2483" s="50">
        <v>44539.1216563425</v>
      </c>
      <c r="C2483" s="51">
        <v>1.019</v>
      </c>
      <c r="D2483" s="51">
        <v>63.0</v>
      </c>
      <c r="E2483" s="52" t="s">
        <v>25</v>
      </c>
      <c r="F2483" s="52" t="s">
        <v>26</v>
      </c>
      <c r="G2483" s="53"/>
    </row>
    <row r="2484">
      <c r="A2484" s="49">
        <v>44539.00710487268</v>
      </c>
      <c r="B2484" s="50">
        <v>44539.1320779976</v>
      </c>
      <c r="C2484" s="51">
        <v>1.019</v>
      </c>
      <c r="D2484" s="51">
        <v>63.0</v>
      </c>
      <c r="E2484" s="52" t="s">
        <v>25</v>
      </c>
      <c r="F2484" s="52" t="s">
        <v>26</v>
      </c>
      <c r="G2484" s="53"/>
    </row>
    <row r="2485">
      <c r="A2485" s="49">
        <v>44539.017525104166</v>
      </c>
      <c r="B2485" s="50">
        <v>44539.1424988194</v>
      </c>
      <c r="C2485" s="51">
        <v>1.019</v>
      </c>
      <c r="D2485" s="51">
        <v>63.0</v>
      </c>
      <c r="E2485" s="52" t="s">
        <v>25</v>
      </c>
      <c r="F2485" s="52" t="s">
        <v>26</v>
      </c>
      <c r="G2485" s="53"/>
    </row>
    <row r="2486">
      <c r="A2486" s="49">
        <v>44539.02794796297</v>
      </c>
      <c r="B2486" s="50">
        <v>44539.1529216666</v>
      </c>
      <c r="C2486" s="51">
        <v>1.019</v>
      </c>
      <c r="D2486" s="51">
        <v>63.0</v>
      </c>
      <c r="E2486" s="52" t="s">
        <v>25</v>
      </c>
      <c r="F2486" s="52" t="s">
        <v>26</v>
      </c>
      <c r="G2486" s="53"/>
    </row>
    <row r="2487">
      <c r="A2487" s="49">
        <v>44539.038375104166</v>
      </c>
      <c r="B2487" s="50">
        <v>44539.163343206</v>
      </c>
      <c r="C2487" s="51">
        <v>1.019</v>
      </c>
      <c r="D2487" s="51">
        <v>63.0</v>
      </c>
      <c r="E2487" s="52" t="s">
        <v>25</v>
      </c>
      <c r="F2487" s="52" t="s">
        <v>26</v>
      </c>
      <c r="G2487" s="53"/>
    </row>
    <row r="2488">
      <c r="A2488" s="49">
        <v>44539.048798379634</v>
      </c>
      <c r="B2488" s="50">
        <v>44539.1737635648</v>
      </c>
      <c r="C2488" s="51">
        <v>1.019</v>
      </c>
      <c r="D2488" s="51">
        <v>63.0</v>
      </c>
      <c r="E2488" s="52" t="s">
        <v>25</v>
      </c>
      <c r="F2488" s="52" t="s">
        <v>26</v>
      </c>
      <c r="G2488" s="53"/>
    </row>
    <row r="2489">
      <c r="A2489" s="49">
        <v>44539.05922241898</v>
      </c>
      <c r="B2489" s="50">
        <v>44539.1841853472</v>
      </c>
      <c r="C2489" s="51">
        <v>1.019</v>
      </c>
      <c r="D2489" s="51">
        <v>63.0</v>
      </c>
      <c r="E2489" s="52" t="s">
        <v>25</v>
      </c>
      <c r="F2489" s="52" t="s">
        <v>26</v>
      </c>
      <c r="G2489" s="53"/>
    </row>
    <row r="2490">
      <c r="A2490" s="49">
        <v>44539.069631412036</v>
      </c>
      <c r="B2490" s="50">
        <v>44539.194607037</v>
      </c>
      <c r="C2490" s="51">
        <v>1.019</v>
      </c>
      <c r="D2490" s="51">
        <v>63.0</v>
      </c>
      <c r="E2490" s="52" t="s">
        <v>25</v>
      </c>
      <c r="F2490" s="52" t="s">
        <v>26</v>
      </c>
      <c r="G2490" s="53"/>
    </row>
    <row r="2491">
      <c r="A2491" s="49">
        <v>44539.08007328704</v>
      </c>
      <c r="B2491" s="50">
        <v>44539.2050412268</v>
      </c>
      <c r="C2491" s="51">
        <v>1.019</v>
      </c>
      <c r="D2491" s="51">
        <v>63.0</v>
      </c>
      <c r="E2491" s="52" t="s">
        <v>25</v>
      </c>
      <c r="F2491" s="52" t="s">
        <v>26</v>
      </c>
      <c r="G2491" s="53"/>
    </row>
    <row r="2492">
      <c r="A2492" s="49">
        <v>44539.09048644676</v>
      </c>
      <c r="B2492" s="50">
        <v>44539.2154625347</v>
      </c>
      <c r="C2492" s="51">
        <v>1.019</v>
      </c>
      <c r="D2492" s="51">
        <v>63.0</v>
      </c>
      <c r="E2492" s="52" t="s">
        <v>25</v>
      </c>
      <c r="F2492" s="52" t="s">
        <v>26</v>
      </c>
      <c r="G2492" s="53"/>
    </row>
    <row r="2493">
      <c r="A2493" s="49">
        <v>44539.101156122684</v>
      </c>
      <c r="B2493" s="50">
        <v>44539.2258948958</v>
      </c>
      <c r="C2493" s="51">
        <v>1.019</v>
      </c>
      <c r="D2493" s="51">
        <v>63.0</v>
      </c>
      <c r="E2493" s="52" t="s">
        <v>25</v>
      </c>
      <c r="F2493" s="52" t="s">
        <v>26</v>
      </c>
      <c r="G2493" s="53"/>
    </row>
    <row r="2494">
      <c r="A2494" s="49">
        <v>44539.111346261576</v>
      </c>
      <c r="B2494" s="50">
        <v>44539.2363146527</v>
      </c>
      <c r="C2494" s="51">
        <v>1.019</v>
      </c>
      <c r="D2494" s="51">
        <v>63.0</v>
      </c>
      <c r="E2494" s="52" t="s">
        <v>25</v>
      </c>
      <c r="F2494" s="52" t="s">
        <v>26</v>
      </c>
      <c r="G2494" s="53"/>
    </row>
    <row r="2495">
      <c r="A2495" s="49">
        <v>44539.1217630787</v>
      </c>
      <c r="B2495" s="50">
        <v>44539.2467372685</v>
      </c>
      <c r="C2495" s="51">
        <v>1.019</v>
      </c>
      <c r="D2495" s="51">
        <v>63.0</v>
      </c>
      <c r="E2495" s="52" t="s">
        <v>25</v>
      </c>
      <c r="F2495" s="52" t="s">
        <v>26</v>
      </c>
      <c r="G2495" s="53"/>
    </row>
    <row r="2496">
      <c r="A2496" s="49">
        <v>44539.13219783564</v>
      </c>
      <c r="B2496" s="50">
        <v>44539.2571703935</v>
      </c>
      <c r="C2496" s="51">
        <v>1.019</v>
      </c>
      <c r="D2496" s="51">
        <v>63.0</v>
      </c>
      <c r="E2496" s="52" t="s">
        <v>25</v>
      </c>
      <c r="F2496" s="52" t="s">
        <v>26</v>
      </c>
      <c r="G2496" s="53"/>
    </row>
    <row r="2497">
      <c r="A2497" s="49">
        <v>44539.14261061343</v>
      </c>
      <c r="B2497" s="50">
        <v>44539.2675891203</v>
      </c>
      <c r="C2497" s="51">
        <v>1.019</v>
      </c>
      <c r="D2497" s="51">
        <v>63.0</v>
      </c>
      <c r="E2497" s="52" t="s">
        <v>25</v>
      </c>
      <c r="F2497" s="52" t="s">
        <v>26</v>
      </c>
      <c r="G2497" s="53"/>
    </row>
    <row r="2498">
      <c r="A2498" s="49">
        <v>44539.15304104167</v>
      </c>
      <c r="B2498" s="50">
        <v>44539.2780114004</v>
      </c>
      <c r="C2498" s="51">
        <v>1.019</v>
      </c>
      <c r="D2498" s="51">
        <v>63.0</v>
      </c>
      <c r="E2498" s="52" t="s">
        <v>25</v>
      </c>
      <c r="F2498" s="52" t="s">
        <v>26</v>
      </c>
      <c r="G2498" s="53"/>
    </row>
    <row r="2499">
      <c r="A2499" s="49">
        <v>44539.16345946759</v>
      </c>
      <c r="B2499" s="50">
        <v>44539.2884303703</v>
      </c>
      <c r="C2499" s="51">
        <v>1.019</v>
      </c>
      <c r="D2499" s="51">
        <v>63.0</v>
      </c>
      <c r="E2499" s="52" t="s">
        <v>25</v>
      </c>
      <c r="F2499" s="52" t="s">
        <v>26</v>
      </c>
      <c r="G2499" s="53"/>
    </row>
    <row r="2500">
      <c r="A2500" s="49">
        <v>44539.173911481485</v>
      </c>
      <c r="B2500" s="50">
        <v>44539.2988529166</v>
      </c>
      <c r="C2500" s="51">
        <v>1.019</v>
      </c>
      <c r="D2500" s="51">
        <v>63.0</v>
      </c>
      <c r="E2500" s="52" t="s">
        <v>25</v>
      </c>
      <c r="F2500" s="52" t="s">
        <v>26</v>
      </c>
      <c r="G2500" s="53"/>
    </row>
    <row r="2501">
      <c r="A2501" s="49">
        <v>44539.1843153588</v>
      </c>
      <c r="B2501" s="50">
        <v>44539.3092864351</v>
      </c>
      <c r="C2501" s="51">
        <v>1.019</v>
      </c>
      <c r="D2501" s="51">
        <v>63.0</v>
      </c>
      <c r="E2501" s="52" t="s">
        <v>25</v>
      </c>
      <c r="F2501" s="52" t="s">
        <v>26</v>
      </c>
      <c r="G2501" s="53"/>
    </row>
    <row r="2502">
      <c r="A2502" s="49">
        <v>44539.194739108796</v>
      </c>
      <c r="B2502" s="50">
        <v>44539.3197091898</v>
      </c>
      <c r="C2502" s="51">
        <v>1.019</v>
      </c>
      <c r="D2502" s="51">
        <v>63.0</v>
      </c>
      <c r="E2502" s="52" t="s">
        <v>25</v>
      </c>
      <c r="F2502" s="52" t="s">
        <v>26</v>
      </c>
      <c r="G2502" s="53"/>
    </row>
    <row r="2503">
      <c r="A2503" s="49">
        <v>44539.20516070602</v>
      </c>
      <c r="B2503" s="50">
        <v>44539.3301304282</v>
      </c>
      <c r="C2503" s="51">
        <v>1.019</v>
      </c>
      <c r="D2503" s="51">
        <v>63.0</v>
      </c>
      <c r="E2503" s="52" t="s">
        <v>25</v>
      </c>
      <c r="F2503" s="52" t="s">
        <v>26</v>
      </c>
      <c r="G2503" s="53"/>
    </row>
    <row r="2504">
      <c r="A2504" s="49">
        <v>44539.215601874996</v>
      </c>
      <c r="B2504" s="50">
        <v>44539.3405620023</v>
      </c>
      <c r="C2504" s="51">
        <v>1.019</v>
      </c>
      <c r="D2504" s="51">
        <v>63.0</v>
      </c>
      <c r="E2504" s="52" t="s">
        <v>25</v>
      </c>
      <c r="F2504" s="52" t="s">
        <v>26</v>
      </c>
      <c r="G2504" s="53"/>
    </row>
    <row r="2505">
      <c r="A2505" s="49">
        <v>44539.22601053241</v>
      </c>
      <c r="B2505" s="50">
        <v>44539.3509808101</v>
      </c>
      <c r="C2505" s="51">
        <v>1.019</v>
      </c>
      <c r="D2505" s="51">
        <v>63.0</v>
      </c>
      <c r="E2505" s="52" t="s">
        <v>25</v>
      </c>
      <c r="F2505" s="52" t="s">
        <v>26</v>
      </c>
      <c r="G2505" s="53"/>
    </row>
    <row r="2506">
      <c r="A2506" s="49">
        <v>44539.23642189815</v>
      </c>
      <c r="B2506" s="50">
        <v>44539.361400706</v>
      </c>
      <c r="C2506" s="51">
        <v>1.019</v>
      </c>
      <c r="D2506" s="51">
        <v>63.0</v>
      </c>
      <c r="E2506" s="52" t="s">
        <v>25</v>
      </c>
      <c r="F2506" s="52" t="s">
        <v>26</v>
      </c>
      <c r="G2506" s="53"/>
    </row>
    <row r="2507">
      <c r="A2507" s="49">
        <v>44539.246862291664</v>
      </c>
      <c r="B2507" s="50">
        <v>44539.3718213194</v>
      </c>
      <c r="C2507" s="51">
        <v>1.019</v>
      </c>
      <c r="D2507" s="51">
        <v>63.0</v>
      </c>
      <c r="E2507" s="52" t="s">
        <v>25</v>
      </c>
      <c r="F2507" s="52" t="s">
        <v>26</v>
      </c>
      <c r="G2507" s="53"/>
    </row>
    <row r="2508">
      <c r="A2508" s="49">
        <v>44539.25726886574</v>
      </c>
      <c r="B2508" s="50">
        <v>44539.382240868</v>
      </c>
      <c r="C2508" s="51">
        <v>1.019</v>
      </c>
      <c r="D2508" s="51">
        <v>63.0</v>
      </c>
      <c r="E2508" s="52" t="s">
        <v>25</v>
      </c>
      <c r="F2508" s="52" t="s">
        <v>26</v>
      </c>
      <c r="G2508" s="53"/>
    </row>
    <row r="2509">
      <c r="A2509" s="49">
        <v>44539.2676881713</v>
      </c>
      <c r="B2509" s="50">
        <v>44539.3926622222</v>
      </c>
      <c r="C2509" s="51">
        <v>1.019</v>
      </c>
      <c r="D2509" s="51">
        <v>63.0</v>
      </c>
      <c r="E2509" s="52" t="s">
        <v>25</v>
      </c>
      <c r="F2509" s="52" t="s">
        <v>26</v>
      </c>
      <c r="G2509" s="53"/>
    </row>
    <row r="2510">
      <c r="A2510" s="49">
        <v>44539.27811053241</v>
      </c>
      <c r="B2510" s="50">
        <v>44539.4030827546</v>
      </c>
      <c r="C2510" s="51">
        <v>1.019</v>
      </c>
      <c r="D2510" s="51">
        <v>63.0</v>
      </c>
      <c r="E2510" s="52" t="s">
        <v>25</v>
      </c>
      <c r="F2510" s="52" t="s">
        <v>26</v>
      </c>
      <c r="G2510" s="53"/>
    </row>
    <row r="2511">
      <c r="A2511" s="49">
        <v>44539.28854050926</v>
      </c>
      <c r="B2511" s="50">
        <v>44539.4135040972</v>
      </c>
      <c r="C2511" s="51">
        <v>1.019</v>
      </c>
      <c r="D2511" s="51">
        <v>63.0</v>
      </c>
      <c r="E2511" s="52" t="s">
        <v>25</v>
      </c>
      <c r="F2511" s="52" t="s">
        <v>26</v>
      </c>
      <c r="G2511" s="53"/>
    </row>
    <row r="2512">
      <c r="A2512" s="49">
        <v>44539.298957858795</v>
      </c>
      <c r="B2512" s="50">
        <v>44539.4239262152</v>
      </c>
      <c r="C2512" s="51">
        <v>1.019</v>
      </c>
      <c r="D2512" s="51">
        <v>63.0</v>
      </c>
      <c r="E2512" s="52" t="s">
        <v>25</v>
      </c>
      <c r="F2512" s="52" t="s">
        <v>26</v>
      </c>
      <c r="G2512" s="53"/>
    </row>
    <row r="2513">
      <c r="A2513" s="49">
        <v>44539.309435</v>
      </c>
      <c r="B2513" s="50">
        <v>44539.4343603587</v>
      </c>
      <c r="C2513" s="51">
        <v>1.019</v>
      </c>
      <c r="D2513" s="51">
        <v>63.0</v>
      </c>
      <c r="E2513" s="52" t="s">
        <v>25</v>
      </c>
      <c r="F2513" s="52" t="s">
        <v>26</v>
      </c>
      <c r="G2513" s="53"/>
    </row>
    <row r="2514">
      <c r="A2514" s="49">
        <v>44539.31981561343</v>
      </c>
      <c r="B2514" s="50">
        <v>44539.4447829398</v>
      </c>
      <c r="C2514" s="51">
        <v>1.019</v>
      </c>
      <c r="D2514" s="51">
        <v>63.0</v>
      </c>
      <c r="E2514" s="52" t="s">
        <v>25</v>
      </c>
      <c r="F2514" s="52" t="s">
        <v>26</v>
      </c>
      <c r="G2514" s="53"/>
    </row>
    <row r="2515">
      <c r="A2515" s="49">
        <v>44539.33023622685</v>
      </c>
      <c r="B2515" s="50">
        <v>44539.455203449</v>
      </c>
      <c r="C2515" s="51">
        <v>1.019</v>
      </c>
      <c r="D2515" s="51">
        <v>63.0</v>
      </c>
      <c r="E2515" s="52" t="s">
        <v>25</v>
      </c>
      <c r="F2515" s="52" t="s">
        <v>26</v>
      </c>
      <c r="G2515" s="53"/>
    </row>
    <row r="2516">
      <c r="A2516" s="49">
        <v>44539.34072033565</v>
      </c>
      <c r="B2516" s="50">
        <v>44539.4656248958</v>
      </c>
      <c r="C2516" s="51">
        <v>1.019</v>
      </c>
      <c r="D2516" s="51">
        <v>63.0</v>
      </c>
      <c r="E2516" s="52" t="s">
        <v>25</v>
      </c>
      <c r="F2516" s="52" t="s">
        <v>26</v>
      </c>
      <c r="G2516" s="53"/>
    </row>
    <row r="2517">
      <c r="A2517" s="49">
        <v>44539.35107471065</v>
      </c>
      <c r="B2517" s="50">
        <v>44539.4760477893</v>
      </c>
      <c r="C2517" s="51">
        <v>1.019</v>
      </c>
      <c r="D2517" s="51">
        <v>63.0</v>
      </c>
      <c r="E2517" s="52" t="s">
        <v>25</v>
      </c>
      <c r="F2517" s="52" t="s">
        <v>26</v>
      </c>
      <c r="G2517" s="53"/>
    </row>
    <row r="2518">
      <c r="A2518" s="49">
        <v>44539.36169675926</v>
      </c>
      <c r="B2518" s="50">
        <v>44539.4864703935</v>
      </c>
      <c r="C2518" s="51">
        <v>1.019</v>
      </c>
      <c r="D2518" s="51">
        <v>63.0</v>
      </c>
      <c r="E2518" s="52" t="s">
        <v>25</v>
      </c>
      <c r="F2518" s="52" t="s">
        <v>26</v>
      </c>
      <c r="G2518" s="53"/>
    </row>
    <row r="2519">
      <c r="A2519" s="49">
        <v>44539.371930821755</v>
      </c>
      <c r="B2519" s="50">
        <v>44539.4969042708</v>
      </c>
      <c r="C2519" s="51">
        <v>1.019</v>
      </c>
      <c r="D2519" s="51">
        <v>63.0</v>
      </c>
      <c r="E2519" s="52" t="s">
        <v>25</v>
      </c>
      <c r="F2519" s="52" t="s">
        <v>26</v>
      </c>
      <c r="G2519" s="53"/>
    </row>
    <row r="2520">
      <c r="A2520" s="49">
        <v>44539.38234997685</v>
      </c>
      <c r="B2520" s="50">
        <v>44539.5073245023</v>
      </c>
      <c r="C2520" s="51">
        <v>1.019</v>
      </c>
      <c r="D2520" s="51">
        <v>63.0</v>
      </c>
      <c r="E2520" s="52" t="s">
        <v>25</v>
      </c>
      <c r="F2520" s="52" t="s">
        <v>26</v>
      </c>
      <c r="G2520" s="53"/>
    </row>
    <row r="2521">
      <c r="A2521" s="49">
        <v>44539.39277662037</v>
      </c>
      <c r="B2521" s="50">
        <v>44539.5177466319</v>
      </c>
      <c r="C2521" s="51">
        <v>1.019</v>
      </c>
      <c r="D2521" s="51">
        <v>63.0</v>
      </c>
      <c r="E2521" s="52" t="s">
        <v>25</v>
      </c>
      <c r="F2521" s="52" t="s">
        <v>26</v>
      </c>
      <c r="G2521" s="53"/>
    </row>
    <row r="2522">
      <c r="A2522" s="49">
        <v>44539.4031897338</v>
      </c>
      <c r="B2522" s="50">
        <v>44539.5281684143</v>
      </c>
      <c r="C2522" s="51">
        <v>1.019</v>
      </c>
      <c r="D2522" s="51">
        <v>63.0</v>
      </c>
      <c r="E2522" s="52" t="s">
        <v>25</v>
      </c>
      <c r="F2522" s="52" t="s">
        <v>26</v>
      </c>
      <c r="G2522" s="53"/>
    </row>
    <row r="2523">
      <c r="A2523" s="49">
        <v>44539.41363430556</v>
      </c>
      <c r="B2523" s="50">
        <v>44539.5385904745</v>
      </c>
      <c r="C2523" s="51">
        <v>1.019</v>
      </c>
      <c r="D2523" s="51">
        <v>63.0</v>
      </c>
      <c r="E2523" s="52" t="s">
        <v>25</v>
      </c>
      <c r="F2523" s="52" t="s">
        <v>26</v>
      </c>
      <c r="G2523" s="53"/>
    </row>
    <row r="2524">
      <c r="A2524" s="49">
        <v>44539.42403622685</v>
      </c>
      <c r="B2524" s="50">
        <v>44539.549010625</v>
      </c>
      <c r="C2524" s="51">
        <v>1.019</v>
      </c>
      <c r="D2524" s="51">
        <v>63.0</v>
      </c>
      <c r="E2524" s="52" t="s">
        <v>25</v>
      </c>
      <c r="F2524" s="52" t="s">
        <v>26</v>
      </c>
      <c r="G2524" s="53"/>
    </row>
    <row r="2525">
      <c r="A2525" s="49">
        <v>44539.43447317129</v>
      </c>
      <c r="B2525" s="50">
        <v>44539.5594315393</v>
      </c>
      <c r="C2525" s="51">
        <v>1.019</v>
      </c>
      <c r="D2525" s="51">
        <v>63.0</v>
      </c>
      <c r="E2525" s="52" t="s">
        <v>25</v>
      </c>
      <c r="F2525" s="52" t="s">
        <v>26</v>
      </c>
      <c r="G2525" s="53"/>
    </row>
    <row r="2526">
      <c r="A2526" s="49">
        <v>44539.44491763889</v>
      </c>
      <c r="B2526" s="50">
        <v>44539.5698547453</v>
      </c>
      <c r="C2526" s="51">
        <v>1.019</v>
      </c>
      <c r="D2526" s="51">
        <v>63.0</v>
      </c>
      <c r="E2526" s="52" t="s">
        <v>25</v>
      </c>
      <c r="F2526" s="52" t="s">
        <v>26</v>
      </c>
      <c r="G2526" s="53"/>
    </row>
    <row r="2527">
      <c r="A2527" s="49">
        <v>44539.45533563657</v>
      </c>
      <c r="B2527" s="50">
        <v>44539.580275949</v>
      </c>
      <c r="C2527" s="51">
        <v>1.019</v>
      </c>
      <c r="D2527" s="51">
        <v>63.0</v>
      </c>
      <c r="E2527" s="52" t="s">
        <v>25</v>
      </c>
      <c r="F2527" s="52" t="s">
        <v>26</v>
      </c>
      <c r="G2527" s="53"/>
    </row>
    <row r="2528">
      <c r="A2528" s="49">
        <v>44539.46575274305</v>
      </c>
      <c r="B2528" s="50">
        <v>44539.5907099652</v>
      </c>
      <c r="C2528" s="51">
        <v>1.019</v>
      </c>
      <c r="D2528" s="51">
        <v>63.0</v>
      </c>
      <c r="E2528" s="52" t="s">
        <v>25</v>
      </c>
      <c r="F2528" s="52" t="s">
        <v>26</v>
      </c>
      <c r="G2528" s="53"/>
    </row>
    <row r="2529">
      <c r="A2529" s="49">
        <v>44539.476162997686</v>
      </c>
      <c r="B2529" s="50">
        <v>44539.6011296296</v>
      </c>
      <c r="C2529" s="51">
        <v>1.019</v>
      </c>
      <c r="D2529" s="51">
        <v>63.0</v>
      </c>
      <c r="E2529" s="52" t="s">
        <v>25</v>
      </c>
      <c r="F2529" s="52" t="s">
        <v>26</v>
      </c>
      <c r="G2529" s="53"/>
    </row>
    <row r="2530">
      <c r="A2530" s="49">
        <v>44539.486589629625</v>
      </c>
      <c r="B2530" s="50">
        <v>44539.6115517708</v>
      </c>
      <c r="C2530" s="51">
        <v>1.019</v>
      </c>
      <c r="D2530" s="51">
        <v>63.0</v>
      </c>
      <c r="E2530" s="52" t="s">
        <v>25</v>
      </c>
      <c r="F2530" s="52" t="s">
        <v>26</v>
      </c>
      <c r="G2530" s="53"/>
    </row>
    <row r="2531">
      <c r="A2531" s="49">
        <v>44539.49702122685</v>
      </c>
      <c r="B2531" s="50">
        <v>44539.6219721759</v>
      </c>
      <c r="C2531" s="51">
        <v>1.019</v>
      </c>
      <c r="D2531" s="51">
        <v>63.0</v>
      </c>
      <c r="E2531" s="52" t="s">
        <v>25</v>
      </c>
      <c r="F2531" s="52" t="s">
        <v>26</v>
      </c>
      <c r="G2531" s="53"/>
    </row>
    <row r="2532">
      <c r="A2532" s="49">
        <v>44539.507439375</v>
      </c>
      <c r="B2532" s="50">
        <v>44539.6323942129</v>
      </c>
      <c r="C2532" s="51">
        <v>1.019</v>
      </c>
      <c r="D2532" s="51">
        <v>63.0</v>
      </c>
      <c r="E2532" s="52" t="s">
        <v>25</v>
      </c>
      <c r="F2532" s="52" t="s">
        <v>26</v>
      </c>
      <c r="G2532" s="53"/>
    </row>
    <row r="2533">
      <c r="A2533" s="49">
        <v>44539.517887326394</v>
      </c>
      <c r="B2533" s="50">
        <v>44539.6428158449</v>
      </c>
      <c r="C2533" s="51">
        <v>1.019</v>
      </c>
      <c r="D2533" s="51">
        <v>63.0</v>
      </c>
      <c r="E2533" s="52" t="s">
        <v>25</v>
      </c>
      <c r="F2533" s="52" t="s">
        <v>26</v>
      </c>
      <c r="G2533" s="53"/>
    </row>
    <row r="2534">
      <c r="A2534" s="49">
        <v>44539.528308796296</v>
      </c>
      <c r="B2534" s="50">
        <v>44539.6532357986</v>
      </c>
      <c r="C2534" s="51">
        <v>1.019</v>
      </c>
      <c r="D2534" s="51">
        <v>63.0</v>
      </c>
      <c r="E2534" s="52" t="s">
        <v>25</v>
      </c>
      <c r="F2534" s="52" t="s">
        <v>26</v>
      </c>
      <c r="G2534" s="53"/>
    </row>
    <row r="2535">
      <c r="A2535" s="49">
        <v>44539.53874243055</v>
      </c>
      <c r="B2535" s="50">
        <v>44539.6636569212</v>
      </c>
      <c r="C2535" s="51">
        <v>1.019</v>
      </c>
      <c r="D2535" s="51">
        <v>63.0</v>
      </c>
      <c r="E2535" s="52" t="s">
        <v>25</v>
      </c>
      <c r="F2535" s="52" t="s">
        <v>26</v>
      </c>
      <c r="G2535" s="53"/>
    </row>
    <row r="2536">
      <c r="A2536" s="49">
        <v>44539.549101689816</v>
      </c>
      <c r="B2536" s="50">
        <v>44539.6740773379</v>
      </c>
      <c r="C2536" s="51">
        <v>1.019</v>
      </c>
      <c r="D2536" s="51">
        <v>63.0</v>
      </c>
      <c r="E2536" s="52" t="s">
        <v>25</v>
      </c>
      <c r="F2536" s="52" t="s">
        <v>26</v>
      </c>
      <c r="G2536" s="53"/>
    </row>
    <row r="2537">
      <c r="A2537" s="49">
        <v>44539.55952096065</v>
      </c>
      <c r="B2537" s="50">
        <v>44539.6844978009</v>
      </c>
      <c r="C2537" s="51">
        <v>1.019</v>
      </c>
      <c r="D2537" s="51">
        <v>63.0</v>
      </c>
      <c r="E2537" s="52" t="s">
        <v>25</v>
      </c>
      <c r="F2537" s="52" t="s">
        <v>26</v>
      </c>
      <c r="G2537" s="53"/>
    </row>
    <row r="2538">
      <c r="A2538" s="49">
        <v>44539.56994141203</v>
      </c>
      <c r="B2538" s="50">
        <v>44539.6949199421</v>
      </c>
      <c r="C2538" s="51">
        <v>1.019</v>
      </c>
      <c r="D2538" s="51">
        <v>63.0</v>
      </c>
      <c r="E2538" s="52" t="s">
        <v>25</v>
      </c>
      <c r="F2538" s="52" t="s">
        <v>26</v>
      </c>
      <c r="G2538" s="53"/>
    </row>
    <row r="2539">
      <c r="A2539" s="49">
        <v>44539.58037090278</v>
      </c>
      <c r="B2539" s="50">
        <v>44539.7053523611</v>
      </c>
      <c r="C2539" s="51">
        <v>1.019</v>
      </c>
      <c r="D2539" s="51">
        <v>63.0</v>
      </c>
      <c r="E2539" s="52" t="s">
        <v>25</v>
      </c>
      <c r="F2539" s="52" t="s">
        <v>26</v>
      </c>
      <c r="G2539" s="53"/>
    </row>
    <row r="2540">
      <c r="A2540" s="49">
        <v>44539.59088618055</v>
      </c>
      <c r="B2540" s="50">
        <v>44539.7157967824</v>
      </c>
      <c r="C2540" s="51">
        <v>1.019</v>
      </c>
      <c r="D2540" s="51">
        <v>63.0</v>
      </c>
      <c r="E2540" s="52" t="s">
        <v>25</v>
      </c>
      <c r="F2540" s="52" t="s">
        <v>26</v>
      </c>
      <c r="G2540" s="53"/>
    </row>
    <row r="2541">
      <c r="A2541" s="49">
        <v>44539.601257511575</v>
      </c>
      <c r="B2541" s="50">
        <v>44539.7262298611</v>
      </c>
      <c r="C2541" s="51">
        <v>1.019</v>
      </c>
      <c r="D2541" s="51">
        <v>63.0</v>
      </c>
      <c r="E2541" s="52" t="s">
        <v>25</v>
      </c>
      <c r="F2541" s="52" t="s">
        <v>26</v>
      </c>
      <c r="G2541" s="53"/>
    </row>
    <row r="2542">
      <c r="A2542" s="49">
        <v>44539.611675092594</v>
      </c>
      <c r="B2542" s="50">
        <v>44539.7366517708</v>
      </c>
      <c r="C2542" s="51">
        <v>1.019</v>
      </c>
      <c r="D2542" s="51">
        <v>63.0</v>
      </c>
      <c r="E2542" s="52" t="s">
        <v>25</v>
      </c>
      <c r="F2542" s="52" t="s">
        <v>26</v>
      </c>
      <c r="G2542" s="53"/>
    </row>
    <row r="2543">
      <c r="A2543" s="49">
        <v>44539.62210046296</v>
      </c>
      <c r="B2543" s="50">
        <v>44539.7470744213</v>
      </c>
      <c r="C2543" s="51">
        <v>1.019</v>
      </c>
      <c r="D2543" s="51">
        <v>63.0</v>
      </c>
      <c r="E2543" s="52" t="s">
        <v>25</v>
      </c>
      <c r="F2543" s="52" t="s">
        <v>26</v>
      </c>
      <c r="G2543" s="53"/>
    </row>
    <row r="2544">
      <c r="A2544" s="49">
        <v>44539.632513749995</v>
      </c>
      <c r="B2544" s="50">
        <v>44539.7574948611</v>
      </c>
      <c r="C2544" s="51">
        <v>1.019</v>
      </c>
      <c r="D2544" s="51">
        <v>63.0</v>
      </c>
      <c r="E2544" s="52" t="s">
        <v>25</v>
      </c>
      <c r="F2544" s="52" t="s">
        <v>26</v>
      </c>
      <c r="G2544" s="53"/>
    </row>
    <row r="2545">
      <c r="A2545" s="49">
        <v>44539.6429500463</v>
      </c>
      <c r="B2545" s="50">
        <v>44539.767914375</v>
      </c>
      <c r="C2545" s="51">
        <v>1.019</v>
      </c>
      <c r="D2545" s="51">
        <v>63.0</v>
      </c>
      <c r="E2545" s="52" t="s">
        <v>25</v>
      </c>
      <c r="F2545" s="52" t="s">
        <v>26</v>
      </c>
      <c r="G2545" s="53"/>
    </row>
    <row r="2546">
      <c r="A2546" s="49">
        <v>44539.653385763886</v>
      </c>
      <c r="B2546" s="50">
        <v>44539.7783590625</v>
      </c>
      <c r="C2546" s="51">
        <v>1.018</v>
      </c>
      <c r="D2546" s="51">
        <v>63.0</v>
      </c>
      <c r="E2546" s="52" t="s">
        <v>25</v>
      </c>
      <c r="F2546" s="52" t="s">
        <v>26</v>
      </c>
      <c r="G2546" s="53"/>
    </row>
    <row r="2547">
      <c r="A2547" s="49">
        <v>44539.66380420139</v>
      </c>
      <c r="B2547" s="50">
        <v>44539.788779375</v>
      </c>
      <c r="C2547" s="51">
        <v>1.018</v>
      </c>
      <c r="D2547" s="51">
        <v>63.0</v>
      </c>
      <c r="E2547" s="52" t="s">
        <v>25</v>
      </c>
      <c r="F2547" s="52" t="s">
        <v>26</v>
      </c>
      <c r="G2547" s="53"/>
    </row>
    <row r="2548">
      <c r="A2548" s="49">
        <v>44539.67421986111</v>
      </c>
      <c r="B2548" s="50">
        <v>44539.7991995949</v>
      </c>
      <c r="C2548" s="51">
        <v>1.019</v>
      </c>
      <c r="D2548" s="51">
        <v>63.0</v>
      </c>
      <c r="E2548" s="52" t="s">
        <v>25</v>
      </c>
      <c r="F2548" s="52" t="s">
        <v>26</v>
      </c>
      <c r="G2548" s="53"/>
    </row>
    <row r="2549">
      <c r="A2549" s="49">
        <v>44539.68464006945</v>
      </c>
      <c r="B2549" s="50">
        <v>44539.8096212037</v>
      </c>
      <c r="C2549" s="51">
        <v>1.018</v>
      </c>
      <c r="D2549" s="51">
        <v>63.0</v>
      </c>
      <c r="E2549" s="52" t="s">
        <v>25</v>
      </c>
      <c r="F2549" s="52" t="s">
        <v>26</v>
      </c>
      <c r="G2549" s="53"/>
    </row>
    <row r="2550">
      <c r="A2550" s="49">
        <v>44539.69506145833</v>
      </c>
      <c r="B2550" s="50">
        <v>44539.8200412152</v>
      </c>
      <c r="C2550" s="51">
        <v>1.019</v>
      </c>
      <c r="D2550" s="51">
        <v>63.0</v>
      </c>
      <c r="E2550" s="52" t="s">
        <v>25</v>
      </c>
      <c r="F2550" s="52" t="s">
        <v>26</v>
      </c>
      <c r="G2550" s="53"/>
    </row>
    <row r="2551">
      <c r="A2551" s="49">
        <v>44539.70549072917</v>
      </c>
      <c r="B2551" s="50">
        <v>44539.8304625463</v>
      </c>
      <c r="C2551" s="51">
        <v>1.019</v>
      </c>
      <c r="D2551" s="51">
        <v>63.0</v>
      </c>
      <c r="E2551" s="52" t="s">
        <v>25</v>
      </c>
      <c r="F2551" s="52" t="s">
        <v>26</v>
      </c>
      <c r="G2551" s="53"/>
    </row>
    <row r="2552">
      <c r="A2552" s="49">
        <v>44539.71591908565</v>
      </c>
      <c r="B2552" s="50">
        <v>44539.8408821064</v>
      </c>
      <c r="C2552" s="51">
        <v>1.019</v>
      </c>
      <c r="D2552" s="51">
        <v>63.0</v>
      </c>
      <c r="E2552" s="52" t="s">
        <v>25</v>
      </c>
      <c r="F2552" s="52" t="s">
        <v>26</v>
      </c>
      <c r="G2552" s="53"/>
    </row>
    <row r="2553">
      <c r="A2553" s="49">
        <v>44539.72633291667</v>
      </c>
      <c r="B2553" s="50">
        <v>44539.8513039004</v>
      </c>
      <c r="C2553" s="51">
        <v>1.019</v>
      </c>
      <c r="D2553" s="51">
        <v>63.0</v>
      </c>
      <c r="E2553" s="52" t="s">
        <v>25</v>
      </c>
      <c r="F2553" s="52" t="s">
        <v>26</v>
      </c>
      <c r="G2553" s="53"/>
    </row>
    <row r="2554">
      <c r="A2554" s="49">
        <v>44539.73675563658</v>
      </c>
      <c r="B2554" s="50">
        <v>44539.8617251273</v>
      </c>
      <c r="C2554" s="51">
        <v>1.019</v>
      </c>
      <c r="D2554" s="51">
        <v>63.0</v>
      </c>
      <c r="E2554" s="52" t="s">
        <v>25</v>
      </c>
      <c r="F2554" s="52" t="s">
        <v>26</v>
      </c>
      <c r="G2554" s="53"/>
    </row>
    <row r="2555">
      <c r="A2555" s="49">
        <v>44539.747191574075</v>
      </c>
      <c r="B2555" s="50">
        <v>44539.8721697685</v>
      </c>
      <c r="C2555" s="51">
        <v>1.019</v>
      </c>
      <c r="D2555" s="51">
        <v>63.0</v>
      </c>
      <c r="E2555" s="52" t="s">
        <v>25</v>
      </c>
      <c r="F2555" s="52" t="s">
        <v>26</v>
      </c>
      <c r="G2555" s="53"/>
    </row>
    <row r="2556">
      <c r="A2556" s="49">
        <v>44539.75764059028</v>
      </c>
      <c r="B2556" s="50">
        <v>44539.8826144212</v>
      </c>
      <c r="C2556" s="51">
        <v>1.018</v>
      </c>
      <c r="D2556" s="51">
        <v>63.0</v>
      </c>
      <c r="E2556" s="52" t="s">
        <v>25</v>
      </c>
      <c r="F2556" s="52" t="s">
        <v>26</v>
      </c>
      <c r="G2556" s="53"/>
    </row>
    <row r="2557">
      <c r="A2557" s="49">
        <v>44539.7680624537</v>
      </c>
      <c r="B2557" s="50">
        <v>44539.8930355324</v>
      </c>
      <c r="C2557" s="51">
        <v>1.019</v>
      </c>
      <c r="D2557" s="51">
        <v>63.0</v>
      </c>
      <c r="E2557" s="52" t="s">
        <v>25</v>
      </c>
      <c r="F2557" s="52" t="s">
        <v>26</v>
      </c>
      <c r="G2557" s="53"/>
    </row>
    <row r="2558">
      <c r="A2558" s="49">
        <v>44539.77849618056</v>
      </c>
      <c r="B2558" s="50">
        <v>44539.9034693055</v>
      </c>
      <c r="C2558" s="51">
        <v>1.019</v>
      </c>
      <c r="D2558" s="51">
        <v>63.0</v>
      </c>
      <c r="E2558" s="52" t="s">
        <v>25</v>
      </c>
      <c r="F2558" s="52" t="s">
        <v>26</v>
      </c>
      <c r="G2558" s="53"/>
    </row>
    <row r="2559">
      <c r="A2559" s="49">
        <v>44539.78893847222</v>
      </c>
      <c r="B2559" s="50">
        <v>44539.9139130324</v>
      </c>
      <c r="C2559" s="51">
        <v>1.018</v>
      </c>
      <c r="D2559" s="51">
        <v>63.0</v>
      </c>
      <c r="E2559" s="52" t="s">
        <v>25</v>
      </c>
      <c r="F2559" s="52" t="s">
        <v>26</v>
      </c>
      <c r="G2559" s="53"/>
    </row>
    <row r="2560">
      <c r="A2560" s="49">
        <v>44539.79936482639</v>
      </c>
      <c r="B2560" s="50">
        <v>44539.9243349999</v>
      </c>
      <c r="C2560" s="51">
        <v>1.018</v>
      </c>
      <c r="D2560" s="51">
        <v>63.0</v>
      </c>
      <c r="E2560" s="52" t="s">
        <v>25</v>
      </c>
      <c r="F2560" s="52" t="s">
        <v>26</v>
      </c>
      <c r="G2560" s="53"/>
    </row>
    <row r="2561">
      <c r="A2561" s="49">
        <v>44539.8097928125</v>
      </c>
      <c r="B2561" s="50">
        <v>44539.9347689583</v>
      </c>
      <c r="C2561" s="51">
        <v>1.019</v>
      </c>
      <c r="D2561" s="51">
        <v>63.0</v>
      </c>
      <c r="E2561" s="52" t="s">
        <v>25</v>
      </c>
      <c r="F2561" s="52" t="s">
        <v>26</v>
      </c>
      <c r="G2561" s="53"/>
    </row>
    <row r="2562">
      <c r="A2562" s="49">
        <v>44539.82021015046</v>
      </c>
      <c r="B2562" s="50">
        <v>44539.9451895833</v>
      </c>
      <c r="C2562" s="51">
        <v>1.018</v>
      </c>
      <c r="D2562" s="51">
        <v>63.0</v>
      </c>
      <c r="E2562" s="52" t="s">
        <v>25</v>
      </c>
      <c r="F2562" s="52" t="s">
        <v>26</v>
      </c>
      <c r="G2562" s="53"/>
    </row>
    <row r="2563">
      <c r="A2563" s="49">
        <v>44539.830626423616</v>
      </c>
      <c r="B2563" s="50">
        <v>44539.9556099421</v>
      </c>
      <c r="C2563" s="51">
        <v>1.018</v>
      </c>
      <c r="D2563" s="51">
        <v>63.0</v>
      </c>
      <c r="E2563" s="52" t="s">
        <v>25</v>
      </c>
      <c r="F2563" s="52" t="s">
        <v>26</v>
      </c>
      <c r="G2563" s="53"/>
    </row>
    <row r="2564">
      <c r="A2564" s="49">
        <v>44539.84106449074</v>
      </c>
      <c r="B2564" s="50">
        <v>44539.9660312152</v>
      </c>
      <c r="C2564" s="51">
        <v>1.018</v>
      </c>
      <c r="D2564" s="51">
        <v>63.0</v>
      </c>
      <c r="E2564" s="52" t="s">
        <v>25</v>
      </c>
      <c r="F2564" s="52" t="s">
        <v>26</v>
      </c>
      <c r="G2564" s="53"/>
    </row>
    <row r="2565">
      <c r="A2565" s="49">
        <v>44539.851477731485</v>
      </c>
      <c r="B2565" s="50">
        <v>44539.9764517476</v>
      </c>
      <c r="C2565" s="51">
        <v>1.019</v>
      </c>
      <c r="D2565" s="51">
        <v>63.0</v>
      </c>
      <c r="E2565" s="52" t="s">
        <v>25</v>
      </c>
      <c r="F2565" s="52" t="s">
        <v>26</v>
      </c>
      <c r="G2565" s="53"/>
    </row>
    <row r="2566">
      <c r="A2566" s="49">
        <v>44539.861894988426</v>
      </c>
      <c r="B2566" s="50">
        <v>44539.9868737847</v>
      </c>
      <c r="C2566" s="51">
        <v>1.018</v>
      </c>
      <c r="D2566" s="51">
        <v>63.0</v>
      </c>
      <c r="E2566" s="52" t="s">
        <v>25</v>
      </c>
      <c r="F2566" s="52" t="s">
        <v>26</v>
      </c>
      <c r="G2566" s="53"/>
    </row>
    <row r="2567">
      <c r="A2567" s="49">
        <v>44539.872339016205</v>
      </c>
      <c r="B2567" s="50">
        <v>44539.9973078472</v>
      </c>
      <c r="C2567" s="51">
        <v>1.018</v>
      </c>
      <c r="D2567" s="51">
        <v>63.0</v>
      </c>
      <c r="E2567" s="52" t="s">
        <v>25</v>
      </c>
      <c r="F2567" s="52" t="s">
        <v>26</v>
      </c>
      <c r="G2567" s="53"/>
    </row>
    <row r="2568">
      <c r="A2568" s="49">
        <v>44539.882751377314</v>
      </c>
      <c r="B2568" s="50">
        <v>44540.0077271064</v>
      </c>
      <c r="C2568" s="51">
        <v>1.018</v>
      </c>
      <c r="D2568" s="51">
        <v>63.0</v>
      </c>
      <c r="E2568" s="52" t="s">
        <v>25</v>
      </c>
      <c r="F2568" s="52" t="s">
        <v>26</v>
      </c>
      <c r="G2568" s="53"/>
    </row>
    <row r="2569">
      <c r="A2569" s="49">
        <v>44539.89318075232</v>
      </c>
      <c r="B2569" s="50">
        <v>44540.0181593518</v>
      </c>
      <c r="C2569" s="51">
        <v>1.018</v>
      </c>
      <c r="D2569" s="51">
        <v>63.0</v>
      </c>
      <c r="E2569" s="52" t="s">
        <v>25</v>
      </c>
      <c r="F2569" s="52" t="s">
        <v>26</v>
      </c>
      <c r="G2569" s="53"/>
    </row>
    <row r="2570">
      <c r="A2570" s="49">
        <v>44539.90363168981</v>
      </c>
      <c r="B2570" s="50">
        <v>44540.0285792476</v>
      </c>
      <c r="C2570" s="51">
        <v>1.018</v>
      </c>
      <c r="D2570" s="51">
        <v>63.0</v>
      </c>
      <c r="E2570" s="52" t="s">
        <v>25</v>
      </c>
      <c r="F2570" s="52" t="s">
        <v>26</v>
      </c>
      <c r="G2570" s="53"/>
    </row>
    <row r="2571">
      <c r="A2571" s="49">
        <v>44539.91404175926</v>
      </c>
      <c r="B2571" s="50">
        <v>44540.0390123495</v>
      </c>
      <c r="C2571" s="51">
        <v>1.018</v>
      </c>
      <c r="D2571" s="51">
        <v>63.0</v>
      </c>
      <c r="E2571" s="52" t="s">
        <v>25</v>
      </c>
      <c r="F2571" s="52" t="s">
        <v>26</v>
      </c>
      <c r="G2571" s="53"/>
    </row>
    <row r="2572">
      <c r="A2572" s="49">
        <v>44539.92446890046</v>
      </c>
      <c r="B2572" s="50">
        <v>44540.0494454513</v>
      </c>
      <c r="C2572" s="51">
        <v>1.018</v>
      </c>
      <c r="D2572" s="51">
        <v>63.0</v>
      </c>
      <c r="E2572" s="52" t="s">
        <v>25</v>
      </c>
      <c r="F2572" s="52" t="s">
        <v>26</v>
      </c>
      <c r="G2572" s="53"/>
    </row>
    <row r="2573">
      <c r="A2573" s="49">
        <v>44539.934894618054</v>
      </c>
      <c r="B2573" s="50">
        <v>44540.0598668287</v>
      </c>
      <c r="C2573" s="51">
        <v>1.018</v>
      </c>
      <c r="D2573" s="51">
        <v>63.0</v>
      </c>
      <c r="E2573" s="52" t="s">
        <v>25</v>
      </c>
      <c r="F2573" s="52" t="s">
        <v>26</v>
      </c>
      <c r="G2573" s="53"/>
    </row>
    <row r="2574">
      <c r="A2574" s="49">
        <v>44539.94531119213</v>
      </c>
      <c r="B2574" s="50">
        <v>44540.0702883912</v>
      </c>
      <c r="C2574" s="51">
        <v>1.018</v>
      </c>
      <c r="D2574" s="51">
        <v>63.0</v>
      </c>
      <c r="E2574" s="52" t="s">
        <v>25</v>
      </c>
      <c r="F2574" s="52" t="s">
        <v>26</v>
      </c>
      <c r="G2574" s="53"/>
    </row>
    <row r="2575">
      <c r="A2575" s="49">
        <v>44539.95572575231</v>
      </c>
      <c r="B2575" s="50">
        <v>44540.0807105671</v>
      </c>
      <c r="C2575" s="51">
        <v>1.018</v>
      </c>
      <c r="D2575" s="51">
        <v>63.0</v>
      </c>
      <c r="E2575" s="52" t="s">
        <v>25</v>
      </c>
      <c r="F2575" s="52" t="s">
        <v>26</v>
      </c>
      <c r="G2575" s="53"/>
    </row>
    <row r="2576">
      <c r="A2576" s="49">
        <v>44539.966159062504</v>
      </c>
      <c r="B2576" s="50">
        <v>44540.0911325347</v>
      </c>
      <c r="C2576" s="51">
        <v>1.018</v>
      </c>
      <c r="D2576" s="51">
        <v>63.0</v>
      </c>
      <c r="E2576" s="52" t="s">
        <v>25</v>
      </c>
      <c r="F2576" s="52" t="s">
        <v>26</v>
      </c>
      <c r="G2576" s="53"/>
    </row>
    <row r="2577">
      <c r="A2577" s="49">
        <v>44539.976576898145</v>
      </c>
      <c r="B2577" s="50">
        <v>44540.1015528703</v>
      </c>
      <c r="C2577" s="51">
        <v>1.018</v>
      </c>
      <c r="D2577" s="51">
        <v>63.0</v>
      </c>
      <c r="E2577" s="52" t="s">
        <v>25</v>
      </c>
      <c r="F2577" s="52" t="s">
        <v>26</v>
      </c>
      <c r="G2577" s="53"/>
    </row>
    <row r="2578">
      <c r="A2578" s="49">
        <v>44539.98700592593</v>
      </c>
      <c r="B2578" s="50">
        <v>44540.1119862731</v>
      </c>
      <c r="C2578" s="51">
        <v>1.018</v>
      </c>
      <c r="D2578" s="51">
        <v>63.0</v>
      </c>
      <c r="E2578" s="52" t="s">
        <v>25</v>
      </c>
      <c r="F2578" s="52" t="s">
        <v>26</v>
      </c>
      <c r="G2578" s="53"/>
    </row>
    <row r="2579">
      <c r="A2579" s="49">
        <v>44539.997434247685</v>
      </c>
      <c r="B2579" s="50">
        <v>44540.1224079976</v>
      </c>
      <c r="C2579" s="51">
        <v>1.018</v>
      </c>
      <c r="D2579" s="51">
        <v>63.0</v>
      </c>
      <c r="E2579" s="52" t="s">
        <v>25</v>
      </c>
      <c r="F2579" s="52" t="s">
        <v>26</v>
      </c>
      <c r="G2579" s="53"/>
    </row>
    <row r="2580">
      <c r="A2580" s="49">
        <v>44540.007853159725</v>
      </c>
      <c r="B2580" s="50">
        <v>44540.1328293055</v>
      </c>
      <c r="C2580" s="51">
        <v>1.018</v>
      </c>
      <c r="D2580" s="51">
        <v>63.0</v>
      </c>
      <c r="E2580" s="52" t="s">
        <v>25</v>
      </c>
      <c r="F2580" s="52" t="s">
        <v>26</v>
      </c>
      <c r="G2580" s="53"/>
    </row>
    <row r="2581">
      <c r="A2581" s="49">
        <v>44540.01826513889</v>
      </c>
      <c r="B2581" s="50">
        <v>44540.1432501736</v>
      </c>
      <c r="C2581" s="51">
        <v>1.018</v>
      </c>
      <c r="D2581" s="51">
        <v>63.0</v>
      </c>
      <c r="E2581" s="52" t="s">
        <v>25</v>
      </c>
      <c r="F2581" s="52" t="s">
        <v>26</v>
      </c>
      <c r="G2581" s="53"/>
    </row>
    <row r="2582">
      <c r="A2582" s="49">
        <v>44540.028695810186</v>
      </c>
      <c r="B2582" s="50">
        <v>44540.1536723379</v>
      </c>
      <c r="C2582" s="51">
        <v>1.018</v>
      </c>
      <c r="D2582" s="51">
        <v>63.0</v>
      </c>
      <c r="E2582" s="52" t="s">
        <v>25</v>
      </c>
      <c r="F2582" s="52" t="s">
        <v>26</v>
      </c>
      <c r="G2582" s="53"/>
    </row>
    <row r="2583">
      <c r="A2583" s="49">
        <v>44540.039114733794</v>
      </c>
      <c r="B2583" s="50">
        <v>44540.1640942708</v>
      </c>
      <c r="C2583" s="51">
        <v>1.018</v>
      </c>
      <c r="D2583" s="51">
        <v>63.0</v>
      </c>
      <c r="E2583" s="52" t="s">
        <v>25</v>
      </c>
      <c r="F2583" s="52" t="s">
        <v>26</v>
      </c>
      <c r="G2583" s="53"/>
    </row>
    <row r="2584">
      <c r="A2584" s="49">
        <v>44540.049545925925</v>
      </c>
      <c r="B2584" s="50">
        <v>44540.174515162</v>
      </c>
      <c r="C2584" s="51">
        <v>1.018</v>
      </c>
      <c r="D2584" s="51">
        <v>63.0</v>
      </c>
      <c r="E2584" s="52" t="s">
        <v>25</v>
      </c>
      <c r="F2584" s="52" t="s">
        <v>26</v>
      </c>
      <c r="G2584" s="53"/>
    </row>
    <row r="2585">
      <c r="A2585" s="49">
        <v>44540.05996943287</v>
      </c>
      <c r="B2585" s="50">
        <v>44540.1849359722</v>
      </c>
      <c r="C2585" s="51">
        <v>1.018</v>
      </c>
      <c r="D2585" s="51">
        <v>63.0</v>
      </c>
      <c r="E2585" s="52" t="s">
        <v>25</v>
      </c>
      <c r="F2585" s="52" t="s">
        <v>26</v>
      </c>
      <c r="G2585" s="53"/>
    </row>
    <row r="2586">
      <c r="A2586" s="49">
        <v>44540.07038488426</v>
      </c>
      <c r="B2586" s="50">
        <v>44540.1953567361</v>
      </c>
      <c r="C2586" s="51">
        <v>1.018</v>
      </c>
      <c r="D2586" s="51">
        <v>63.0</v>
      </c>
      <c r="E2586" s="52" t="s">
        <v>25</v>
      </c>
      <c r="F2586" s="52" t="s">
        <v>26</v>
      </c>
      <c r="G2586" s="53"/>
    </row>
    <row r="2587">
      <c r="A2587" s="49">
        <v>44540.08079748842</v>
      </c>
      <c r="B2587" s="50">
        <v>44540.2057787152</v>
      </c>
      <c r="C2587" s="51">
        <v>1.018</v>
      </c>
      <c r="D2587" s="51">
        <v>63.0</v>
      </c>
      <c r="E2587" s="52" t="s">
        <v>25</v>
      </c>
      <c r="F2587" s="52" t="s">
        <v>26</v>
      </c>
      <c r="G2587" s="53"/>
    </row>
    <row r="2588">
      <c r="A2588" s="49">
        <v>44540.091218912035</v>
      </c>
      <c r="B2588" s="50">
        <v>44540.2161982291</v>
      </c>
      <c r="C2588" s="51">
        <v>1.018</v>
      </c>
      <c r="D2588" s="51">
        <v>63.0</v>
      </c>
      <c r="E2588" s="52" t="s">
        <v>25</v>
      </c>
      <c r="F2588" s="52" t="s">
        <v>26</v>
      </c>
      <c r="G2588" s="53"/>
    </row>
    <row r="2589">
      <c r="A2589" s="49">
        <v>44540.101656342595</v>
      </c>
      <c r="B2589" s="50">
        <v>44540.226618912</v>
      </c>
      <c r="C2589" s="51">
        <v>1.018</v>
      </c>
      <c r="D2589" s="51">
        <v>63.0</v>
      </c>
      <c r="E2589" s="52" t="s">
        <v>25</v>
      </c>
      <c r="F2589" s="52" t="s">
        <v>26</v>
      </c>
      <c r="G2589" s="53"/>
    </row>
    <row r="2590">
      <c r="A2590" s="49">
        <v>44540.11209993056</v>
      </c>
      <c r="B2590" s="50">
        <v>44540.237075081</v>
      </c>
      <c r="C2590" s="51">
        <v>1.018</v>
      </c>
      <c r="D2590" s="51">
        <v>63.0</v>
      </c>
      <c r="E2590" s="52" t="s">
        <v>25</v>
      </c>
      <c r="F2590" s="52" t="s">
        <v>26</v>
      </c>
      <c r="G2590" s="53"/>
    </row>
    <row r="2591">
      <c r="A2591" s="49">
        <v>44540.122520185185</v>
      </c>
      <c r="B2591" s="50">
        <v>44540.2474953935</v>
      </c>
      <c r="C2591" s="51">
        <v>1.018</v>
      </c>
      <c r="D2591" s="51">
        <v>63.0</v>
      </c>
      <c r="E2591" s="52" t="s">
        <v>25</v>
      </c>
      <c r="F2591" s="52" t="s">
        <v>26</v>
      </c>
      <c r="G2591" s="53"/>
    </row>
    <row r="2592">
      <c r="A2592" s="49">
        <v>44540.13293677084</v>
      </c>
      <c r="B2592" s="50">
        <v>44540.257916574</v>
      </c>
      <c r="C2592" s="51">
        <v>1.018</v>
      </c>
      <c r="D2592" s="51">
        <v>63.0</v>
      </c>
      <c r="E2592" s="52" t="s">
        <v>25</v>
      </c>
      <c r="F2592" s="52" t="s">
        <v>26</v>
      </c>
      <c r="G2592" s="53"/>
    </row>
    <row r="2593">
      <c r="A2593" s="49">
        <v>44540.14336527778</v>
      </c>
      <c r="B2593" s="50">
        <v>44540.2683370023</v>
      </c>
      <c r="C2593" s="51">
        <v>1.018</v>
      </c>
      <c r="D2593" s="51">
        <v>63.0</v>
      </c>
      <c r="E2593" s="52" t="s">
        <v>25</v>
      </c>
      <c r="F2593" s="52" t="s">
        <v>26</v>
      </c>
      <c r="G2593" s="53"/>
    </row>
    <row r="2594">
      <c r="A2594" s="49">
        <v>44540.15379369213</v>
      </c>
      <c r="B2594" s="50">
        <v>44540.2787681944</v>
      </c>
      <c r="C2594" s="51">
        <v>1.018</v>
      </c>
      <c r="D2594" s="51">
        <v>63.0</v>
      </c>
      <c r="E2594" s="52" t="s">
        <v>25</v>
      </c>
      <c r="F2594" s="52" t="s">
        <v>26</v>
      </c>
      <c r="G2594" s="53"/>
    </row>
    <row r="2595">
      <c r="A2595" s="49">
        <v>44540.16421023148</v>
      </c>
      <c r="B2595" s="50">
        <v>44540.2891911342</v>
      </c>
      <c r="C2595" s="51">
        <v>1.018</v>
      </c>
      <c r="D2595" s="51">
        <v>63.0</v>
      </c>
      <c r="E2595" s="52" t="s">
        <v>25</v>
      </c>
      <c r="F2595" s="52" t="s">
        <v>26</v>
      </c>
      <c r="G2595" s="53"/>
    </row>
    <row r="2596">
      <c r="A2596" s="49">
        <v>44540.17463908565</v>
      </c>
      <c r="B2596" s="50">
        <v>44540.2996099421</v>
      </c>
      <c r="C2596" s="51">
        <v>1.018</v>
      </c>
      <c r="D2596" s="51">
        <v>63.0</v>
      </c>
      <c r="E2596" s="52" t="s">
        <v>25</v>
      </c>
      <c r="F2596" s="52" t="s">
        <v>26</v>
      </c>
      <c r="G2596" s="53"/>
    </row>
    <row r="2597">
      <c r="A2597" s="49">
        <v>44540.18505774306</v>
      </c>
      <c r="B2597" s="50">
        <v>44540.3100314236</v>
      </c>
      <c r="C2597" s="51">
        <v>1.018</v>
      </c>
      <c r="D2597" s="51">
        <v>63.0</v>
      </c>
      <c r="E2597" s="52" t="s">
        <v>25</v>
      </c>
      <c r="F2597" s="52" t="s">
        <v>26</v>
      </c>
      <c r="G2597" s="53"/>
    </row>
    <row r="2598">
      <c r="A2598" s="49">
        <v>44540.19548027778</v>
      </c>
      <c r="B2598" s="50">
        <v>44540.3204531944</v>
      </c>
      <c r="C2598" s="51">
        <v>1.018</v>
      </c>
      <c r="D2598" s="51">
        <v>63.0</v>
      </c>
      <c r="E2598" s="52" t="s">
        <v>25</v>
      </c>
      <c r="F2598" s="52" t="s">
        <v>26</v>
      </c>
      <c r="G2598" s="53"/>
    </row>
    <row r="2599">
      <c r="A2599" s="49">
        <v>44540.20589935185</v>
      </c>
      <c r="B2599" s="50">
        <v>44540.3308739004</v>
      </c>
      <c r="C2599" s="51">
        <v>1.018</v>
      </c>
      <c r="D2599" s="51">
        <v>63.0</v>
      </c>
      <c r="E2599" s="52" t="s">
        <v>25</v>
      </c>
      <c r="F2599" s="52" t="s">
        <v>26</v>
      </c>
      <c r="G2599" s="53"/>
    </row>
    <row r="2600">
      <c r="A2600" s="49">
        <v>44540.21632320602</v>
      </c>
      <c r="B2600" s="50">
        <v>44540.3412956134</v>
      </c>
      <c r="C2600" s="51">
        <v>1.018</v>
      </c>
      <c r="D2600" s="51">
        <v>63.0</v>
      </c>
      <c r="E2600" s="52" t="s">
        <v>25</v>
      </c>
      <c r="F2600" s="52" t="s">
        <v>26</v>
      </c>
      <c r="G2600" s="53"/>
    </row>
    <row r="2601">
      <c r="A2601" s="49">
        <v>44540.2267424537</v>
      </c>
      <c r="B2601" s="50">
        <v>44540.351714074</v>
      </c>
      <c r="C2601" s="51">
        <v>1.018</v>
      </c>
      <c r="D2601" s="51">
        <v>63.0</v>
      </c>
      <c r="E2601" s="52" t="s">
        <v>25</v>
      </c>
      <c r="F2601" s="52" t="s">
        <v>26</v>
      </c>
      <c r="G2601" s="53"/>
    </row>
    <row r="2602">
      <c r="A2602" s="49">
        <v>44540.237172152774</v>
      </c>
      <c r="B2602" s="50">
        <v>44540.3621345949</v>
      </c>
      <c r="C2602" s="51">
        <v>1.018</v>
      </c>
      <c r="D2602" s="51">
        <v>63.0</v>
      </c>
      <c r="E2602" s="52" t="s">
        <v>25</v>
      </c>
      <c r="F2602" s="52" t="s">
        <v>26</v>
      </c>
      <c r="G2602" s="53"/>
    </row>
    <row r="2603">
      <c r="A2603" s="49">
        <v>44540.247576180554</v>
      </c>
      <c r="B2603" s="50">
        <v>44540.3725555671</v>
      </c>
      <c r="C2603" s="51">
        <v>1.018</v>
      </c>
      <c r="D2603" s="51">
        <v>63.0</v>
      </c>
      <c r="E2603" s="52" t="s">
        <v>25</v>
      </c>
      <c r="F2603" s="52" t="s">
        <v>26</v>
      </c>
      <c r="G2603" s="53"/>
    </row>
    <row r="2604">
      <c r="A2604" s="49">
        <v>44540.25799763889</v>
      </c>
      <c r="B2604" s="50">
        <v>44540.3829769328</v>
      </c>
      <c r="C2604" s="51">
        <v>1.018</v>
      </c>
      <c r="D2604" s="51">
        <v>63.0</v>
      </c>
      <c r="E2604" s="52" t="s">
        <v>25</v>
      </c>
      <c r="F2604" s="52" t="s">
        <v>26</v>
      </c>
      <c r="G2604" s="53"/>
    </row>
    <row r="2605">
      <c r="A2605" s="49">
        <v>44540.26843211806</v>
      </c>
      <c r="B2605" s="50">
        <v>44540.3933996759</v>
      </c>
      <c r="C2605" s="51">
        <v>1.018</v>
      </c>
      <c r="D2605" s="51">
        <v>63.0</v>
      </c>
      <c r="E2605" s="52" t="s">
        <v>25</v>
      </c>
      <c r="F2605" s="52" t="s">
        <v>26</v>
      </c>
      <c r="G2605" s="53"/>
    </row>
    <row r="2606">
      <c r="A2606" s="49">
        <v>44540.2788580787</v>
      </c>
      <c r="B2606" s="50">
        <v>44540.4038315972</v>
      </c>
      <c r="C2606" s="51">
        <v>1.018</v>
      </c>
      <c r="D2606" s="51">
        <v>63.0</v>
      </c>
      <c r="E2606" s="52" t="s">
        <v>25</v>
      </c>
      <c r="F2606" s="52" t="s">
        <v>26</v>
      </c>
      <c r="G2606" s="53"/>
    </row>
    <row r="2607">
      <c r="A2607" s="49">
        <v>44540.28927799768</v>
      </c>
      <c r="B2607" s="50">
        <v>44540.4142528587</v>
      </c>
      <c r="C2607" s="51">
        <v>1.018</v>
      </c>
      <c r="D2607" s="51">
        <v>63.0</v>
      </c>
      <c r="E2607" s="52" t="s">
        <v>25</v>
      </c>
      <c r="F2607" s="52" t="s">
        <v>26</v>
      </c>
      <c r="G2607" s="53"/>
    </row>
    <row r="2608">
      <c r="A2608" s="49">
        <v>44540.29969712963</v>
      </c>
      <c r="B2608" s="50">
        <v>44540.4246743055</v>
      </c>
      <c r="C2608" s="51">
        <v>1.018</v>
      </c>
      <c r="D2608" s="51">
        <v>63.0</v>
      </c>
      <c r="E2608" s="52" t="s">
        <v>25</v>
      </c>
      <c r="F2608" s="52" t="s">
        <v>26</v>
      </c>
      <c r="G2608" s="53"/>
    </row>
    <row r="2609">
      <c r="A2609" s="49">
        <v>44540.3101374074</v>
      </c>
      <c r="B2609" s="50">
        <v>44540.4350950231</v>
      </c>
      <c r="C2609" s="51">
        <v>1.018</v>
      </c>
      <c r="D2609" s="51">
        <v>63.0</v>
      </c>
      <c r="E2609" s="52" t="s">
        <v>25</v>
      </c>
      <c r="F2609" s="52" t="s">
        <v>26</v>
      </c>
      <c r="G2609" s="53"/>
    </row>
    <row r="2610">
      <c r="A2610" s="49">
        <v>44540.320538009255</v>
      </c>
      <c r="B2610" s="50">
        <v>44540.4455159375</v>
      </c>
      <c r="C2610" s="51">
        <v>1.018</v>
      </c>
      <c r="D2610" s="51">
        <v>63.0</v>
      </c>
      <c r="E2610" s="52" t="s">
        <v>25</v>
      </c>
      <c r="F2610" s="52" t="s">
        <v>26</v>
      </c>
      <c r="G2610" s="53"/>
    </row>
    <row r="2611">
      <c r="A2611" s="49">
        <v>44540.33098570602</v>
      </c>
      <c r="B2611" s="50">
        <v>44540.4559377199</v>
      </c>
      <c r="C2611" s="51">
        <v>1.018</v>
      </c>
      <c r="D2611" s="51">
        <v>63.0</v>
      </c>
      <c r="E2611" s="52" t="s">
        <v>25</v>
      </c>
      <c r="F2611" s="52" t="s">
        <v>26</v>
      </c>
      <c r="G2611" s="53"/>
    </row>
    <row r="2612">
      <c r="A2612" s="49">
        <v>44540.341396828706</v>
      </c>
      <c r="B2612" s="50">
        <v>44540.4663585416</v>
      </c>
      <c r="C2612" s="51">
        <v>1.018</v>
      </c>
      <c r="D2612" s="51">
        <v>63.0</v>
      </c>
      <c r="E2612" s="52" t="s">
        <v>25</v>
      </c>
      <c r="F2612" s="52" t="s">
        <v>26</v>
      </c>
      <c r="G2612" s="53"/>
    </row>
    <row r="2613">
      <c r="A2613" s="49">
        <v>44540.35180642361</v>
      </c>
      <c r="B2613" s="50">
        <v>44540.4767791203</v>
      </c>
      <c r="C2613" s="51">
        <v>1.018</v>
      </c>
      <c r="D2613" s="51">
        <v>63.0</v>
      </c>
      <c r="E2613" s="52" t="s">
        <v>25</v>
      </c>
      <c r="F2613" s="52" t="s">
        <v>26</v>
      </c>
      <c r="G2613" s="53"/>
    </row>
    <row r="2614">
      <c r="A2614" s="49">
        <v>44540.36223408565</v>
      </c>
      <c r="B2614" s="50">
        <v>44540.4872021875</v>
      </c>
      <c r="C2614" s="51">
        <v>1.018</v>
      </c>
      <c r="D2614" s="51">
        <v>63.0</v>
      </c>
      <c r="E2614" s="52" t="s">
        <v>25</v>
      </c>
      <c r="F2614" s="52" t="s">
        <v>26</v>
      </c>
      <c r="G2614" s="53"/>
    </row>
    <row r="2615">
      <c r="A2615" s="49">
        <v>44540.37265082176</v>
      </c>
      <c r="B2615" s="50">
        <v>44540.497624537</v>
      </c>
      <c r="C2615" s="51">
        <v>1.018</v>
      </c>
      <c r="D2615" s="51">
        <v>63.0</v>
      </c>
      <c r="E2615" s="52" t="s">
        <v>25</v>
      </c>
      <c r="F2615" s="52" t="s">
        <v>26</v>
      </c>
      <c r="G2615" s="53"/>
    </row>
    <row r="2616">
      <c r="A2616" s="49">
        <v>44540.383073680554</v>
      </c>
      <c r="B2616" s="50">
        <v>44540.508058125</v>
      </c>
      <c r="C2616" s="51">
        <v>1.018</v>
      </c>
      <c r="D2616" s="51">
        <v>63.0</v>
      </c>
      <c r="E2616" s="52" t="s">
        <v>25</v>
      </c>
      <c r="F2616" s="52" t="s">
        <v>26</v>
      </c>
      <c r="G2616" s="53"/>
    </row>
    <row r="2617">
      <c r="A2617" s="49">
        <v>44540.393512118055</v>
      </c>
      <c r="B2617" s="50">
        <v>44540.5184807291</v>
      </c>
      <c r="C2617" s="51">
        <v>1.018</v>
      </c>
      <c r="D2617" s="51">
        <v>63.0</v>
      </c>
      <c r="E2617" s="52" t="s">
        <v>25</v>
      </c>
      <c r="F2617" s="52" t="s">
        <v>26</v>
      </c>
      <c r="G2617" s="53"/>
    </row>
    <row r="2618">
      <c r="A2618" s="49">
        <v>44540.403926597224</v>
      </c>
      <c r="B2618" s="50">
        <v>44540.5289013657</v>
      </c>
      <c r="C2618" s="51">
        <v>1.018</v>
      </c>
      <c r="D2618" s="51">
        <v>63.0</v>
      </c>
      <c r="E2618" s="52" t="s">
        <v>25</v>
      </c>
      <c r="F2618" s="52" t="s">
        <v>26</v>
      </c>
      <c r="G2618" s="53"/>
    </row>
    <row r="2619">
      <c r="A2619" s="49">
        <v>44540.41434783565</v>
      </c>
      <c r="B2619" s="50">
        <v>44540.5393214351</v>
      </c>
      <c r="C2619" s="51">
        <v>1.018</v>
      </c>
      <c r="D2619" s="51">
        <v>63.0</v>
      </c>
      <c r="E2619" s="52" t="s">
        <v>25</v>
      </c>
      <c r="F2619" s="52" t="s">
        <v>26</v>
      </c>
      <c r="G2619" s="53"/>
    </row>
    <row r="2620">
      <c r="A2620" s="49">
        <v>44540.42477111111</v>
      </c>
      <c r="B2620" s="50">
        <v>44540.5497538078</v>
      </c>
      <c r="C2620" s="51">
        <v>1.018</v>
      </c>
      <c r="D2620" s="51">
        <v>63.0</v>
      </c>
      <c r="E2620" s="52" t="s">
        <v>25</v>
      </c>
      <c r="F2620" s="52" t="s">
        <v>26</v>
      </c>
      <c r="G2620" s="53"/>
    </row>
    <row r="2621">
      <c r="A2621" s="49">
        <v>44540.435198761574</v>
      </c>
      <c r="B2621" s="50">
        <v>44540.5601743981</v>
      </c>
      <c r="C2621" s="51">
        <v>1.018</v>
      </c>
      <c r="D2621" s="51">
        <v>63.0</v>
      </c>
      <c r="E2621" s="52" t="s">
        <v>25</v>
      </c>
      <c r="F2621" s="52" t="s">
        <v>26</v>
      </c>
      <c r="G2621" s="53"/>
    </row>
    <row r="2622">
      <c r="A2622" s="49">
        <v>44540.44562084491</v>
      </c>
      <c r="B2622" s="50">
        <v>44540.5705961458</v>
      </c>
      <c r="C2622" s="51">
        <v>1.018</v>
      </c>
      <c r="D2622" s="51">
        <v>63.0</v>
      </c>
      <c r="E2622" s="52" t="s">
        <v>25</v>
      </c>
      <c r="F2622" s="52" t="s">
        <v>26</v>
      </c>
      <c r="G2622" s="53"/>
    </row>
    <row r="2623">
      <c r="A2623" s="49">
        <v>44540.456034131945</v>
      </c>
      <c r="B2623" s="50">
        <v>44540.5810168865</v>
      </c>
      <c r="C2623" s="51">
        <v>1.018</v>
      </c>
      <c r="D2623" s="51">
        <v>63.0</v>
      </c>
      <c r="E2623" s="52" t="s">
        <v>25</v>
      </c>
      <c r="F2623" s="52" t="s">
        <v>26</v>
      </c>
      <c r="G2623" s="53"/>
    </row>
    <row r="2624">
      <c r="A2624" s="49">
        <v>44540.466462337965</v>
      </c>
      <c r="B2624" s="50">
        <v>44540.5914378356</v>
      </c>
      <c r="C2624" s="51">
        <v>1.018</v>
      </c>
      <c r="D2624" s="51">
        <v>63.0</v>
      </c>
      <c r="E2624" s="52" t="s">
        <v>25</v>
      </c>
      <c r="F2624" s="52" t="s">
        <v>26</v>
      </c>
      <c r="G2624" s="53"/>
    </row>
    <row r="2625">
      <c r="A2625" s="49">
        <v>44540.476885729164</v>
      </c>
      <c r="B2625" s="50">
        <v>44540.6018582754</v>
      </c>
      <c r="C2625" s="51">
        <v>1.018</v>
      </c>
      <c r="D2625" s="51">
        <v>63.0</v>
      </c>
      <c r="E2625" s="52" t="s">
        <v>25</v>
      </c>
      <c r="F2625" s="52" t="s">
        <v>26</v>
      </c>
      <c r="G2625" s="53"/>
    </row>
    <row r="2626">
      <c r="A2626" s="49">
        <v>44540.4872964699</v>
      </c>
      <c r="B2626" s="50">
        <v>44540.6122795254</v>
      </c>
      <c r="C2626" s="51">
        <v>1.018</v>
      </c>
      <c r="D2626" s="51">
        <v>63.0</v>
      </c>
      <c r="E2626" s="52" t="s">
        <v>25</v>
      </c>
      <c r="F2626" s="52" t="s">
        <v>26</v>
      </c>
      <c r="G2626" s="53"/>
    </row>
    <row r="2627">
      <c r="A2627" s="49">
        <v>44540.49772025463</v>
      </c>
      <c r="B2627" s="50">
        <v>44540.6226995833</v>
      </c>
      <c r="C2627" s="51">
        <v>1.018</v>
      </c>
      <c r="D2627" s="51">
        <v>63.0</v>
      </c>
      <c r="E2627" s="52" t="s">
        <v>25</v>
      </c>
      <c r="F2627" s="52" t="s">
        <v>26</v>
      </c>
      <c r="G2627" s="53"/>
    </row>
    <row r="2628">
      <c r="A2628" s="49">
        <v>44540.50816657407</v>
      </c>
      <c r="B2628" s="50">
        <v>44540.6331335995</v>
      </c>
      <c r="C2628" s="51">
        <v>1.018</v>
      </c>
      <c r="D2628" s="51">
        <v>63.0</v>
      </c>
      <c r="E2628" s="52" t="s">
        <v>25</v>
      </c>
      <c r="F2628" s="52" t="s">
        <v>26</v>
      </c>
      <c r="G2628" s="53"/>
    </row>
    <row r="2629">
      <c r="A2629" s="49">
        <v>44540.51858309028</v>
      </c>
      <c r="B2629" s="50">
        <v>44540.6435549884</v>
      </c>
      <c r="C2629" s="51">
        <v>1.018</v>
      </c>
      <c r="D2629" s="51">
        <v>63.0</v>
      </c>
      <c r="E2629" s="52" t="s">
        <v>25</v>
      </c>
      <c r="F2629" s="52" t="s">
        <v>26</v>
      </c>
      <c r="G2629" s="53"/>
    </row>
    <row r="2630">
      <c r="A2630" s="49">
        <v>44540.528997905094</v>
      </c>
      <c r="B2630" s="50">
        <v>44540.653973368</v>
      </c>
      <c r="C2630" s="51">
        <v>1.018</v>
      </c>
      <c r="D2630" s="51">
        <v>63.0</v>
      </c>
      <c r="E2630" s="52" t="s">
        <v>25</v>
      </c>
      <c r="F2630" s="52" t="s">
        <v>26</v>
      </c>
      <c r="G2630" s="53"/>
    </row>
    <row r="2631">
      <c r="A2631" s="49">
        <v>44540.539418472224</v>
      </c>
      <c r="B2631" s="50">
        <v>44540.6643946296</v>
      </c>
      <c r="C2631" s="51">
        <v>1.018</v>
      </c>
      <c r="D2631" s="51">
        <v>63.0</v>
      </c>
      <c r="E2631" s="52" t="s">
        <v>25</v>
      </c>
      <c r="F2631" s="52" t="s">
        <v>26</v>
      </c>
      <c r="G2631" s="53"/>
    </row>
    <row r="2632">
      <c r="A2632" s="49">
        <v>44540.54985056713</v>
      </c>
      <c r="B2632" s="50">
        <v>44540.674826574</v>
      </c>
      <c r="C2632" s="51">
        <v>1.018</v>
      </c>
      <c r="D2632" s="51">
        <v>63.0</v>
      </c>
      <c r="E2632" s="52" t="s">
        <v>25</v>
      </c>
      <c r="F2632" s="52" t="s">
        <v>26</v>
      </c>
      <c r="G2632" s="53"/>
    </row>
    <row r="2633">
      <c r="A2633" s="49">
        <v>44540.56027646991</v>
      </c>
      <c r="B2633" s="50">
        <v>44540.6852492013</v>
      </c>
      <c r="C2633" s="51">
        <v>1.018</v>
      </c>
      <c r="D2633" s="51">
        <v>63.0</v>
      </c>
      <c r="E2633" s="52" t="s">
        <v>25</v>
      </c>
      <c r="F2633" s="52" t="s">
        <v>26</v>
      </c>
      <c r="G2633" s="53"/>
    </row>
    <row r="2634">
      <c r="A2634" s="49">
        <v>44540.570695532406</v>
      </c>
      <c r="B2634" s="50">
        <v>44540.6956700578</v>
      </c>
      <c r="C2634" s="51">
        <v>1.018</v>
      </c>
      <c r="D2634" s="51">
        <v>63.0</v>
      </c>
      <c r="E2634" s="52" t="s">
        <v>25</v>
      </c>
      <c r="F2634" s="52" t="s">
        <v>26</v>
      </c>
      <c r="G2634" s="53"/>
    </row>
    <row r="2635">
      <c r="A2635" s="49">
        <v>44540.58111778935</v>
      </c>
      <c r="B2635" s="50">
        <v>44540.7060907638</v>
      </c>
      <c r="C2635" s="51">
        <v>1.018</v>
      </c>
      <c r="D2635" s="51">
        <v>63.0</v>
      </c>
      <c r="E2635" s="52" t="s">
        <v>25</v>
      </c>
      <c r="F2635" s="52" t="s">
        <v>26</v>
      </c>
      <c r="G2635" s="53"/>
    </row>
    <row r="2636">
      <c r="A2636" s="49">
        <v>44540.591546365744</v>
      </c>
      <c r="B2636" s="50">
        <v>44540.7165230092</v>
      </c>
      <c r="C2636" s="51">
        <v>1.018</v>
      </c>
      <c r="D2636" s="51">
        <v>63.0</v>
      </c>
      <c r="E2636" s="52" t="s">
        <v>25</v>
      </c>
      <c r="F2636" s="52" t="s">
        <v>26</v>
      </c>
      <c r="G2636" s="53"/>
    </row>
    <row r="2637">
      <c r="A2637" s="49">
        <v>44540.601966539354</v>
      </c>
      <c r="B2637" s="50">
        <v>44540.7269450694</v>
      </c>
      <c r="C2637" s="51">
        <v>1.018</v>
      </c>
      <c r="D2637" s="51">
        <v>63.0</v>
      </c>
      <c r="E2637" s="52" t="s">
        <v>25</v>
      </c>
      <c r="F2637" s="52" t="s">
        <v>26</v>
      </c>
      <c r="G2637" s="53"/>
    </row>
    <row r="2638">
      <c r="A2638" s="49">
        <v>44540.612393125004</v>
      </c>
      <c r="B2638" s="50">
        <v>44540.7373680439</v>
      </c>
      <c r="C2638" s="51">
        <v>1.018</v>
      </c>
      <c r="D2638" s="51">
        <v>63.0</v>
      </c>
      <c r="E2638" s="52" t="s">
        <v>25</v>
      </c>
      <c r="F2638" s="52" t="s">
        <v>26</v>
      </c>
      <c r="G2638" s="53"/>
    </row>
    <row r="2639">
      <c r="A2639" s="49">
        <v>44540.622817615746</v>
      </c>
      <c r="B2639" s="50">
        <v>44540.7477874537</v>
      </c>
      <c r="C2639" s="51">
        <v>1.018</v>
      </c>
      <c r="D2639" s="51">
        <v>63.0</v>
      </c>
      <c r="E2639" s="52" t="s">
        <v>25</v>
      </c>
      <c r="F2639" s="52" t="s">
        <v>26</v>
      </c>
      <c r="G2639" s="53"/>
    </row>
    <row r="2640">
      <c r="A2640" s="49">
        <v>44540.633231851854</v>
      </c>
      <c r="B2640" s="50">
        <v>44540.758210243</v>
      </c>
      <c r="C2640" s="51">
        <v>1.018</v>
      </c>
      <c r="D2640" s="51">
        <v>63.0</v>
      </c>
      <c r="E2640" s="52" t="s">
        <v>25</v>
      </c>
      <c r="F2640" s="52" t="s">
        <v>26</v>
      </c>
      <c r="G2640" s="53"/>
    </row>
    <row r="2641">
      <c r="A2641" s="49">
        <v>44540.64365883102</v>
      </c>
      <c r="B2641" s="50">
        <v>44540.7686339351</v>
      </c>
      <c r="C2641" s="51">
        <v>1.018</v>
      </c>
      <c r="D2641" s="51">
        <v>63.0</v>
      </c>
      <c r="E2641" s="52" t="s">
        <v>25</v>
      </c>
      <c r="F2641" s="52" t="s">
        <v>26</v>
      </c>
      <c r="G2641" s="53"/>
    </row>
    <row r="2642">
      <c r="A2642" s="49">
        <v>44540.654088599535</v>
      </c>
      <c r="B2642" s="50">
        <v>44540.7790538426</v>
      </c>
      <c r="C2642" s="51">
        <v>1.018</v>
      </c>
      <c r="D2642" s="51">
        <v>63.0</v>
      </c>
      <c r="E2642" s="52" t="s">
        <v>25</v>
      </c>
      <c r="F2642" s="52" t="s">
        <v>26</v>
      </c>
      <c r="G2642" s="53"/>
    </row>
    <row r="2643">
      <c r="A2643" s="49">
        <v>44540.664508981485</v>
      </c>
      <c r="B2643" s="50">
        <v>44540.7894858449</v>
      </c>
      <c r="C2643" s="51">
        <v>1.018</v>
      </c>
      <c r="D2643" s="51">
        <v>63.0</v>
      </c>
      <c r="E2643" s="52" t="s">
        <v>25</v>
      </c>
      <c r="F2643" s="52" t="s">
        <v>26</v>
      </c>
      <c r="G2643" s="53"/>
    </row>
    <row r="2644">
      <c r="A2644" s="49">
        <v>44540.67493922454</v>
      </c>
      <c r="B2644" s="50">
        <v>44540.7999064351</v>
      </c>
      <c r="C2644" s="51">
        <v>1.018</v>
      </c>
      <c r="D2644" s="51">
        <v>63.0</v>
      </c>
      <c r="E2644" s="52" t="s">
        <v>25</v>
      </c>
      <c r="F2644" s="52" t="s">
        <v>26</v>
      </c>
      <c r="G2644" s="53"/>
    </row>
    <row r="2645">
      <c r="A2645" s="49">
        <v>44540.68535734953</v>
      </c>
      <c r="B2645" s="50">
        <v>44540.8103390856</v>
      </c>
      <c r="C2645" s="51">
        <v>1.018</v>
      </c>
      <c r="D2645" s="51">
        <v>63.0</v>
      </c>
      <c r="E2645" s="52" t="s">
        <v>25</v>
      </c>
      <c r="F2645" s="52" t="s">
        <v>26</v>
      </c>
      <c r="G2645" s="53"/>
    </row>
    <row r="2646">
      <c r="A2646" s="49">
        <v>44540.69579625</v>
      </c>
      <c r="B2646" s="50">
        <v>44540.8207736805</v>
      </c>
      <c r="C2646" s="51">
        <v>1.018</v>
      </c>
      <c r="D2646" s="51">
        <v>63.0</v>
      </c>
      <c r="E2646" s="52" t="s">
        <v>25</v>
      </c>
      <c r="F2646" s="52" t="s">
        <v>26</v>
      </c>
      <c r="G2646" s="53"/>
    </row>
    <row r="2647">
      <c r="A2647" s="49">
        <v>44540.70622065972</v>
      </c>
      <c r="B2647" s="50">
        <v>44540.8311935185</v>
      </c>
      <c r="C2647" s="51">
        <v>1.018</v>
      </c>
      <c r="D2647" s="51">
        <v>63.0</v>
      </c>
      <c r="E2647" s="52" t="s">
        <v>25</v>
      </c>
      <c r="F2647" s="52" t="s">
        <v>26</v>
      </c>
      <c r="G2647" s="53"/>
    </row>
    <row r="2648">
      <c r="A2648" s="49">
        <v>44540.716639328704</v>
      </c>
      <c r="B2648" s="50">
        <v>44540.8416148842</v>
      </c>
      <c r="C2648" s="51">
        <v>1.018</v>
      </c>
      <c r="D2648" s="51">
        <v>63.0</v>
      </c>
      <c r="E2648" s="52" t="s">
        <v>25</v>
      </c>
      <c r="F2648" s="52" t="s">
        <v>26</v>
      </c>
      <c r="G2648" s="53"/>
    </row>
    <row r="2649">
      <c r="A2649" s="49">
        <v>44540.72705420139</v>
      </c>
      <c r="B2649" s="50">
        <v>44540.8520362268</v>
      </c>
      <c r="C2649" s="51">
        <v>1.018</v>
      </c>
      <c r="D2649" s="51">
        <v>63.0</v>
      </c>
      <c r="E2649" s="52" t="s">
        <v>25</v>
      </c>
      <c r="F2649" s="52" t="s">
        <v>26</v>
      </c>
      <c r="G2649" s="53"/>
    </row>
    <row r="2650">
      <c r="A2650" s="49">
        <v>44540.737493900466</v>
      </c>
      <c r="B2650" s="50">
        <v>44540.862468831</v>
      </c>
      <c r="C2650" s="51">
        <v>1.018</v>
      </c>
      <c r="D2650" s="51">
        <v>63.0</v>
      </c>
      <c r="E2650" s="52" t="s">
        <v>25</v>
      </c>
      <c r="F2650" s="52" t="s">
        <v>26</v>
      </c>
      <c r="G2650" s="53"/>
    </row>
    <row r="2651">
      <c r="A2651" s="49">
        <v>44540.74790994213</v>
      </c>
      <c r="B2651" s="50">
        <v>44540.872890949</v>
      </c>
      <c r="C2651" s="51">
        <v>1.018</v>
      </c>
      <c r="D2651" s="51">
        <v>63.0</v>
      </c>
      <c r="E2651" s="52" t="s">
        <v>25</v>
      </c>
      <c r="F2651" s="52" t="s">
        <v>26</v>
      </c>
      <c r="G2651" s="53"/>
    </row>
    <row r="2652">
      <c r="A2652" s="49">
        <v>44540.758347152776</v>
      </c>
      <c r="B2652" s="50">
        <v>44540.883311875</v>
      </c>
      <c r="C2652" s="51">
        <v>1.018</v>
      </c>
      <c r="D2652" s="51">
        <v>63.0</v>
      </c>
      <c r="E2652" s="52" t="s">
        <v>25</v>
      </c>
      <c r="F2652" s="52" t="s">
        <v>26</v>
      </c>
      <c r="G2652" s="53"/>
    </row>
    <row r="2653">
      <c r="A2653" s="49">
        <v>44540.768755324076</v>
      </c>
      <c r="B2653" s="50">
        <v>44540.89373228</v>
      </c>
      <c r="C2653" s="51">
        <v>1.018</v>
      </c>
      <c r="D2653" s="51">
        <v>63.0</v>
      </c>
      <c r="E2653" s="52" t="s">
        <v>25</v>
      </c>
      <c r="F2653" s="52" t="s">
        <v>26</v>
      </c>
      <c r="G2653" s="53"/>
    </row>
    <row r="2654">
      <c r="A2654" s="49">
        <v>44540.77917577546</v>
      </c>
      <c r="B2654" s="50">
        <v>44540.9041519907</v>
      </c>
      <c r="C2654" s="51">
        <v>1.018</v>
      </c>
      <c r="D2654" s="51">
        <v>63.0</v>
      </c>
      <c r="E2654" s="52" t="s">
        <v>25</v>
      </c>
      <c r="F2654" s="52" t="s">
        <v>26</v>
      </c>
      <c r="G2654" s="53"/>
    </row>
    <row r="2655">
      <c r="A2655" s="49">
        <v>44540.78959403935</v>
      </c>
      <c r="B2655" s="50">
        <v>44540.9145731365</v>
      </c>
      <c r="C2655" s="51">
        <v>1.018</v>
      </c>
      <c r="D2655" s="51">
        <v>63.0</v>
      </c>
      <c r="E2655" s="52" t="s">
        <v>25</v>
      </c>
      <c r="F2655" s="52" t="s">
        <v>26</v>
      </c>
      <c r="G2655" s="53"/>
    </row>
    <row r="2656">
      <c r="A2656" s="49">
        <v>44540.80002664352</v>
      </c>
      <c r="B2656" s="50">
        <v>44540.9249937847</v>
      </c>
      <c r="C2656" s="51">
        <v>1.018</v>
      </c>
      <c r="D2656" s="51">
        <v>63.0</v>
      </c>
      <c r="E2656" s="52" t="s">
        <v>25</v>
      </c>
      <c r="F2656" s="52" t="s">
        <v>26</v>
      </c>
      <c r="G2656" s="53"/>
    </row>
    <row r="2657">
      <c r="A2657" s="49">
        <v>44540.81043498842</v>
      </c>
      <c r="B2657" s="50">
        <v>44540.9354149768</v>
      </c>
      <c r="C2657" s="51">
        <v>1.018</v>
      </c>
      <c r="D2657" s="51">
        <v>63.0</v>
      </c>
      <c r="E2657" s="52" t="s">
        <v>25</v>
      </c>
      <c r="F2657" s="52" t="s">
        <v>26</v>
      </c>
      <c r="G2657" s="53"/>
    </row>
    <row r="2658">
      <c r="A2658" s="49">
        <v>44540.8208521412</v>
      </c>
      <c r="B2658" s="50">
        <v>44540.9458349074</v>
      </c>
      <c r="C2658" s="51">
        <v>1.018</v>
      </c>
      <c r="D2658" s="51">
        <v>63.0</v>
      </c>
      <c r="E2658" s="52" t="s">
        <v>25</v>
      </c>
      <c r="F2658" s="52" t="s">
        <v>26</v>
      </c>
      <c r="G2658" s="53"/>
    </row>
    <row r="2659">
      <c r="A2659" s="49">
        <v>44540.83128431713</v>
      </c>
      <c r="B2659" s="50">
        <v>44540.9562567013</v>
      </c>
      <c r="C2659" s="51">
        <v>1.018</v>
      </c>
      <c r="D2659" s="51">
        <v>63.0</v>
      </c>
      <c r="E2659" s="52" t="s">
        <v>25</v>
      </c>
      <c r="F2659" s="52" t="s">
        <v>26</v>
      </c>
      <c r="G2659" s="53"/>
    </row>
    <row r="2660">
      <c r="A2660" s="49">
        <v>44540.84170247686</v>
      </c>
      <c r="B2660" s="50">
        <v>44540.9666788078</v>
      </c>
      <c r="C2660" s="51">
        <v>1.018</v>
      </c>
      <c r="D2660" s="51">
        <v>63.0</v>
      </c>
      <c r="E2660" s="52" t="s">
        <v>25</v>
      </c>
      <c r="F2660" s="52" t="s">
        <v>26</v>
      </c>
      <c r="G2660" s="53"/>
    </row>
    <row r="2661">
      <c r="A2661" s="49">
        <v>44540.85211644676</v>
      </c>
      <c r="B2661" s="50">
        <v>44540.9770999884</v>
      </c>
      <c r="C2661" s="51">
        <v>1.018</v>
      </c>
      <c r="D2661" s="51">
        <v>63.0</v>
      </c>
      <c r="E2661" s="52" t="s">
        <v>25</v>
      </c>
      <c r="F2661" s="52" t="s">
        <v>26</v>
      </c>
      <c r="G2661" s="53"/>
    </row>
    <row r="2662">
      <c r="A2662" s="49">
        <v>44540.86254394676</v>
      </c>
      <c r="B2662" s="50">
        <v>44540.9875208101</v>
      </c>
      <c r="C2662" s="51">
        <v>1.018</v>
      </c>
      <c r="D2662" s="51">
        <v>63.0</v>
      </c>
      <c r="E2662" s="52" t="s">
        <v>25</v>
      </c>
      <c r="F2662" s="52" t="s">
        <v>26</v>
      </c>
      <c r="G2662" s="53"/>
    </row>
    <row r="2663">
      <c r="A2663" s="49">
        <v>44540.872961875</v>
      </c>
      <c r="B2663" s="50">
        <v>44540.9979418402</v>
      </c>
      <c r="C2663" s="51">
        <v>1.018</v>
      </c>
      <c r="D2663" s="51">
        <v>63.0</v>
      </c>
      <c r="E2663" s="52" t="s">
        <v>25</v>
      </c>
      <c r="F2663" s="52" t="s">
        <v>26</v>
      </c>
      <c r="G2663" s="53"/>
    </row>
    <row r="2664">
      <c r="A2664" s="49">
        <v>44540.88338925926</v>
      </c>
      <c r="B2664" s="50">
        <v>44541.0083642245</v>
      </c>
      <c r="C2664" s="51">
        <v>1.018</v>
      </c>
      <c r="D2664" s="51">
        <v>63.0</v>
      </c>
      <c r="E2664" s="52" t="s">
        <v>25</v>
      </c>
      <c r="F2664" s="52" t="s">
        <v>26</v>
      </c>
      <c r="G2664" s="53"/>
    </row>
    <row r="2665">
      <c r="A2665" s="49">
        <v>44540.89381197917</v>
      </c>
      <c r="B2665" s="50">
        <v>44541.018785</v>
      </c>
      <c r="C2665" s="51">
        <v>1.018</v>
      </c>
      <c r="D2665" s="51">
        <v>63.0</v>
      </c>
      <c r="E2665" s="52" t="s">
        <v>25</v>
      </c>
      <c r="F2665" s="52" t="s">
        <v>26</v>
      </c>
      <c r="G2665" s="53"/>
    </row>
    <row r="2666">
      <c r="A2666" s="49">
        <v>44540.90423569444</v>
      </c>
      <c r="B2666" s="50">
        <v>44541.0292052314</v>
      </c>
      <c r="C2666" s="51">
        <v>1.018</v>
      </c>
      <c r="D2666" s="51">
        <v>63.0</v>
      </c>
      <c r="E2666" s="52" t="s">
        <v>25</v>
      </c>
      <c r="F2666" s="52" t="s">
        <v>26</v>
      </c>
      <c r="G2666" s="53"/>
    </row>
    <row r="2667">
      <c r="A2667" s="49">
        <v>44540.91465556713</v>
      </c>
      <c r="B2667" s="50">
        <v>44541.0396258333</v>
      </c>
      <c r="C2667" s="51">
        <v>1.018</v>
      </c>
      <c r="D2667" s="51">
        <v>63.0</v>
      </c>
      <c r="E2667" s="52" t="s">
        <v>25</v>
      </c>
      <c r="F2667" s="52" t="s">
        <v>26</v>
      </c>
      <c r="G2667" s="53"/>
    </row>
    <row r="2668">
      <c r="A2668" s="49">
        <v>44540.92508326389</v>
      </c>
      <c r="B2668" s="50">
        <v>44541.0500580324</v>
      </c>
      <c r="C2668" s="51">
        <v>1.018</v>
      </c>
      <c r="D2668" s="51">
        <v>63.0</v>
      </c>
      <c r="E2668" s="52" t="s">
        <v>25</v>
      </c>
      <c r="F2668" s="52" t="s">
        <v>26</v>
      </c>
      <c r="G2668" s="53"/>
    </row>
    <row r="2669">
      <c r="A2669" s="49">
        <v>44540.93549924769</v>
      </c>
      <c r="B2669" s="50">
        <v>44541.0604780439</v>
      </c>
      <c r="C2669" s="51">
        <v>1.018</v>
      </c>
      <c r="D2669" s="51">
        <v>63.0</v>
      </c>
      <c r="E2669" s="52" t="s">
        <v>25</v>
      </c>
      <c r="F2669" s="52" t="s">
        <v>26</v>
      </c>
      <c r="G2669" s="53"/>
    </row>
    <row r="2670">
      <c r="A2670" s="49">
        <v>44540.945926342596</v>
      </c>
      <c r="B2670" s="50">
        <v>44541.0708995833</v>
      </c>
      <c r="C2670" s="51">
        <v>1.018</v>
      </c>
      <c r="D2670" s="51">
        <v>63.0</v>
      </c>
      <c r="E2670" s="52" t="s">
        <v>25</v>
      </c>
      <c r="F2670" s="52" t="s">
        <v>26</v>
      </c>
      <c r="G2670" s="53"/>
    </row>
    <row r="2671">
      <c r="A2671" s="49">
        <v>44540.956336331015</v>
      </c>
      <c r="B2671" s="50">
        <v>44541.0813206597</v>
      </c>
      <c r="C2671" s="51">
        <v>1.018</v>
      </c>
      <c r="D2671" s="51">
        <v>63.0</v>
      </c>
      <c r="E2671" s="52" t="s">
        <v>25</v>
      </c>
      <c r="F2671" s="52" t="s">
        <v>26</v>
      </c>
      <c r="G2671" s="53"/>
    </row>
    <row r="2672">
      <c r="A2672" s="49">
        <v>44540.96677153935</v>
      </c>
      <c r="B2672" s="50">
        <v>44541.0917517361</v>
      </c>
      <c r="C2672" s="51">
        <v>1.018</v>
      </c>
      <c r="D2672" s="51">
        <v>63.0</v>
      </c>
      <c r="E2672" s="52" t="s">
        <v>25</v>
      </c>
      <c r="F2672" s="52" t="s">
        <v>26</v>
      </c>
      <c r="G2672" s="53"/>
    </row>
    <row r="2673">
      <c r="A2673" s="49">
        <v>44540.97720247685</v>
      </c>
      <c r="B2673" s="50">
        <v>44541.1021745023</v>
      </c>
      <c r="C2673" s="51">
        <v>1.018</v>
      </c>
      <c r="D2673" s="51">
        <v>63.0</v>
      </c>
      <c r="E2673" s="52" t="s">
        <v>25</v>
      </c>
      <c r="F2673" s="52" t="s">
        <v>26</v>
      </c>
      <c r="G2673" s="53"/>
    </row>
    <row r="2674">
      <c r="A2674" s="49">
        <v>44540.987622175926</v>
      </c>
      <c r="B2674" s="50">
        <v>44541.1125951967</v>
      </c>
      <c r="C2674" s="51">
        <v>1.018</v>
      </c>
      <c r="D2674" s="51">
        <v>63.0</v>
      </c>
      <c r="E2674" s="52" t="s">
        <v>25</v>
      </c>
      <c r="F2674" s="52" t="s">
        <v>26</v>
      </c>
      <c r="G2674" s="53"/>
    </row>
    <row r="2675">
      <c r="A2675" s="49">
        <v>44540.99804039352</v>
      </c>
      <c r="B2675" s="50">
        <v>44541.1230178009</v>
      </c>
      <c r="C2675" s="51">
        <v>1.018</v>
      </c>
      <c r="D2675" s="51">
        <v>63.0</v>
      </c>
      <c r="E2675" s="52" t="s">
        <v>25</v>
      </c>
      <c r="F2675" s="52" t="s">
        <v>26</v>
      </c>
      <c r="G2675" s="53"/>
    </row>
    <row r="2676">
      <c r="A2676" s="49">
        <v>44541.00846195602</v>
      </c>
      <c r="B2676" s="50">
        <v>44541.13343978</v>
      </c>
      <c r="C2676" s="51">
        <v>1.018</v>
      </c>
      <c r="D2676" s="51">
        <v>63.0</v>
      </c>
      <c r="E2676" s="52" t="s">
        <v>25</v>
      </c>
      <c r="F2676" s="52" t="s">
        <v>26</v>
      </c>
      <c r="G2676" s="53"/>
    </row>
    <row r="2677">
      <c r="A2677" s="49">
        <v>44541.018879560186</v>
      </c>
      <c r="B2677" s="50">
        <v>44541.1438604861</v>
      </c>
      <c r="C2677" s="51">
        <v>1.018</v>
      </c>
      <c r="D2677" s="51">
        <v>63.0</v>
      </c>
      <c r="E2677" s="52" t="s">
        <v>25</v>
      </c>
      <c r="F2677" s="52" t="s">
        <v>26</v>
      </c>
      <c r="G2677" s="53"/>
    </row>
    <row r="2678">
      <c r="A2678" s="49">
        <v>44541.02930693287</v>
      </c>
      <c r="B2678" s="50">
        <v>44541.1542812962</v>
      </c>
      <c r="C2678" s="51">
        <v>1.018</v>
      </c>
      <c r="D2678" s="51">
        <v>63.0</v>
      </c>
      <c r="E2678" s="52" t="s">
        <v>25</v>
      </c>
      <c r="F2678" s="52" t="s">
        <v>26</v>
      </c>
      <c r="G2678" s="53"/>
    </row>
    <row r="2679">
      <c r="A2679" s="49">
        <v>44541.03972439815</v>
      </c>
      <c r="B2679" s="50">
        <v>44541.164703287</v>
      </c>
      <c r="C2679" s="51">
        <v>1.018</v>
      </c>
      <c r="D2679" s="51">
        <v>63.0</v>
      </c>
      <c r="E2679" s="52" t="s">
        <v>25</v>
      </c>
      <c r="F2679" s="52" t="s">
        <v>26</v>
      </c>
      <c r="G2679" s="53"/>
    </row>
    <row r="2680">
      <c r="A2680" s="49">
        <v>44541.05016384259</v>
      </c>
      <c r="B2680" s="50">
        <v>44541.1751475115</v>
      </c>
      <c r="C2680" s="51">
        <v>1.018</v>
      </c>
      <c r="D2680" s="51">
        <v>63.0</v>
      </c>
      <c r="E2680" s="52" t="s">
        <v>25</v>
      </c>
      <c r="F2680" s="52" t="s">
        <v>26</v>
      </c>
      <c r="G2680" s="53"/>
    </row>
    <row r="2681">
      <c r="A2681" s="49">
        <v>44541.06058763889</v>
      </c>
      <c r="B2681" s="50">
        <v>44541.1855676041</v>
      </c>
      <c r="C2681" s="51">
        <v>1.018</v>
      </c>
      <c r="D2681" s="51">
        <v>63.0</v>
      </c>
      <c r="E2681" s="52" t="s">
        <v>25</v>
      </c>
      <c r="F2681" s="52" t="s">
        <v>26</v>
      </c>
      <c r="G2681" s="53"/>
    </row>
    <row r="2682">
      <c r="A2682" s="49">
        <v>44541.07101321759</v>
      </c>
      <c r="B2682" s="50">
        <v>44541.1959891088</v>
      </c>
      <c r="C2682" s="51">
        <v>1.018</v>
      </c>
      <c r="D2682" s="51">
        <v>62.0</v>
      </c>
      <c r="E2682" s="52" t="s">
        <v>25</v>
      </c>
      <c r="F2682" s="52" t="s">
        <v>26</v>
      </c>
      <c r="G2682" s="53"/>
    </row>
    <row r="2683">
      <c r="A2683" s="49">
        <v>44541.08143127315</v>
      </c>
      <c r="B2683" s="50">
        <v>44541.2064101388</v>
      </c>
      <c r="C2683" s="51">
        <v>1.018</v>
      </c>
      <c r="D2683" s="51">
        <v>63.0</v>
      </c>
      <c r="E2683" s="52" t="s">
        <v>25</v>
      </c>
      <c r="F2683" s="52" t="s">
        <v>26</v>
      </c>
      <c r="G2683" s="53"/>
    </row>
    <row r="2684">
      <c r="A2684" s="49">
        <v>44541.09184875</v>
      </c>
      <c r="B2684" s="50">
        <v>44541.2168327893</v>
      </c>
      <c r="C2684" s="51">
        <v>1.018</v>
      </c>
      <c r="D2684" s="51">
        <v>63.0</v>
      </c>
      <c r="E2684" s="52" t="s">
        <v>25</v>
      </c>
      <c r="F2684" s="52" t="s">
        <v>26</v>
      </c>
      <c r="G2684" s="53"/>
    </row>
    <row r="2685">
      <c r="A2685" s="49">
        <v>44541.102280046296</v>
      </c>
      <c r="B2685" s="50">
        <v>44541.2272536342</v>
      </c>
      <c r="C2685" s="51">
        <v>1.018</v>
      </c>
      <c r="D2685" s="51">
        <v>63.0</v>
      </c>
      <c r="E2685" s="52" t="s">
        <v>25</v>
      </c>
      <c r="F2685" s="52" t="s">
        <v>26</v>
      </c>
      <c r="G2685" s="53"/>
    </row>
    <row r="2686">
      <c r="A2686" s="49">
        <v>44541.11269601852</v>
      </c>
      <c r="B2686" s="50">
        <v>44541.2376753703</v>
      </c>
      <c r="C2686" s="51">
        <v>1.018</v>
      </c>
      <c r="D2686" s="51">
        <v>63.0</v>
      </c>
      <c r="E2686" s="52" t="s">
        <v>25</v>
      </c>
      <c r="F2686" s="52" t="s">
        <v>26</v>
      </c>
      <c r="G2686" s="53"/>
    </row>
    <row r="2687">
      <c r="A2687" s="49">
        <v>44541.12311943287</v>
      </c>
      <c r="B2687" s="50">
        <v>44541.2480974536</v>
      </c>
      <c r="C2687" s="51">
        <v>1.018</v>
      </c>
      <c r="D2687" s="51">
        <v>63.0</v>
      </c>
      <c r="E2687" s="52" t="s">
        <v>25</v>
      </c>
      <c r="F2687" s="52" t="s">
        <v>26</v>
      </c>
      <c r="G2687" s="53"/>
    </row>
    <row r="2688">
      <c r="A2688" s="49">
        <v>44541.13355590278</v>
      </c>
      <c r="B2688" s="50">
        <v>44541.258530868</v>
      </c>
      <c r="C2688" s="51">
        <v>1.018</v>
      </c>
      <c r="D2688" s="51">
        <v>63.0</v>
      </c>
      <c r="E2688" s="52" t="s">
        <v>25</v>
      </c>
      <c r="F2688" s="52" t="s">
        <v>26</v>
      </c>
      <c r="G2688" s="53"/>
    </row>
    <row r="2689">
      <c r="A2689" s="49">
        <v>44541.14398060185</v>
      </c>
      <c r="B2689" s="50">
        <v>44541.2689634837</v>
      </c>
      <c r="C2689" s="51">
        <v>1.018</v>
      </c>
      <c r="D2689" s="51">
        <v>63.0</v>
      </c>
      <c r="E2689" s="52" t="s">
        <v>25</v>
      </c>
      <c r="F2689" s="52" t="s">
        <v>26</v>
      </c>
      <c r="G2689" s="53"/>
    </row>
    <row r="2690">
      <c r="A2690" s="49">
        <v>44541.15440621528</v>
      </c>
      <c r="B2690" s="50">
        <v>44541.2793862962</v>
      </c>
      <c r="C2690" s="51">
        <v>1.018</v>
      </c>
      <c r="D2690" s="51">
        <v>63.0</v>
      </c>
      <c r="E2690" s="52" t="s">
        <v>25</v>
      </c>
      <c r="F2690" s="52" t="s">
        <v>26</v>
      </c>
      <c r="G2690" s="53"/>
    </row>
    <row r="2691">
      <c r="A2691" s="49">
        <v>44541.16482774305</v>
      </c>
      <c r="B2691" s="50">
        <v>44541.2898066319</v>
      </c>
      <c r="C2691" s="51">
        <v>1.018</v>
      </c>
      <c r="D2691" s="51">
        <v>63.0</v>
      </c>
      <c r="E2691" s="52" t="s">
        <v>25</v>
      </c>
      <c r="F2691" s="52" t="s">
        <v>26</v>
      </c>
      <c r="G2691" s="53"/>
    </row>
    <row r="2692">
      <c r="A2692" s="49">
        <v>44541.17525395833</v>
      </c>
      <c r="B2692" s="50">
        <v>44541.3002275925</v>
      </c>
      <c r="C2692" s="51">
        <v>1.018</v>
      </c>
      <c r="D2692" s="51">
        <v>63.0</v>
      </c>
      <c r="E2692" s="52" t="s">
        <v>25</v>
      </c>
      <c r="F2692" s="52" t="s">
        <v>26</v>
      </c>
      <c r="G2692" s="53"/>
    </row>
    <row r="2693">
      <c r="A2693" s="49">
        <v>44541.18567078703</v>
      </c>
      <c r="B2693" s="50">
        <v>44541.3106477314</v>
      </c>
      <c r="C2693" s="51">
        <v>1.018</v>
      </c>
      <c r="D2693" s="51">
        <v>63.0</v>
      </c>
      <c r="E2693" s="52" t="s">
        <v>25</v>
      </c>
      <c r="F2693" s="52" t="s">
        <v>26</v>
      </c>
      <c r="G2693" s="53"/>
    </row>
    <row r="2694">
      <c r="A2694" s="49">
        <v>44541.196102754635</v>
      </c>
      <c r="B2694" s="50">
        <v>44541.3210678819</v>
      </c>
      <c r="C2694" s="51">
        <v>1.017</v>
      </c>
      <c r="D2694" s="51">
        <v>63.0</v>
      </c>
      <c r="E2694" s="52" t="s">
        <v>25</v>
      </c>
      <c r="F2694" s="52" t="s">
        <v>26</v>
      </c>
      <c r="G2694" s="53"/>
    </row>
    <row r="2695">
      <c r="A2695" s="49">
        <v>44541.20651171297</v>
      </c>
      <c r="B2695" s="50">
        <v>44541.3314886111</v>
      </c>
      <c r="C2695" s="51">
        <v>1.018</v>
      </c>
      <c r="D2695" s="51">
        <v>63.0</v>
      </c>
      <c r="E2695" s="52" t="s">
        <v>25</v>
      </c>
      <c r="F2695" s="52" t="s">
        <v>26</v>
      </c>
      <c r="G2695" s="53"/>
    </row>
    <row r="2696">
      <c r="A2696" s="49">
        <v>44541.21694813657</v>
      </c>
      <c r="B2696" s="50">
        <v>44541.3419208564</v>
      </c>
      <c r="C2696" s="51">
        <v>1.018</v>
      </c>
      <c r="D2696" s="51">
        <v>63.0</v>
      </c>
      <c r="E2696" s="52" t="s">
        <v>25</v>
      </c>
      <c r="F2696" s="52" t="s">
        <v>26</v>
      </c>
      <c r="G2696" s="53"/>
    </row>
    <row r="2697">
      <c r="A2697" s="49">
        <v>44541.22735659722</v>
      </c>
      <c r="B2697" s="50">
        <v>44541.3523424652</v>
      </c>
      <c r="C2697" s="51">
        <v>1.018</v>
      </c>
      <c r="D2697" s="51">
        <v>63.0</v>
      </c>
      <c r="E2697" s="52" t="s">
        <v>25</v>
      </c>
      <c r="F2697" s="52" t="s">
        <v>26</v>
      </c>
      <c r="G2697" s="53"/>
    </row>
    <row r="2698">
      <c r="A2698" s="49">
        <v>44541.2377865625</v>
      </c>
      <c r="B2698" s="50">
        <v>44541.3627624189</v>
      </c>
      <c r="C2698" s="51">
        <v>1.017</v>
      </c>
      <c r="D2698" s="51">
        <v>63.0</v>
      </c>
      <c r="E2698" s="52" t="s">
        <v>25</v>
      </c>
      <c r="F2698" s="52" t="s">
        <v>26</v>
      </c>
      <c r="G2698" s="53"/>
    </row>
    <row r="2699">
      <c r="A2699" s="49">
        <v>44541.248209722224</v>
      </c>
      <c r="B2699" s="50">
        <v>44541.3731826851</v>
      </c>
      <c r="C2699" s="51">
        <v>1.017</v>
      </c>
      <c r="D2699" s="51">
        <v>63.0</v>
      </c>
      <c r="E2699" s="52" t="s">
        <v>25</v>
      </c>
      <c r="F2699" s="52" t="s">
        <v>26</v>
      </c>
      <c r="G2699" s="53"/>
    </row>
    <row r="2700">
      <c r="A2700" s="49">
        <v>44541.25862712963</v>
      </c>
      <c r="B2700" s="50">
        <v>44541.3836038773</v>
      </c>
      <c r="C2700" s="51">
        <v>1.017</v>
      </c>
      <c r="D2700" s="51">
        <v>63.0</v>
      </c>
      <c r="E2700" s="52" t="s">
        <v>25</v>
      </c>
      <c r="F2700" s="52" t="s">
        <v>26</v>
      </c>
      <c r="G2700" s="53"/>
    </row>
    <row r="2701">
      <c r="A2701" s="49">
        <v>44541.26904280092</v>
      </c>
      <c r="B2701" s="50">
        <v>44541.3940249537</v>
      </c>
      <c r="C2701" s="51">
        <v>1.017</v>
      </c>
      <c r="D2701" s="51">
        <v>63.0</v>
      </c>
      <c r="E2701" s="52" t="s">
        <v>25</v>
      </c>
      <c r="F2701" s="52" t="s">
        <v>26</v>
      </c>
      <c r="G2701" s="53"/>
    </row>
    <row r="2702">
      <c r="A2702" s="49">
        <v>44541.27947530092</v>
      </c>
      <c r="B2702" s="50">
        <v>44541.40444603</v>
      </c>
      <c r="C2702" s="51">
        <v>1.017</v>
      </c>
      <c r="D2702" s="51">
        <v>63.0</v>
      </c>
      <c r="E2702" s="52" t="s">
        <v>25</v>
      </c>
      <c r="F2702" s="52" t="s">
        <v>26</v>
      </c>
      <c r="G2702" s="53"/>
    </row>
    <row r="2703">
      <c r="A2703" s="49">
        <v>44541.28989195602</v>
      </c>
      <c r="B2703" s="50">
        <v>44541.4148673842</v>
      </c>
      <c r="C2703" s="51">
        <v>1.017</v>
      </c>
      <c r="D2703" s="51">
        <v>63.0</v>
      </c>
      <c r="E2703" s="52" t="s">
        <v>25</v>
      </c>
      <c r="F2703" s="52" t="s">
        <v>26</v>
      </c>
      <c r="G2703" s="53"/>
    </row>
    <row r="2704">
      <c r="A2704" s="49">
        <v>44541.300307523146</v>
      </c>
      <c r="B2704" s="50">
        <v>44541.4252879398</v>
      </c>
      <c r="C2704" s="51">
        <v>1.017</v>
      </c>
      <c r="D2704" s="51">
        <v>63.0</v>
      </c>
      <c r="E2704" s="52" t="s">
        <v>25</v>
      </c>
      <c r="F2704" s="52" t="s">
        <v>26</v>
      </c>
      <c r="G2704" s="53"/>
    </row>
    <row r="2705">
      <c r="A2705" s="49">
        <v>44541.310726724536</v>
      </c>
      <c r="B2705" s="50">
        <v>44541.4357092824</v>
      </c>
      <c r="C2705" s="51">
        <v>1.017</v>
      </c>
      <c r="D2705" s="51">
        <v>63.0</v>
      </c>
      <c r="E2705" s="52" t="s">
        <v>25</v>
      </c>
      <c r="F2705" s="52" t="s">
        <v>26</v>
      </c>
      <c r="G2705" s="53"/>
    </row>
    <row r="2706">
      <c r="A2706" s="49">
        <v>44541.32114886574</v>
      </c>
      <c r="B2706" s="50">
        <v>44541.4461283912</v>
      </c>
      <c r="C2706" s="51">
        <v>1.017</v>
      </c>
      <c r="D2706" s="51">
        <v>63.0</v>
      </c>
      <c r="E2706" s="52" t="s">
        <v>25</v>
      </c>
      <c r="F2706" s="52" t="s">
        <v>26</v>
      </c>
      <c r="G2706" s="53"/>
    </row>
    <row r="2707">
      <c r="A2707" s="49">
        <v>44541.33157606481</v>
      </c>
      <c r="B2707" s="50">
        <v>44541.4565490625</v>
      </c>
      <c r="C2707" s="51">
        <v>1.017</v>
      </c>
      <c r="D2707" s="51">
        <v>63.0</v>
      </c>
      <c r="E2707" s="52" t="s">
        <v>25</v>
      </c>
      <c r="F2707" s="52" t="s">
        <v>26</v>
      </c>
      <c r="G2707" s="53"/>
    </row>
    <row r="2708">
      <c r="A2708" s="49">
        <v>44541.341997870375</v>
      </c>
      <c r="B2708" s="50">
        <v>44541.466968449</v>
      </c>
      <c r="C2708" s="51">
        <v>1.017</v>
      </c>
      <c r="D2708" s="51">
        <v>63.0</v>
      </c>
      <c r="E2708" s="52" t="s">
        <v>25</v>
      </c>
      <c r="F2708" s="52" t="s">
        <v>26</v>
      </c>
      <c r="G2708" s="53"/>
    </row>
    <row r="2709">
      <c r="A2709" s="49">
        <v>44541.352433645836</v>
      </c>
      <c r="B2709" s="50">
        <v>44541.4774135648</v>
      </c>
      <c r="C2709" s="51">
        <v>1.017</v>
      </c>
      <c r="D2709" s="51">
        <v>63.0</v>
      </c>
      <c r="E2709" s="52" t="s">
        <v>25</v>
      </c>
      <c r="F2709" s="52" t="s">
        <v>26</v>
      </c>
      <c r="G2709" s="53"/>
    </row>
    <row r="2710">
      <c r="A2710" s="49">
        <v>44541.36286331018</v>
      </c>
      <c r="B2710" s="50">
        <v>44541.4878457291</v>
      </c>
      <c r="C2710" s="51">
        <v>1.017</v>
      </c>
      <c r="D2710" s="51">
        <v>63.0</v>
      </c>
      <c r="E2710" s="52" t="s">
        <v>25</v>
      </c>
      <c r="F2710" s="52" t="s">
        <v>26</v>
      </c>
      <c r="G2710" s="53"/>
    </row>
    <row r="2711">
      <c r="A2711" s="49">
        <v>44541.37329396991</v>
      </c>
      <c r="B2711" s="50">
        <v>44541.4982674189</v>
      </c>
      <c r="C2711" s="51">
        <v>1.017</v>
      </c>
      <c r="D2711" s="51">
        <v>63.0</v>
      </c>
      <c r="E2711" s="52" t="s">
        <v>25</v>
      </c>
      <c r="F2711" s="52" t="s">
        <v>26</v>
      </c>
      <c r="G2711" s="53"/>
    </row>
    <row r="2712">
      <c r="A2712" s="49">
        <v>44541.38371822917</v>
      </c>
      <c r="B2712" s="50">
        <v>44541.5086875462</v>
      </c>
      <c r="C2712" s="51">
        <v>1.017</v>
      </c>
      <c r="D2712" s="51">
        <v>63.0</v>
      </c>
      <c r="E2712" s="52" t="s">
        <v>25</v>
      </c>
      <c r="F2712" s="52" t="s">
        <v>26</v>
      </c>
      <c r="G2712" s="53"/>
    </row>
    <row r="2713">
      <c r="A2713" s="49">
        <v>44541.394145185186</v>
      </c>
      <c r="B2713" s="50">
        <v>44541.5191206597</v>
      </c>
      <c r="C2713" s="51">
        <v>1.017</v>
      </c>
      <c r="D2713" s="51">
        <v>63.0</v>
      </c>
      <c r="E2713" s="52" t="s">
        <v>25</v>
      </c>
      <c r="F2713" s="52" t="s">
        <v>26</v>
      </c>
      <c r="G2713" s="53"/>
    </row>
    <row r="2714">
      <c r="A2714" s="49">
        <v>44541.40456576389</v>
      </c>
      <c r="B2714" s="50">
        <v>44541.5295420949</v>
      </c>
      <c r="C2714" s="51">
        <v>1.017</v>
      </c>
      <c r="D2714" s="51">
        <v>63.0</v>
      </c>
      <c r="E2714" s="52" t="s">
        <v>25</v>
      </c>
      <c r="F2714" s="52" t="s">
        <v>26</v>
      </c>
      <c r="G2714" s="53"/>
    </row>
    <row r="2715">
      <c r="A2715" s="49">
        <v>44541.414983263894</v>
      </c>
      <c r="B2715" s="50">
        <v>44541.5399624189</v>
      </c>
      <c r="C2715" s="51">
        <v>1.017</v>
      </c>
      <c r="D2715" s="51">
        <v>63.0</v>
      </c>
      <c r="E2715" s="52" t="s">
        <v>25</v>
      </c>
      <c r="F2715" s="52" t="s">
        <v>26</v>
      </c>
      <c r="G2715" s="53"/>
    </row>
    <row r="2716">
      <c r="A2716" s="49">
        <v>44541.42541329861</v>
      </c>
      <c r="B2716" s="50">
        <v>44541.5503817592</v>
      </c>
      <c r="C2716" s="51">
        <v>1.017</v>
      </c>
      <c r="D2716" s="51">
        <v>63.0</v>
      </c>
      <c r="E2716" s="52" t="s">
        <v>25</v>
      </c>
      <c r="F2716" s="52" t="s">
        <v>26</v>
      </c>
      <c r="G2716" s="53"/>
    </row>
    <row r="2717">
      <c r="A2717" s="49">
        <v>44541.435830381946</v>
      </c>
      <c r="B2717" s="50">
        <v>44541.5608031597</v>
      </c>
      <c r="C2717" s="51">
        <v>1.017</v>
      </c>
      <c r="D2717" s="51">
        <v>63.0</v>
      </c>
      <c r="E2717" s="52" t="s">
        <v>25</v>
      </c>
      <c r="F2717" s="52" t="s">
        <v>26</v>
      </c>
      <c r="G2717" s="53"/>
    </row>
    <row r="2718">
      <c r="A2718" s="49">
        <v>44541.44626096065</v>
      </c>
      <c r="B2718" s="50">
        <v>44541.5712340046</v>
      </c>
      <c r="C2718" s="51">
        <v>1.017</v>
      </c>
      <c r="D2718" s="51">
        <v>63.0</v>
      </c>
      <c r="E2718" s="52" t="s">
        <v>25</v>
      </c>
      <c r="F2718" s="52" t="s">
        <v>26</v>
      </c>
      <c r="G2718" s="53"/>
    </row>
    <row r="2719">
      <c r="A2719" s="49">
        <v>44541.456685324076</v>
      </c>
      <c r="B2719" s="50">
        <v>44541.581654618</v>
      </c>
      <c r="C2719" s="51">
        <v>1.017</v>
      </c>
      <c r="D2719" s="51">
        <v>63.0</v>
      </c>
      <c r="E2719" s="52" t="s">
        <v>25</v>
      </c>
      <c r="F2719" s="52" t="s">
        <v>26</v>
      </c>
      <c r="G2719" s="53"/>
    </row>
    <row r="2720">
      <c r="A2720" s="49">
        <v>44541.467091493054</v>
      </c>
      <c r="B2720" s="50">
        <v>44541.5920745486</v>
      </c>
      <c r="C2720" s="51">
        <v>1.017</v>
      </c>
      <c r="D2720" s="51">
        <v>63.0</v>
      </c>
      <c r="E2720" s="52" t="s">
        <v>25</v>
      </c>
      <c r="F2720" s="52" t="s">
        <v>26</v>
      </c>
      <c r="G2720" s="53"/>
    </row>
    <row r="2721">
      <c r="A2721" s="49">
        <v>44541.477517997686</v>
      </c>
      <c r="B2721" s="50">
        <v>44541.6024967129</v>
      </c>
      <c r="C2721" s="51">
        <v>1.017</v>
      </c>
      <c r="D2721" s="51">
        <v>63.0</v>
      </c>
      <c r="E2721" s="52" t="s">
        <v>25</v>
      </c>
      <c r="F2721" s="52" t="s">
        <v>26</v>
      </c>
      <c r="G2721" s="53"/>
    </row>
    <row r="2722">
      <c r="A2722" s="49">
        <v>44541.4879425463</v>
      </c>
      <c r="B2722" s="50">
        <v>44541.6129176967</v>
      </c>
      <c r="C2722" s="51">
        <v>1.017</v>
      </c>
      <c r="D2722" s="51">
        <v>63.0</v>
      </c>
      <c r="E2722" s="52" t="s">
        <v>25</v>
      </c>
      <c r="F2722" s="52" t="s">
        <v>26</v>
      </c>
      <c r="G2722" s="53"/>
    </row>
    <row r="2723">
      <c r="A2723" s="49">
        <v>44541.49835740741</v>
      </c>
      <c r="B2723" s="50">
        <v>44541.6233400925</v>
      </c>
      <c r="C2723" s="51">
        <v>1.017</v>
      </c>
      <c r="D2723" s="51">
        <v>63.0</v>
      </c>
      <c r="E2723" s="52" t="s">
        <v>25</v>
      </c>
      <c r="F2723" s="52" t="s">
        <v>26</v>
      </c>
      <c r="G2723" s="53"/>
    </row>
    <row r="2724">
      <c r="A2724" s="49">
        <v>44541.50878628472</v>
      </c>
      <c r="B2724" s="50">
        <v>44541.6337608217</v>
      </c>
      <c r="C2724" s="51">
        <v>1.017</v>
      </c>
      <c r="D2724" s="51">
        <v>63.0</v>
      </c>
      <c r="E2724" s="52" t="s">
        <v>25</v>
      </c>
      <c r="F2724" s="52" t="s">
        <v>26</v>
      </c>
      <c r="G2724" s="53"/>
    </row>
    <row r="2725">
      <c r="A2725" s="49">
        <v>44541.51919851852</v>
      </c>
      <c r="B2725" s="50">
        <v>44541.6441824305</v>
      </c>
      <c r="C2725" s="51">
        <v>1.017</v>
      </c>
      <c r="D2725" s="51">
        <v>63.0</v>
      </c>
      <c r="E2725" s="52" t="s">
        <v>25</v>
      </c>
      <c r="F2725" s="52" t="s">
        <v>26</v>
      </c>
      <c r="G2725" s="53"/>
    </row>
    <row r="2726">
      <c r="A2726" s="49">
        <v>44541.5296283912</v>
      </c>
      <c r="B2726" s="50">
        <v>44541.6546041782</v>
      </c>
      <c r="C2726" s="51">
        <v>1.017</v>
      </c>
      <c r="D2726" s="51">
        <v>63.0</v>
      </c>
      <c r="E2726" s="52" t="s">
        <v>25</v>
      </c>
      <c r="F2726" s="52" t="s">
        <v>26</v>
      </c>
      <c r="G2726" s="53"/>
    </row>
    <row r="2727">
      <c r="A2727" s="49">
        <v>44541.54005603009</v>
      </c>
      <c r="B2727" s="50">
        <v>44541.6650244791</v>
      </c>
      <c r="C2727" s="51">
        <v>1.017</v>
      </c>
      <c r="D2727" s="51">
        <v>63.0</v>
      </c>
      <c r="E2727" s="52" t="s">
        <v>25</v>
      </c>
      <c r="F2727" s="52" t="s">
        <v>26</v>
      </c>
      <c r="G2727" s="53"/>
    </row>
    <row r="2728">
      <c r="A2728" s="49">
        <v>44541.550472222225</v>
      </c>
      <c r="B2728" s="50">
        <v>44541.6754454629</v>
      </c>
      <c r="C2728" s="51">
        <v>1.017</v>
      </c>
      <c r="D2728" s="51">
        <v>63.0</v>
      </c>
      <c r="E2728" s="52" t="s">
        <v>25</v>
      </c>
      <c r="F2728" s="52" t="s">
        <v>26</v>
      </c>
      <c r="G2728" s="53"/>
    </row>
    <row r="2729">
      <c r="A2729" s="49">
        <v>44541.56088469907</v>
      </c>
      <c r="B2729" s="50">
        <v>44541.6858660879</v>
      </c>
      <c r="C2729" s="51">
        <v>1.017</v>
      </c>
      <c r="D2729" s="51">
        <v>63.0</v>
      </c>
      <c r="E2729" s="52" t="s">
        <v>25</v>
      </c>
      <c r="F2729" s="52" t="s">
        <v>26</v>
      </c>
      <c r="G2729" s="53"/>
    </row>
    <row r="2730">
      <c r="A2730" s="49">
        <v>44541.57130848379</v>
      </c>
      <c r="B2730" s="50">
        <v>44541.6962867824</v>
      </c>
      <c r="C2730" s="51">
        <v>1.017</v>
      </c>
      <c r="D2730" s="51">
        <v>63.0</v>
      </c>
      <c r="E2730" s="52" t="s">
        <v>25</v>
      </c>
      <c r="F2730" s="52" t="s">
        <v>26</v>
      </c>
      <c r="G2730" s="53"/>
    </row>
    <row r="2731">
      <c r="A2731" s="49">
        <v>44541.58173167824</v>
      </c>
      <c r="B2731" s="50">
        <v>44541.7067088657</v>
      </c>
      <c r="C2731" s="51">
        <v>1.017</v>
      </c>
      <c r="D2731" s="51">
        <v>63.0</v>
      </c>
      <c r="E2731" s="52" t="s">
        <v>25</v>
      </c>
      <c r="F2731" s="52" t="s">
        <v>26</v>
      </c>
      <c r="G2731" s="53"/>
    </row>
    <row r="2732">
      <c r="A2732" s="49">
        <v>44541.59216570602</v>
      </c>
      <c r="B2732" s="50">
        <v>44541.71714228</v>
      </c>
      <c r="C2732" s="51">
        <v>1.017</v>
      </c>
      <c r="D2732" s="51">
        <v>63.0</v>
      </c>
      <c r="E2732" s="52" t="s">
        <v>25</v>
      </c>
      <c r="F2732" s="52" t="s">
        <v>26</v>
      </c>
      <c r="G2732" s="53"/>
    </row>
    <row r="2733">
      <c r="A2733" s="49">
        <v>44541.60258813658</v>
      </c>
      <c r="B2733" s="50">
        <v>44541.727562743</v>
      </c>
      <c r="C2733" s="51">
        <v>1.017</v>
      </c>
      <c r="D2733" s="51">
        <v>63.0</v>
      </c>
      <c r="E2733" s="52" t="s">
        <v>25</v>
      </c>
      <c r="F2733" s="52" t="s">
        <v>26</v>
      </c>
      <c r="G2733" s="53"/>
    </row>
    <row r="2734">
      <c r="A2734" s="49">
        <v>44541.61300466435</v>
      </c>
      <c r="B2734" s="50">
        <v>44541.7379833449</v>
      </c>
      <c r="C2734" s="51">
        <v>1.017</v>
      </c>
      <c r="D2734" s="51">
        <v>63.0</v>
      </c>
      <c r="E2734" s="52" t="s">
        <v>25</v>
      </c>
      <c r="F2734" s="52" t="s">
        <v>26</v>
      </c>
      <c r="G2734" s="53"/>
    </row>
    <row r="2735">
      <c r="A2735" s="49">
        <v>44541.62344582176</v>
      </c>
      <c r="B2735" s="50">
        <v>44541.7484268981</v>
      </c>
      <c r="C2735" s="51">
        <v>1.017</v>
      </c>
      <c r="D2735" s="51">
        <v>63.0</v>
      </c>
      <c r="E2735" s="52" t="s">
        <v>25</v>
      </c>
      <c r="F2735" s="52" t="s">
        <v>26</v>
      </c>
      <c r="G2735" s="53"/>
    </row>
    <row r="2736">
      <c r="A2736" s="49">
        <v>44541.633880312496</v>
      </c>
      <c r="B2736" s="50">
        <v>44541.7588488541</v>
      </c>
      <c r="C2736" s="51">
        <v>1.017</v>
      </c>
      <c r="D2736" s="51">
        <v>63.0</v>
      </c>
      <c r="E2736" s="52" t="s">
        <v>25</v>
      </c>
      <c r="F2736" s="52" t="s">
        <v>26</v>
      </c>
      <c r="G2736" s="53"/>
    </row>
    <row r="2737">
      <c r="A2737" s="49">
        <v>44541.64429938658</v>
      </c>
      <c r="B2737" s="50">
        <v>44541.7692709143</v>
      </c>
      <c r="C2737" s="51">
        <v>1.017</v>
      </c>
      <c r="D2737" s="51">
        <v>63.0</v>
      </c>
      <c r="E2737" s="52" t="s">
        <v>25</v>
      </c>
      <c r="F2737" s="52" t="s">
        <v>26</v>
      </c>
      <c r="G2737" s="53"/>
    </row>
    <row r="2738">
      <c r="A2738" s="49">
        <v>44541.65471585648</v>
      </c>
      <c r="B2738" s="50">
        <v>44541.7796916782</v>
      </c>
      <c r="C2738" s="51">
        <v>1.017</v>
      </c>
      <c r="D2738" s="51">
        <v>63.0</v>
      </c>
      <c r="E2738" s="52" t="s">
        <v>25</v>
      </c>
      <c r="F2738" s="52" t="s">
        <v>26</v>
      </c>
      <c r="G2738" s="53"/>
    </row>
    <row r="2739">
      <c r="A2739" s="49">
        <v>44541.665131354166</v>
      </c>
      <c r="B2739" s="50">
        <v>44541.7901145138</v>
      </c>
      <c r="C2739" s="51">
        <v>1.017</v>
      </c>
      <c r="D2739" s="51">
        <v>63.0</v>
      </c>
      <c r="E2739" s="52" t="s">
        <v>25</v>
      </c>
      <c r="F2739" s="52" t="s">
        <v>26</v>
      </c>
      <c r="G2739" s="53"/>
    </row>
    <row r="2740">
      <c r="A2740" s="49">
        <v>44541.67556638889</v>
      </c>
      <c r="B2740" s="50">
        <v>44541.8005357523</v>
      </c>
      <c r="C2740" s="51">
        <v>1.017</v>
      </c>
      <c r="D2740" s="51">
        <v>63.0</v>
      </c>
      <c r="E2740" s="52" t="s">
        <v>25</v>
      </c>
      <c r="F2740" s="52" t="s">
        <v>26</v>
      </c>
      <c r="G2740" s="53"/>
    </row>
    <row r="2741">
      <c r="A2741" s="49">
        <v>44541.685990405094</v>
      </c>
      <c r="B2741" s="50">
        <v>44541.8109679282</v>
      </c>
      <c r="C2741" s="51">
        <v>1.017</v>
      </c>
      <c r="D2741" s="51">
        <v>63.0</v>
      </c>
      <c r="E2741" s="52" t="s">
        <v>25</v>
      </c>
      <c r="F2741" s="52" t="s">
        <v>26</v>
      </c>
      <c r="G2741" s="53"/>
    </row>
    <row r="2742">
      <c r="A2742" s="49">
        <v>44541.69641680556</v>
      </c>
      <c r="B2742" s="50">
        <v>44541.8213890625</v>
      </c>
      <c r="C2742" s="51">
        <v>1.017</v>
      </c>
      <c r="D2742" s="51">
        <v>63.0</v>
      </c>
      <c r="E2742" s="52" t="s">
        <v>25</v>
      </c>
      <c r="F2742" s="52" t="s">
        <v>26</v>
      </c>
      <c r="G2742" s="53"/>
    </row>
    <row r="2743">
      <c r="A2743" s="49">
        <v>44541.7068278125</v>
      </c>
      <c r="B2743" s="50">
        <v>44541.8318085763</v>
      </c>
      <c r="C2743" s="51">
        <v>1.017</v>
      </c>
      <c r="D2743" s="51">
        <v>63.0</v>
      </c>
      <c r="E2743" s="52" t="s">
        <v>25</v>
      </c>
      <c r="F2743" s="52" t="s">
        <v>26</v>
      </c>
      <c r="G2743" s="53"/>
    </row>
    <row r="2744">
      <c r="A2744" s="49">
        <v>44541.717258715275</v>
      </c>
      <c r="B2744" s="50">
        <v>44541.8422407291</v>
      </c>
      <c r="C2744" s="51">
        <v>1.017</v>
      </c>
      <c r="D2744" s="51">
        <v>63.0</v>
      </c>
      <c r="E2744" s="52" t="s">
        <v>25</v>
      </c>
      <c r="F2744" s="52" t="s">
        <v>26</v>
      </c>
      <c r="G2744" s="53"/>
    </row>
    <row r="2745">
      <c r="A2745" s="49">
        <v>44541.72768975694</v>
      </c>
      <c r="B2745" s="50">
        <v>44541.8526629861</v>
      </c>
      <c r="C2745" s="51">
        <v>1.017</v>
      </c>
      <c r="D2745" s="51">
        <v>63.0</v>
      </c>
      <c r="E2745" s="52" t="s">
        <v>25</v>
      </c>
      <c r="F2745" s="52" t="s">
        <v>26</v>
      </c>
      <c r="G2745" s="53"/>
    </row>
    <row r="2746">
      <c r="A2746" s="49">
        <v>44541.73810511574</v>
      </c>
      <c r="B2746" s="50">
        <v>44541.8630839583</v>
      </c>
      <c r="C2746" s="51">
        <v>1.017</v>
      </c>
      <c r="D2746" s="51">
        <v>63.0</v>
      </c>
      <c r="E2746" s="52" t="s">
        <v>25</v>
      </c>
      <c r="F2746" s="52" t="s">
        <v>26</v>
      </c>
      <c r="G2746" s="53"/>
    </row>
    <row r="2747">
      <c r="A2747" s="49">
        <v>44541.7485278588</v>
      </c>
      <c r="B2747" s="50">
        <v>44541.8735036458</v>
      </c>
      <c r="C2747" s="51">
        <v>1.017</v>
      </c>
      <c r="D2747" s="51">
        <v>63.0</v>
      </c>
      <c r="E2747" s="52" t="s">
        <v>25</v>
      </c>
      <c r="F2747" s="52" t="s">
        <v>26</v>
      </c>
      <c r="G2747" s="53"/>
    </row>
    <row r="2748">
      <c r="A2748" s="49">
        <v>44541.75896252315</v>
      </c>
      <c r="B2748" s="50">
        <v>44541.8839372453</v>
      </c>
      <c r="C2748" s="51">
        <v>1.017</v>
      </c>
      <c r="D2748" s="51">
        <v>63.0</v>
      </c>
      <c r="E2748" s="52" t="s">
        <v>25</v>
      </c>
      <c r="F2748" s="52" t="s">
        <v>26</v>
      </c>
      <c r="G2748" s="53"/>
    </row>
    <row r="2749">
      <c r="A2749" s="49">
        <v>44541.76938116898</v>
      </c>
      <c r="B2749" s="50">
        <v>44541.8943567939</v>
      </c>
      <c r="C2749" s="51">
        <v>1.017</v>
      </c>
      <c r="D2749" s="51">
        <v>63.0</v>
      </c>
      <c r="E2749" s="52" t="s">
        <v>25</v>
      </c>
      <c r="F2749" s="52" t="s">
        <v>26</v>
      </c>
      <c r="G2749" s="53"/>
    </row>
    <row r="2750">
      <c r="A2750" s="49">
        <v>44541.7798009375</v>
      </c>
      <c r="B2750" s="50">
        <v>44541.9047791087</v>
      </c>
      <c r="C2750" s="51">
        <v>1.017</v>
      </c>
      <c r="D2750" s="51">
        <v>63.0</v>
      </c>
      <c r="E2750" s="52" t="s">
        <v>25</v>
      </c>
      <c r="F2750" s="52" t="s">
        <v>26</v>
      </c>
      <c r="G2750" s="53"/>
    </row>
    <row r="2751">
      <c r="A2751" s="49">
        <v>44541.79021763889</v>
      </c>
      <c r="B2751" s="50">
        <v>44541.9151975925</v>
      </c>
      <c r="C2751" s="51">
        <v>1.017</v>
      </c>
      <c r="D2751" s="51">
        <v>63.0</v>
      </c>
      <c r="E2751" s="52" t="s">
        <v>25</v>
      </c>
      <c r="F2751" s="52" t="s">
        <v>26</v>
      </c>
      <c r="G2751" s="53"/>
    </row>
    <row r="2752">
      <c r="A2752" s="49">
        <v>44541.80064472222</v>
      </c>
      <c r="B2752" s="50">
        <v>44541.9256200694</v>
      </c>
      <c r="C2752" s="51">
        <v>1.017</v>
      </c>
      <c r="D2752" s="51">
        <v>63.0</v>
      </c>
      <c r="E2752" s="52" t="s">
        <v>25</v>
      </c>
      <c r="F2752" s="52" t="s">
        <v>26</v>
      </c>
      <c r="G2752" s="53"/>
    </row>
    <row r="2753">
      <c r="A2753" s="49">
        <v>44541.81106907407</v>
      </c>
      <c r="B2753" s="50">
        <v>44541.936040162</v>
      </c>
      <c r="C2753" s="51">
        <v>1.017</v>
      </c>
      <c r="D2753" s="51">
        <v>63.0</v>
      </c>
      <c r="E2753" s="52" t="s">
        <v>25</v>
      </c>
      <c r="F2753" s="52" t="s">
        <v>26</v>
      </c>
      <c r="G2753" s="53"/>
    </row>
    <row r="2754">
      <c r="A2754" s="49">
        <v>44541.821487511574</v>
      </c>
      <c r="B2754" s="50">
        <v>44541.9464601504</v>
      </c>
      <c r="C2754" s="51">
        <v>1.017</v>
      </c>
      <c r="D2754" s="51">
        <v>63.0</v>
      </c>
      <c r="E2754" s="52" t="s">
        <v>25</v>
      </c>
      <c r="F2754" s="52" t="s">
        <v>26</v>
      </c>
      <c r="G2754" s="53"/>
    </row>
    <row r="2755">
      <c r="A2755" s="49">
        <v>44541.831904085644</v>
      </c>
      <c r="B2755" s="50">
        <v>44541.9568838078</v>
      </c>
      <c r="C2755" s="51">
        <v>1.017</v>
      </c>
      <c r="D2755" s="51">
        <v>63.0</v>
      </c>
      <c r="E2755" s="52" t="s">
        <v>25</v>
      </c>
      <c r="F2755" s="52" t="s">
        <v>26</v>
      </c>
      <c r="G2755" s="53"/>
    </row>
    <row r="2756">
      <c r="A2756" s="49">
        <v>44541.8423225</v>
      </c>
      <c r="B2756" s="50">
        <v>44541.9673059722</v>
      </c>
      <c r="C2756" s="51">
        <v>1.017</v>
      </c>
      <c r="D2756" s="51">
        <v>63.0</v>
      </c>
      <c r="E2756" s="52" t="s">
        <v>25</v>
      </c>
      <c r="F2756" s="52" t="s">
        <v>26</v>
      </c>
      <c r="G2756" s="53"/>
    </row>
    <row r="2757">
      <c r="A2757" s="49">
        <v>44541.8527452662</v>
      </c>
      <c r="B2757" s="50">
        <v>44541.9777266898</v>
      </c>
      <c r="C2757" s="51">
        <v>1.017</v>
      </c>
      <c r="D2757" s="51">
        <v>63.0</v>
      </c>
      <c r="E2757" s="52" t="s">
        <v>25</v>
      </c>
      <c r="F2757" s="52" t="s">
        <v>26</v>
      </c>
      <c r="G2757" s="53"/>
    </row>
    <row r="2758">
      <c r="A2758" s="49">
        <v>44541.863165682866</v>
      </c>
      <c r="B2758" s="50">
        <v>44541.9881480902</v>
      </c>
      <c r="C2758" s="51">
        <v>1.017</v>
      </c>
      <c r="D2758" s="51">
        <v>63.0</v>
      </c>
      <c r="E2758" s="52" t="s">
        <v>25</v>
      </c>
      <c r="F2758" s="52" t="s">
        <v>26</v>
      </c>
      <c r="G2758" s="53"/>
    </row>
    <row r="2759">
      <c r="A2759" s="49">
        <v>44541.87359231482</v>
      </c>
      <c r="B2759" s="50">
        <v>44541.9985680787</v>
      </c>
      <c r="C2759" s="51">
        <v>1.017</v>
      </c>
      <c r="D2759" s="51">
        <v>63.0</v>
      </c>
      <c r="E2759" s="52" t="s">
        <v>25</v>
      </c>
      <c r="F2759" s="52" t="s">
        <v>26</v>
      </c>
      <c r="G2759" s="53"/>
    </row>
    <row r="2760">
      <c r="A2760" s="49">
        <v>44541.884015578704</v>
      </c>
      <c r="B2760" s="50">
        <v>44542.0090003819</v>
      </c>
      <c r="C2760" s="51">
        <v>1.017</v>
      </c>
      <c r="D2760" s="51">
        <v>63.0</v>
      </c>
      <c r="E2760" s="52" t="s">
        <v>25</v>
      </c>
      <c r="F2760" s="52" t="s">
        <v>26</v>
      </c>
      <c r="G2760" s="53"/>
    </row>
    <row r="2761">
      <c r="A2761" s="49">
        <v>44541.89444050926</v>
      </c>
      <c r="B2761" s="50">
        <v>44542.0194199421</v>
      </c>
      <c r="C2761" s="51">
        <v>1.017</v>
      </c>
      <c r="D2761" s="51">
        <v>63.0</v>
      </c>
      <c r="E2761" s="52" t="s">
        <v>25</v>
      </c>
      <c r="F2761" s="52" t="s">
        <v>26</v>
      </c>
      <c r="G2761" s="53"/>
    </row>
    <row r="2762">
      <c r="A2762" s="49">
        <v>44541.904861724535</v>
      </c>
      <c r="B2762" s="50">
        <v>44542.0298408796</v>
      </c>
      <c r="C2762" s="51">
        <v>1.017</v>
      </c>
      <c r="D2762" s="51">
        <v>63.0</v>
      </c>
      <c r="E2762" s="52" t="s">
        <v>25</v>
      </c>
      <c r="F2762" s="52" t="s">
        <v>26</v>
      </c>
      <c r="G2762" s="53"/>
    </row>
    <row r="2763">
      <c r="A2763" s="49">
        <v>44541.91529824074</v>
      </c>
      <c r="B2763" s="50">
        <v>44542.0402728472</v>
      </c>
      <c r="C2763" s="51">
        <v>1.017</v>
      </c>
      <c r="D2763" s="51">
        <v>63.0</v>
      </c>
      <c r="E2763" s="52" t="s">
        <v>25</v>
      </c>
      <c r="F2763" s="52" t="s">
        <v>26</v>
      </c>
      <c r="G2763" s="53"/>
    </row>
    <row r="2764">
      <c r="A2764" s="49">
        <v>44541.92571826389</v>
      </c>
      <c r="B2764" s="50">
        <v>44542.0506936805</v>
      </c>
      <c r="C2764" s="51">
        <v>1.017</v>
      </c>
      <c r="D2764" s="51">
        <v>63.0</v>
      </c>
      <c r="E2764" s="52" t="s">
        <v>25</v>
      </c>
      <c r="F2764" s="52" t="s">
        <v>26</v>
      </c>
      <c r="G2764" s="53"/>
    </row>
    <row r="2765">
      <c r="A2765" s="49">
        <v>44541.93614010417</v>
      </c>
      <c r="B2765" s="50">
        <v>44542.0611151851</v>
      </c>
      <c r="C2765" s="51">
        <v>1.017</v>
      </c>
      <c r="D2765" s="51">
        <v>63.0</v>
      </c>
      <c r="E2765" s="52" t="s">
        <v>25</v>
      </c>
      <c r="F2765" s="52" t="s">
        <v>26</v>
      </c>
      <c r="G2765" s="53"/>
    </row>
    <row r="2766">
      <c r="A2766" s="49">
        <v>44541.94655108797</v>
      </c>
      <c r="B2766" s="50">
        <v>44542.0715356944</v>
      </c>
      <c r="C2766" s="51">
        <v>1.017</v>
      </c>
      <c r="D2766" s="51">
        <v>63.0</v>
      </c>
      <c r="E2766" s="52" t="s">
        <v>25</v>
      </c>
      <c r="F2766" s="52" t="s">
        <v>26</v>
      </c>
      <c r="G2766" s="53"/>
    </row>
    <row r="2767">
      <c r="A2767" s="49">
        <v>44541.95697778935</v>
      </c>
      <c r="B2767" s="50">
        <v>44542.0819567939</v>
      </c>
      <c r="C2767" s="51">
        <v>1.017</v>
      </c>
      <c r="D2767" s="51">
        <v>63.0</v>
      </c>
      <c r="E2767" s="52" t="s">
        <v>25</v>
      </c>
      <c r="F2767" s="52" t="s">
        <v>26</v>
      </c>
      <c r="G2767" s="53"/>
    </row>
    <row r="2768">
      <c r="A2768" s="49">
        <v>44541.967414513885</v>
      </c>
      <c r="B2768" s="50">
        <v>44542.092389155</v>
      </c>
      <c r="C2768" s="51">
        <v>1.017</v>
      </c>
      <c r="D2768" s="51">
        <v>63.0</v>
      </c>
      <c r="E2768" s="52" t="s">
        <v>25</v>
      </c>
      <c r="F2768" s="52" t="s">
        <v>26</v>
      </c>
      <c r="G2768" s="53"/>
    </row>
    <row r="2769">
      <c r="A2769" s="49">
        <v>44541.97782428241</v>
      </c>
      <c r="B2769" s="50">
        <v>44542.10280978</v>
      </c>
      <c r="C2769" s="51">
        <v>1.017</v>
      </c>
      <c r="D2769" s="51">
        <v>63.0</v>
      </c>
      <c r="E2769" s="52" t="s">
        <v>25</v>
      </c>
      <c r="F2769" s="52" t="s">
        <v>26</v>
      </c>
      <c r="G2769" s="53"/>
    </row>
    <row r="2770">
      <c r="A2770" s="49">
        <v>44541.98826291667</v>
      </c>
      <c r="B2770" s="50">
        <v>44542.1132424305</v>
      </c>
      <c r="C2770" s="51">
        <v>1.017</v>
      </c>
      <c r="D2770" s="51">
        <v>63.0</v>
      </c>
      <c r="E2770" s="52" t="s">
        <v>25</v>
      </c>
      <c r="F2770" s="52" t="s">
        <v>26</v>
      </c>
      <c r="G2770" s="53"/>
    </row>
    <row r="2771">
      <c r="A2771" s="49">
        <v>44541.99868630787</v>
      </c>
      <c r="B2771" s="50">
        <v>44542.1236621064</v>
      </c>
      <c r="C2771" s="51">
        <v>1.017</v>
      </c>
      <c r="D2771" s="51">
        <v>63.0</v>
      </c>
      <c r="E2771" s="52" t="s">
        <v>25</v>
      </c>
      <c r="F2771" s="52" t="s">
        <v>26</v>
      </c>
      <c r="G2771" s="53"/>
    </row>
    <row r="2772">
      <c r="A2772" s="49">
        <v>44542.009107986116</v>
      </c>
      <c r="B2772" s="50">
        <v>44542.1340822222</v>
      </c>
      <c r="C2772" s="51">
        <v>1.017</v>
      </c>
      <c r="D2772" s="51">
        <v>63.0</v>
      </c>
      <c r="E2772" s="52" t="s">
        <v>25</v>
      </c>
      <c r="F2772" s="52" t="s">
        <v>26</v>
      </c>
      <c r="G2772" s="53"/>
    </row>
    <row r="2773">
      <c r="A2773" s="49">
        <v>44542.01952616898</v>
      </c>
      <c r="B2773" s="50">
        <v>44542.1445035648</v>
      </c>
      <c r="C2773" s="51">
        <v>1.017</v>
      </c>
      <c r="D2773" s="51">
        <v>63.0</v>
      </c>
      <c r="E2773" s="52" t="s">
        <v>25</v>
      </c>
      <c r="F2773" s="52" t="s">
        <v>26</v>
      </c>
      <c r="G2773" s="53"/>
    </row>
    <row r="2774">
      <c r="A2774" s="49">
        <v>44542.02996493055</v>
      </c>
      <c r="B2774" s="50">
        <v>44542.1549233217</v>
      </c>
      <c r="C2774" s="51">
        <v>1.017</v>
      </c>
      <c r="D2774" s="51">
        <v>63.0</v>
      </c>
      <c r="E2774" s="52" t="s">
        <v>25</v>
      </c>
      <c r="F2774" s="52" t="s">
        <v>26</v>
      </c>
      <c r="G2774" s="53"/>
    </row>
    <row r="2775">
      <c r="A2775" s="49">
        <v>44542.040364699074</v>
      </c>
      <c r="B2775" s="50">
        <v>44542.1653446643</v>
      </c>
      <c r="C2775" s="51">
        <v>1.017</v>
      </c>
      <c r="D2775" s="51">
        <v>63.0</v>
      </c>
      <c r="E2775" s="52" t="s">
        <v>25</v>
      </c>
      <c r="F2775" s="52" t="s">
        <v>26</v>
      </c>
      <c r="G2775" s="53"/>
    </row>
    <row r="2776">
      <c r="A2776" s="49">
        <v>44542.05078488426</v>
      </c>
      <c r="B2776" s="50">
        <v>44542.1757647222</v>
      </c>
      <c r="C2776" s="51">
        <v>1.017</v>
      </c>
      <c r="D2776" s="51">
        <v>63.0</v>
      </c>
      <c r="E2776" s="52" t="s">
        <v>25</v>
      </c>
      <c r="F2776" s="52" t="s">
        <v>26</v>
      </c>
      <c r="G2776" s="53"/>
    </row>
    <row r="2777">
      <c r="A2777" s="49">
        <v>44542.06120430556</v>
      </c>
      <c r="B2777" s="50">
        <v>44542.1861855092</v>
      </c>
      <c r="C2777" s="51">
        <v>1.017</v>
      </c>
      <c r="D2777" s="51">
        <v>63.0</v>
      </c>
      <c r="E2777" s="52" t="s">
        <v>25</v>
      </c>
      <c r="F2777" s="52" t="s">
        <v>26</v>
      </c>
      <c r="G2777" s="53"/>
    </row>
    <row r="2778">
      <c r="A2778" s="49">
        <v>44542.07162079861</v>
      </c>
      <c r="B2778" s="50">
        <v>44542.1966062847</v>
      </c>
      <c r="C2778" s="51">
        <v>1.017</v>
      </c>
      <c r="D2778" s="51">
        <v>63.0</v>
      </c>
      <c r="E2778" s="52" t="s">
        <v>25</v>
      </c>
      <c r="F2778" s="52" t="s">
        <v>26</v>
      </c>
      <c r="G2778" s="53"/>
    </row>
    <row r="2779">
      <c r="A2779" s="49">
        <v>44542.082050902776</v>
      </c>
      <c r="B2779" s="50">
        <v>44542.2070274652</v>
      </c>
      <c r="C2779" s="51">
        <v>1.017</v>
      </c>
      <c r="D2779" s="51">
        <v>63.0</v>
      </c>
      <c r="E2779" s="52" t="s">
        <v>25</v>
      </c>
      <c r="F2779" s="52" t="s">
        <v>26</v>
      </c>
      <c r="G2779" s="53"/>
    </row>
    <row r="2780">
      <c r="A2780" s="49">
        <v>44542.09248262731</v>
      </c>
      <c r="B2780" s="50">
        <v>44542.2174604513</v>
      </c>
      <c r="C2780" s="51">
        <v>1.017</v>
      </c>
      <c r="D2780" s="51">
        <v>63.0</v>
      </c>
      <c r="E2780" s="52" t="s">
        <v>25</v>
      </c>
      <c r="F2780" s="52" t="s">
        <v>26</v>
      </c>
      <c r="G2780" s="53"/>
    </row>
    <row r="2781">
      <c r="A2781" s="49">
        <v>44542.1029021875</v>
      </c>
      <c r="B2781" s="50">
        <v>44542.2278816898</v>
      </c>
      <c r="C2781" s="51">
        <v>1.017</v>
      </c>
      <c r="D2781" s="51">
        <v>63.0</v>
      </c>
      <c r="E2781" s="52" t="s">
        <v>25</v>
      </c>
      <c r="F2781" s="52" t="s">
        <v>26</v>
      </c>
      <c r="G2781" s="53"/>
    </row>
    <row r="2782">
      <c r="A2782" s="49">
        <v>44542.11331930556</v>
      </c>
      <c r="B2782" s="50">
        <v>44542.2383032638</v>
      </c>
      <c r="C2782" s="51">
        <v>1.017</v>
      </c>
      <c r="D2782" s="51">
        <v>63.0</v>
      </c>
      <c r="E2782" s="52" t="s">
        <v>25</v>
      </c>
      <c r="F2782" s="52" t="s">
        <v>26</v>
      </c>
      <c r="G2782" s="53"/>
    </row>
    <row r="2783">
      <c r="A2783" s="49">
        <v>44542.12374865741</v>
      </c>
      <c r="B2783" s="50">
        <v>44542.2487244328</v>
      </c>
      <c r="C2783" s="51">
        <v>1.017</v>
      </c>
      <c r="D2783" s="51">
        <v>63.0</v>
      </c>
      <c r="E2783" s="52" t="s">
        <v>25</v>
      </c>
      <c r="F2783" s="52" t="s">
        <v>26</v>
      </c>
      <c r="G2783" s="53"/>
    </row>
    <row r="2784">
      <c r="A2784" s="49">
        <v>44542.13417049768</v>
      </c>
      <c r="B2784" s="50">
        <v>44542.2591469675</v>
      </c>
      <c r="C2784" s="51">
        <v>1.017</v>
      </c>
      <c r="D2784" s="51">
        <v>63.0</v>
      </c>
      <c r="E2784" s="52" t="s">
        <v>25</v>
      </c>
      <c r="F2784" s="52" t="s">
        <v>26</v>
      </c>
      <c r="G2784" s="53"/>
    </row>
    <row r="2785">
      <c r="A2785" s="49">
        <v>44542.144592662036</v>
      </c>
      <c r="B2785" s="50">
        <v>44542.2695674189</v>
      </c>
      <c r="C2785" s="51">
        <v>1.017</v>
      </c>
      <c r="D2785" s="51">
        <v>63.0</v>
      </c>
      <c r="E2785" s="52" t="s">
        <v>25</v>
      </c>
      <c r="F2785" s="52" t="s">
        <v>26</v>
      </c>
      <c r="G2785" s="53"/>
    </row>
    <row r="2786">
      <c r="A2786" s="49">
        <v>44542.15500678241</v>
      </c>
      <c r="B2786" s="50">
        <v>44542.2799906249</v>
      </c>
      <c r="C2786" s="51">
        <v>1.017</v>
      </c>
      <c r="D2786" s="51">
        <v>63.0</v>
      </c>
      <c r="E2786" s="52" t="s">
        <v>25</v>
      </c>
      <c r="F2786" s="52" t="s">
        <v>26</v>
      </c>
      <c r="G2786" s="53"/>
    </row>
    <row r="2787">
      <c r="A2787" s="49">
        <v>44542.16544975694</v>
      </c>
      <c r="B2787" s="50">
        <v>44542.2904250694</v>
      </c>
      <c r="C2787" s="51">
        <v>1.017</v>
      </c>
      <c r="D2787" s="51">
        <v>63.0</v>
      </c>
      <c r="E2787" s="52" t="s">
        <v>25</v>
      </c>
      <c r="F2787" s="52" t="s">
        <v>26</v>
      </c>
      <c r="G2787" s="53"/>
    </row>
    <row r="2788">
      <c r="A2788" s="49">
        <v>44542.17586754629</v>
      </c>
      <c r="B2788" s="50">
        <v>44542.300846493</v>
      </c>
      <c r="C2788" s="51">
        <v>1.017</v>
      </c>
      <c r="D2788" s="51">
        <v>63.0</v>
      </c>
      <c r="E2788" s="52" t="s">
        <v>25</v>
      </c>
      <c r="F2788" s="52" t="s">
        <v>26</v>
      </c>
      <c r="G2788" s="53"/>
    </row>
    <row r="2789">
      <c r="A2789" s="49">
        <v>44542.18629769676</v>
      </c>
      <c r="B2789" s="50">
        <v>44542.3112795486</v>
      </c>
      <c r="C2789" s="51">
        <v>1.017</v>
      </c>
      <c r="D2789" s="51">
        <v>63.0</v>
      </c>
      <c r="E2789" s="52" t="s">
        <v>25</v>
      </c>
      <c r="F2789" s="52" t="s">
        <v>26</v>
      </c>
      <c r="G2789" s="53"/>
    </row>
    <row r="2790">
      <c r="A2790" s="49">
        <v>44542.19671929398</v>
      </c>
      <c r="B2790" s="50">
        <v>44542.3216993518</v>
      </c>
      <c r="C2790" s="51">
        <v>1.017</v>
      </c>
      <c r="D2790" s="51">
        <v>63.0</v>
      </c>
      <c r="E2790" s="52" t="s">
        <v>25</v>
      </c>
      <c r="F2790" s="52" t="s">
        <v>26</v>
      </c>
      <c r="G2790" s="53"/>
    </row>
    <row r="2791">
      <c r="A2791" s="49">
        <v>44542.207146608795</v>
      </c>
      <c r="B2791" s="50">
        <v>44542.3321186226</v>
      </c>
      <c r="C2791" s="51">
        <v>1.017</v>
      </c>
      <c r="D2791" s="51">
        <v>63.0</v>
      </c>
      <c r="E2791" s="52" t="s">
        <v>25</v>
      </c>
      <c r="F2791" s="52" t="s">
        <v>26</v>
      </c>
      <c r="G2791" s="53"/>
    </row>
    <row r="2792">
      <c r="A2792" s="49">
        <v>44542.217561516205</v>
      </c>
      <c r="B2792" s="50">
        <v>44542.3425384953</v>
      </c>
      <c r="C2792" s="51">
        <v>1.017</v>
      </c>
      <c r="D2792" s="51">
        <v>63.0</v>
      </c>
      <c r="E2792" s="52" t="s">
        <v>25</v>
      </c>
      <c r="F2792" s="52" t="s">
        <v>26</v>
      </c>
      <c r="G2792" s="53"/>
    </row>
    <row r="2793">
      <c r="A2793" s="49">
        <v>44542.22798241898</v>
      </c>
      <c r="B2793" s="50">
        <v>44542.3529604166</v>
      </c>
      <c r="C2793" s="51">
        <v>1.017</v>
      </c>
      <c r="D2793" s="51">
        <v>63.0</v>
      </c>
      <c r="E2793" s="52" t="s">
        <v>25</v>
      </c>
      <c r="F2793" s="52" t="s">
        <v>26</v>
      </c>
      <c r="G2793" s="53"/>
    </row>
    <row r="2794">
      <c r="A2794" s="49">
        <v>44542.238414074076</v>
      </c>
      <c r="B2794" s="50">
        <v>44542.3633944097</v>
      </c>
      <c r="C2794" s="51">
        <v>1.017</v>
      </c>
      <c r="D2794" s="51">
        <v>63.0</v>
      </c>
      <c r="E2794" s="52" t="s">
        <v>25</v>
      </c>
      <c r="F2794" s="52" t="s">
        <v>26</v>
      </c>
      <c r="G2794" s="53"/>
    </row>
    <row r="2795">
      <c r="A2795" s="49">
        <v>44542.24884143518</v>
      </c>
      <c r="B2795" s="50">
        <v>44542.3738155787</v>
      </c>
      <c r="C2795" s="51">
        <v>1.017</v>
      </c>
      <c r="D2795" s="51">
        <v>63.0</v>
      </c>
      <c r="E2795" s="52" t="s">
        <v>25</v>
      </c>
      <c r="F2795" s="52" t="s">
        <v>26</v>
      </c>
      <c r="G2795" s="53"/>
    </row>
    <row r="2796">
      <c r="A2796" s="49">
        <v>44542.25926303241</v>
      </c>
      <c r="B2796" s="50">
        <v>44542.3842366898</v>
      </c>
      <c r="C2796" s="51">
        <v>1.017</v>
      </c>
      <c r="D2796" s="51">
        <v>63.0</v>
      </c>
      <c r="E2796" s="52" t="s">
        <v>25</v>
      </c>
      <c r="F2796" s="52" t="s">
        <v>26</v>
      </c>
      <c r="G2796" s="53"/>
    </row>
    <row r="2797">
      <c r="A2797" s="49">
        <v>44542.26967736111</v>
      </c>
      <c r="B2797" s="50">
        <v>44542.3946585763</v>
      </c>
      <c r="C2797" s="51">
        <v>1.017</v>
      </c>
      <c r="D2797" s="51">
        <v>63.0</v>
      </c>
      <c r="E2797" s="52" t="s">
        <v>25</v>
      </c>
      <c r="F2797" s="52" t="s">
        <v>26</v>
      </c>
      <c r="G2797" s="53"/>
    </row>
    <row r="2798">
      <c r="A2798" s="49">
        <v>44542.28009869213</v>
      </c>
      <c r="B2798" s="50">
        <v>44542.4050780902</v>
      </c>
      <c r="C2798" s="51">
        <v>1.017</v>
      </c>
      <c r="D2798" s="51">
        <v>63.0</v>
      </c>
      <c r="E2798" s="52" t="s">
        <v>25</v>
      </c>
      <c r="F2798" s="52" t="s">
        <v>26</v>
      </c>
      <c r="G2798" s="53"/>
    </row>
    <row r="2799">
      <c r="A2799" s="49">
        <v>44542.29052546296</v>
      </c>
      <c r="B2799" s="50">
        <v>44542.4154990509</v>
      </c>
      <c r="C2799" s="51">
        <v>1.017</v>
      </c>
      <c r="D2799" s="51">
        <v>63.0</v>
      </c>
      <c r="E2799" s="52" t="s">
        <v>25</v>
      </c>
      <c r="F2799" s="52" t="s">
        <v>26</v>
      </c>
      <c r="G2799" s="53"/>
    </row>
    <row r="2800">
      <c r="A2800" s="49">
        <v>44542.30093517361</v>
      </c>
      <c r="B2800" s="50">
        <v>44542.4259194675</v>
      </c>
      <c r="C2800" s="51">
        <v>1.017</v>
      </c>
      <c r="D2800" s="51">
        <v>63.0</v>
      </c>
      <c r="E2800" s="52" t="s">
        <v>25</v>
      </c>
      <c r="F2800" s="52" t="s">
        <v>26</v>
      </c>
      <c r="G2800" s="53"/>
    </row>
    <row r="2801">
      <c r="A2801" s="49">
        <v>44542.31137736111</v>
      </c>
      <c r="B2801" s="50">
        <v>44542.4363524652</v>
      </c>
      <c r="C2801" s="51">
        <v>1.017</v>
      </c>
      <c r="D2801" s="51">
        <v>63.0</v>
      </c>
      <c r="E2801" s="52" t="s">
        <v>25</v>
      </c>
      <c r="F2801" s="52" t="s">
        <v>26</v>
      </c>
      <c r="G2801" s="53"/>
    </row>
    <row r="2802">
      <c r="A2802" s="49">
        <v>44542.32179439814</v>
      </c>
      <c r="B2802" s="50">
        <v>44542.4467748611</v>
      </c>
      <c r="C2802" s="51">
        <v>1.017</v>
      </c>
      <c r="D2802" s="51">
        <v>63.0</v>
      </c>
      <c r="E2802" s="52" t="s">
        <v>25</v>
      </c>
      <c r="F2802" s="52" t="s">
        <v>26</v>
      </c>
      <c r="G2802" s="53"/>
    </row>
    <row r="2803">
      <c r="A2803" s="49">
        <v>44542.332215347225</v>
      </c>
      <c r="B2803" s="50">
        <v>44542.4571936574</v>
      </c>
      <c r="C2803" s="51">
        <v>1.017</v>
      </c>
      <c r="D2803" s="51">
        <v>63.0</v>
      </c>
      <c r="E2803" s="52" t="s">
        <v>25</v>
      </c>
      <c r="F2803" s="52" t="s">
        <v>26</v>
      </c>
      <c r="G2803" s="53"/>
    </row>
    <row r="2804">
      <c r="A2804" s="49">
        <v>44542.34264376157</v>
      </c>
      <c r="B2804" s="50">
        <v>44542.4676136921</v>
      </c>
      <c r="C2804" s="51">
        <v>1.017</v>
      </c>
      <c r="D2804" s="51">
        <v>63.0</v>
      </c>
      <c r="E2804" s="52" t="s">
        <v>25</v>
      </c>
      <c r="F2804" s="52" t="s">
        <v>26</v>
      </c>
      <c r="G2804" s="53"/>
    </row>
    <row r="2805">
      <c r="A2805" s="49">
        <v>44542.353050578706</v>
      </c>
      <c r="B2805" s="50">
        <v>44542.4780345717</v>
      </c>
      <c r="C2805" s="51">
        <v>1.017</v>
      </c>
      <c r="D2805" s="51">
        <v>63.0</v>
      </c>
      <c r="E2805" s="52" t="s">
        <v>25</v>
      </c>
      <c r="F2805" s="52" t="s">
        <v>26</v>
      </c>
      <c r="G2805" s="53"/>
    </row>
    <row r="2806">
      <c r="A2806" s="49">
        <v>44542.36347601852</v>
      </c>
      <c r="B2806" s="50">
        <v>44542.4884552546</v>
      </c>
      <c r="C2806" s="51">
        <v>1.017</v>
      </c>
      <c r="D2806" s="51">
        <v>63.0</v>
      </c>
      <c r="E2806" s="52" t="s">
        <v>25</v>
      </c>
      <c r="F2806" s="52" t="s">
        <v>26</v>
      </c>
      <c r="G2806" s="53"/>
    </row>
    <row r="2807">
      <c r="A2807" s="49">
        <v>44542.373905127315</v>
      </c>
      <c r="B2807" s="50">
        <v>44542.4988764814</v>
      </c>
      <c r="C2807" s="51">
        <v>1.017</v>
      </c>
      <c r="D2807" s="51">
        <v>63.0</v>
      </c>
      <c r="E2807" s="52" t="s">
        <v>25</v>
      </c>
      <c r="F2807" s="52" t="s">
        <v>26</v>
      </c>
      <c r="G2807" s="53"/>
    </row>
    <row r="2808">
      <c r="A2808" s="49">
        <v>44542.38432399306</v>
      </c>
      <c r="B2808" s="50">
        <v>44542.509298368</v>
      </c>
      <c r="C2808" s="51">
        <v>1.017</v>
      </c>
      <c r="D2808" s="51">
        <v>63.0</v>
      </c>
      <c r="E2808" s="52" t="s">
        <v>25</v>
      </c>
      <c r="F2808" s="52" t="s">
        <v>26</v>
      </c>
      <c r="G2808" s="53"/>
    </row>
    <row r="2809">
      <c r="A2809" s="49">
        <v>44542.394744537036</v>
      </c>
      <c r="B2809" s="50">
        <v>44542.5197178125</v>
      </c>
      <c r="C2809" s="51">
        <v>1.017</v>
      </c>
      <c r="D2809" s="51">
        <v>63.0</v>
      </c>
      <c r="E2809" s="52" t="s">
        <v>25</v>
      </c>
      <c r="F2809" s="52" t="s">
        <v>26</v>
      </c>
      <c r="G2809" s="53"/>
    </row>
    <row r="2810">
      <c r="A2810" s="49">
        <v>44542.4051708912</v>
      </c>
      <c r="B2810" s="50">
        <v>44542.5301511574</v>
      </c>
      <c r="C2810" s="51">
        <v>1.017</v>
      </c>
      <c r="D2810" s="51">
        <v>63.0</v>
      </c>
      <c r="E2810" s="52" t="s">
        <v>25</v>
      </c>
      <c r="F2810" s="52" t="s">
        <v>26</v>
      </c>
      <c r="G2810" s="53"/>
    </row>
    <row r="2811">
      <c r="A2811" s="49">
        <v>44542.41559108796</v>
      </c>
      <c r="B2811" s="50">
        <v>44542.5405728472</v>
      </c>
      <c r="C2811" s="51">
        <v>1.017</v>
      </c>
      <c r="D2811" s="51">
        <v>63.0</v>
      </c>
      <c r="E2811" s="52" t="s">
        <v>25</v>
      </c>
      <c r="F2811" s="52" t="s">
        <v>26</v>
      </c>
      <c r="G2811" s="53"/>
    </row>
    <row r="2812">
      <c r="A2812" s="49">
        <v>44542.42602018519</v>
      </c>
      <c r="B2812" s="50">
        <v>44542.5509950231</v>
      </c>
      <c r="C2812" s="51">
        <v>1.017</v>
      </c>
      <c r="D2812" s="51">
        <v>63.0</v>
      </c>
      <c r="E2812" s="52" t="s">
        <v>25</v>
      </c>
      <c r="F2812" s="52" t="s">
        <v>26</v>
      </c>
      <c r="G2812" s="53"/>
    </row>
    <row r="2813">
      <c r="A2813" s="49">
        <v>44542.436446493055</v>
      </c>
      <c r="B2813" s="50">
        <v>44542.5614287731</v>
      </c>
      <c r="C2813" s="51">
        <v>1.016</v>
      </c>
      <c r="D2813" s="51">
        <v>63.0</v>
      </c>
      <c r="E2813" s="52" t="s">
        <v>25</v>
      </c>
      <c r="F2813" s="52" t="s">
        <v>26</v>
      </c>
      <c r="G2813" s="53"/>
    </row>
    <row r="2814">
      <c r="A2814" s="49">
        <v>44542.44686833333</v>
      </c>
      <c r="B2814" s="50">
        <v>44542.5718490856</v>
      </c>
      <c r="C2814" s="51">
        <v>1.016</v>
      </c>
      <c r="D2814" s="51">
        <v>63.0</v>
      </c>
      <c r="E2814" s="52" t="s">
        <v>25</v>
      </c>
      <c r="F2814" s="52" t="s">
        <v>26</v>
      </c>
      <c r="G2814" s="53"/>
    </row>
    <row r="2815">
      <c r="A2815" s="49">
        <v>44542.45730359954</v>
      </c>
      <c r="B2815" s="50">
        <v>44542.5822826041</v>
      </c>
      <c r="C2815" s="51">
        <v>1.017</v>
      </c>
      <c r="D2815" s="51">
        <v>63.0</v>
      </c>
      <c r="E2815" s="52" t="s">
        <v>25</v>
      </c>
      <c r="F2815" s="52" t="s">
        <v>26</v>
      </c>
      <c r="G2815" s="53"/>
    </row>
    <row r="2816">
      <c r="A2816" s="49">
        <v>44542.46772388888</v>
      </c>
      <c r="B2816" s="50">
        <v>44542.5927035416</v>
      </c>
      <c r="C2816" s="51">
        <v>1.016</v>
      </c>
      <c r="D2816" s="51">
        <v>63.0</v>
      </c>
      <c r="E2816" s="52" t="s">
        <v>25</v>
      </c>
      <c r="F2816" s="52" t="s">
        <v>26</v>
      </c>
      <c r="G2816" s="53"/>
    </row>
    <row r="2817">
      <c r="A2817" s="49">
        <v>44542.47814886574</v>
      </c>
      <c r="B2817" s="50">
        <v>44542.603124375</v>
      </c>
      <c r="C2817" s="51">
        <v>1.017</v>
      </c>
      <c r="D2817" s="51">
        <v>63.0</v>
      </c>
      <c r="E2817" s="52" t="s">
        <v>25</v>
      </c>
      <c r="F2817" s="52" t="s">
        <v>26</v>
      </c>
      <c r="G2817" s="53"/>
    </row>
    <row r="2818">
      <c r="A2818" s="49">
        <v>44542.48857439814</v>
      </c>
      <c r="B2818" s="50">
        <v>44542.6135456712</v>
      </c>
      <c r="C2818" s="51">
        <v>1.016</v>
      </c>
      <c r="D2818" s="51">
        <v>63.0</v>
      </c>
      <c r="E2818" s="52" t="s">
        <v>25</v>
      </c>
      <c r="F2818" s="52" t="s">
        <v>26</v>
      </c>
      <c r="G2818" s="53"/>
    </row>
    <row r="2819">
      <c r="A2819" s="49">
        <v>44542.498984618054</v>
      </c>
      <c r="B2819" s="50">
        <v>44542.6239664236</v>
      </c>
      <c r="C2819" s="51">
        <v>1.016</v>
      </c>
      <c r="D2819" s="51">
        <v>63.0</v>
      </c>
      <c r="E2819" s="52" t="s">
        <v>25</v>
      </c>
      <c r="F2819" s="52" t="s">
        <v>26</v>
      </c>
      <c r="G2819" s="53"/>
    </row>
    <row r="2820">
      <c r="A2820" s="49">
        <v>44542.50941090278</v>
      </c>
      <c r="B2820" s="50">
        <v>44542.6343881134</v>
      </c>
      <c r="C2820" s="51">
        <v>1.016</v>
      </c>
      <c r="D2820" s="51">
        <v>63.0</v>
      </c>
      <c r="E2820" s="52" t="s">
        <v>25</v>
      </c>
      <c r="F2820" s="52" t="s">
        <v>26</v>
      </c>
      <c r="G2820" s="53"/>
    </row>
    <row r="2821">
      <c r="A2821" s="49">
        <v>44542.51983457176</v>
      </c>
      <c r="B2821" s="50">
        <v>44542.644809375</v>
      </c>
      <c r="C2821" s="51">
        <v>1.017</v>
      </c>
      <c r="D2821" s="51">
        <v>63.0</v>
      </c>
      <c r="E2821" s="52" t="s">
        <v>25</v>
      </c>
      <c r="F2821" s="52" t="s">
        <v>26</v>
      </c>
      <c r="G2821" s="53"/>
    </row>
    <row r="2822">
      <c r="A2822" s="49">
        <v>44542.530255949074</v>
      </c>
      <c r="B2822" s="50">
        <v>44542.655230868</v>
      </c>
      <c r="C2822" s="51">
        <v>1.017</v>
      </c>
      <c r="D2822" s="51">
        <v>63.0</v>
      </c>
      <c r="E2822" s="52" t="s">
        <v>25</v>
      </c>
      <c r="F2822" s="52" t="s">
        <v>26</v>
      </c>
      <c r="G2822" s="53"/>
    </row>
    <row r="2823">
      <c r="A2823" s="49">
        <v>44542.54067844908</v>
      </c>
      <c r="B2823" s="50">
        <v>44542.6656507523</v>
      </c>
      <c r="C2823" s="51">
        <v>1.016</v>
      </c>
      <c r="D2823" s="51">
        <v>63.0</v>
      </c>
      <c r="E2823" s="52" t="s">
        <v>25</v>
      </c>
      <c r="F2823" s="52" t="s">
        <v>26</v>
      </c>
      <c r="G2823" s="53"/>
    </row>
    <row r="2824">
      <c r="A2824" s="49">
        <v>44542.551107384264</v>
      </c>
      <c r="B2824" s="50">
        <v>44542.6760849768</v>
      </c>
      <c r="C2824" s="51">
        <v>1.017</v>
      </c>
      <c r="D2824" s="51">
        <v>63.0</v>
      </c>
      <c r="E2824" s="52" t="s">
        <v>25</v>
      </c>
      <c r="F2824" s="52" t="s">
        <v>26</v>
      </c>
      <c r="G2824" s="53"/>
    </row>
    <row r="2825">
      <c r="A2825" s="49">
        <v>44542.56152666667</v>
      </c>
      <c r="B2825" s="50">
        <v>44542.6865058101</v>
      </c>
      <c r="C2825" s="51">
        <v>1.017</v>
      </c>
      <c r="D2825" s="51">
        <v>63.0</v>
      </c>
      <c r="E2825" s="52" t="s">
        <v>25</v>
      </c>
      <c r="F2825" s="52" t="s">
        <v>26</v>
      </c>
      <c r="G2825" s="53"/>
    </row>
    <row r="2826">
      <c r="A2826" s="49">
        <v>44542.57194471065</v>
      </c>
      <c r="B2826" s="50">
        <v>44542.6969270138</v>
      </c>
      <c r="C2826" s="51">
        <v>1.016</v>
      </c>
      <c r="D2826" s="51">
        <v>63.0</v>
      </c>
      <c r="E2826" s="52" t="s">
        <v>25</v>
      </c>
      <c r="F2826" s="52" t="s">
        <v>26</v>
      </c>
      <c r="G2826" s="53"/>
    </row>
    <row r="2827">
      <c r="A2827" s="49">
        <v>44542.582375555554</v>
      </c>
      <c r="B2827" s="50">
        <v>44542.7073591782</v>
      </c>
      <c r="C2827" s="51">
        <v>1.016</v>
      </c>
      <c r="D2827" s="51">
        <v>63.0</v>
      </c>
      <c r="E2827" s="52" t="s">
        <v>25</v>
      </c>
      <c r="F2827" s="52" t="s">
        <v>26</v>
      </c>
      <c r="G2827" s="53"/>
    </row>
    <row r="2828">
      <c r="A2828" s="49">
        <v>44542.59282005787</v>
      </c>
      <c r="B2828" s="50">
        <v>44542.7177899884</v>
      </c>
      <c r="C2828" s="51">
        <v>1.016</v>
      </c>
      <c r="D2828" s="51">
        <v>63.0</v>
      </c>
      <c r="E2828" s="52" t="s">
        <v>25</v>
      </c>
      <c r="F2828" s="52" t="s">
        <v>26</v>
      </c>
      <c r="G2828" s="53"/>
    </row>
    <row r="2829">
      <c r="A2829" s="49">
        <v>44542.603226875</v>
      </c>
      <c r="B2829" s="50">
        <v>44542.7282115856</v>
      </c>
      <c r="C2829" s="51">
        <v>1.016</v>
      </c>
      <c r="D2829" s="51">
        <v>63.0</v>
      </c>
      <c r="E2829" s="52" t="s">
        <v>25</v>
      </c>
      <c r="F2829" s="52" t="s">
        <v>26</v>
      </c>
      <c r="G2829" s="53"/>
    </row>
    <row r="2830">
      <c r="A2830" s="49">
        <v>44542.61367864584</v>
      </c>
      <c r="B2830" s="50">
        <v>44542.7386570949</v>
      </c>
      <c r="C2830" s="51">
        <v>1.016</v>
      </c>
      <c r="D2830" s="51">
        <v>63.0</v>
      </c>
      <c r="E2830" s="52" t="s">
        <v>25</v>
      </c>
      <c r="F2830" s="52" t="s">
        <v>26</v>
      </c>
      <c r="G2830" s="53"/>
    </row>
    <row r="2831">
      <c r="A2831" s="49">
        <v>44542.62411517361</v>
      </c>
      <c r="B2831" s="50">
        <v>44542.749090868</v>
      </c>
      <c r="C2831" s="51">
        <v>1.016</v>
      </c>
      <c r="D2831" s="51">
        <v>63.0</v>
      </c>
      <c r="E2831" s="52" t="s">
        <v>25</v>
      </c>
      <c r="F2831" s="52" t="s">
        <v>26</v>
      </c>
      <c r="G2831" s="53"/>
    </row>
    <row r="2832">
      <c r="A2832" s="49">
        <v>44542.634533275464</v>
      </c>
      <c r="B2832" s="50">
        <v>44542.7595112615</v>
      </c>
      <c r="C2832" s="51">
        <v>1.016</v>
      </c>
      <c r="D2832" s="51">
        <v>63.0</v>
      </c>
      <c r="E2832" s="52" t="s">
        <v>25</v>
      </c>
      <c r="F2832" s="52" t="s">
        <v>26</v>
      </c>
      <c r="G2832" s="53"/>
    </row>
    <row r="2833">
      <c r="A2833" s="49">
        <v>44542.64495756944</v>
      </c>
      <c r="B2833" s="50">
        <v>44542.769933125</v>
      </c>
      <c r="C2833" s="51">
        <v>1.016</v>
      </c>
      <c r="D2833" s="51">
        <v>63.0</v>
      </c>
      <c r="E2833" s="52" t="s">
        <v>25</v>
      </c>
      <c r="F2833" s="52" t="s">
        <v>26</v>
      </c>
      <c r="G2833" s="53"/>
    </row>
    <row r="2834">
      <c r="A2834" s="49">
        <v>44542.6553840625</v>
      </c>
      <c r="B2834" s="50">
        <v>44542.780363912</v>
      </c>
      <c r="C2834" s="51">
        <v>1.016</v>
      </c>
      <c r="D2834" s="51">
        <v>63.0</v>
      </c>
      <c r="E2834" s="52" t="s">
        <v>25</v>
      </c>
      <c r="F2834" s="52" t="s">
        <v>26</v>
      </c>
      <c r="G2834" s="53"/>
    </row>
    <row r="2835">
      <c r="A2835" s="49">
        <v>44542.66580564815</v>
      </c>
      <c r="B2835" s="50">
        <v>44542.7907852314</v>
      </c>
      <c r="C2835" s="51">
        <v>1.016</v>
      </c>
      <c r="D2835" s="51">
        <v>63.0</v>
      </c>
      <c r="E2835" s="52" t="s">
        <v>25</v>
      </c>
      <c r="F2835" s="52" t="s">
        <v>26</v>
      </c>
      <c r="G2835" s="53"/>
    </row>
    <row r="2836">
      <c r="A2836" s="49">
        <v>44542.67622900463</v>
      </c>
      <c r="B2836" s="50">
        <v>44542.8012059606</v>
      </c>
      <c r="C2836" s="51">
        <v>1.017</v>
      </c>
      <c r="D2836" s="51">
        <v>63.0</v>
      </c>
      <c r="E2836" s="52" t="s">
        <v>25</v>
      </c>
      <c r="F2836" s="52" t="s">
        <v>26</v>
      </c>
      <c r="G2836" s="53"/>
    </row>
    <row r="2837">
      <c r="A2837" s="49">
        <v>44542.68665361111</v>
      </c>
      <c r="B2837" s="50">
        <v>44542.8116263078</v>
      </c>
      <c r="C2837" s="51">
        <v>1.016</v>
      </c>
      <c r="D2837" s="51">
        <v>63.0</v>
      </c>
      <c r="E2837" s="52" t="s">
        <v>25</v>
      </c>
      <c r="F2837" s="52" t="s">
        <v>26</v>
      </c>
      <c r="G2837" s="53"/>
    </row>
    <row r="2838">
      <c r="A2838" s="49">
        <v>44542.69707473379</v>
      </c>
      <c r="B2838" s="50">
        <v>44542.8220484953</v>
      </c>
      <c r="C2838" s="51">
        <v>1.016</v>
      </c>
      <c r="D2838" s="51">
        <v>63.0</v>
      </c>
      <c r="E2838" s="52" t="s">
        <v>25</v>
      </c>
      <c r="F2838" s="52" t="s">
        <v>26</v>
      </c>
      <c r="G2838" s="53"/>
    </row>
    <row r="2839">
      <c r="A2839" s="49">
        <v>44542.707497881944</v>
      </c>
      <c r="B2839" s="50">
        <v>44542.8324695023</v>
      </c>
      <c r="C2839" s="51">
        <v>1.016</v>
      </c>
      <c r="D2839" s="51">
        <v>63.0</v>
      </c>
      <c r="E2839" s="52" t="s">
        <v>25</v>
      </c>
      <c r="F2839" s="52" t="s">
        <v>26</v>
      </c>
      <c r="G2839" s="53"/>
    </row>
    <row r="2840">
      <c r="A2840" s="49">
        <v>44542.717913796296</v>
      </c>
      <c r="B2840" s="50">
        <v>44542.8428886111</v>
      </c>
      <c r="C2840" s="51">
        <v>1.016</v>
      </c>
      <c r="D2840" s="51">
        <v>63.0</v>
      </c>
      <c r="E2840" s="52" t="s">
        <v>25</v>
      </c>
      <c r="F2840" s="52" t="s">
        <v>26</v>
      </c>
      <c r="G2840" s="53"/>
    </row>
    <row r="2841">
      <c r="A2841" s="49">
        <v>44542.72833370371</v>
      </c>
      <c r="B2841" s="50">
        <v>44542.8533085532</v>
      </c>
      <c r="C2841" s="51">
        <v>1.016</v>
      </c>
      <c r="D2841" s="51">
        <v>63.0</v>
      </c>
      <c r="E2841" s="52" t="s">
        <v>25</v>
      </c>
      <c r="F2841" s="52" t="s">
        <v>26</v>
      </c>
      <c r="G2841" s="53"/>
    </row>
    <row r="2842">
      <c r="A2842" s="49">
        <v>44542.738754398146</v>
      </c>
      <c r="B2842" s="50">
        <v>44542.8637302662</v>
      </c>
      <c r="C2842" s="51">
        <v>1.016</v>
      </c>
      <c r="D2842" s="51">
        <v>63.0</v>
      </c>
      <c r="E2842" s="52" t="s">
        <v>25</v>
      </c>
      <c r="F2842" s="52" t="s">
        <v>26</v>
      </c>
      <c r="G2842" s="53"/>
    </row>
    <row r="2843">
      <c r="A2843" s="49">
        <v>44542.74917846065</v>
      </c>
      <c r="B2843" s="50">
        <v>44542.8741501736</v>
      </c>
      <c r="C2843" s="51">
        <v>1.016</v>
      </c>
      <c r="D2843" s="51">
        <v>63.0</v>
      </c>
      <c r="E2843" s="52" t="s">
        <v>25</v>
      </c>
      <c r="F2843" s="52" t="s">
        <v>26</v>
      </c>
      <c r="G2843" s="53"/>
    </row>
    <row r="2844">
      <c r="A2844" s="49">
        <v>44542.7596103588</v>
      </c>
      <c r="B2844" s="50">
        <v>44542.8845846643</v>
      </c>
      <c r="C2844" s="51">
        <v>1.016</v>
      </c>
      <c r="D2844" s="51">
        <v>63.0</v>
      </c>
      <c r="E2844" s="52" t="s">
        <v>25</v>
      </c>
      <c r="F2844" s="52" t="s">
        <v>26</v>
      </c>
      <c r="G2844" s="53"/>
    </row>
    <row r="2845">
      <c r="A2845" s="49">
        <v>44542.77002833333</v>
      </c>
      <c r="B2845" s="50">
        <v>44542.8950059722</v>
      </c>
      <c r="C2845" s="51">
        <v>1.016</v>
      </c>
      <c r="D2845" s="51">
        <v>63.0</v>
      </c>
      <c r="E2845" s="52" t="s">
        <v>25</v>
      </c>
      <c r="F2845" s="52" t="s">
        <v>26</v>
      </c>
      <c r="G2845" s="53"/>
    </row>
    <row r="2846">
      <c r="A2846" s="49">
        <v>44542.78044615741</v>
      </c>
      <c r="B2846" s="50">
        <v>44542.9054273379</v>
      </c>
      <c r="C2846" s="51">
        <v>1.017</v>
      </c>
      <c r="D2846" s="51">
        <v>63.0</v>
      </c>
      <c r="E2846" s="52" t="s">
        <v>25</v>
      </c>
      <c r="F2846" s="52" t="s">
        <v>26</v>
      </c>
      <c r="G2846" s="53"/>
    </row>
    <row r="2847">
      <c r="A2847" s="49">
        <v>44542.79086717592</v>
      </c>
      <c r="B2847" s="50">
        <v>44542.9158495833</v>
      </c>
      <c r="C2847" s="51">
        <v>1.016</v>
      </c>
      <c r="D2847" s="51">
        <v>63.0</v>
      </c>
      <c r="E2847" s="52" t="s">
        <v>25</v>
      </c>
      <c r="F2847" s="52" t="s">
        <v>26</v>
      </c>
      <c r="G2847" s="53"/>
    </row>
    <row r="2848">
      <c r="A2848" s="49">
        <v>44542.80129984954</v>
      </c>
      <c r="B2848" s="50">
        <v>44542.9262807291</v>
      </c>
      <c r="C2848" s="51">
        <v>1.016</v>
      </c>
      <c r="D2848" s="51">
        <v>63.0</v>
      </c>
      <c r="E2848" s="52" t="s">
        <v>25</v>
      </c>
      <c r="F2848" s="52" t="s">
        <v>26</v>
      </c>
      <c r="G2848" s="53"/>
    </row>
    <row r="2849">
      <c r="A2849" s="49">
        <v>44542.811752696754</v>
      </c>
      <c r="B2849" s="50">
        <v>44542.9367253356</v>
      </c>
      <c r="C2849" s="51">
        <v>1.016</v>
      </c>
      <c r="D2849" s="51">
        <v>63.0</v>
      </c>
      <c r="E2849" s="52" t="s">
        <v>25</v>
      </c>
      <c r="F2849" s="52" t="s">
        <v>26</v>
      </c>
      <c r="G2849" s="53"/>
    </row>
    <row r="2850">
      <c r="A2850" s="49">
        <v>44542.82219417824</v>
      </c>
      <c r="B2850" s="50">
        <v>44542.9471695138</v>
      </c>
      <c r="C2850" s="51">
        <v>1.016</v>
      </c>
      <c r="D2850" s="51">
        <v>63.0</v>
      </c>
      <c r="E2850" s="52" t="s">
        <v>25</v>
      </c>
      <c r="F2850" s="52" t="s">
        <v>26</v>
      </c>
      <c r="G2850" s="53"/>
    </row>
    <row r="2851">
      <c r="A2851" s="49">
        <v>44542.83261549768</v>
      </c>
      <c r="B2851" s="50">
        <v>44542.9575906018</v>
      </c>
      <c r="C2851" s="51">
        <v>1.016</v>
      </c>
      <c r="D2851" s="51">
        <v>63.0</v>
      </c>
      <c r="E2851" s="52" t="s">
        <v>25</v>
      </c>
      <c r="F2851" s="52" t="s">
        <v>26</v>
      </c>
      <c r="G2851" s="53"/>
    </row>
    <row r="2852">
      <c r="A2852" s="49">
        <v>44542.843042974535</v>
      </c>
      <c r="B2852" s="50">
        <v>44542.9680118865</v>
      </c>
      <c r="C2852" s="51">
        <v>1.016</v>
      </c>
      <c r="D2852" s="51">
        <v>63.0</v>
      </c>
      <c r="E2852" s="52" t="s">
        <v>25</v>
      </c>
      <c r="F2852" s="52" t="s">
        <v>26</v>
      </c>
      <c r="G2852" s="53"/>
    </row>
    <row r="2853">
      <c r="A2853" s="49">
        <v>44542.85347087963</v>
      </c>
      <c r="B2853" s="50">
        <v>44542.9784339004</v>
      </c>
      <c r="C2853" s="51">
        <v>1.016</v>
      </c>
      <c r="D2853" s="51">
        <v>63.0</v>
      </c>
      <c r="E2853" s="52" t="s">
        <v>25</v>
      </c>
      <c r="F2853" s="52" t="s">
        <v>26</v>
      </c>
      <c r="G2853" s="53"/>
    </row>
    <row r="2854">
      <c r="A2854" s="49">
        <v>44542.86389140046</v>
      </c>
      <c r="B2854" s="50">
        <v>44542.9888651736</v>
      </c>
      <c r="C2854" s="51">
        <v>1.016</v>
      </c>
      <c r="D2854" s="51">
        <v>63.0</v>
      </c>
      <c r="E2854" s="52" t="s">
        <v>25</v>
      </c>
      <c r="F2854" s="52" t="s">
        <v>26</v>
      </c>
      <c r="G2854" s="53"/>
    </row>
    <row r="2855">
      <c r="A2855" s="49">
        <v>44542.87430541667</v>
      </c>
      <c r="B2855" s="50">
        <v>44542.9992870486</v>
      </c>
      <c r="C2855" s="51">
        <v>1.016</v>
      </c>
      <c r="D2855" s="51">
        <v>63.0</v>
      </c>
      <c r="E2855" s="52" t="s">
        <v>25</v>
      </c>
      <c r="F2855" s="52" t="s">
        <v>26</v>
      </c>
      <c r="G2855" s="53"/>
    </row>
    <row r="2856">
      <c r="A2856" s="49">
        <v>44542.884726585646</v>
      </c>
      <c r="B2856" s="50">
        <v>44543.0097082986</v>
      </c>
      <c r="C2856" s="51">
        <v>1.016</v>
      </c>
      <c r="D2856" s="51">
        <v>63.0</v>
      </c>
      <c r="E2856" s="52" t="s">
        <v>25</v>
      </c>
      <c r="F2856" s="52" t="s">
        <v>26</v>
      </c>
      <c r="G2856" s="53"/>
    </row>
    <row r="2857">
      <c r="A2857" s="49">
        <v>44542.8951846875</v>
      </c>
      <c r="B2857" s="50">
        <v>44543.020163368</v>
      </c>
      <c r="C2857" s="51">
        <v>1.016</v>
      </c>
      <c r="D2857" s="51">
        <v>63.0</v>
      </c>
      <c r="E2857" s="52" t="s">
        <v>25</v>
      </c>
      <c r="F2857" s="52" t="s">
        <v>26</v>
      </c>
      <c r="G2857" s="53"/>
    </row>
    <row r="2858">
      <c r="A2858" s="49">
        <v>44542.905611608796</v>
      </c>
      <c r="B2858" s="50">
        <v>44543.0305855555</v>
      </c>
      <c r="C2858" s="51">
        <v>1.016</v>
      </c>
      <c r="D2858" s="51">
        <v>63.0</v>
      </c>
      <c r="E2858" s="52" t="s">
        <v>25</v>
      </c>
      <c r="F2858" s="52" t="s">
        <v>26</v>
      </c>
      <c r="G2858" s="53"/>
    </row>
    <row r="2859">
      <c r="A2859" s="49">
        <v>44542.91604457176</v>
      </c>
      <c r="B2859" s="50">
        <v>44543.0410079166</v>
      </c>
      <c r="C2859" s="51">
        <v>1.016</v>
      </c>
      <c r="D2859" s="51">
        <v>63.0</v>
      </c>
      <c r="E2859" s="52" t="s">
        <v>25</v>
      </c>
      <c r="F2859" s="52" t="s">
        <v>26</v>
      </c>
      <c r="G2859" s="53"/>
    </row>
    <row r="2860">
      <c r="A2860" s="49">
        <v>44542.926468564816</v>
      </c>
      <c r="B2860" s="50">
        <v>44543.0514389236</v>
      </c>
      <c r="C2860" s="51">
        <v>1.016</v>
      </c>
      <c r="D2860" s="51">
        <v>63.0</v>
      </c>
      <c r="E2860" s="52" t="s">
        <v>25</v>
      </c>
      <c r="F2860" s="52" t="s">
        <v>26</v>
      </c>
      <c r="G2860" s="53"/>
    </row>
    <row r="2861">
      <c r="A2861" s="49">
        <v>44542.93688804398</v>
      </c>
      <c r="B2861" s="50">
        <v>44543.0618603587</v>
      </c>
      <c r="C2861" s="51">
        <v>1.016</v>
      </c>
      <c r="D2861" s="51">
        <v>63.0</v>
      </c>
      <c r="E2861" s="52" t="s">
        <v>25</v>
      </c>
      <c r="F2861" s="52" t="s">
        <v>26</v>
      </c>
      <c r="G2861" s="53"/>
    </row>
    <row r="2862">
      <c r="A2862" s="49">
        <v>44542.947304490735</v>
      </c>
      <c r="B2862" s="50">
        <v>44543.0722838888</v>
      </c>
      <c r="C2862" s="51">
        <v>1.016</v>
      </c>
      <c r="D2862" s="51">
        <v>63.0</v>
      </c>
      <c r="E2862" s="52" t="s">
        <v>25</v>
      </c>
      <c r="F2862" s="52" t="s">
        <v>26</v>
      </c>
      <c r="G2862" s="53"/>
    </row>
    <row r="2863">
      <c r="A2863" s="49">
        <v>44542.957729918984</v>
      </c>
      <c r="B2863" s="50">
        <v>44543.082706574</v>
      </c>
      <c r="C2863" s="51">
        <v>1.016</v>
      </c>
      <c r="D2863" s="51">
        <v>63.0</v>
      </c>
      <c r="E2863" s="52" t="s">
        <v>25</v>
      </c>
      <c r="F2863" s="52" t="s">
        <v>26</v>
      </c>
      <c r="G2863" s="53"/>
    </row>
    <row r="2864">
      <c r="A2864" s="49">
        <v>44542.96815539352</v>
      </c>
      <c r="B2864" s="50">
        <v>44543.0931276041</v>
      </c>
      <c r="C2864" s="51">
        <v>1.016</v>
      </c>
      <c r="D2864" s="51">
        <v>63.0</v>
      </c>
      <c r="E2864" s="52" t="s">
        <v>25</v>
      </c>
      <c r="F2864" s="52" t="s">
        <v>26</v>
      </c>
      <c r="G2864" s="53"/>
    </row>
    <row r="2865">
      <c r="A2865" s="49">
        <v>44542.9785759375</v>
      </c>
      <c r="B2865" s="50">
        <v>44543.1035498842</v>
      </c>
      <c r="C2865" s="51">
        <v>1.016</v>
      </c>
      <c r="D2865" s="51">
        <v>62.0</v>
      </c>
      <c r="E2865" s="52" t="s">
        <v>25</v>
      </c>
      <c r="F2865" s="52" t="s">
        <v>26</v>
      </c>
      <c r="G2865" s="53"/>
    </row>
    <row r="2866">
      <c r="A2866" s="49">
        <v>44542.988989143516</v>
      </c>
      <c r="B2866" s="50">
        <v>44543.113970706</v>
      </c>
      <c r="C2866" s="51">
        <v>1.016</v>
      </c>
      <c r="D2866" s="51">
        <v>63.0</v>
      </c>
      <c r="E2866" s="52" t="s">
        <v>25</v>
      </c>
      <c r="F2866" s="52" t="s">
        <v>26</v>
      </c>
      <c r="G2866" s="53"/>
    </row>
    <row r="2867">
      <c r="A2867" s="49">
        <v>44542.999413564816</v>
      </c>
      <c r="B2867" s="50">
        <v>44543.124392662</v>
      </c>
      <c r="C2867" s="51">
        <v>1.016</v>
      </c>
      <c r="D2867" s="51">
        <v>62.0</v>
      </c>
      <c r="E2867" s="52" t="s">
        <v>25</v>
      </c>
      <c r="F2867" s="52" t="s">
        <v>26</v>
      </c>
      <c r="G2867" s="53"/>
    </row>
    <row r="2868">
      <c r="A2868" s="49">
        <v>44543.009847037036</v>
      </c>
      <c r="B2868" s="50">
        <v>44543.134813125</v>
      </c>
      <c r="C2868" s="51">
        <v>1.016</v>
      </c>
      <c r="D2868" s="51">
        <v>63.0</v>
      </c>
      <c r="E2868" s="52" t="s">
        <v>25</v>
      </c>
      <c r="F2868" s="52" t="s">
        <v>26</v>
      </c>
      <c r="G2868" s="53"/>
    </row>
    <row r="2869">
      <c r="A2869" s="49">
        <v>44543.020255868054</v>
      </c>
      <c r="B2869" s="50">
        <v>44543.1452350347</v>
      </c>
      <c r="C2869" s="51">
        <v>1.016</v>
      </c>
      <c r="D2869" s="51">
        <v>62.0</v>
      </c>
      <c r="E2869" s="52" t="s">
        <v>25</v>
      </c>
      <c r="F2869" s="52" t="s">
        <v>26</v>
      </c>
      <c r="G2869" s="53"/>
    </row>
    <row r="2870">
      <c r="A2870" s="49">
        <v>44543.0306834375</v>
      </c>
      <c r="B2870" s="50">
        <v>44543.1556553935</v>
      </c>
      <c r="C2870" s="51">
        <v>1.016</v>
      </c>
      <c r="D2870" s="51">
        <v>63.0</v>
      </c>
      <c r="E2870" s="52" t="s">
        <v>25</v>
      </c>
      <c r="F2870" s="52" t="s">
        <v>26</v>
      </c>
      <c r="G2870" s="53"/>
    </row>
    <row r="2871">
      <c r="A2871" s="49">
        <v>44543.04111278935</v>
      </c>
      <c r="B2871" s="50">
        <v>44543.1660752893</v>
      </c>
      <c r="C2871" s="51">
        <v>1.016</v>
      </c>
      <c r="D2871" s="51">
        <v>63.0</v>
      </c>
      <c r="E2871" s="52" t="s">
        <v>25</v>
      </c>
      <c r="F2871" s="52" t="s">
        <v>26</v>
      </c>
      <c r="G2871" s="53"/>
    </row>
    <row r="2872">
      <c r="A2872" s="49">
        <v>44543.05154515046</v>
      </c>
      <c r="B2872" s="50">
        <v>44543.1765090393</v>
      </c>
      <c r="C2872" s="51">
        <v>1.016</v>
      </c>
      <c r="D2872" s="51">
        <v>62.0</v>
      </c>
      <c r="E2872" s="52" t="s">
        <v>25</v>
      </c>
      <c r="F2872" s="52" t="s">
        <v>26</v>
      </c>
      <c r="G2872" s="53"/>
    </row>
    <row r="2873">
      <c r="A2873" s="49">
        <v>44543.06195482639</v>
      </c>
      <c r="B2873" s="50">
        <v>44543.1869315162</v>
      </c>
      <c r="C2873" s="51">
        <v>1.016</v>
      </c>
      <c r="D2873" s="51">
        <v>62.0</v>
      </c>
      <c r="E2873" s="52" t="s">
        <v>25</v>
      </c>
      <c r="F2873" s="52" t="s">
        <v>26</v>
      </c>
      <c r="G2873" s="53"/>
    </row>
    <row r="2874">
      <c r="A2874" s="49">
        <v>44543.072369953705</v>
      </c>
      <c r="B2874" s="50">
        <v>44543.1973510532</v>
      </c>
      <c r="C2874" s="51">
        <v>1.016</v>
      </c>
      <c r="D2874" s="51">
        <v>62.0</v>
      </c>
      <c r="E2874" s="52" t="s">
        <v>25</v>
      </c>
      <c r="F2874" s="52" t="s">
        <v>26</v>
      </c>
      <c r="G2874" s="53"/>
    </row>
    <row r="2875">
      <c r="A2875" s="49">
        <v>44543.08278991898</v>
      </c>
      <c r="B2875" s="50">
        <v>44543.2077718402</v>
      </c>
      <c r="C2875" s="51">
        <v>1.016</v>
      </c>
      <c r="D2875" s="51">
        <v>63.0</v>
      </c>
      <c r="E2875" s="52" t="s">
        <v>25</v>
      </c>
      <c r="F2875" s="52" t="s">
        <v>26</v>
      </c>
      <c r="G2875" s="53"/>
    </row>
    <row r="2876">
      <c r="A2876" s="49">
        <v>44543.09320762732</v>
      </c>
      <c r="B2876" s="50">
        <v>44543.218192037</v>
      </c>
      <c r="C2876" s="51">
        <v>1.016</v>
      </c>
      <c r="D2876" s="51">
        <v>62.0</v>
      </c>
      <c r="E2876" s="52" t="s">
        <v>25</v>
      </c>
      <c r="F2876" s="52" t="s">
        <v>26</v>
      </c>
      <c r="G2876" s="53"/>
    </row>
    <row r="2877">
      <c r="A2877" s="49">
        <v>44543.103651365745</v>
      </c>
      <c r="B2877" s="50">
        <v>44543.2286252199</v>
      </c>
      <c r="C2877" s="51">
        <v>1.016</v>
      </c>
      <c r="D2877" s="51">
        <v>62.0</v>
      </c>
      <c r="E2877" s="52" t="s">
        <v>25</v>
      </c>
      <c r="F2877" s="52" t="s">
        <v>26</v>
      </c>
      <c r="G2877" s="53"/>
    </row>
    <row r="2878">
      <c r="A2878" s="49">
        <v>44543.11406940973</v>
      </c>
      <c r="B2878" s="50">
        <v>44543.2390474768</v>
      </c>
      <c r="C2878" s="51">
        <v>1.016</v>
      </c>
      <c r="D2878" s="51">
        <v>62.0</v>
      </c>
      <c r="E2878" s="52" t="s">
        <v>25</v>
      </c>
      <c r="F2878" s="52" t="s">
        <v>26</v>
      </c>
      <c r="G2878" s="53"/>
    </row>
    <row r="2879">
      <c r="A2879" s="49">
        <v>44543.12450268518</v>
      </c>
      <c r="B2879" s="50">
        <v>44543.249480405</v>
      </c>
      <c r="C2879" s="51">
        <v>1.016</v>
      </c>
      <c r="D2879" s="51">
        <v>62.0</v>
      </c>
      <c r="E2879" s="52" t="s">
        <v>25</v>
      </c>
      <c r="F2879" s="52" t="s">
        <v>26</v>
      </c>
      <c r="G2879" s="53"/>
    </row>
    <row r="2880">
      <c r="A2880" s="49">
        <v>44543.13492157408</v>
      </c>
      <c r="B2880" s="50">
        <v>44543.2599006018</v>
      </c>
      <c r="C2880" s="51">
        <v>1.016</v>
      </c>
      <c r="D2880" s="51">
        <v>62.0</v>
      </c>
      <c r="E2880" s="52" t="s">
        <v>25</v>
      </c>
      <c r="F2880" s="52" t="s">
        <v>26</v>
      </c>
      <c r="G2880" s="53"/>
    </row>
    <row r="2881">
      <c r="A2881" s="49">
        <v>44543.145348668986</v>
      </c>
      <c r="B2881" s="50">
        <v>44543.2703217824</v>
      </c>
      <c r="C2881" s="51">
        <v>1.016</v>
      </c>
      <c r="D2881" s="51">
        <v>62.0</v>
      </c>
      <c r="E2881" s="52" t="s">
        <v>25</v>
      </c>
      <c r="F2881" s="52" t="s">
        <v>26</v>
      </c>
      <c r="G2881" s="53"/>
    </row>
    <row r="2882">
      <c r="A2882" s="49">
        <v>44543.15576825231</v>
      </c>
      <c r="B2882" s="50">
        <v>44543.2807428356</v>
      </c>
      <c r="C2882" s="51">
        <v>1.016</v>
      </c>
      <c r="D2882" s="51">
        <v>62.0</v>
      </c>
      <c r="E2882" s="52" t="s">
        <v>25</v>
      </c>
      <c r="F2882" s="52" t="s">
        <v>26</v>
      </c>
      <c r="G2882" s="53"/>
    </row>
    <row r="2883">
      <c r="A2883" s="49">
        <v>44543.166205057874</v>
      </c>
      <c r="B2883" s="50">
        <v>44543.2911893402</v>
      </c>
      <c r="C2883" s="51">
        <v>1.016</v>
      </c>
      <c r="D2883" s="51">
        <v>63.0</v>
      </c>
      <c r="E2883" s="52" t="s">
        <v>25</v>
      </c>
      <c r="F2883" s="52" t="s">
        <v>26</v>
      </c>
      <c r="G2883" s="53"/>
    </row>
    <row r="2884">
      <c r="A2884" s="49">
        <v>44543.176644756946</v>
      </c>
      <c r="B2884" s="50">
        <v>44543.3016219328</v>
      </c>
      <c r="C2884" s="51">
        <v>1.016</v>
      </c>
      <c r="D2884" s="51">
        <v>62.0</v>
      </c>
      <c r="E2884" s="52" t="s">
        <v>25</v>
      </c>
      <c r="F2884" s="52" t="s">
        <v>26</v>
      </c>
      <c r="G2884" s="53"/>
    </row>
    <row r="2885">
      <c r="A2885" s="49">
        <v>44543.18708466435</v>
      </c>
      <c r="B2885" s="50">
        <v>44543.3120548958</v>
      </c>
      <c r="C2885" s="51">
        <v>1.016</v>
      </c>
      <c r="D2885" s="51">
        <v>62.0</v>
      </c>
      <c r="E2885" s="52" t="s">
        <v>25</v>
      </c>
      <c r="F2885" s="52" t="s">
        <v>26</v>
      </c>
      <c r="G2885" s="53"/>
    </row>
    <row r="2886">
      <c r="A2886" s="49">
        <v>44543.197506620374</v>
      </c>
      <c r="B2886" s="50">
        <v>44543.32248875</v>
      </c>
      <c r="C2886" s="51">
        <v>1.016</v>
      </c>
      <c r="D2886" s="51">
        <v>62.0</v>
      </c>
      <c r="E2886" s="52" t="s">
        <v>25</v>
      </c>
      <c r="F2886" s="52" t="s">
        <v>26</v>
      </c>
      <c r="G2886" s="53"/>
    </row>
    <row r="2887">
      <c r="A2887" s="49">
        <v>44543.20793638889</v>
      </c>
      <c r="B2887" s="50">
        <v>44543.3329085069</v>
      </c>
      <c r="C2887" s="51">
        <v>1.016</v>
      </c>
      <c r="D2887" s="51">
        <v>62.0</v>
      </c>
      <c r="E2887" s="52" t="s">
        <v>25</v>
      </c>
      <c r="F2887" s="52" t="s">
        <v>26</v>
      </c>
      <c r="G2887" s="53"/>
    </row>
    <row r="2888">
      <c r="A2888" s="49">
        <v>44543.218373807875</v>
      </c>
      <c r="B2888" s="50">
        <v>44543.3433390277</v>
      </c>
      <c r="C2888" s="51">
        <v>1.016</v>
      </c>
      <c r="D2888" s="51">
        <v>62.0</v>
      </c>
      <c r="E2888" s="52" t="s">
        <v>25</v>
      </c>
      <c r="F2888" s="52" t="s">
        <v>26</v>
      </c>
      <c r="G2888" s="53"/>
    </row>
    <row r="2889">
      <c r="A2889" s="49">
        <v>44543.22878237268</v>
      </c>
      <c r="B2889" s="50">
        <v>44543.3537594907</v>
      </c>
      <c r="C2889" s="51">
        <v>1.016</v>
      </c>
      <c r="D2889" s="51">
        <v>62.0</v>
      </c>
      <c r="E2889" s="52" t="s">
        <v>25</v>
      </c>
      <c r="F2889" s="52" t="s">
        <v>26</v>
      </c>
      <c r="G2889" s="53"/>
    </row>
    <row r="2890">
      <c r="A2890" s="49">
        <v>44543.23921181713</v>
      </c>
      <c r="B2890" s="50">
        <v>44543.3641814814</v>
      </c>
      <c r="C2890" s="51">
        <v>1.016</v>
      </c>
      <c r="D2890" s="51">
        <v>62.0</v>
      </c>
      <c r="E2890" s="52" t="s">
        <v>25</v>
      </c>
      <c r="F2890" s="52" t="s">
        <v>26</v>
      </c>
      <c r="G2890" s="53"/>
    </row>
    <row r="2891">
      <c r="A2891" s="49">
        <v>44543.249641284725</v>
      </c>
      <c r="B2891" s="50">
        <v>44543.3746037268</v>
      </c>
      <c r="C2891" s="51">
        <v>1.016</v>
      </c>
      <c r="D2891" s="51">
        <v>62.0</v>
      </c>
      <c r="E2891" s="52" t="s">
        <v>25</v>
      </c>
      <c r="F2891" s="52" t="s">
        <v>26</v>
      </c>
      <c r="G2891" s="53"/>
    </row>
    <row r="2892">
      <c r="A2892" s="49">
        <v>44543.26005913195</v>
      </c>
      <c r="B2892" s="50">
        <v>44543.3850374305</v>
      </c>
      <c r="C2892" s="51">
        <v>1.016</v>
      </c>
      <c r="D2892" s="51">
        <v>62.0</v>
      </c>
      <c r="E2892" s="52" t="s">
        <v>25</v>
      </c>
      <c r="F2892" s="52" t="s">
        <v>26</v>
      </c>
      <c r="G2892" s="53"/>
    </row>
    <row r="2893">
      <c r="A2893" s="49">
        <v>44543.270477453705</v>
      </c>
      <c r="B2893" s="50">
        <v>44543.3954578819</v>
      </c>
      <c r="C2893" s="51">
        <v>1.016</v>
      </c>
      <c r="D2893" s="51">
        <v>62.0</v>
      </c>
      <c r="E2893" s="52" t="s">
        <v>25</v>
      </c>
      <c r="F2893" s="52" t="s">
        <v>26</v>
      </c>
      <c r="G2893" s="53"/>
    </row>
    <row r="2894">
      <c r="A2894" s="49">
        <v>44543.28090038194</v>
      </c>
      <c r="B2894" s="50">
        <v>44543.4058783449</v>
      </c>
      <c r="C2894" s="51">
        <v>1.016</v>
      </c>
      <c r="D2894" s="51">
        <v>62.0</v>
      </c>
      <c r="E2894" s="52" t="s">
        <v>25</v>
      </c>
      <c r="F2894" s="52" t="s">
        <v>26</v>
      </c>
      <c r="G2894" s="53"/>
    </row>
    <row r="2895">
      <c r="A2895" s="49">
        <v>44543.29132266204</v>
      </c>
      <c r="B2895" s="50">
        <v>44543.416299456</v>
      </c>
      <c r="C2895" s="51">
        <v>1.016</v>
      </c>
      <c r="D2895" s="51">
        <v>62.0</v>
      </c>
      <c r="E2895" s="52" t="s">
        <v>25</v>
      </c>
      <c r="F2895" s="52" t="s">
        <v>26</v>
      </c>
      <c r="G2895" s="53"/>
    </row>
    <row r="2896">
      <c r="A2896" s="49">
        <v>44543.30174759259</v>
      </c>
      <c r="B2896" s="50">
        <v>44543.4267220138</v>
      </c>
      <c r="C2896" s="51">
        <v>1.016</v>
      </c>
      <c r="D2896" s="51">
        <v>62.0</v>
      </c>
      <c r="E2896" s="52" t="s">
        <v>25</v>
      </c>
      <c r="F2896" s="52" t="s">
        <v>26</v>
      </c>
      <c r="G2896" s="53"/>
    </row>
    <row r="2897">
      <c r="A2897" s="49">
        <v>44543.31216678241</v>
      </c>
      <c r="B2897" s="50">
        <v>44543.4371441203</v>
      </c>
      <c r="C2897" s="51">
        <v>1.016</v>
      </c>
      <c r="D2897" s="51">
        <v>62.0</v>
      </c>
      <c r="E2897" s="52" t="s">
        <v>25</v>
      </c>
      <c r="F2897" s="52" t="s">
        <v>26</v>
      </c>
      <c r="G2897" s="53"/>
    </row>
    <row r="2898">
      <c r="A2898" s="49">
        <v>44543.32259517361</v>
      </c>
      <c r="B2898" s="50">
        <v>44543.4475657523</v>
      </c>
      <c r="C2898" s="51">
        <v>1.016</v>
      </c>
      <c r="D2898" s="51">
        <v>62.0</v>
      </c>
      <c r="E2898" s="52" t="s">
        <v>25</v>
      </c>
      <c r="F2898" s="52" t="s">
        <v>26</v>
      </c>
      <c r="G2898" s="53"/>
    </row>
    <row r="2899">
      <c r="A2899" s="49">
        <v>44543.3330194213</v>
      </c>
      <c r="B2899" s="50">
        <v>44543.4579867245</v>
      </c>
      <c r="C2899" s="51">
        <v>1.016</v>
      </c>
      <c r="D2899" s="51">
        <v>62.0</v>
      </c>
      <c r="E2899" s="52" t="s">
        <v>25</v>
      </c>
      <c r="F2899" s="52" t="s">
        <v>26</v>
      </c>
      <c r="G2899" s="53"/>
    </row>
    <row r="2900">
      <c r="A2900" s="49">
        <v>44543.343436828705</v>
      </c>
      <c r="B2900" s="50">
        <v>44543.4684068055</v>
      </c>
      <c r="C2900" s="51">
        <v>1.016</v>
      </c>
      <c r="D2900" s="51">
        <v>62.0</v>
      </c>
      <c r="E2900" s="52" t="s">
        <v>25</v>
      </c>
      <c r="F2900" s="52" t="s">
        <v>26</v>
      </c>
      <c r="G2900" s="53"/>
    </row>
    <row r="2901">
      <c r="A2901" s="49">
        <v>44543.35385347222</v>
      </c>
      <c r="B2901" s="50">
        <v>44543.4788285879</v>
      </c>
      <c r="C2901" s="51">
        <v>1.016</v>
      </c>
      <c r="D2901" s="51">
        <v>62.0</v>
      </c>
      <c r="E2901" s="52" t="s">
        <v>25</v>
      </c>
      <c r="F2901" s="52" t="s">
        <v>26</v>
      </c>
      <c r="G2901" s="53"/>
    </row>
    <row r="2902">
      <c r="A2902" s="49">
        <v>44543.364282870374</v>
      </c>
      <c r="B2902" s="50">
        <v>44543.4892498263</v>
      </c>
      <c r="C2902" s="51">
        <v>1.016</v>
      </c>
      <c r="D2902" s="51">
        <v>62.0</v>
      </c>
      <c r="E2902" s="52" t="s">
        <v>25</v>
      </c>
      <c r="F2902" s="52" t="s">
        <v>26</v>
      </c>
      <c r="G2902" s="53"/>
    </row>
    <row r="2903">
      <c r="A2903" s="49">
        <v>44543.37469493056</v>
      </c>
      <c r="B2903" s="50">
        <v>44543.4996725115</v>
      </c>
      <c r="C2903" s="51">
        <v>1.016</v>
      </c>
      <c r="D2903" s="51">
        <v>62.0</v>
      </c>
      <c r="E2903" s="52" t="s">
        <v>25</v>
      </c>
      <c r="F2903" s="52" t="s">
        <v>26</v>
      </c>
      <c r="G2903" s="53"/>
    </row>
    <row r="2904">
      <c r="A2904" s="49">
        <v>44543.38511913194</v>
      </c>
      <c r="B2904" s="50">
        <v>44543.5100927083</v>
      </c>
      <c r="C2904" s="51">
        <v>1.016</v>
      </c>
      <c r="D2904" s="51">
        <v>62.0</v>
      </c>
      <c r="E2904" s="52" t="s">
        <v>25</v>
      </c>
      <c r="F2904" s="52" t="s">
        <v>26</v>
      </c>
      <c r="G2904" s="53"/>
    </row>
    <row r="2905">
      <c r="A2905" s="49">
        <v>44543.3955337963</v>
      </c>
      <c r="B2905" s="50">
        <v>44543.5205150347</v>
      </c>
      <c r="C2905" s="51">
        <v>1.016</v>
      </c>
      <c r="D2905" s="51">
        <v>62.0</v>
      </c>
      <c r="E2905" s="52" t="s">
        <v>25</v>
      </c>
      <c r="F2905" s="52" t="s">
        <v>26</v>
      </c>
      <c r="G2905" s="53"/>
    </row>
    <row r="2906">
      <c r="A2906" s="49">
        <v>44543.40596965278</v>
      </c>
      <c r="B2906" s="50">
        <v>44543.5309367708</v>
      </c>
      <c r="C2906" s="51">
        <v>1.016</v>
      </c>
      <c r="D2906" s="51">
        <v>62.0</v>
      </c>
      <c r="E2906" s="52" t="s">
        <v>25</v>
      </c>
      <c r="F2906" s="52" t="s">
        <v>26</v>
      </c>
      <c r="G2906" s="53"/>
    </row>
    <row r="2907">
      <c r="A2907" s="49">
        <v>44543.41638109954</v>
      </c>
      <c r="B2907" s="50">
        <v>44543.5413572685</v>
      </c>
      <c r="C2907" s="51">
        <v>1.016</v>
      </c>
      <c r="D2907" s="51">
        <v>62.0</v>
      </c>
      <c r="E2907" s="52" t="s">
        <v>25</v>
      </c>
      <c r="F2907" s="52" t="s">
        <v>26</v>
      </c>
      <c r="G2907" s="53"/>
    </row>
    <row r="2908">
      <c r="A2908" s="49">
        <v>44543.42681255787</v>
      </c>
      <c r="B2908" s="50">
        <v>44543.551778287</v>
      </c>
      <c r="C2908" s="51">
        <v>1.016</v>
      </c>
      <c r="D2908" s="51">
        <v>62.0</v>
      </c>
      <c r="E2908" s="52" t="s">
        <v>25</v>
      </c>
      <c r="F2908" s="52" t="s">
        <v>26</v>
      </c>
      <c r="G2908" s="53"/>
    </row>
    <row r="2909">
      <c r="A2909" s="49">
        <v>44543.437222002314</v>
      </c>
      <c r="B2909" s="50">
        <v>44543.562199375</v>
      </c>
      <c r="C2909" s="51">
        <v>1.016</v>
      </c>
      <c r="D2909" s="51">
        <v>62.0</v>
      </c>
      <c r="E2909" s="52" t="s">
        <v>25</v>
      </c>
      <c r="F2909" s="52" t="s">
        <v>26</v>
      </c>
      <c r="G2909" s="53"/>
    </row>
    <row r="2910">
      <c r="A2910" s="49">
        <v>44543.447643402775</v>
      </c>
      <c r="B2910" s="50">
        <v>44543.5726205787</v>
      </c>
      <c r="C2910" s="51">
        <v>1.016</v>
      </c>
      <c r="D2910" s="51">
        <v>62.0</v>
      </c>
      <c r="E2910" s="52" t="s">
        <v>25</v>
      </c>
      <c r="F2910" s="52" t="s">
        <v>26</v>
      </c>
      <c r="G2910" s="53"/>
    </row>
    <row r="2911">
      <c r="A2911" s="49">
        <v>44543.45806493056</v>
      </c>
      <c r="B2911" s="50">
        <v>44543.5830404976</v>
      </c>
      <c r="C2911" s="51">
        <v>1.016</v>
      </c>
      <c r="D2911" s="51">
        <v>62.0</v>
      </c>
      <c r="E2911" s="52" t="s">
        <v>25</v>
      </c>
      <c r="F2911" s="52" t="s">
        <v>26</v>
      </c>
      <c r="G2911" s="53"/>
    </row>
    <row r="2912">
      <c r="A2912" s="49">
        <v>44543.4684881713</v>
      </c>
      <c r="B2912" s="50">
        <v>44543.593462199</v>
      </c>
      <c r="C2912" s="51">
        <v>1.016</v>
      </c>
      <c r="D2912" s="51">
        <v>62.0</v>
      </c>
      <c r="E2912" s="52" t="s">
        <v>25</v>
      </c>
      <c r="F2912" s="52" t="s">
        <v>26</v>
      </c>
      <c r="G2912" s="53"/>
    </row>
    <row r="2913">
      <c r="A2913" s="49">
        <v>44543.478906979166</v>
      </c>
      <c r="B2913" s="50">
        <v>44543.6038816666</v>
      </c>
      <c r="C2913" s="51">
        <v>1.016</v>
      </c>
      <c r="D2913" s="51">
        <v>62.0</v>
      </c>
      <c r="E2913" s="52" t="s">
        <v>25</v>
      </c>
      <c r="F2913" s="52" t="s">
        <v>26</v>
      </c>
      <c r="G2913" s="53"/>
    </row>
    <row r="2914">
      <c r="A2914" s="49">
        <v>44543.489327523144</v>
      </c>
      <c r="B2914" s="50">
        <v>44543.6143017013</v>
      </c>
      <c r="C2914" s="51">
        <v>1.016</v>
      </c>
      <c r="D2914" s="51">
        <v>62.0</v>
      </c>
      <c r="E2914" s="52" t="s">
        <v>25</v>
      </c>
      <c r="F2914" s="52" t="s">
        <v>26</v>
      </c>
      <c r="G2914" s="53"/>
    </row>
    <row r="2915">
      <c r="A2915" s="49">
        <v>44543.49973895833</v>
      </c>
      <c r="B2915" s="50">
        <v>44543.6247232291</v>
      </c>
      <c r="C2915" s="51">
        <v>1.016</v>
      </c>
      <c r="D2915" s="51">
        <v>63.0</v>
      </c>
      <c r="E2915" s="52" t="s">
        <v>25</v>
      </c>
      <c r="F2915" s="52" t="s">
        <v>26</v>
      </c>
      <c r="G2915" s="53"/>
    </row>
    <row r="2916">
      <c r="A2916" s="49">
        <v>44543.510166249995</v>
      </c>
      <c r="B2916" s="50">
        <v>44543.6351454513</v>
      </c>
      <c r="C2916" s="51">
        <v>1.016</v>
      </c>
      <c r="D2916" s="51">
        <v>62.0</v>
      </c>
      <c r="E2916" s="52" t="s">
        <v>25</v>
      </c>
      <c r="F2916" s="52" t="s">
        <v>26</v>
      </c>
      <c r="G2916" s="53"/>
    </row>
    <row r="2917">
      <c r="A2917" s="49">
        <v>44543.52059069445</v>
      </c>
      <c r="B2917" s="50">
        <v>44543.645564537</v>
      </c>
      <c r="C2917" s="51">
        <v>1.016</v>
      </c>
      <c r="D2917" s="51">
        <v>62.0</v>
      </c>
      <c r="E2917" s="52" t="s">
        <v>25</v>
      </c>
      <c r="F2917" s="52" t="s">
        <v>26</v>
      </c>
      <c r="G2917" s="53"/>
    </row>
    <row r="2918">
      <c r="A2918" s="49">
        <v>44543.53100577546</v>
      </c>
      <c r="B2918" s="50">
        <v>44543.6559849884</v>
      </c>
      <c r="C2918" s="51">
        <v>1.016</v>
      </c>
      <c r="D2918" s="51">
        <v>62.0</v>
      </c>
      <c r="E2918" s="52" t="s">
        <v>25</v>
      </c>
      <c r="F2918" s="52" t="s">
        <v>26</v>
      </c>
      <c r="G2918" s="53"/>
    </row>
    <row r="2919">
      <c r="A2919" s="49">
        <v>44543.541443379625</v>
      </c>
      <c r="B2919" s="50">
        <v>44543.6664186805</v>
      </c>
      <c r="C2919" s="51">
        <v>1.016</v>
      </c>
      <c r="D2919" s="51">
        <v>62.0</v>
      </c>
      <c r="E2919" s="52" t="s">
        <v>25</v>
      </c>
      <c r="F2919" s="52" t="s">
        <v>26</v>
      </c>
      <c r="G2919" s="53"/>
    </row>
    <row r="2920">
      <c r="A2920" s="49">
        <v>44543.56228182871</v>
      </c>
      <c r="B2920" s="50">
        <v>44543.6872602546</v>
      </c>
      <c r="C2920" s="51">
        <v>1.016</v>
      </c>
      <c r="D2920" s="51">
        <v>63.0</v>
      </c>
      <c r="E2920" s="52" t="s">
        <v>25</v>
      </c>
      <c r="F2920" s="52" t="s">
        <v>26</v>
      </c>
      <c r="G2920" s="53"/>
    </row>
    <row r="2921">
      <c r="A2921" s="49">
        <v>44543.572706018516</v>
      </c>
      <c r="B2921" s="50">
        <v>44543.6976810995</v>
      </c>
      <c r="C2921" s="51">
        <v>1.016</v>
      </c>
      <c r="D2921" s="51">
        <v>62.0</v>
      </c>
      <c r="E2921" s="52" t="s">
        <v>25</v>
      </c>
      <c r="F2921" s="52" t="s">
        <v>26</v>
      </c>
      <c r="G2921" s="53"/>
    </row>
    <row r="2922">
      <c r="A2922" s="49">
        <v>44543.583135451394</v>
      </c>
      <c r="B2922" s="50">
        <v>44543.7081023032</v>
      </c>
      <c r="C2922" s="51">
        <v>1.016</v>
      </c>
      <c r="D2922" s="51">
        <v>62.0</v>
      </c>
      <c r="E2922" s="52" t="s">
        <v>25</v>
      </c>
      <c r="F2922" s="52" t="s">
        <v>26</v>
      </c>
      <c r="G2922" s="53"/>
    </row>
    <row r="2923">
      <c r="A2923" s="49">
        <v>44543.59355075231</v>
      </c>
      <c r="B2923" s="50">
        <v>44543.718525081</v>
      </c>
      <c r="C2923" s="51">
        <v>1.016</v>
      </c>
      <c r="D2923" s="51">
        <v>62.0</v>
      </c>
      <c r="E2923" s="52" t="s">
        <v>25</v>
      </c>
      <c r="F2923" s="52" t="s">
        <v>26</v>
      </c>
      <c r="G2923" s="53"/>
    </row>
    <row r="2924">
      <c r="A2924" s="49">
        <v>44543.60397991898</v>
      </c>
      <c r="B2924" s="50">
        <v>44543.7289477546</v>
      </c>
      <c r="C2924" s="51">
        <v>1.016</v>
      </c>
      <c r="D2924" s="51">
        <v>62.0</v>
      </c>
      <c r="E2924" s="52" t="s">
        <v>25</v>
      </c>
      <c r="F2924" s="52" t="s">
        <v>26</v>
      </c>
      <c r="G2924" s="53"/>
    </row>
    <row r="2925">
      <c r="A2925" s="49">
        <v>44543.61439368056</v>
      </c>
      <c r="B2925" s="50">
        <v>44543.7393685069</v>
      </c>
      <c r="C2925" s="51">
        <v>1.016</v>
      </c>
      <c r="D2925" s="51">
        <v>62.0</v>
      </c>
      <c r="E2925" s="52" t="s">
        <v>25</v>
      </c>
      <c r="F2925" s="52" t="s">
        <v>26</v>
      </c>
      <c r="G2925" s="53"/>
    </row>
    <row r="2926">
      <c r="A2926" s="49">
        <v>44543.62481946759</v>
      </c>
      <c r="B2926" s="50">
        <v>44543.7497890046</v>
      </c>
      <c r="C2926" s="51">
        <v>1.016</v>
      </c>
      <c r="D2926" s="51">
        <v>62.0</v>
      </c>
      <c r="E2926" s="52" t="s">
        <v>25</v>
      </c>
      <c r="F2926" s="52" t="s">
        <v>26</v>
      </c>
      <c r="G2926" s="53"/>
    </row>
    <row r="2927">
      <c r="A2927" s="49">
        <v>44543.63523640046</v>
      </c>
      <c r="B2927" s="50">
        <v>44543.7602098379</v>
      </c>
      <c r="C2927" s="51">
        <v>1.016</v>
      </c>
      <c r="D2927" s="51">
        <v>62.0</v>
      </c>
      <c r="E2927" s="52" t="s">
        <v>25</v>
      </c>
      <c r="F2927" s="52" t="s">
        <v>26</v>
      </c>
      <c r="G2927" s="53"/>
    </row>
    <row r="2928">
      <c r="A2928" s="49">
        <v>44543.6456531713</v>
      </c>
      <c r="B2928" s="50">
        <v>44543.7706294791</v>
      </c>
      <c r="C2928" s="51">
        <v>1.016</v>
      </c>
      <c r="D2928" s="51">
        <v>62.0</v>
      </c>
      <c r="E2928" s="52" t="s">
        <v>25</v>
      </c>
      <c r="F2928" s="52" t="s">
        <v>26</v>
      </c>
      <c r="G2928" s="53"/>
    </row>
    <row r="2929">
      <c r="A2929" s="49">
        <v>44543.65607496528</v>
      </c>
      <c r="B2929" s="50">
        <v>44543.7810485995</v>
      </c>
      <c r="C2929" s="51">
        <v>1.016</v>
      </c>
      <c r="D2929" s="51">
        <v>62.0</v>
      </c>
      <c r="E2929" s="52" t="s">
        <v>25</v>
      </c>
      <c r="F2929" s="52" t="s">
        <v>26</v>
      </c>
      <c r="G2929" s="53"/>
    </row>
    <row r="2930">
      <c r="A2930" s="49">
        <v>44543.666502210646</v>
      </c>
      <c r="B2930" s="50">
        <v>44543.7914817708</v>
      </c>
      <c r="C2930" s="51">
        <v>1.016</v>
      </c>
      <c r="D2930" s="51">
        <v>62.0</v>
      </c>
      <c r="E2930" s="52" t="s">
        <v>25</v>
      </c>
      <c r="F2930" s="52" t="s">
        <v>26</v>
      </c>
      <c r="G2930" s="53"/>
    </row>
    <row r="2931">
      <c r="A2931" s="49">
        <v>44543.67693069445</v>
      </c>
      <c r="B2931" s="50">
        <v>44543.8019029745</v>
      </c>
      <c r="C2931" s="51">
        <v>1.016</v>
      </c>
      <c r="D2931" s="51">
        <v>62.0</v>
      </c>
      <c r="E2931" s="52" t="s">
        <v>25</v>
      </c>
      <c r="F2931" s="52" t="s">
        <v>26</v>
      </c>
      <c r="G2931" s="53"/>
    </row>
    <row r="2932">
      <c r="A2932" s="49">
        <v>44543.68736285879</v>
      </c>
      <c r="B2932" s="50">
        <v>44543.8123367592</v>
      </c>
      <c r="C2932" s="51">
        <v>1.016</v>
      </c>
      <c r="D2932" s="51">
        <v>62.0</v>
      </c>
      <c r="E2932" s="52" t="s">
        <v>25</v>
      </c>
      <c r="F2932" s="52" t="s">
        <v>26</v>
      </c>
      <c r="G2932" s="53"/>
    </row>
    <row r="2933">
      <c r="A2933" s="49">
        <v>44543.697776597226</v>
      </c>
      <c r="B2933" s="50">
        <v>44543.8227567013</v>
      </c>
      <c r="C2933" s="51">
        <v>1.016</v>
      </c>
      <c r="D2933" s="51">
        <v>62.0</v>
      </c>
      <c r="E2933" s="52" t="s">
        <v>25</v>
      </c>
      <c r="F2933" s="52" t="s">
        <v>26</v>
      </c>
      <c r="G2933" s="53"/>
    </row>
    <row r="2934">
      <c r="A2934" s="49">
        <v>44543.708203449074</v>
      </c>
      <c r="B2934" s="50">
        <v>44543.8331779398</v>
      </c>
      <c r="C2934" s="51">
        <v>1.016</v>
      </c>
      <c r="D2934" s="51">
        <v>62.0</v>
      </c>
      <c r="E2934" s="52" t="s">
        <v>25</v>
      </c>
      <c r="F2934" s="52" t="s">
        <v>26</v>
      </c>
      <c r="G2934" s="53"/>
    </row>
    <row r="2935">
      <c r="A2935" s="49">
        <v>44543.71862866898</v>
      </c>
      <c r="B2935" s="50">
        <v>44543.8435996296</v>
      </c>
      <c r="C2935" s="51">
        <v>1.016</v>
      </c>
      <c r="D2935" s="51">
        <v>62.0</v>
      </c>
      <c r="E2935" s="52" t="s">
        <v>25</v>
      </c>
      <c r="F2935" s="52" t="s">
        <v>26</v>
      </c>
      <c r="G2935" s="53"/>
    </row>
    <row r="2936">
      <c r="A2936" s="49">
        <v>44543.7290671875</v>
      </c>
      <c r="B2936" s="50">
        <v>44543.8540321875</v>
      </c>
      <c r="C2936" s="51">
        <v>1.016</v>
      </c>
      <c r="D2936" s="51">
        <v>62.0</v>
      </c>
      <c r="E2936" s="52" t="s">
        <v>25</v>
      </c>
      <c r="F2936" s="52" t="s">
        <v>26</v>
      </c>
      <c r="G2936" s="53"/>
    </row>
    <row r="2937">
      <c r="A2937" s="49">
        <v>44543.73948496528</v>
      </c>
      <c r="B2937" s="50">
        <v>44543.8644525347</v>
      </c>
      <c r="C2937" s="51">
        <v>1.016</v>
      </c>
      <c r="D2937" s="51">
        <v>62.0</v>
      </c>
      <c r="E2937" s="52" t="s">
        <v>25</v>
      </c>
      <c r="F2937" s="52" t="s">
        <v>26</v>
      </c>
      <c r="G2937" s="53"/>
    </row>
    <row r="2938">
      <c r="A2938" s="49">
        <v>44543.74990993056</v>
      </c>
      <c r="B2938" s="50">
        <v>44543.8748749305</v>
      </c>
      <c r="C2938" s="51">
        <v>1.016</v>
      </c>
      <c r="D2938" s="51">
        <v>62.0</v>
      </c>
      <c r="E2938" s="52" t="s">
        <v>25</v>
      </c>
      <c r="F2938" s="52" t="s">
        <v>26</v>
      </c>
      <c r="G2938" s="53"/>
    </row>
    <row r="2939">
      <c r="A2939" s="49">
        <v>44543.760326574076</v>
      </c>
      <c r="B2939" s="50">
        <v>44543.8852953703</v>
      </c>
      <c r="C2939" s="51">
        <v>1.016</v>
      </c>
      <c r="D2939" s="51">
        <v>62.0</v>
      </c>
      <c r="E2939" s="52" t="s">
        <v>25</v>
      </c>
      <c r="F2939" s="52" t="s">
        <v>26</v>
      </c>
      <c r="G2939" s="53"/>
    </row>
    <row r="2940">
      <c r="A2940" s="49">
        <v>44543.770742962966</v>
      </c>
      <c r="B2940" s="50">
        <v>44543.8957169907</v>
      </c>
      <c r="C2940" s="51">
        <v>1.016</v>
      </c>
      <c r="D2940" s="51">
        <v>62.0</v>
      </c>
      <c r="E2940" s="52" t="s">
        <v>25</v>
      </c>
      <c r="F2940" s="52" t="s">
        <v>26</v>
      </c>
      <c r="G2940" s="53"/>
    </row>
    <row r="2941">
      <c r="A2941" s="49">
        <v>44543.78116017361</v>
      </c>
      <c r="B2941" s="50">
        <v>44543.9061379745</v>
      </c>
      <c r="C2941" s="51">
        <v>1.016</v>
      </c>
      <c r="D2941" s="51">
        <v>62.0</v>
      </c>
      <c r="E2941" s="52" t="s">
        <v>25</v>
      </c>
      <c r="F2941" s="52" t="s">
        <v>26</v>
      </c>
      <c r="G2941" s="53"/>
    </row>
    <row r="2942">
      <c r="A2942" s="49">
        <v>44543.79159105324</v>
      </c>
      <c r="B2942" s="50">
        <v>44543.9165586111</v>
      </c>
      <c r="C2942" s="51">
        <v>1.016</v>
      </c>
      <c r="D2942" s="51">
        <v>62.0</v>
      </c>
      <c r="E2942" s="52" t="s">
        <v>25</v>
      </c>
      <c r="F2942" s="52" t="s">
        <v>26</v>
      </c>
      <c r="G2942" s="53"/>
    </row>
    <row r="2943">
      <c r="A2943" s="49">
        <v>44543.80201049769</v>
      </c>
      <c r="B2943" s="50">
        <v>44543.9269801388</v>
      </c>
      <c r="C2943" s="51">
        <v>1.016</v>
      </c>
      <c r="D2943" s="51">
        <v>62.0</v>
      </c>
      <c r="E2943" s="52" t="s">
        <v>25</v>
      </c>
      <c r="F2943" s="52" t="s">
        <v>26</v>
      </c>
      <c r="G2943" s="53"/>
    </row>
    <row r="2944">
      <c r="A2944" s="49">
        <v>44543.81246523148</v>
      </c>
      <c r="B2944" s="50">
        <v>44543.9374345023</v>
      </c>
      <c r="C2944" s="51">
        <v>1.016</v>
      </c>
      <c r="D2944" s="51">
        <v>62.0</v>
      </c>
      <c r="E2944" s="52" t="s">
        <v>25</v>
      </c>
      <c r="F2944" s="52" t="s">
        <v>26</v>
      </c>
      <c r="G2944" s="53"/>
    </row>
    <row r="2945">
      <c r="A2945" s="49">
        <v>44543.82289486111</v>
      </c>
      <c r="B2945" s="50">
        <v>44543.9478536458</v>
      </c>
      <c r="C2945" s="51">
        <v>1.016</v>
      </c>
      <c r="D2945" s="51">
        <v>62.0</v>
      </c>
      <c r="E2945" s="52" t="s">
        <v>25</v>
      </c>
      <c r="F2945" s="52" t="s">
        <v>26</v>
      </c>
      <c r="G2945" s="53"/>
    </row>
    <row r="2946">
      <c r="A2946" s="49">
        <v>44543.83330046297</v>
      </c>
      <c r="B2946" s="50">
        <v>44543.9582733912</v>
      </c>
      <c r="C2946" s="51">
        <v>1.016</v>
      </c>
      <c r="D2946" s="51">
        <v>62.0</v>
      </c>
      <c r="E2946" s="52" t="s">
        <v>25</v>
      </c>
      <c r="F2946" s="52" t="s">
        <v>26</v>
      </c>
      <c r="G2946" s="53"/>
    </row>
    <row r="2947">
      <c r="A2947" s="49">
        <v>44543.843742881945</v>
      </c>
      <c r="B2947" s="50">
        <v>44543.9687037731</v>
      </c>
      <c r="C2947" s="51">
        <v>1.016</v>
      </c>
      <c r="D2947" s="51">
        <v>62.0</v>
      </c>
      <c r="E2947" s="52" t="s">
        <v>25</v>
      </c>
      <c r="F2947" s="52" t="s">
        <v>26</v>
      </c>
      <c r="G2947" s="53"/>
    </row>
    <row r="2948">
      <c r="A2948" s="49">
        <v>44543.85415375</v>
      </c>
      <c r="B2948" s="50">
        <v>44543.9791254398</v>
      </c>
      <c r="C2948" s="51">
        <v>1.016</v>
      </c>
      <c r="D2948" s="51">
        <v>62.0</v>
      </c>
      <c r="E2948" s="52" t="s">
        <v>25</v>
      </c>
      <c r="F2948" s="52" t="s">
        <v>26</v>
      </c>
      <c r="G2948" s="53"/>
    </row>
    <row r="2949">
      <c r="A2949" s="49">
        <v>44543.86457832176</v>
      </c>
      <c r="B2949" s="50">
        <v>44543.9895470717</v>
      </c>
      <c r="C2949" s="51">
        <v>1.016</v>
      </c>
      <c r="D2949" s="51">
        <v>62.0</v>
      </c>
      <c r="E2949" s="52" t="s">
        <v>25</v>
      </c>
      <c r="F2949" s="52" t="s">
        <v>26</v>
      </c>
      <c r="G2949" s="53"/>
    </row>
    <row r="2950">
      <c r="A2950" s="49">
        <v>44543.874991122684</v>
      </c>
      <c r="B2950" s="50">
        <v>44543.9999655324</v>
      </c>
      <c r="C2950" s="51">
        <v>1.016</v>
      </c>
      <c r="D2950" s="51">
        <v>62.0</v>
      </c>
      <c r="E2950" s="52" t="s">
        <v>25</v>
      </c>
      <c r="F2950" s="52" t="s">
        <v>26</v>
      </c>
      <c r="G2950" s="53"/>
    </row>
    <row r="2951">
      <c r="A2951" s="49">
        <v>44543.88542490741</v>
      </c>
      <c r="B2951" s="50">
        <v>44544.0103863426</v>
      </c>
      <c r="C2951" s="51">
        <v>1.016</v>
      </c>
      <c r="D2951" s="51">
        <v>62.0</v>
      </c>
      <c r="E2951" s="52" t="s">
        <v>25</v>
      </c>
      <c r="F2951" s="52" t="s">
        <v>26</v>
      </c>
      <c r="G2951" s="53"/>
    </row>
    <row r="2952">
      <c r="A2952" s="49">
        <v>44543.8958547338</v>
      </c>
      <c r="B2952" s="50">
        <v>44544.0208303125</v>
      </c>
      <c r="C2952" s="51">
        <v>1.016</v>
      </c>
      <c r="D2952" s="51">
        <v>62.0</v>
      </c>
      <c r="E2952" s="52" t="s">
        <v>25</v>
      </c>
      <c r="F2952" s="52" t="s">
        <v>26</v>
      </c>
      <c r="G2952" s="53"/>
    </row>
    <row r="2953">
      <c r="A2953" s="49">
        <v>44543.9062834838</v>
      </c>
      <c r="B2953" s="50">
        <v>44544.0312519907</v>
      </c>
      <c r="C2953" s="51">
        <v>1.016</v>
      </c>
      <c r="D2953" s="51">
        <v>62.0</v>
      </c>
      <c r="E2953" s="52" t="s">
        <v>25</v>
      </c>
      <c r="F2953" s="52" t="s">
        <v>26</v>
      </c>
      <c r="G2953" s="53"/>
    </row>
    <row r="2954">
      <c r="A2954" s="49">
        <v>44543.91670972222</v>
      </c>
      <c r="B2954" s="50">
        <v>44544.0416733912</v>
      </c>
      <c r="C2954" s="51">
        <v>1.016</v>
      </c>
      <c r="D2954" s="51">
        <v>62.0</v>
      </c>
      <c r="E2954" s="52" t="s">
        <v>25</v>
      </c>
      <c r="F2954" s="52" t="s">
        <v>26</v>
      </c>
      <c r="G2954" s="53"/>
    </row>
    <row r="2955">
      <c r="A2955" s="49">
        <v>44543.92711366898</v>
      </c>
      <c r="B2955" s="50">
        <v>44544.0520944328</v>
      </c>
      <c r="C2955" s="51">
        <v>1.016</v>
      </c>
      <c r="D2955" s="51">
        <v>62.0</v>
      </c>
      <c r="E2955" s="52" t="s">
        <v>25</v>
      </c>
      <c r="F2955" s="52" t="s">
        <v>26</v>
      </c>
      <c r="G2955" s="53"/>
    </row>
    <row r="2956">
      <c r="A2956" s="49">
        <v>44543.93754506945</v>
      </c>
      <c r="B2956" s="50">
        <v>44544.0625158796</v>
      </c>
      <c r="C2956" s="51">
        <v>1.016</v>
      </c>
      <c r="D2956" s="51">
        <v>62.0</v>
      </c>
      <c r="E2956" s="52" t="s">
        <v>25</v>
      </c>
      <c r="F2956" s="52" t="s">
        <v>26</v>
      </c>
      <c r="G2956" s="53"/>
    </row>
    <row r="2957">
      <c r="A2957" s="49">
        <v>44543.94797334491</v>
      </c>
      <c r="B2957" s="50">
        <v>44544.0729366782</v>
      </c>
      <c r="C2957" s="51">
        <v>1.016</v>
      </c>
      <c r="D2957" s="51">
        <v>62.0</v>
      </c>
      <c r="E2957" s="52" t="s">
        <v>25</v>
      </c>
      <c r="F2957" s="52" t="s">
        <v>26</v>
      </c>
      <c r="G2957" s="53"/>
    </row>
    <row r="2958">
      <c r="A2958" s="49">
        <v>44543.95839730324</v>
      </c>
      <c r="B2958" s="50">
        <v>44544.0833590509</v>
      </c>
      <c r="C2958" s="51">
        <v>1.016</v>
      </c>
      <c r="D2958" s="51">
        <v>62.0</v>
      </c>
      <c r="E2958" s="52" t="s">
        <v>25</v>
      </c>
      <c r="F2958" s="52" t="s">
        <v>26</v>
      </c>
      <c r="G2958" s="53"/>
    </row>
    <row r="2959">
      <c r="A2959" s="49">
        <v>44543.96881618055</v>
      </c>
      <c r="B2959" s="50">
        <v>44544.0937918865</v>
      </c>
      <c r="C2959" s="51">
        <v>1.016</v>
      </c>
      <c r="D2959" s="51">
        <v>62.0</v>
      </c>
      <c r="E2959" s="52" t="s">
        <v>25</v>
      </c>
      <c r="F2959" s="52" t="s">
        <v>26</v>
      </c>
      <c r="G2959" s="53"/>
    </row>
    <row r="2960">
      <c r="A2960" s="49">
        <v>44543.979242800924</v>
      </c>
      <c r="B2960" s="50">
        <v>44544.1042115046</v>
      </c>
      <c r="C2960" s="51">
        <v>1.016</v>
      </c>
      <c r="D2960" s="51">
        <v>62.0</v>
      </c>
      <c r="E2960" s="52" t="s">
        <v>25</v>
      </c>
      <c r="F2960" s="52" t="s">
        <v>26</v>
      </c>
      <c r="G2960" s="53"/>
    </row>
    <row r="2961">
      <c r="A2961" s="49">
        <v>44543.98967076388</v>
      </c>
      <c r="B2961" s="50">
        <v>44544.1146312384</v>
      </c>
      <c r="C2961" s="51">
        <v>1.016</v>
      </c>
      <c r="D2961" s="51">
        <v>62.0</v>
      </c>
      <c r="E2961" s="52" t="s">
        <v>25</v>
      </c>
      <c r="F2961" s="52" t="s">
        <v>26</v>
      </c>
      <c r="G2961" s="53"/>
    </row>
    <row r="2962">
      <c r="A2962" s="49">
        <v>44544.000088009256</v>
      </c>
      <c r="B2962" s="50">
        <v>44544.1250530439</v>
      </c>
      <c r="C2962" s="51">
        <v>1.016</v>
      </c>
      <c r="D2962" s="51">
        <v>62.0</v>
      </c>
      <c r="E2962" s="52" t="s">
        <v>25</v>
      </c>
      <c r="F2962" s="52" t="s">
        <v>26</v>
      </c>
      <c r="G2962" s="53"/>
    </row>
    <row r="2963">
      <c r="A2963" s="49">
        <v>44544.01051310185</v>
      </c>
      <c r="B2963" s="50">
        <v>44544.1354750694</v>
      </c>
      <c r="C2963" s="51">
        <v>1.016</v>
      </c>
      <c r="D2963" s="51">
        <v>62.0</v>
      </c>
      <c r="E2963" s="52" t="s">
        <v>25</v>
      </c>
      <c r="F2963" s="52" t="s">
        <v>26</v>
      </c>
      <c r="G2963" s="53"/>
    </row>
    <row r="2964">
      <c r="A2964" s="49">
        <v>44544.02093435185</v>
      </c>
      <c r="B2964" s="50">
        <v>44544.1458966203</v>
      </c>
      <c r="C2964" s="51">
        <v>1.016</v>
      </c>
      <c r="D2964" s="51">
        <v>62.0</v>
      </c>
      <c r="E2964" s="52" t="s">
        <v>25</v>
      </c>
      <c r="F2964" s="52" t="s">
        <v>26</v>
      </c>
      <c r="G2964" s="53"/>
    </row>
    <row r="2965">
      <c r="A2965" s="49">
        <v>44544.031350034726</v>
      </c>
      <c r="B2965" s="50">
        <v>44544.1563180439</v>
      </c>
      <c r="C2965" s="51">
        <v>1.016</v>
      </c>
      <c r="D2965" s="51">
        <v>62.0</v>
      </c>
      <c r="E2965" s="52" t="s">
        <v>25</v>
      </c>
      <c r="F2965" s="52" t="s">
        <v>26</v>
      </c>
      <c r="G2965" s="53"/>
    </row>
    <row r="2966">
      <c r="A2966" s="49">
        <v>44544.041769930554</v>
      </c>
      <c r="B2966" s="50">
        <v>44544.1667381944</v>
      </c>
      <c r="C2966" s="51">
        <v>1.016</v>
      </c>
      <c r="D2966" s="51">
        <v>62.0</v>
      </c>
      <c r="E2966" s="52" t="s">
        <v>25</v>
      </c>
      <c r="F2966" s="52" t="s">
        <v>26</v>
      </c>
      <c r="G2966" s="53"/>
    </row>
    <row r="2967">
      <c r="A2967" s="49">
        <v>44544.05219628473</v>
      </c>
      <c r="B2967" s="50">
        <v>44544.1771603587</v>
      </c>
      <c r="C2967" s="51">
        <v>1.016</v>
      </c>
      <c r="D2967" s="51">
        <v>62.0</v>
      </c>
      <c r="E2967" s="52" t="s">
        <v>25</v>
      </c>
      <c r="F2967" s="52" t="s">
        <v>26</v>
      </c>
      <c r="G2967" s="53"/>
    </row>
    <row r="2968">
      <c r="A2968" s="49">
        <v>44544.06272101852</v>
      </c>
      <c r="B2968" s="50">
        <v>44544.1875825115</v>
      </c>
      <c r="C2968" s="51">
        <v>1.016</v>
      </c>
      <c r="D2968" s="51">
        <v>62.0</v>
      </c>
      <c r="E2968" s="52" t="s">
        <v>25</v>
      </c>
      <c r="F2968" s="52" t="s">
        <v>26</v>
      </c>
      <c r="G2968" s="53"/>
    </row>
    <row r="2969">
      <c r="A2969" s="49">
        <v>44544.07302660879</v>
      </c>
      <c r="B2969" s="50">
        <v>44544.1980037847</v>
      </c>
      <c r="C2969" s="51">
        <v>1.016</v>
      </c>
      <c r="D2969" s="51">
        <v>62.0</v>
      </c>
      <c r="E2969" s="52" t="s">
        <v>25</v>
      </c>
      <c r="F2969" s="52" t="s">
        <v>26</v>
      </c>
      <c r="G2969" s="53"/>
    </row>
    <row r="2970">
      <c r="A2970" s="49">
        <v>44544.083455555556</v>
      </c>
      <c r="B2970" s="50">
        <v>44544.2084243518</v>
      </c>
      <c r="C2970" s="51">
        <v>1.016</v>
      </c>
      <c r="D2970" s="51">
        <v>62.0</v>
      </c>
      <c r="E2970" s="52" t="s">
        <v>25</v>
      </c>
      <c r="F2970" s="52" t="s">
        <v>26</v>
      </c>
      <c r="G2970" s="53"/>
    </row>
    <row r="2971">
      <c r="A2971" s="49">
        <v>44544.09389318287</v>
      </c>
      <c r="B2971" s="50">
        <v>44544.2188578819</v>
      </c>
      <c r="C2971" s="51">
        <v>1.016</v>
      </c>
      <c r="D2971" s="51">
        <v>62.0</v>
      </c>
      <c r="E2971" s="52" t="s">
        <v>25</v>
      </c>
      <c r="F2971" s="52" t="s">
        <v>26</v>
      </c>
      <c r="G2971" s="53"/>
    </row>
    <row r="2972">
      <c r="A2972" s="49">
        <v>44544.104324050924</v>
      </c>
      <c r="B2972" s="50">
        <v>44544.2292909259</v>
      </c>
      <c r="C2972" s="51">
        <v>1.016</v>
      </c>
      <c r="D2972" s="51">
        <v>62.0</v>
      </c>
      <c r="E2972" s="52" t="s">
        <v>25</v>
      </c>
      <c r="F2972" s="52" t="s">
        <v>26</v>
      </c>
      <c r="G2972" s="53"/>
    </row>
    <row r="2973">
      <c r="A2973" s="49">
        <v>44544.11474309028</v>
      </c>
      <c r="B2973" s="50">
        <v>44544.2397113425</v>
      </c>
      <c r="C2973" s="51">
        <v>1.016</v>
      </c>
      <c r="D2973" s="51">
        <v>62.0</v>
      </c>
      <c r="E2973" s="52" t="s">
        <v>25</v>
      </c>
      <c r="F2973" s="52" t="s">
        <v>26</v>
      </c>
      <c r="G2973" s="53"/>
    </row>
    <row r="2974">
      <c r="A2974" s="49">
        <v>44544.125190879626</v>
      </c>
      <c r="B2974" s="50">
        <v>44544.250156412</v>
      </c>
      <c r="C2974" s="51">
        <v>1.016</v>
      </c>
      <c r="D2974" s="51">
        <v>62.0</v>
      </c>
      <c r="E2974" s="52" t="s">
        <v>25</v>
      </c>
      <c r="F2974" s="52" t="s">
        <v>26</v>
      </c>
      <c r="G2974" s="53"/>
    </row>
    <row r="2975">
      <c r="A2975" s="49">
        <v>44544.13560407408</v>
      </c>
      <c r="B2975" s="50">
        <v>44544.2605759606</v>
      </c>
      <c r="C2975" s="51">
        <v>1.016</v>
      </c>
      <c r="D2975" s="51">
        <v>62.0</v>
      </c>
      <c r="E2975" s="52" t="s">
        <v>25</v>
      </c>
      <c r="F2975" s="52" t="s">
        <v>26</v>
      </c>
      <c r="G2975" s="53"/>
    </row>
    <row r="2976">
      <c r="A2976" s="49">
        <v>44544.146021134264</v>
      </c>
      <c r="B2976" s="50">
        <v>44544.2709958796</v>
      </c>
      <c r="C2976" s="51">
        <v>1.016</v>
      </c>
      <c r="D2976" s="51">
        <v>62.0</v>
      </c>
      <c r="E2976" s="52" t="s">
        <v>25</v>
      </c>
      <c r="F2976" s="52" t="s">
        <v>26</v>
      </c>
      <c r="G2976" s="53"/>
    </row>
    <row r="2977">
      <c r="A2977" s="49">
        <v>44544.156452546296</v>
      </c>
      <c r="B2977" s="50">
        <v>44544.2814175347</v>
      </c>
      <c r="C2977" s="51">
        <v>1.016</v>
      </c>
      <c r="D2977" s="51">
        <v>62.0</v>
      </c>
      <c r="E2977" s="52" t="s">
        <v>25</v>
      </c>
      <c r="F2977" s="52" t="s">
        <v>26</v>
      </c>
      <c r="G2977" s="53"/>
    </row>
    <row r="2978">
      <c r="A2978" s="49">
        <v>44544.16687197916</v>
      </c>
      <c r="B2978" s="50">
        <v>44544.2918389004</v>
      </c>
      <c r="C2978" s="51">
        <v>1.016</v>
      </c>
      <c r="D2978" s="51">
        <v>62.0</v>
      </c>
      <c r="E2978" s="52" t="s">
        <v>25</v>
      </c>
      <c r="F2978" s="52" t="s">
        <v>26</v>
      </c>
      <c r="G2978" s="53"/>
    </row>
    <row r="2979">
      <c r="A2979" s="49">
        <v>44544.17733008102</v>
      </c>
      <c r="B2979" s="50">
        <v>44544.3022819444</v>
      </c>
      <c r="C2979" s="51">
        <v>1.016</v>
      </c>
      <c r="D2979" s="51">
        <v>62.0</v>
      </c>
      <c r="E2979" s="52" t="s">
        <v>25</v>
      </c>
      <c r="F2979" s="52" t="s">
        <v>26</v>
      </c>
      <c r="G2979" s="53"/>
    </row>
    <row r="2980">
      <c r="A2980" s="49">
        <v>44544.18775907408</v>
      </c>
      <c r="B2980" s="50">
        <v>44544.3127254282</v>
      </c>
      <c r="C2980" s="51">
        <v>1.016</v>
      </c>
      <c r="D2980" s="51">
        <v>62.0</v>
      </c>
      <c r="E2980" s="52" t="s">
        <v>25</v>
      </c>
      <c r="F2980" s="52" t="s">
        <v>26</v>
      </c>
      <c r="G2980" s="53"/>
    </row>
    <row r="2981">
      <c r="A2981" s="49">
        <v>44544.19816688658</v>
      </c>
      <c r="B2981" s="50">
        <v>44544.3231454513</v>
      </c>
      <c r="C2981" s="51">
        <v>1.016</v>
      </c>
      <c r="D2981" s="51">
        <v>62.0</v>
      </c>
      <c r="E2981" s="52" t="s">
        <v>25</v>
      </c>
      <c r="F2981" s="52" t="s">
        <v>26</v>
      </c>
      <c r="G2981" s="53"/>
    </row>
    <row r="2982">
      <c r="A2982" s="49">
        <v>44544.208597060184</v>
      </c>
      <c r="B2982" s="50">
        <v>44544.3335664583</v>
      </c>
      <c r="C2982" s="51">
        <v>1.016</v>
      </c>
      <c r="D2982" s="51">
        <v>62.0</v>
      </c>
      <c r="E2982" s="52" t="s">
        <v>25</v>
      </c>
      <c r="F2982" s="52" t="s">
        <v>26</v>
      </c>
      <c r="G2982" s="53"/>
    </row>
    <row r="2983">
      <c r="A2983" s="49">
        <v>44544.21901903935</v>
      </c>
      <c r="B2983" s="50">
        <v>44544.343989537</v>
      </c>
      <c r="C2983" s="51">
        <v>1.016</v>
      </c>
      <c r="D2983" s="51">
        <v>62.0</v>
      </c>
      <c r="E2983" s="52" t="s">
        <v>25</v>
      </c>
      <c r="F2983" s="52" t="s">
        <v>26</v>
      </c>
      <c r="G2983" s="53"/>
    </row>
    <row r="2984">
      <c r="A2984" s="49">
        <v>44544.22945678241</v>
      </c>
      <c r="B2984" s="50">
        <v>44544.3544228125</v>
      </c>
      <c r="C2984" s="51">
        <v>1.016</v>
      </c>
      <c r="D2984" s="51">
        <v>62.0</v>
      </c>
      <c r="E2984" s="52" t="s">
        <v>25</v>
      </c>
      <c r="F2984" s="52" t="s">
        <v>26</v>
      </c>
      <c r="G2984" s="53"/>
    </row>
    <row r="2985">
      <c r="A2985" s="49">
        <v>44544.239875949075</v>
      </c>
      <c r="B2985" s="50">
        <v>44544.3648441319</v>
      </c>
      <c r="C2985" s="51">
        <v>1.016</v>
      </c>
      <c r="D2985" s="51">
        <v>62.0</v>
      </c>
      <c r="E2985" s="52" t="s">
        <v>25</v>
      </c>
      <c r="F2985" s="52" t="s">
        <v>26</v>
      </c>
      <c r="G2985" s="53"/>
    </row>
    <row r="2986">
      <c r="A2986" s="49">
        <v>44544.25030197916</v>
      </c>
      <c r="B2986" s="50">
        <v>44544.3752634143</v>
      </c>
      <c r="C2986" s="51">
        <v>1.016</v>
      </c>
      <c r="D2986" s="51">
        <v>62.0</v>
      </c>
      <c r="E2986" s="52" t="s">
        <v>25</v>
      </c>
      <c r="F2986" s="52" t="s">
        <v>26</v>
      </c>
      <c r="G2986" s="53"/>
    </row>
    <row r="2987">
      <c r="A2987" s="49">
        <v>44544.2607106713</v>
      </c>
      <c r="B2987" s="50">
        <v>44544.3856859027</v>
      </c>
      <c r="C2987" s="51">
        <v>1.016</v>
      </c>
      <c r="D2987" s="51">
        <v>62.0</v>
      </c>
      <c r="E2987" s="52" t="s">
        <v>25</v>
      </c>
      <c r="F2987" s="52" t="s">
        <v>26</v>
      </c>
      <c r="G2987" s="53"/>
    </row>
    <row r="2988">
      <c r="A2988" s="49">
        <v>44544.271130821755</v>
      </c>
      <c r="B2988" s="50">
        <v>44544.3961063541</v>
      </c>
      <c r="C2988" s="51">
        <v>1.016</v>
      </c>
      <c r="D2988" s="51">
        <v>62.0</v>
      </c>
      <c r="E2988" s="52" t="s">
        <v>25</v>
      </c>
      <c r="F2988" s="52" t="s">
        <v>26</v>
      </c>
      <c r="G2988" s="53"/>
    </row>
    <row r="2989">
      <c r="A2989" s="49">
        <v>44544.28156670139</v>
      </c>
      <c r="B2989" s="50">
        <v>44544.4065287384</v>
      </c>
      <c r="C2989" s="51">
        <v>1.016</v>
      </c>
      <c r="D2989" s="51">
        <v>62.0</v>
      </c>
      <c r="E2989" s="52" t="s">
        <v>25</v>
      </c>
      <c r="F2989" s="52" t="s">
        <v>26</v>
      </c>
      <c r="G2989" s="53"/>
    </row>
    <row r="2990">
      <c r="A2990" s="49">
        <v>44544.29207510417</v>
      </c>
      <c r="B2990" s="50">
        <v>44544.4169496875</v>
      </c>
      <c r="C2990" s="51">
        <v>1.016</v>
      </c>
      <c r="D2990" s="51">
        <v>62.0</v>
      </c>
      <c r="E2990" s="52" t="s">
        <v>25</v>
      </c>
      <c r="F2990" s="52" t="s">
        <v>26</v>
      </c>
      <c r="G2990" s="53"/>
    </row>
    <row r="2991">
      <c r="A2991" s="49">
        <v>44544.30241125</v>
      </c>
      <c r="B2991" s="50">
        <v>44544.4273816203</v>
      </c>
      <c r="C2991" s="51">
        <v>1.016</v>
      </c>
      <c r="D2991" s="51">
        <v>62.0</v>
      </c>
      <c r="E2991" s="52" t="s">
        <v>25</v>
      </c>
      <c r="F2991" s="52" t="s">
        <v>26</v>
      </c>
      <c r="G2991" s="53"/>
    </row>
    <row r="2992">
      <c r="A2992" s="49">
        <v>44544.312830995375</v>
      </c>
      <c r="B2992" s="50">
        <v>44544.437803287</v>
      </c>
      <c r="C2992" s="51">
        <v>1.016</v>
      </c>
      <c r="D2992" s="51">
        <v>62.0</v>
      </c>
      <c r="E2992" s="52" t="s">
        <v>25</v>
      </c>
      <c r="F2992" s="52" t="s">
        <v>26</v>
      </c>
      <c r="G2992" s="53"/>
    </row>
    <row r="2993">
      <c r="A2993" s="49">
        <v>44544.32325302083</v>
      </c>
      <c r="B2993" s="50">
        <v>44544.4482244444</v>
      </c>
      <c r="C2993" s="51">
        <v>1.016</v>
      </c>
      <c r="D2993" s="51">
        <v>62.0</v>
      </c>
      <c r="E2993" s="52" t="s">
        <v>25</v>
      </c>
      <c r="F2993" s="52" t="s">
        <v>26</v>
      </c>
      <c r="G2993" s="53"/>
    </row>
    <row r="2994">
      <c r="A2994" s="49">
        <v>44544.3336978125</v>
      </c>
      <c r="B2994" s="50">
        <v>44544.4586579398</v>
      </c>
      <c r="C2994" s="51">
        <v>1.016</v>
      </c>
      <c r="D2994" s="51">
        <v>62.0</v>
      </c>
      <c r="E2994" s="52" t="s">
        <v>25</v>
      </c>
      <c r="F2994" s="52" t="s">
        <v>26</v>
      </c>
      <c r="G2994" s="53"/>
    </row>
    <row r="2995">
      <c r="A2995" s="49">
        <v>44544.34411896991</v>
      </c>
      <c r="B2995" s="50">
        <v>44544.4690817013</v>
      </c>
      <c r="C2995" s="51">
        <v>1.015</v>
      </c>
      <c r="D2995" s="51">
        <v>62.0</v>
      </c>
      <c r="E2995" s="52" t="s">
        <v>25</v>
      </c>
      <c r="F2995" s="52" t="s">
        <v>26</v>
      </c>
      <c r="G2995" s="53"/>
    </row>
    <row r="2996">
      <c r="A2996" s="49">
        <v>44544.35453824074</v>
      </c>
      <c r="B2996" s="50">
        <v>44544.47950353</v>
      </c>
      <c r="C2996" s="51">
        <v>1.016</v>
      </c>
      <c r="D2996" s="51">
        <v>62.0</v>
      </c>
      <c r="E2996" s="52" t="s">
        <v>25</v>
      </c>
      <c r="F2996" s="52" t="s">
        <v>26</v>
      </c>
      <c r="G2996" s="53"/>
    </row>
    <row r="2997">
      <c r="A2997" s="49">
        <v>44544.364991712966</v>
      </c>
      <c r="B2997" s="50">
        <v>44544.4899246643</v>
      </c>
      <c r="C2997" s="51">
        <v>1.016</v>
      </c>
      <c r="D2997" s="51">
        <v>62.0</v>
      </c>
      <c r="E2997" s="52" t="s">
        <v>25</v>
      </c>
      <c r="F2997" s="52" t="s">
        <v>26</v>
      </c>
      <c r="G2997" s="53"/>
    </row>
    <row r="2998">
      <c r="A2998" s="49">
        <v>44544.37538090278</v>
      </c>
      <c r="B2998" s="50">
        <v>44544.500345868</v>
      </c>
      <c r="C2998" s="51">
        <v>1.016</v>
      </c>
      <c r="D2998" s="51">
        <v>62.0</v>
      </c>
      <c r="E2998" s="52" t="s">
        <v>25</v>
      </c>
      <c r="F2998" s="52" t="s">
        <v>26</v>
      </c>
      <c r="G2998" s="53"/>
    </row>
    <row r="2999">
      <c r="A2999" s="49">
        <v>44544.385812187495</v>
      </c>
      <c r="B2999" s="50">
        <v>44544.5107664351</v>
      </c>
      <c r="C2999" s="51">
        <v>1.016</v>
      </c>
      <c r="D2999" s="51">
        <v>62.0</v>
      </c>
      <c r="E2999" s="52" t="s">
        <v>25</v>
      </c>
      <c r="F2999" s="52" t="s">
        <v>26</v>
      </c>
      <c r="G2999" s="53"/>
    </row>
    <row r="3000">
      <c r="A3000" s="49">
        <v>44544.396227453704</v>
      </c>
      <c r="B3000" s="50">
        <v>44544.521187662</v>
      </c>
      <c r="C3000" s="51">
        <v>1.016</v>
      </c>
      <c r="D3000" s="51">
        <v>62.0</v>
      </c>
      <c r="E3000" s="52" t="s">
        <v>25</v>
      </c>
      <c r="F3000" s="52" t="s">
        <v>26</v>
      </c>
      <c r="G3000" s="53"/>
    </row>
    <row r="3001">
      <c r="A3001" s="49">
        <v>44544.40666072917</v>
      </c>
      <c r="B3001" s="50">
        <v>44544.5316191319</v>
      </c>
      <c r="C3001" s="51">
        <v>1.015</v>
      </c>
      <c r="D3001" s="51">
        <v>62.0</v>
      </c>
      <c r="E3001" s="52" t="s">
        <v>25</v>
      </c>
      <c r="F3001" s="52" t="s">
        <v>26</v>
      </c>
      <c r="G3001" s="53"/>
    </row>
    <row r="3002">
      <c r="A3002" s="49">
        <v>44544.4170706713</v>
      </c>
      <c r="B3002" s="50">
        <v>44544.5420387962</v>
      </c>
      <c r="C3002" s="51">
        <v>1.015</v>
      </c>
      <c r="D3002" s="51">
        <v>62.0</v>
      </c>
      <c r="E3002" s="52" t="s">
        <v>25</v>
      </c>
      <c r="F3002" s="52" t="s">
        <v>26</v>
      </c>
      <c r="G3002" s="53"/>
    </row>
    <row r="3003">
      <c r="A3003" s="49">
        <v>44544.42748935185</v>
      </c>
      <c r="B3003" s="50">
        <v>44544.5524593287</v>
      </c>
      <c r="C3003" s="51">
        <v>1.016</v>
      </c>
      <c r="D3003" s="51">
        <v>62.0</v>
      </c>
      <c r="E3003" s="52" t="s">
        <v>25</v>
      </c>
      <c r="F3003" s="52" t="s">
        <v>26</v>
      </c>
      <c r="G3003" s="53"/>
    </row>
    <row r="3004">
      <c r="A3004" s="49">
        <v>44544.437906203704</v>
      </c>
      <c r="B3004" s="50">
        <v>44544.5628810532</v>
      </c>
      <c r="C3004" s="51">
        <v>1.015</v>
      </c>
      <c r="D3004" s="51">
        <v>62.0</v>
      </c>
      <c r="E3004" s="52" t="s">
        <v>25</v>
      </c>
      <c r="F3004" s="52" t="s">
        <v>26</v>
      </c>
      <c r="G3004" s="53"/>
    </row>
    <row r="3005">
      <c r="A3005" s="49">
        <v>44544.44833261574</v>
      </c>
      <c r="B3005" s="50">
        <v>44544.573301412</v>
      </c>
      <c r="C3005" s="51">
        <v>1.015</v>
      </c>
      <c r="D3005" s="51">
        <v>62.0</v>
      </c>
      <c r="E3005" s="52" t="s">
        <v>25</v>
      </c>
      <c r="F3005" s="52" t="s">
        <v>26</v>
      </c>
      <c r="G3005" s="53"/>
    </row>
    <row r="3006">
      <c r="A3006" s="49">
        <v>44544.45875027778</v>
      </c>
      <c r="B3006" s="50">
        <v>44544.5837234837</v>
      </c>
      <c r="C3006" s="51">
        <v>1.015</v>
      </c>
      <c r="D3006" s="51">
        <v>62.0</v>
      </c>
      <c r="E3006" s="52" t="s">
        <v>25</v>
      </c>
      <c r="F3006" s="52" t="s">
        <v>26</v>
      </c>
      <c r="G3006" s="53"/>
    </row>
    <row r="3007">
      <c r="A3007" s="49">
        <v>44544.469177280094</v>
      </c>
      <c r="B3007" s="50">
        <v>44544.5941463194</v>
      </c>
      <c r="C3007" s="51">
        <v>1.016</v>
      </c>
      <c r="D3007" s="51">
        <v>62.0</v>
      </c>
      <c r="E3007" s="52" t="s">
        <v>25</v>
      </c>
      <c r="F3007" s="52" t="s">
        <v>26</v>
      </c>
      <c r="G3007" s="53"/>
    </row>
    <row r="3008">
      <c r="A3008" s="49">
        <v>44544.47962010417</v>
      </c>
      <c r="B3008" s="50">
        <v>44544.6045789351</v>
      </c>
      <c r="C3008" s="51">
        <v>1.016</v>
      </c>
      <c r="D3008" s="51">
        <v>62.0</v>
      </c>
      <c r="E3008" s="52" t="s">
        <v>25</v>
      </c>
      <c r="F3008" s="52" t="s">
        <v>26</v>
      </c>
      <c r="G3008" s="53"/>
    </row>
    <row r="3009">
      <c r="A3009" s="49">
        <v>44544.49003710649</v>
      </c>
      <c r="B3009" s="50">
        <v>44544.6150116203</v>
      </c>
      <c r="C3009" s="51">
        <v>1.016</v>
      </c>
      <c r="D3009" s="51">
        <v>62.0</v>
      </c>
      <c r="E3009" s="52" t="s">
        <v>25</v>
      </c>
      <c r="F3009" s="52" t="s">
        <v>26</v>
      </c>
      <c r="G3009" s="53"/>
    </row>
    <row r="3010">
      <c r="A3010" s="49">
        <v>44544.50046659722</v>
      </c>
      <c r="B3010" s="50">
        <v>44544.6254320717</v>
      </c>
      <c r="C3010" s="51">
        <v>1.015</v>
      </c>
      <c r="D3010" s="51">
        <v>62.0</v>
      </c>
      <c r="E3010" s="52" t="s">
        <v>25</v>
      </c>
      <c r="F3010" s="52" t="s">
        <v>26</v>
      </c>
      <c r="G3010" s="53"/>
    </row>
    <row r="3011">
      <c r="A3011" s="49">
        <v>44544.510891365746</v>
      </c>
      <c r="B3011" s="50">
        <v>44544.6358530555</v>
      </c>
      <c r="C3011" s="51">
        <v>1.016</v>
      </c>
      <c r="D3011" s="51">
        <v>62.0</v>
      </c>
      <c r="E3011" s="52" t="s">
        <v>25</v>
      </c>
      <c r="F3011" s="52" t="s">
        <v>26</v>
      </c>
      <c r="G3011" s="53"/>
    </row>
    <row r="3012">
      <c r="A3012" s="49">
        <v>44544.52131055556</v>
      </c>
      <c r="B3012" s="50">
        <v>44544.6462738888</v>
      </c>
      <c r="C3012" s="51">
        <v>1.015</v>
      </c>
      <c r="D3012" s="51">
        <v>62.0</v>
      </c>
      <c r="E3012" s="52" t="s">
        <v>25</v>
      </c>
      <c r="F3012" s="52" t="s">
        <v>26</v>
      </c>
      <c r="G3012" s="53"/>
    </row>
    <row r="3013">
      <c r="A3013" s="49">
        <v>44544.53172438657</v>
      </c>
      <c r="B3013" s="50">
        <v>44544.6566970138</v>
      </c>
      <c r="C3013" s="51">
        <v>1.015</v>
      </c>
      <c r="D3013" s="51">
        <v>62.0</v>
      </c>
      <c r="E3013" s="52" t="s">
        <v>25</v>
      </c>
      <c r="F3013" s="52" t="s">
        <v>26</v>
      </c>
      <c r="G3013" s="53"/>
    </row>
    <row r="3014">
      <c r="A3014" s="49">
        <v>44544.54215501157</v>
      </c>
      <c r="B3014" s="50">
        <v>44544.6671190625</v>
      </c>
      <c r="C3014" s="51">
        <v>1.015</v>
      </c>
      <c r="D3014" s="51">
        <v>62.0</v>
      </c>
      <c r="E3014" s="52" t="s">
        <v>25</v>
      </c>
      <c r="F3014" s="52" t="s">
        <v>26</v>
      </c>
      <c r="G3014" s="53"/>
    </row>
    <row r="3015">
      <c r="A3015" s="49">
        <v>44544.55257180556</v>
      </c>
      <c r="B3015" s="50">
        <v>44544.6775391666</v>
      </c>
      <c r="C3015" s="51">
        <v>1.015</v>
      </c>
      <c r="D3015" s="51">
        <v>62.0</v>
      </c>
      <c r="E3015" s="52" t="s">
        <v>25</v>
      </c>
      <c r="F3015" s="52" t="s">
        <v>26</v>
      </c>
      <c r="G3015" s="53"/>
    </row>
    <row r="3016">
      <c r="A3016" s="49">
        <v>44544.56299064815</v>
      </c>
      <c r="B3016" s="50">
        <v>44544.6879613773</v>
      </c>
      <c r="C3016" s="51">
        <v>1.015</v>
      </c>
      <c r="D3016" s="51">
        <v>62.0</v>
      </c>
      <c r="E3016" s="52" t="s">
        <v>25</v>
      </c>
      <c r="F3016" s="52" t="s">
        <v>26</v>
      </c>
      <c r="G3016" s="53"/>
    </row>
    <row r="3017">
      <c r="A3017" s="49">
        <v>44544.57340976852</v>
      </c>
      <c r="B3017" s="50">
        <v>44544.6983819328</v>
      </c>
      <c r="C3017" s="51">
        <v>1.015</v>
      </c>
      <c r="D3017" s="51">
        <v>62.0</v>
      </c>
      <c r="E3017" s="52" t="s">
        <v>25</v>
      </c>
      <c r="F3017" s="52" t="s">
        <v>26</v>
      </c>
      <c r="G3017" s="53"/>
    </row>
    <row r="3018">
      <c r="A3018" s="49">
        <v>44544.583829375</v>
      </c>
      <c r="B3018" s="50">
        <v>44544.7088034606</v>
      </c>
      <c r="C3018" s="51">
        <v>1.016</v>
      </c>
      <c r="D3018" s="51">
        <v>62.0</v>
      </c>
      <c r="E3018" s="52" t="s">
        <v>25</v>
      </c>
      <c r="F3018" s="52" t="s">
        <v>26</v>
      </c>
      <c r="G3018" s="53"/>
    </row>
    <row r="3019">
      <c r="A3019" s="49">
        <v>44544.59425923611</v>
      </c>
      <c r="B3019" s="50">
        <v>44544.7192262499</v>
      </c>
      <c r="C3019" s="51">
        <v>1.015</v>
      </c>
      <c r="D3019" s="51">
        <v>62.0</v>
      </c>
      <c r="E3019" s="52" t="s">
        <v>25</v>
      </c>
      <c r="F3019" s="52" t="s">
        <v>26</v>
      </c>
      <c r="G3019" s="53"/>
    </row>
    <row r="3020">
      <c r="A3020" s="49">
        <v>44544.60467689815</v>
      </c>
      <c r="B3020" s="50">
        <v>44544.7296478125</v>
      </c>
      <c r="C3020" s="51">
        <v>1.015</v>
      </c>
      <c r="D3020" s="51">
        <v>62.0</v>
      </c>
      <c r="E3020" s="52" t="s">
        <v>25</v>
      </c>
      <c r="F3020" s="52" t="s">
        <v>26</v>
      </c>
      <c r="G3020" s="53"/>
    </row>
    <row r="3021">
      <c r="A3021" s="49">
        <v>44544.61510387731</v>
      </c>
      <c r="B3021" s="50">
        <v>44544.7400681365</v>
      </c>
      <c r="C3021" s="51">
        <v>1.015</v>
      </c>
      <c r="D3021" s="51">
        <v>62.0</v>
      </c>
      <c r="E3021" s="52" t="s">
        <v>25</v>
      </c>
      <c r="F3021" s="52" t="s">
        <v>26</v>
      </c>
      <c r="G3021" s="53"/>
    </row>
    <row r="3022">
      <c r="A3022" s="49">
        <v>44544.62552569444</v>
      </c>
      <c r="B3022" s="50">
        <v>44544.7504893402</v>
      </c>
      <c r="C3022" s="51">
        <v>1.015</v>
      </c>
      <c r="D3022" s="51">
        <v>62.0</v>
      </c>
      <c r="E3022" s="52" t="s">
        <v>25</v>
      </c>
      <c r="F3022" s="52" t="s">
        <v>26</v>
      </c>
      <c r="G3022" s="53"/>
    </row>
    <row r="3023">
      <c r="A3023" s="49">
        <v>44544.635943692134</v>
      </c>
      <c r="B3023" s="50">
        <v>44544.7609097569</v>
      </c>
      <c r="C3023" s="51">
        <v>1.015</v>
      </c>
      <c r="D3023" s="51">
        <v>62.0</v>
      </c>
      <c r="E3023" s="52" t="s">
        <v>25</v>
      </c>
      <c r="F3023" s="52" t="s">
        <v>26</v>
      </c>
      <c r="G3023" s="53"/>
    </row>
    <row r="3024">
      <c r="A3024" s="49">
        <v>44544.64640622685</v>
      </c>
      <c r="B3024" s="50">
        <v>44544.7713309027</v>
      </c>
      <c r="C3024" s="51">
        <v>1.015</v>
      </c>
      <c r="D3024" s="51">
        <v>62.0</v>
      </c>
      <c r="E3024" s="52" t="s">
        <v>25</v>
      </c>
      <c r="F3024" s="52" t="s">
        <v>26</v>
      </c>
      <c r="G3024" s="53"/>
    </row>
    <row r="3025">
      <c r="A3025" s="49">
        <v>44544.65677636574</v>
      </c>
      <c r="B3025" s="50">
        <v>44544.7817517129</v>
      </c>
      <c r="C3025" s="51">
        <v>1.015</v>
      </c>
      <c r="D3025" s="51">
        <v>62.0</v>
      </c>
      <c r="E3025" s="52" t="s">
        <v>25</v>
      </c>
      <c r="F3025" s="52" t="s">
        <v>26</v>
      </c>
      <c r="G3025" s="53"/>
    </row>
    <row r="3026">
      <c r="A3026" s="49">
        <v>44544.667210949076</v>
      </c>
      <c r="B3026" s="50">
        <v>44544.7921843865</v>
      </c>
      <c r="C3026" s="51">
        <v>1.015</v>
      </c>
      <c r="D3026" s="51">
        <v>62.0</v>
      </c>
      <c r="E3026" s="52" t="s">
        <v>25</v>
      </c>
      <c r="F3026" s="52" t="s">
        <v>26</v>
      </c>
      <c r="G3026" s="53"/>
    </row>
    <row r="3027">
      <c r="A3027" s="49">
        <v>44544.67762740741</v>
      </c>
      <c r="B3027" s="50">
        <v>44544.8026051736</v>
      </c>
      <c r="C3027" s="51">
        <v>1.015</v>
      </c>
      <c r="D3027" s="51">
        <v>62.0</v>
      </c>
      <c r="E3027" s="52" t="s">
        <v>25</v>
      </c>
      <c r="F3027" s="52" t="s">
        <v>26</v>
      </c>
      <c r="G3027" s="53"/>
    </row>
    <row r="3028">
      <c r="A3028" s="49">
        <v>44544.68805848379</v>
      </c>
      <c r="B3028" s="50">
        <v>44544.8130275231</v>
      </c>
      <c r="C3028" s="51">
        <v>1.015</v>
      </c>
      <c r="D3028" s="51">
        <v>62.0</v>
      </c>
      <c r="E3028" s="52" t="s">
        <v>25</v>
      </c>
      <c r="F3028" s="52" t="s">
        <v>26</v>
      </c>
      <c r="G3028" s="53"/>
    </row>
    <row r="3029">
      <c r="A3029" s="49">
        <v>44544.69848048611</v>
      </c>
      <c r="B3029" s="50">
        <v>44544.8234496875</v>
      </c>
      <c r="C3029" s="51">
        <v>1.015</v>
      </c>
      <c r="D3029" s="51">
        <v>62.0</v>
      </c>
      <c r="E3029" s="52" t="s">
        <v>25</v>
      </c>
      <c r="F3029" s="52" t="s">
        <v>26</v>
      </c>
      <c r="G3029" s="53"/>
    </row>
    <row r="3030">
      <c r="A3030" s="49">
        <v>44544.70891025463</v>
      </c>
      <c r="B3030" s="50">
        <v>44544.8338831597</v>
      </c>
      <c r="C3030" s="51">
        <v>1.015</v>
      </c>
      <c r="D3030" s="51">
        <v>62.0</v>
      </c>
      <c r="E3030" s="52" t="s">
        <v>25</v>
      </c>
      <c r="F3030" s="52" t="s">
        <v>26</v>
      </c>
      <c r="G3030" s="53"/>
    </row>
    <row r="3031">
      <c r="A3031" s="49">
        <v>44544.71933212963</v>
      </c>
      <c r="B3031" s="50">
        <v>44544.8443044791</v>
      </c>
      <c r="C3031" s="51">
        <v>1.015</v>
      </c>
      <c r="D3031" s="51">
        <v>62.0</v>
      </c>
      <c r="E3031" s="52" t="s">
        <v>25</v>
      </c>
      <c r="F3031" s="52" t="s">
        <v>26</v>
      </c>
      <c r="G3031" s="53"/>
    </row>
    <row r="3032">
      <c r="A3032" s="49">
        <v>44544.72977650463</v>
      </c>
      <c r="B3032" s="50">
        <v>44544.8547258101</v>
      </c>
      <c r="C3032" s="51">
        <v>1.015</v>
      </c>
      <c r="D3032" s="51">
        <v>62.0</v>
      </c>
      <c r="E3032" s="52" t="s">
        <v>25</v>
      </c>
      <c r="F3032" s="52" t="s">
        <v>26</v>
      </c>
      <c r="G3032" s="53"/>
    </row>
    <row r="3033">
      <c r="A3033" s="49">
        <v>44544.74017826389</v>
      </c>
      <c r="B3033" s="50">
        <v>44544.8651480902</v>
      </c>
      <c r="C3033" s="51">
        <v>1.015</v>
      </c>
      <c r="D3033" s="51">
        <v>62.0</v>
      </c>
      <c r="E3033" s="52" t="s">
        <v>25</v>
      </c>
      <c r="F3033" s="52" t="s">
        <v>26</v>
      </c>
      <c r="G3033" s="53"/>
    </row>
    <row r="3034">
      <c r="A3034" s="49">
        <v>44544.75060196759</v>
      </c>
      <c r="B3034" s="50">
        <v>44544.8755690972</v>
      </c>
      <c r="C3034" s="51">
        <v>1.015</v>
      </c>
      <c r="D3034" s="51">
        <v>62.0</v>
      </c>
      <c r="E3034" s="52" t="s">
        <v>25</v>
      </c>
      <c r="F3034" s="52" t="s">
        <v>26</v>
      </c>
      <c r="G3034" s="53"/>
    </row>
    <row r="3035">
      <c r="A3035" s="49">
        <v>44544.76104103009</v>
      </c>
      <c r="B3035" s="50">
        <v>44544.8859890972</v>
      </c>
      <c r="C3035" s="51">
        <v>1.015</v>
      </c>
      <c r="D3035" s="51">
        <v>62.0</v>
      </c>
      <c r="E3035" s="52" t="s">
        <v>25</v>
      </c>
      <c r="F3035" s="52" t="s">
        <v>26</v>
      </c>
      <c r="G3035" s="53"/>
    </row>
    <row r="3036">
      <c r="A3036" s="49">
        <v>44544.77145047454</v>
      </c>
      <c r="B3036" s="50">
        <v>44544.8964231828</v>
      </c>
      <c r="C3036" s="51">
        <v>1.015</v>
      </c>
      <c r="D3036" s="51">
        <v>62.0</v>
      </c>
      <c r="E3036" s="52" t="s">
        <v>25</v>
      </c>
      <c r="F3036" s="52" t="s">
        <v>26</v>
      </c>
      <c r="G3036" s="53"/>
    </row>
    <row r="3037">
      <c r="A3037" s="49">
        <v>44544.79229268519</v>
      </c>
      <c r="B3037" s="50">
        <v>44544.9172654976</v>
      </c>
      <c r="C3037" s="51">
        <v>1.015</v>
      </c>
      <c r="D3037" s="51">
        <v>62.0</v>
      </c>
      <c r="E3037" s="52" t="s">
        <v>25</v>
      </c>
      <c r="F3037" s="52" t="s">
        <v>26</v>
      </c>
      <c r="G3037" s="53"/>
    </row>
    <row r="3038">
      <c r="A3038" s="49">
        <v>44544.80270908565</v>
      </c>
      <c r="B3038" s="50">
        <v>44544.9276873148</v>
      </c>
      <c r="C3038" s="51">
        <v>1.015</v>
      </c>
      <c r="D3038" s="51">
        <v>62.0</v>
      </c>
      <c r="E3038" s="52" t="s">
        <v>25</v>
      </c>
      <c r="F3038" s="52" t="s">
        <v>26</v>
      </c>
      <c r="G3038" s="53"/>
    </row>
    <row r="3039">
      <c r="A3039" s="49">
        <v>44544.81314587963</v>
      </c>
      <c r="B3039" s="50">
        <v>44544.9381210069</v>
      </c>
      <c r="C3039" s="51">
        <v>1.015</v>
      </c>
      <c r="D3039" s="51">
        <v>62.0</v>
      </c>
      <c r="E3039" s="52" t="s">
        <v>25</v>
      </c>
      <c r="F3039" s="52" t="s">
        <v>26</v>
      </c>
      <c r="G3039" s="53"/>
    </row>
    <row r="3040">
      <c r="A3040" s="49">
        <v>44544.823572106485</v>
      </c>
      <c r="B3040" s="50">
        <v>44544.9485421064</v>
      </c>
      <c r="C3040" s="51">
        <v>1.015</v>
      </c>
      <c r="D3040" s="51">
        <v>62.0</v>
      </c>
      <c r="E3040" s="52" t="s">
        <v>25</v>
      </c>
      <c r="F3040" s="52" t="s">
        <v>26</v>
      </c>
      <c r="G3040" s="53"/>
    </row>
    <row r="3041">
      <c r="A3041" s="49">
        <v>44544.83400908565</v>
      </c>
      <c r="B3041" s="50">
        <v>44544.9589758333</v>
      </c>
      <c r="C3041" s="51">
        <v>1.015</v>
      </c>
      <c r="D3041" s="51">
        <v>62.0</v>
      </c>
      <c r="E3041" s="52" t="s">
        <v>25</v>
      </c>
      <c r="F3041" s="52" t="s">
        <v>26</v>
      </c>
      <c r="G3041" s="53"/>
    </row>
    <row r="3042">
      <c r="A3042" s="49">
        <v>44544.844424375</v>
      </c>
      <c r="B3042" s="50">
        <v>44544.9693965625</v>
      </c>
      <c r="C3042" s="51">
        <v>1.015</v>
      </c>
      <c r="D3042" s="51">
        <v>62.0</v>
      </c>
      <c r="E3042" s="52" t="s">
        <v>25</v>
      </c>
      <c r="F3042" s="52" t="s">
        <v>26</v>
      </c>
      <c r="G3042" s="53"/>
    </row>
    <row r="3043">
      <c r="A3043" s="49">
        <v>44544.875694456015</v>
      </c>
      <c r="B3043" s="50">
        <v>44545.0006597916</v>
      </c>
      <c r="C3043" s="51">
        <v>1.015</v>
      </c>
      <c r="D3043" s="51">
        <v>62.0</v>
      </c>
      <c r="E3043" s="52" t="s">
        <v>25</v>
      </c>
      <c r="F3043" s="52" t="s">
        <v>26</v>
      </c>
      <c r="G3043" s="53"/>
    </row>
    <row r="3044">
      <c r="A3044" s="49">
        <v>44544.886117013884</v>
      </c>
      <c r="B3044" s="50">
        <v>44545.0110809027</v>
      </c>
      <c r="C3044" s="51">
        <v>1.015</v>
      </c>
      <c r="D3044" s="51">
        <v>62.0</v>
      </c>
      <c r="E3044" s="52" t="s">
        <v>25</v>
      </c>
      <c r="F3044" s="52" t="s">
        <v>26</v>
      </c>
      <c r="G3044" s="53"/>
    </row>
    <row r="3045">
      <c r="A3045" s="49">
        <v>44544.89653020834</v>
      </c>
      <c r="B3045" s="50">
        <v>44545.0215001736</v>
      </c>
      <c r="C3045" s="51">
        <v>1.015</v>
      </c>
      <c r="D3045" s="51">
        <v>62.0</v>
      </c>
      <c r="E3045" s="52" t="s">
        <v>25</v>
      </c>
      <c r="F3045" s="52" t="s">
        <v>26</v>
      </c>
      <c r="G3045" s="53"/>
    </row>
    <row r="3046">
      <c r="A3046" s="49">
        <v>44544.90695741898</v>
      </c>
      <c r="B3046" s="50">
        <v>44545.0319204976</v>
      </c>
      <c r="C3046" s="51">
        <v>1.015</v>
      </c>
      <c r="D3046" s="51">
        <v>62.0</v>
      </c>
      <c r="E3046" s="52" t="s">
        <v>25</v>
      </c>
      <c r="F3046" s="52" t="s">
        <v>26</v>
      </c>
      <c r="G3046" s="53"/>
    </row>
    <row r="3047">
      <c r="A3047" s="49">
        <v>44544.91737476852</v>
      </c>
      <c r="B3047" s="50">
        <v>44545.0423416087</v>
      </c>
      <c r="C3047" s="51">
        <v>1.015</v>
      </c>
      <c r="D3047" s="51">
        <v>62.0</v>
      </c>
      <c r="E3047" s="52" t="s">
        <v>25</v>
      </c>
      <c r="F3047" s="52" t="s">
        <v>26</v>
      </c>
      <c r="G3047" s="53"/>
    </row>
    <row r="3048">
      <c r="A3048" s="49">
        <v>44544.92779097222</v>
      </c>
      <c r="B3048" s="50">
        <v>44545.0527634953</v>
      </c>
      <c r="C3048" s="51">
        <v>1.015</v>
      </c>
      <c r="D3048" s="51">
        <v>62.0</v>
      </c>
      <c r="E3048" s="52" t="s">
        <v>25</v>
      </c>
      <c r="F3048" s="52" t="s">
        <v>26</v>
      </c>
      <c r="G3048" s="53"/>
    </row>
    <row r="3049">
      <c r="A3049" s="49">
        <v>44544.9382165162</v>
      </c>
      <c r="B3049" s="50">
        <v>44545.0631845254</v>
      </c>
      <c r="C3049" s="51">
        <v>1.015</v>
      </c>
      <c r="D3049" s="51">
        <v>62.0</v>
      </c>
      <c r="E3049" s="52" t="s">
        <v>25</v>
      </c>
      <c r="F3049" s="52" t="s">
        <v>26</v>
      </c>
      <c r="G3049" s="53"/>
    </row>
    <row r="3050">
      <c r="A3050" s="49">
        <v>44544.94864164352</v>
      </c>
      <c r="B3050" s="50">
        <v>44545.0736045833</v>
      </c>
      <c r="C3050" s="51">
        <v>1.015</v>
      </c>
      <c r="D3050" s="51">
        <v>62.0</v>
      </c>
      <c r="E3050" s="52" t="s">
        <v>25</v>
      </c>
      <c r="F3050" s="52" t="s">
        <v>26</v>
      </c>
      <c r="G3050" s="53"/>
    </row>
    <row r="3051">
      <c r="A3051" s="49">
        <v>44544.95905533565</v>
      </c>
      <c r="B3051" s="50">
        <v>44545.0840249305</v>
      </c>
      <c r="C3051" s="51">
        <v>1.015</v>
      </c>
      <c r="D3051" s="51">
        <v>62.0</v>
      </c>
      <c r="E3051" s="52" t="s">
        <v>25</v>
      </c>
      <c r="F3051" s="52" t="s">
        <v>26</v>
      </c>
      <c r="G3051" s="53"/>
    </row>
    <row r="3052">
      <c r="A3052" s="49">
        <v>44544.96946965277</v>
      </c>
      <c r="B3052" s="50">
        <v>44545.0944460185</v>
      </c>
      <c r="C3052" s="51">
        <v>1.015</v>
      </c>
      <c r="D3052" s="51">
        <v>62.0</v>
      </c>
      <c r="E3052" s="52" t="s">
        <v>25</v>
      </c>
      <c r="F3052" s="52" t="s">
        <v>26</v>
      </c>
      <c r="G3052" s="53"/>
    </row>
    <row r="3053">
      <c r="A3053" s="49">
        <v>44544.97991494213</v>
      </c>
      <c r="B3053" s="50">
        <v>44545.1048804166</v>
      </c>
      <c r="C3053" s="51">
        <v>1.015</v>
      </c>
      <c r="D3053" s="51">
        <v>62.0</v>
      </c>
      <c r="E3053" s="52" t="s">
        <v>25</v>
      </c>
      <c r="F3053" s="52" t="s">
        <v>26</v>
      </c>
      <c r="G3053" s="53"/>
    </row>
    <row r="3054">
      <c r="A3054" s="49">
        <v>44544.990331030094</v>
      </c>
      <c r="B3054" s="50">
        <v>44545.1153029282</v>
      </c>
      <c r="C3054" s="51">
        <v>1.015</v>
      </c>
      <c r="D3054" s="51">
        <v>62.0</v>
      </c>
      <c r="E3054" s="52" t="s">
        <v>25</v>
      </c>
      <c r="F3054" s="52" t="s">
        <v>26</v>
      </c>
      <c r="G3054" s="53"/>
    </row>
    <row r="3055">
      <c r="A3055" s="49">
        <v>44545.0007499537</v>
      </c>
      <c r="B3055" s="50">
        <v>44545.1257248263</v>
      </c>
      <c r="C3055" s="51">
        <v>1.015</v>
      </c>
      <c r="D3055" s="51">
        <v>62.0</v>
      </c>
      <c r="E3055" s="52" t="s">
        <v>25</v>
      </c>
      <c r="F3055" s="52" t="s">
        <v>26</v>
      </c>
      <c r="G3055" s="53"/>
    </row>
    <row r="3056">
      <c r="A3056" s="49">
        <v>44545.01116851852</v>
      </c>
      <c r="B3056" s="50">
        <v>44545.1361472106</v>
      </c>
      <c r="C3056" s="51">
        <v>1.015</v>
      </c>
      <c r="D3056" s="51">
        <v>62.0</v>
      </c>
      <c r="E3056" s="52" t="s">
        <v>25</v>
      </c>
      <c r="F3056" s="52" t="s">
        <v>26</v>
      </c>
      <c r="G3056" s="53"/>
    </row>
    <row r="3057">
      <c r="A3057" s="49">
        <v>44545.021599618056</v>
      </c>
      <c r="B3057" s="50">
        <v>44545.1465683217</v>
      </c>
      <c r="C3057" s="51">
        <v>1.015</v>
      </c>
      <c r="D3057" s="51">
        <v>62.0</v>
      </c>
      <c r="E3057" s="52" t="s">
        <v>25</v>
      </c>
      <c r="F3057" s="52" t="s">
        <v>26</v>
      </c>
      <c r="G3057" s="53"/>
    </row>
    <row r="3058">
      <c r="A3058" s="49">
        <v>44545.03203116899</v>
      </c>
      <c r="B3058" s="50">
        <v>44545.1570007638</v>
      </c>
      <c r="C3058" s="51">
        <v>1.015</v>
      </c>
      <c r="D3058" s="51">
        <v>62.0</v>
      </c>
      <c r="E3058" s="52" t="s">
        <v>25</v>
      </c>
      <c r="F3058" s="52" t="s">
        <v>26</v>
      </c>
      <c r="G3058" s="53"/>
    </row>
    <row r="3059">
      <c r="A3059" s="49">
        <v>44545.0424616088</v>
      </c>
      <c r="B3059" s="50">
        <v>44545.1674351157</v>
      </c>
      <c r="C3059" s="51">
        <v>1.015</v>
      </c>
      <c r="D3059" s="51">
        <v>62.0</v>
      </c>
      <c r="E3059" s="52" t="s">
        <v>25</v>
      </c>
      <c r="F3059" s="52" t="s">
        <v>26</v>
      </c>
      <c r="G3059" s="53"/>
    </row>
    <row r="3060">
      <c r="A3060" s="49">
        <v>44545.05287895833</v>
      </c>
      <c r="B3060" s="50">
        <v>44545.1778573148</v>
      </c>
      <c r="C3060" s="51">
        <v>1.015</v>
      </c>
      <c r="D3060" s="51">
        <v>62.0</v>
      </c>
      <c r="E3060" s="52" t="s">
        <v>25</v>
      </c>
      <c r="F3060" s="52" t="s">
        <v>26</v>
      </c>
      <c r="G3060" s="53"/>
    </row>
    <row r="3061">
      <c r="A3061" s="49">
        <v>44545.06329924769</v>
      </c>
      <c r="B3061" s="50">
        <v>44545.1882792013</v>
      </c>
      <c r="C3061" s="51">
        <v>1.015</v>
      </c>
      <c r="D3061" s="51">
        <v>62.0</v>
      </c>
      <c r="E3061" s="52" t="s">
        <v>25</v>
      </c>
      <c r="F3061" s="52" t="s">
        <v>26</v>
      </c>
      <c r="G3061" s="53"/>
    </row>
    <row r="3062">
      <c r="A3062" s="49">
        <v>44545.07372984954</v>
      </c>
      <c r="B3062" s="50">
        <v>44545.1987001736</v>
      </c>
      <c r="C3062" s="51">
        <v>1.015</v>
      </c>
      <c r="D3062" s="51">
        <v>62.0</v>
      </c>
      <c r="E3062" s="52" t="s">
        <v>25</v>
      </c>
      <c r="F3062" s="52" t="s">
        <v>26</v>
      </c>
      <c r="G3062" s="53"/>
    </row>
    <row r="3063">
      <c r="A3063" s="49">
        <v>44545.08415388889</v>
      </c>
      <c r="B3063" s="50">
        <v>44545.2091211689</v>
      </c>
      <c r="C3063" s="51">
        <v>1.015</v>
      </c>
      <c r="D3063" s="51">
        <v>62.0</v>
      </c>
      <c r="E3063" s="52" t="s">
        <v>25</v>
      </c>
      <c r="F3063" s="52" t="s">
        <v>26</v>
      </c>
      <c r="G3063" s="53"/>
    </row>
    <row r="3064">
      <c r="A3064" s="49">
        <v>44545.09457246528</v>
      </c>
      <c r="B3064" s="50">
        <v>44545.2195428935</v>
      </c>
      <c r="C3064" s="51">
        <v>1.015</v>
      </c>
      <c r="D3064" s="51">
        <v>62.0</v>
      </c>
      <c r="E3064" s="52" t="s">
        <v>25</v>
      </c>
      <c r="F3064" s="52" t="s">
        <v>26</v>
      </c>
      <c r="G3064" s="53"/>
    </row>
    <row r="3065">
      <c r="A3065" s="49">
        <v>44545.104993402776</v>
      </c>
      <c r="B3065" s="50">
        <v>44545.229962824</v>
      </c>
      <c r="C3065" s="51">
        <v>1.015</v>
      </c>
      <c r="D3065" s="51">
        <v>62.0</v>
      </c>
      <c r="E3065" s="52" t="s">
        <v>25</v>
      </c>
      <c r="F3065" s="52" t="s">
        <v>26</v>
      </c>
      <c r="G3065" s="53"/>
    </row>
    <row r="3066">
      <c r="A3066" s="49">
        <v>44545.11541261574</v>
      </c>
      <c r="B3066" s="50">
        <v>44545.2403831597</v>
      </c>
      <c r="C3066" s="51">
        <v>1.015</v>
      </c>
      <c r="D3066" s="51">
        <v>62.0</v>
      </c>
      <c r="E3066" s="52" t="s">
        <v>25</v>
      </c>
      <c r="F3066" s="52" t="s">
        <v>26</v>
      </c>
      <c r="G3066" s="53"/>
    </row>
    <row r="3067">
      <c r="A3067" s="49">
        <v>44545.1258325</v>
      </c>
      <c r="B3067" s="50">
        <v>44545.2508037268</v>
      </c>
      <c r="C3067" s="51">
        <v>1.015</v>
      </c>
      <c r="D3067" s="51">
        <v>62.0</v>
      </c>
      <c r="E3067" s="52" t="s">
        <v>25</v>
      </c>
      <c r="F3067" s="52" t="s">
        <v>26</v>
      </c>
      <c r="G3067" s="53"/>
    </row>
    <row r="3068">
      <c r="A3068" s="49">
        <v>44545.13624878472</v>
      </c>
      <c r="B3068" s="50">
        <v>44545.2612249074</v>
      </c>
      <c r="C3068" s="51">
        <v>1.015</v>
      </c>
      <c r="D3068" s="51">
        <v>62.0</v>
      </c>
      <c r="E3068" s="52" t="s">
        <v>25</v>
      </c>
      <c r="F3068" s="52" t="s">
        <v>26</v>
      </c>
      <c r="G3068" s="53"/>
    </row>
    <row r="3069">
      <c r="A3069" s="49">
        <v>44545.146682824074</v>
      </c>
      <c r="B3069" s="50">
        <v>44545.2716568518</v>
      </c>
      <c r="C3069" s="51">
        <v>1.015</v>
      </c>
      <c r="D3069" s="51">
        <v>62.0</v>
      </c>
      <c r="E3069" s="52" t="s">
        <v>25</v>
      </c>
      <c r="F3069" s="52" t="s">
        <v>26</v>
      </c>
      <c r="G3069" s="53"/>
    </row>
    <row r="3070">
      <c r="A3070" s="49">
        <v>44545.157114745365</v>
      </c>
      <c r="B3070" s="50">
        <v>44545.2820793865</v>
      </c>
      <c r="C3070" s="51">
        <v>1.015</v>
      </c>
      <c r="D3070" s="51">
        <v>62.0</v>
      </c>
      <c r="E3070" s="52" t="s">
        <v>25</v>
      </c>
      <c r="F3070" s="52" t="s">
        <v>26</v>
      </c>
      <c r="G3070" s="53"/>
    </row>
    <row r="3071">
      <c r="A3071" s="49">
        <v>44545.167525185185</v>
      </c>
      <c r="B3071" s="50">
        <v>44545.2925008449</v>
      </c>
      <c r="C3071" s="51">
        <v>1.015</v>
      </c>
      <c r="D3071" s="51">
        <v>62.0</v>
      </c>
      <c r="E3071" s="52" t="s">
        <v>25</v>
      </c>
      <c r="F3071" s="52" t="s">
        <v>26</v>
      </c>
      <c r="G3071" s="53"/>
    </row>
    <row r="3072">
      <c r="A3072" s="49">
        <v>44545.177947592594</v>
      </c>
      <c r="B3072" s="50">
        <v>44545.3029207523</v>
      </c>
      <c r="C3072" s="51">
        <v>1.015</v>
      </c>
      <c r="D3072" s="51">
        <v>62.0</v>
      </c>
      <c r="E3072" s="52" t="s">
        <v>25</v>
      </c>
      <c r="F3072" s="52" t="s">
        <v>26</v>
      </c>
      <c r="G3072" s="53"/>
    </row>
    <row r="3073">
      <c r="A3073" s="49">
        <v>44545.18836875</v>
      </c>
      <c r="B3073" s="50">
        <v>44545.3133418286</v>
      </c>
      <c r="C3073" s="51">
        <v>1.015</v>
      </c>
      <c r="D3073" s="51">
        <v>62.0</v>
      </c>
      <c r="E3073" s="52" t="s">
        <v>25</v>
      </c>
      <c r="F3073" s="52" t="s">
        <v>26</v>
      </c>
      <c r="G3073" s="53"/>
    </row>
    <row r="3074">
      <c r="A3074" s="49">
        <v>44545.19879119213</v>
      </c>
      <c r="B3074" s="50">
        <v>44545.323764074</v>
      </c>
      <c r="C3074" s="51">
        <v>1.015</v>
      </c>
      <c r="D3074" s="51">
        <v>62.0</v>
      </c>
      <c r="E3074" s="52" t="s">
        <v>25</v>
      </c>
      <c r="F3074" s="52" t="s">
        <v>26</v>
      </c>
      <c r="G3074" s="53"/>
    </row>
    <row r="3075">
      <c r="A3075" s="49">
        <v>44545.209216539355</v>
      </c>
      <c r="B3075" s="50">
        <v>44545.3341854745</v>
      </c>
      <c r="C3075" s="51">
        <v>1.015</v>
      </c>
      <c r="D3075" s="51">
        <v>62.0</v>
      </c>
      <c r="E3075" s="52" t="s">
        <v>25</v>
      </c>
      <c r="F3075" s="52" t="s">
        <v>26</v>
      </c>
      <c r="G3075" s="53"/>
    </row>
    <row r="3076">
      <c r="A3076" s="49">
        <v>44545.21963707176</v>
      </c>
      <c r="B3076" s="50">
        <v>44545.3446059375</v>
      </c>
      <c r="C3076" s="51">
        <v>1.015</v>
      </c>
      <c r="D3076" s="51">
        <v>62.0</v>
      </c>
      <c r="E3076" s="52" t="s">
        <v>25</v>
      </c>
      <c r="F3076" s="52" t="s">
        <v>26</v>
      </c>
      <c r="G3076" s="53"/>
    </row>
    <row r="3077">
      <c r="A3077" s="49">
        <v>44545.23006663195</v>
      </c>
      <c r="B3077" s="50">
        <v>44545.3550390509</v>
      </c>
      <c r="C3077" s="51">
        <v>1.015</v>
      </c>
      <c r="D3077" s="51">
        <v>62.0</v>
      </c>
      <c r="E3077" s="52" t="s">
        <v>25</v>
      </c>
      <c r="F3077" s="52" t="s">
        <v>26</v>
      </c>
      <c r="G3077" s="53"/>
    </row>
    <row r="3078">
      <c r="A3078" s="49">
        <v>44545.24048310185</v>
      </c>
      <c r="B3078" s="50">
        <v>44545.3654598495</v>
      </c>
      <c r="C3078" s="51">
        <v>1.015</v>
      </c>
      <c r="D3078" s="51">
        <v>62.0</v>
      </c>
      <c r="E3078" s="52" t="s">
        <v>25</v>
      </c>
      <c r="F3078" s="52" t="s">
        <v>26</v>
      </c>
      <c r="G3078" s="53"/>
    </row>
    <row r="3079">
      <c r="A3079" s="49">
        <v>44545.25091447917</v>
      </c>
      <c r="B3079" s="50">
        <v>44545.3758815509</v>
      </c>
      <c r="C3079" s="51">
        <v>1.015</v>
      </c>
      <c r="D3079" s="51">
        <v>62.0</v>
      </c>
      <c r="E3079" s="52" t="s">
        <v>25</v>
      </c>
      <c r="F3079" s="52" t="s">
        <v>26</v>
      </c>
      <c r="G3079" s="53"/>
    </row>
    <row r="3080">
      <c r="A3080" s="49">
        <v>44545.26134390046</v>
      </c>
      <c r="B3080" s="50">
        <v>44545.3863035185</v>
      </c>
      <c r="C3080" s="51">
        <v>1.015</v>
      </c>
      <c r="D3080" s="51">
        <v>62.0</v>
      </c>
      <c r="E3080" s="52" t="s">
        <v>25</v>
      </c>
      <c r="F3080" s="52" t="s">
        <v>26</v>
      </c>
      <c r="G3080" s="53"/>
    </row>
    <row r="3081">
      <c r="A3081" s="49">
        <v>44545.27174546296</v>
      </c>
      <c r="B3081" s="50">
        <v>44545.396723125</v>
      </c>
      <c r="C3081" s="51">
        <v>1.015</v>
      </c>
      <c r="D3081" s="51">
        <v>62.0</v>
      </c>
      <c r="E3081" s="52" t="s">
        <v>25</v>
      </c>
      <c r="F3081" s="52" t="s">
        <v>26</v>
      </c>
      <c r="G3081" s="53"/>
    </row>
    <row r="3082">
      <c r="A3082" s="49">
        <v>44545.282178622685</v>
      </c>
      <c r="B3082" s="50">
        <v>44545.4071442361</v>
      </c>
      <c r="C3082" s="51">
        <v>1.015</v>
      </c>
      <c r="D3082" s="51">
        <v>62.0</v>
      </c>
      <c r="E3082" s="52" t="s">
        <v>25</v>
      </c>
      <c r="F3082" s="52" t="s">
        <v>26</v>
      </c>
      <c r="G3082" s="53"/>
    </row>
    <row r="3083">
      <c r="A3083" s="49">
        <v>44545.29259809028</v>
      </c>
      <c r="B3083" s="50">
        <v>44545.4175652777</v>
      </c>
      <c r="C3083" s="51">
        <v>1.015</v>
      </c>
      <c r="D3083" s="51">
        <v>62.0</v>
      </c>
      <c r="E3083" s="52" t="s">
        <v>25</v>
      </c>
      <c r="F3083" s="52" t="s">
        <v>26</v>
      </c>
      <c r="G3083" s="53"/>
    </row>
    <row r="3084">
      <c r="A3084" s="49">
        <v>44545.30301549769</v>
      </c>
      <c r="B3084" s="50">
        <v>44545.4279878935</v>
      </c>
      <c r="C3084" s="51">
        <v>1.015</v>
      </c>
      <c r="D3084" s="51">
        <v>62.0</v>
      </c>
      <c r="E3084" s="52" t="s">
        <v>25</v>
      </c>
      <c r="F3084" s="52" t="s">
        <v>26</v>
      </c>
      <c r="G3084" s="53"/>
    </row>
    <row r="3085">
      <c r="A3085" s="49">
        <v>44545.31343825231</v>
      </c>
      <c r="B3085" s="50">
        <v>44545.4384085995</v>
      </c>
      <c r="C3085" s="51">
        <v>1.015</v>
      </c>
      <c r="D3085" s="51">
        <v>62.0</v>
      </c>
      <c r="E3085" s="52" t="s">
        <v>25</v>
      </c>
      <c r="F3085" s="52" t="s">
        <v>26</v>
      </c>
      <c r="G3085" s="53"/>
    </row>
    <row r="3086">
      <c r="A3086" s="49">
        <v>44545.323862523146</v>
      </c>
      <c r="B3086" s="50">
        <v>44545.448830324</v>
      </c>
      <c r="C3086" s="51">
        <v>1.015</v>
      </c>
      <c r="D3086" s="51">
        <v>62.0</v>
      </c>
      <c r="E3086" s="52" t="s">
        <v>25</v>
      </c>
      <c r="F3086" s="52" t="s">
        <v>26</v>
      </c>
      <c r="G3086" s="53"/>
    </row>
    <row r="3087">
      <c r="A3087" s="49">
        <v>44545.33427935185</v>
      </c>
      <c r="B3087" s="50">
        <v>44545.4592507523</v>
      </c>
      <c r="C3087" s="51">
        <v>1.015</v>
      </c>
      <c r="D3087" s="51">
        <v>62.0</v>
      </c>
      <c r="E3087" s="52" t="s">
        <v>25</v>
      </c>
      <c r="F3087" s="52" t="s">
        <v>26</v>
      </c>
      <c r="G3087" s="53"/>
    </row>
    <row r="3088">
      <c r="A3088" s="49">
        <v>44545.344705254625</v>
      </c>
      <c r="B3088" s="50">
        <v>44545.4696722222</v>
      </c>
      <c r="C3088" s="51">
        <v>1.015</v>
      </c>
      <c r="D3088" s="51">
        <v>62.0</v>
      </c>
      <c r="E3088" s="52" t="s">
        <v>25</v>
      </c>
      <c r="F3088" s="52" t="s">
        <v>26</v>
      </c>
      <c r="G3088" s="53"/>
    </row>
    <row r="3089">
      <c r="A3089" s="49">
        <v>44545.35511902778</v>
      </c>
      <c r="B3089" s="50">
        <v>44545.4800939814</v>
      </c>
      <c r="C3089" s="51">
        <v>1.015</v>
      </c>
      <c r="D3089" s="51">
        <v>62.0</v>
      </c>
      <c r="E3089" s="52" t="s">
        <v>25</v>
      </c>
      <c r="F3089" s="52" t="s">
        <v>26</v>
      </c>
      <c r="G3089" s="53"/>
    </row>
    <row r="3090">
      <c r="A3090" s="49">
        <v>44545.365539756946</v>
      </c>
      <c r="B3090" s="50">
        <v>44545.4905163425</v>
      </c>
      <c r="C3090" s="51">
        <v>1.015</v>
      </c>
      <c r="D3090" s="51">
        <v>62.0</v>
      </c>
      <c r="E3090" s="52" t="s">
        <v>25</v>
      </c>
      <c r="F3090" s="52" t="s">
        <v>26</v>
      </c>
      <c r="G3090" s="53"/>
    </row>
    <row r="3091">
      <c r="A3091" s="49">
        <v>44545.37596396991</v>
      </c>
      <c r="B3091" s="50">
        <v>44545.5009363888</v>
      </c>
      <c r="C3091" s="51">
        <v>1.015</v>
      </c>
      <c r="D3091" s="51">
        <v>62.0</v>
      </c>
      <c r="E3091" s="52" t="s">
        <v>25</v>
      </c>
      <c r="F3091" s="52" t="s">
        <v>26</v>
      </c>
      <c r="G3091" s="53"/>
    </row>
    <row r="3092">
      <c r="A3092" s="49">
        <v>44545.386387349536</v>
      </c>
      <c r="B3092" s="50">
        <v>44545.511356956</v>
      </c>
      <c r="C3092" s="51">
        <v>1.015</v>
      </c>
      <c r="D3092" s="51">
        <v>62.0</v>
      </c>
      <c r="E3092" s="52" t="s">
        <v>25</v>
      </c>
      <c r="F3092" s="52" t="s">
        <v>26</v>
      </c>
      <c r="G3092" s="53"/>
    </row>
    <row r="3093">
      <c r="A3093" s="49">
        <v>44545.396821064816</v>
      </c>
      <c r="B3093" s="50">
        <v>44545.5217896759</v>
      </c>
      <c r="C3093" s="51">
        <v>1.015</v>
      </c>
      <c r="D3093" s="51">
        <v>62.0</v>
      </c>
      <c r="E3093" s="52" t="s">
        <v>25</v>
      </c>
      <c r="F3093" s="52" t="s">
        <v>26</v>
      </c>
      <c r="G3093" s="53"/>
    </row>
    <row r="3094">
      <c r="A3094" s="49">
        <v>44545.40724209491</v>
      </c>
      <c r="B3094" s="50">
        <v>44545.5322108101</v>
      </c>
      <c r="C3094" s="51">
        <v>1.015</v>
      </c>
      <c r="D3094" s="51">
        <v>62.0</v>
      </c>
      <c r="E3094" s="52" t="s">
        <v>25</v>
      </c>
      <c r="F3094" s="52" t="s">
        <v>26</v>
      </c>
      <c r="G3094" s="53"/>
    </row>
    <row r="3095">
      <c r="A3095" s="49">
        <v>44545.41766799768</v>
      </c>
      <c r="B3095" s="50">
        <v>44545.5426321759</v>
      </c>
      <c r="C3095" s="51">
        <v>1.015</v>
      </c>
      <c r="D3095" s="51">
        <v>62.0</v>
      </c>
      <c r="E3095" s="52" t="s">
        <v>25</v>
      </c>
      <c r="F3095" s="52" t="s">
        <v>26</v>
      </c>
      <c r="G3095" s="53"/>
    </row>
    <row r="3096">
      <c r="A3096" s="49">
        <v>44545.42808244213</v>
      </c>
      <c r="B3096" s="50">
        <v>44545.553052743</v>
      </c>
      <c r="C3096" s="51">
        <v>1.015</v>
      </c>
      <c r="D3096" s="51">
        <v>62.0</v>
      </c>
      <c r="E3096" s="52" t="s">
        <v>25</v>
      </c>
      <c r="F3096" s="52" t="s">
        <v>26</v>
      </c>
      <c r="G3096" s="53"/>
    </row>
    <row r="3097">
      <c r="A3097" s="49">
        <v>44545.43850790509</v>
      </c>
      <c r="B3097" s="50">
        <v>44545.5634754282</v>
      </c>
      <c r="C3097" s="51">
        <v>1.015</v>
      </c>
      <c r="D3097" s="51">
        <v>62.0</v>
      </c>
      <c r="E3097" s="52" t="s">
        <v>25</v>
      </c>
      <c r="F3097" s="52" t="s">
        <v>26</v>
      </c>
      <c r="G3097" s="53"/>
    </row>
    <row r="3098">
      <c r="A3098" s="49">
        <v>44545.448929756945</v>
      </c>
      <c r="B3098" s="50">
        <v>44545.5738968287</v>
      </c>
      <c r="C3098" s="51">
        <v>1.015</v>
      </c>
      <c r="D3098" s="51">
        <v>62.0</v>
      </c>
      <c r="E3098" s="52" t="s">
        <v>25</v>
      </c>
      <c r="F3098" s="52" t="s">
        <v>26</v>
      </c>
      <c r="G3098" s="53"/>
    </row>
    <row r="3099">
      <c r="A3099" s="49">
        <v>44545.45935012732</v>
      </c>
      <c r="B3099" s="50">
        <v>44545.5843196411</v>
      </c>
      <c r="C3099" s="51">
        <v>1.015</v>
      </c>
      <c r="D3099" s="51">
        <v>62.0</v>
      </c>
      <c r="E3099" s="52" t="s">
        <v>25</v>
      </c>
      <c r="F3099" s="52" t="s">
        <v>26</v>
      </c>
      <c r="G3099" s="53"/>
    </row>
    <row r="3100">
      <c r="A3100" s="49">
        <v>44545.46977296296</v>
      </c>
      <c r="B3100" s="50">
        <v>44545.5947409027</v>
      </c>
      <c r="C3100" s="51">
        <v>1.015</v>
      </c>
      <c r="D3100" s="51">
        <v>62.0</v>
      </c>
      <c r="E3100" s="52" t="s">
        <v>25</v>
      </c>
      <c r="F3100" s="52" t="s">
        <v>26</v>
      </c>
      <c r="G3100" s="53"/>
    </row>
    <row r="3101">
      <c r="A3101" s="49">
        <v>44545.48019563657</v>
      </c>
      <c r="B3101" s="50">
        <v>44545.6051623726</v>
      </c>
      <c r="C3101" s="51">
        <v>1.015</v>
      </c>
      <c r="D3101" s="51">
        <v>62.0</v>
      </c>
      <c r="E3101" s="52" t="s">
        <v>25</v>
      </c>
      <c r="F3101" s="52" t="s">
        <v>26</v>
      </c>
      <c r="G3101" s="53"/>
    </row>
    <row r="3102">
      <c r="A3102" s="49">
        <v>44545.501050046296</v>
      </c>
      <c r="B3102" s="50">
        <v>44545.6260169097</v>
      </c>
      <c r="C3102" s="51">
        <v>1.015</v>
      </c>
      <c r="D3102" s="51">
        <v>62.0</v>
      </c>
      <c r="E3102" s="52" t="s">
        <v>25</v>
      </c>
      <c r="F3102" s="52" t="s">
        <v>26</v>
      </c>
      <c r="G3102" s="53"/>
    </row>
    <row r="3103">
      <c r="A3103" s="49">
        <v>44545.51146862269</v>
      </c>
      <c r="B3103" s="50">
        <v>44545.6364373263</v>
      </c>
      <c r="C3103" s="51">
        <v>1.015</v>
      </c>
      <c r="D3103" s="51">
        <v>62.0</v>
      </c>
      <c r="E3103" s="52" t="s">
        <v>25</v>
      </c>
      <c r="F3103" s="52" t="s">
        <v>26</v>
      </c>
      <c r="G3103" s="53"/>
    </row>
    <row r="3104">
      <c r="A3104" s="49">
        <v>44545.52189259259</v>
      </c>
      <c r="B3104" s="50">
        <v>44545.6468592361</v>
      </c>
      <c r="C3104" s="51">
        <v>1.015</v>
      </c>
      <c r="D3104" s="51">
        <v>62.0</v>
      </c>
      <c r="E3104" s="52" t="s">
        <v>25</v>
      </c>
      <c r="F3104" s="52" t="s">
        <v>26</v>
      </c>
      <c r="G3104" s="53"/>
    </row>
    <row r="3105">
      <c r="A3105" s="49">
        <v>44545.532306284724</v>
      </c>
      <c r="B3105" s="50">
        <v>44545.6572794907</v>
      </c>
      <c r="C3105" s="51">
        <v>1.015</v>
      </c>
      <c r="D3105" s="51">
        <v>62.0</v>
      </c>
      <c r="E3105" s="52" t="s">
        <v>25</v>
      </c>
      <c r="F3105" s="52" t="s">
        <v>26</v>
      </c>
      <c r="G3105" s="53"/>
    </row>
    <row r="3106">
      <c r="A3106" s="49">
        <v>44545.54272444444</v>
      </c>
      <c r="B3106" s="50">
        <v>44545.6677011226</v>
      </c>
      <c r="C3106" s="51">
        <v>1.015</v>
      </c>
      <c r="D3106" s="51">
        <v>62.0</v>
      </c>
      <c r="E3106" s="52" t="s">
        <v>25</v>
      </c>
      <c r="F3106" s="52" t="s">
        <v>26</v>
      </c>
      <c r="G3106" s="53"/>
    </row>
    <row r="3107">
      <c r="A3107" s="49">
        <v>44545.55315659722</v>
      </c>
      <c r="B3107" s="50">
        <v>44545.6781236689</v>
      </c>
      <c r="C3107" s="51">
        <v>1.015</v>
      </c>
      <c r="D3107" s="51">
        <v>62.0</v>
      </c>
      <c r="E3107" s="52" t="s">
        <v>25</v>
      </c>
      <c r="F3107" s="52" t="s">
        <v>26</v>
      </c>
      <c r="G3107" s="53"/>
    </row>
    <row r="3108">
      <c r="A3108" s="49">
        <v>44545.563575416665</v>
      </c>
      <c r="B3108" s="50">
        <v>44545.6885436111</v>
      </c>
      <c r="C3108" s="51">
        <v>1.015</v>
      </c>
      <c r="D3108" s="51">
        <v>62.0</v>
      </c>
      <c r="E3108" s="52" t="s">
        <v>25</v>
      </c>
      <c r="F3108" s="52" t="s">
        <v>26</v>
      </c>
      <c r="G3108" s="53"/>
    </row>
    <row r="3109">
      <c r="A3109" s="49">
        <v>44545.5739930787</v>
      </c>
      <c r="B3109" s="50">
        <v>44545.6989649652</v>
      </c>
      <c r="C3109" s="51">
        <v>1.015</v>
      </c>
      <c r="D3109" s="51">
        <v>62.0</v>
      </c>
      <c r="E3109" s="52" t="s">
        <v>25</v>
      </c>
      <c r="F3109" s="52" t="s">
        <v>26</v>
      </c>
      <c r="G3109" s="53"/>
    </row>
    <row r="3110">
      <c r="A3110" s="49">
        <v>44545.58441523148</v>
      </c>
      <c r="B3110" s="50">
        <v>44545.7093853356</v>
      </c>
      <c r="C3110" s="51">
        <v>1.015</v>
      </c>
      <c r="D3110" s="51">
        <v>62.0</v>
      </c>
      <c r="E3110" s="52" t="s">
        <v>25</v>
      </c>
      <c r="F3110" s="52" t="s">
        <v>26</v>
      </c>
      <c r="G3110" s="53"/>
    </row>
    <row r="3111">
      <c r="A3111" s="49">
        <v>44545.59483614583</v>
      </c>
      <c r="B3111" s="50">
        <v>44545.7198055439</v>
      </c>
      <c r="C3111" s="51">
        <v>1.015</v>
      </c>
      <c r="D3111" s="51">
        <v>62.0</v>
      </c>
      <c r="E3111" s="52" t="s">
        <v>25</v>
      </c>
      <c r="F3111" s="52" t="s">
        <v>26</v>
      </c>
      <c r="G3111" s="53"/>
    </row>
    <row r="3112">
      <c r="A3112" s="49">
        <v>44545.605264467595</v>
      </c>
      <c r="B3112" s="50">
        <v>44545.7302384259</v>
      </c>
      <c r="C3112" s="51">
        <v>1.015</v>
      </c>
      <c r="D3112" s="51">
        <v>62.0</v>
      </c>
      <c r="E3112" s="52" t="s">
        <v>25</v>
      </c>
      <c r="F3112" s="52" t="s">
        <v>26</v>
      </c>
      <c r="G3112" s="53"/>
    </row>
    <row r="3113">
      <c r="A3113" s="49">
        <v>44545.61569005787</v>
      </c>
      <c r="B3113" s="50">
        <v>44545.7406605439</v>
      </c>
      <c r="C3113" s="51">
        <v>1.015</v>
      </c>
      <c r="D3113" s="51">
        <v>62.0</v>
      </c>
      <c r="E3113" s="52" t="s">
        <v>25</v>
      </c>
      <c r="F3113" s="52" t="s">
        <v>26</v>
      </c>
      <c r="G3113" s="53"/>
    </row>
    <row r="3114">
      <c r="A3114" s="49">
        <v>44545.62610684028</v>
      </c>
      <c r="B3114" s="50">
        <v>44545.7510825694</v>
      </c>
      <c r="C3114" s="51">
        <v>1.015</v>
      </c>
      <c r="D3114" s="51">
        <v>62.0</v>
      </c>
      <c r="E3114" s="52" t="s">
        <v>25</v>
      </c>
      <c r="F3114" s="52" t="s">
        <v>26</v>
      </c>
      <c r="G3114" s="53"/>
    </row>
    <row r="3115">
      <c r="A3115" s="49">
        <v>44545.63652829861</v>
      </c>
      <c r="B3115" s="50">
        <v>44545.7615040856</v>
      </c>
      <c r="C3115" s="51">
        <v>1.015</v>
      </c>
      <c r="D3115" s="51">
        <v>62.0</v>
      </c>
      <c r="E3115" s="52" t="s">
        <v>25</v>
      </c>
      <c r="F3115" s="52" t="s">
        <v>26</v>
      </c>
      <c r="G3115" s="53"/>
    </row>
    <row r="3116">
      <c r="A3116" s="49">
        <v>44545.646945925924</v>
      </c>
      <c r="B3116" s="50">
        <v>44545.7719253819</v>
      </c>
      <c r="C3116" s="51">
        <v>1.015</v>
      </c>
      <c r="D3116" s="51">
        <v>62.0</v>
      </c>
      <c r="E3116" s="52" t="s">
        <v>25</v>
      </c>
      <c r="F3116" s="52" t="s">
        <v>26</v>
      </c>
      <c r="G3116" s="53"/>
    </row>
    <row r="3117">
      <c r="A3117" s="49">
        <v>44545.657379826385</v>
      </c>
      <c r="B3117" s="50">
        <v>44545.7823467013</v>
      </c>
      <c r="C3117" s="51">
        <v>1.015</v>
      </c>
      <c r="D3117" s="51">
        <v>62.0</v>
      </c>
      <c r="E3117" s="52" t="s">
        <v>25</v>
      </c>
      <c r="F3117" s="52" t="s">
        <v>26</v>
      </c>
      <c r="G3117" s="53"/>
    </row>
    <row r="3118">
      <c r="A3118" s="49">
        <v>44545.667797222224</v>
      </c>
      <c r="B3118" s="50">
        <v>44545.7927672106</v>
      </c>
      <c r="C3118" s="51">
        <v>1.015</v>
      </c>
      <c r="D3118" s="51">
        <v>62.0</v>
      </c>
      <c r="E3118" s="52" t="s">
        <v>25</v>
      </c>
      <c r="F3118" s="52" t="s">
        <v>26</v>
      </c>
      <c r="G3118" s="53"/>
    </row>
    <row r="3119">
      <c r="A3119" s="49">
        <v>44545.6782158912</v>
      </c>
      <c r="B3119" s="50">
        <v>44545.8031889699</v>
      </c>
      <c r="C3119" s="51">
        <v>1.015</v>
      </c>
      <c r="D3119" s="51">
        <v>62.0</v>
      </c>
      <c r="E3119" s="52" t="s">
        <v>25</v>
      </c>
      <c r="F3119" s="52" t="s">
        <v>26</v>
      </c>
      <c r="G3119" s="53"/>
    </row>
    <row r="3120">
      <c r="A3120" s="49">
        <v>44545.68863771991</v>
      </c>
      <c r="B3120" s="50">
        <v>44545.813612118</v>
      </c>
      <c r="C3120" s="51">
        <v>1.015</v>
      </c>
      <c r="D3120" s="51">
        <v>62.0</v>
      </c>
      <c r="E3120" s="52" t="s">
        <v>25</v>
      </c>
      <c r="F3120" s="52" t="s">
        <v>26</v>
      </c>
      <c r="G3120" s="53"/>
    </row>
    <row r="3121">
      <c r="A3121" s="49">
        <v>44545.69906569444</v>
      </c>
      <c r="B3121" s="50">
        <v>44545.8240332523</v>
      </c>
      <c r="C3121" s="51">
        <v>1.015</v>
      </c>
      <c r="D3121" s="51">
        <v>62.0</v>
      </c>
      <c r="E3121" s="52" t="s">
        <v>25</v>
      </c>
      <c r="F3121" s="52" t="s">
        <v>26</v>
      </c>
      <c r="G3121" s="53"/>
    </row>
    <row r="3122">
      <c r="A3122" s="49">
        <v>44545.7094874537</v>
      </c>
      <c r="B3122" s="50">
        <v>44545.8344650925</v>
      </c>
      <c r="C3122" s="51">
        <v>1.015</v>
      </c>
      <c r="D3122" s="51">
        <v>62.0</v>
      </c>
      <c r="E3122" s="52" t="s">
        <v>25</v>
      </c>
      <c r="F3122" s="52" t="s">
        <v>26</v>
      </c>
      <c r="G3122" s="53"/>
    </row>
    <row r="3123">
      <c r="A3123" s="49">
        <v>44545.71991508102</v>
      </c>
      <c r="B3123" s="50">
        <v>44545.8448873148</v>
      </c>
      <c r="C3123" s="51">
        <v>1.015</v>
      </c>
      <c r="D3123" s="51">
        <v>62.0</v>
      </c>
      <c r="E3123" s="52" t="s">
        <v>25</v>
      </c>
      <c r="F3123" s="52" t="s">
        <v>26</v>
      </c>
      <c r="G3123" s="53"/>
    </row>
    <row r="3124">
      <c r="A3124" s="49">
        <v>44545.73033291667</v>
      </c>
      <c r="B3124" s="50">
        <v>44545.8553074537</v>
      </c>
      <c r="C3124" s="51">
        <v>1.015</v>
      </c>
      <c r="D3124" s="51">
        <v>62.0</v>
      </c>
      <c r="E3124" s="52" t="s">
        <v>25</v>
      </c>
      <c r="F3124" s="52" t="s">
        <v>26</v>
      </c>
      <c r="G3124" s="53"/>
    </row>
    <row r="3125">
      <c r="A3125" s="49">
        <v>44545.740753148144</v>
      </c>
      <c r="B3125" s="50">
        <v>44545.8657294097</v>
      </c>
      <c r="C3125" s="51">
        <v>1.015</v>
      </c>
      <c r="D3125" s="51">
        <v>62.0</v>
      </c>
      <c r="E3125" s="52" t="s">
        <v>25</v>
      </c>
      <c r="F3125" s="52" t="s">
        <v>26</v>
      </c>
      <c r="G3125" s="53"/>
    </row>
    <row r="3126">
      <c r="A3126" s="49">
        <v>44545.75119163195</v>
      </c>
      <c r="B3126" s="50">
        <v>44545.8761644212</v>
      </c>
      <c r="C3126" s="51">
        <v>1.015</v>
      </c>
      <c r="D3126" s="51">
        <v>62.0</v>
      </c>
      <c r="E3126" s="52" t="s">
        <v>25</v>
      </c>
      <c r="F3126" s="52" t="s">
        <v>26</v>
      </c>
      <c r="G3126" s="53"/>
    </row>
    <row r="3127">
      <c r="A3127" s="49">
        <v>44545.76161810185</v>
      </c>
      <c r="B3127" s="50">
        <v>44545.886585162</v>
      </c>
      <c r="C3127" s="51">
        <v>1.015</v>
      </c>
      <c r="D3127" s="51">
        <v>62.0</v>
      </c>
      <c r="E3127" s="52" t="s">
        <v>25</v>
      </c>
      <c r="F3127" s="52" t="s">
        <v>26</v>
      </c>
      <c r="G3127" s="53"/>
    </row>
    <row r="3128">
      <c r="A3128" s="49">
        <v>44545.772029733795</v>
      </c>
      <c r="B3128" s="50">
        <v>44545.8970046643</v>
      </c>
      <c r="C3128" s="51">
        <v>1.015</v>
      </c>
      <c r="D3128" s="51">
        <v>62.0</v>
      </c>
      <c r="E3128" s="52" t="s">
        <v>25</v>
      </c>
      <c r="F3128" s="52" t="s">
        <v>26</v>
      </c>
      <c r="G3128" s="53"/>
    </row>
    <row r="3129">
      <c r="A3129" s="49">
        <v>44545.782463449075</v>
      </c>
      <c r="B3129" s="50">
        <v>44545.9074267361</v>
      </c>
      <c r="C3129" s="51">
        <v>1.015</v>
      </c>
      <c r="D3129" s="51">
        <v>62.0</v>
      </c>
      <c r="E3129" s="52" t="s">
        <v>25</v>
      </c>
      <c r="F3129" s="52" t="s">
        <v>26</v>
      </c>
      <c r="G3129" s="53"/>
    </row>
    <row r="3130">
      <c r="A3130" s="49">
        <v>44545.792885787036</v>
      </c>
      <c r="B3130" s="50">
        <v>44545.9178594328</v>
      </c>
      <c r="C3130" s="51">
        <v>1.015</v>
      </c>
      <c r="D3130" s="51">
        <v>62.0</v>
      </c>
      <c r="E3130" s="52" t="s">
        <v>25</v>
      </c>
      <c r="F3130" s="52" t="s">
        <v>26</v>
      </c>
      <c r="G3130" s="53"/>
    </row>
    <row r="3131">
      <c r="A3131" s="49">
        <v>44545.803320555555</v>
      </c>
      <c r="B3131" s="50">
        <v>44545.9282934837</v>
      </c>
      <c r="C3131" s="51">
        <v>1.015</v>
      </c>
      <c r="D3131" s="51">
        <v>62.0</v>
      </c>
      <c r="E3131" s="52" t="s">
        <v>25</v>
      </c>
      <c r="F3131" s="52" t="s">
        <v>26</v>
      </c>
      <c r="G3131" s="53"/>
    </row>
    <row r="3132">
      <c r="A3132" s="49">
        <v>44545.813766377316</v>
      </c>
      <c r="B3132" s="50">
        <v>44545.9387261342</v>
      </c>
      <c r="C3132" s="51">
        <v>1.015</v>
      </c>
      <c r="D3132" s="51">
        <v>62.0</v>
      </c>
      <c r="E3132" s="52" t="s">
        <v>25</v>
      </c>
      <c r="F3132" s="52" t="s">
        <v>26</v>
      </c>
      <c r="G3132" s="53"/>
    </row>
    <row r="3133">
      <c r="A3133" s="49">
        <v>44545.82419428241</v>
      </c>
      <c r="B3133" s="50">
        <v>44545.949158287</v>
      </c>
      <c r="C3133" s="51">
        <v>1.015</v>
      </c>
      <c r="D3133" s="51">
        <v>62.0</v>
      </c>
      <c r="E3133" s="52" t="s">
        <v>25</v>
      </c>
      <c r="F3133" s="52" t="s">
        <v>26</v>
      </c>
      <c r="G3133" s="53"/>
    </row>
    <row r="3134">
      <c r="A3134" s="49">
        <v>44545.834608171295</v>
      </c>
      <c r="B3134" s="50">
        <v>44545.9595787152</v>
      </c>
      <c r="C3134" s="51">
        <v>1.015</v>
      </c>
      <c r="D3134" s="51">
        <v>62.0</v>
      </c>
      <c r="E3134" s="52" t="s">
        <v>25</v>
      </c>
      <c r="F3134" s="52" t="s">
        <v>26</v>
      </c>
      <c r="G3134" s="53"/>
    </row>
    <row r="3135">
      <c r="A3135" s="49">
        <v>44545.845040706015</v>
      </c>
      <c r="B3135" s="50">
        <v>44545.9700121064</v>
      </c>
      <c r="C3135" s="51">
        <v>1.015</v>
      </c>
      <c r="D3135" s="51">
        <v>62.0</v>
      </c>
      <c r="E3135" s="52" t="s">
        <v>25</v>
      </c>
      <c r="F3135" s="52" t="s">
        <v>26</v>
      </c>
      <c r="G3135" s="53"/>
    </row>
    <row r="3136">
      <c r="A3136" s="49">
        <v>44545.85546826389</v>
      </c>
      <c r="B3136" s="50">
        <v>44545.9804340972</v>
      </c>
      <c r="C3136" s="51">
        <v>1.015</v>
      </c>
      <c r="D3136" s="51">
        <v>62.0</v>
      </c>
      <c r="E3136" s="52" t="s">
        <v>25</v>
      </c>
      <c r="F3136" s="52" t="s">
        <v>26</v>
      </c>
      <c r="G3136" s="53"/>
    </row>
    <row r="3137">
      <c r="A3137" s="49">
        <v>44545.86587494213</v>
      </c>
      <c r="B3137" s="50">
        <v>44545.9908544212</v>
      </c>
      <c r="C3137" s="51">
        <v>1.015</v>
      </c>
      <c r="D3137" s="51">
        <v>62.0</v>
      </c>
      <c r="E3137" s="52" t="s">
        <v>25</v>
      </c>
      <c r="F3137" s="52" t="s">
        <v>26</v>
      </c>
      <c r="G3137" s="53"/>
    </row>
    <row r="3138">
      <c r="A3138" s="49">
        <v>44545.87629920139</v>
      </c>
      <c r="B3138" s="50">
        <v>44546.001276412</v>
      </c>
      <c r="C3138" s="51">
        <v>1.015</v>
      </c>
      <c r="D3138" s="51">
        <v>62.0</v>
      </c>
      <c r="E3138" s="52" t="s">
        <v>25</v>
      </c>
      <c r="F3138" s="52" t="s">
        <v>26</v>
      </c>
      <c r="G3138" s="53"/>
    </row>
    <row r="3139">
      <c r="A3139" s="49">
        <v>44545.886719988426</v>
      </c>
      <c r="B3139" s="50">
        <v>44546.0116966782</v>
      </c>
      <c r="C3139" s="51">
        <v>1.015</v>
      </c>
      <c r="D3139" s="51">
        <v>62.0</v>
      </c>
      <c r="E3139" s="52" t="s">
        <v>25</v>
      </c>
      <c r="F3139" s="52" t="s">
        <v>26</v>
      </c>
      <c r="G3139" s="53"/>
    </row>
    <row r="3140">
      <c r="A3140" s="49">
        <v>44545.89713900463</v>
      </c>
      <c r="B3140" s="50">
        <v>44546.0221185995</v>
      </c>
      <c r="C3140" s="51">
        <v>1.015</v>
      </c>
      <c r="D3140" s="51">
        <v>62.0</v>
      </c>
      <c r="E3140" s="52" t="s">
        <v>25</v>
      </c>
      <c r="F3140" s="52" t="s">
        <v>26</v>
      </c>
      <c r="G3140" s="53"/>
    </row>
    <row r="3141">
      <c r="A3141" s="49">
        <v>44545.90758840278</v>
      </c>
      <c r="B3141" s="50">
        <v>44546.0325525578</v>
      </c>
      <c r="C3141" s="51">
        <v>1.015</v>
      </c>
      <c r="D3141" s="51">
        <v>62.0</v>
      </c>
      <c r="E3141" s="52" t="s">
        <v>25</v>
      </c>
      <c r="F3141" s="52" t="s">
        <v>26</v>
      </c>
      <c r="G3141" s="53"/>
    </row>
    <row r="3142">
      <c r="A3142" s="49">
        <v>44545.917995219905</v>
      </c>
      <c r="B3142" s="50">
        <v>44546.0429745717</v>
      </c>
      <c r="C3142" s="51">
        <v>1.015</v>
      </c>
      <c r="D3142" s="51">
        <v>62.0</v>
      </c>
      <c r="E3142" s="52" t="s">
        <v>25</v>
      </c>
      <c r="F3142" s="52" t="s">
        <v>26</v>
      </c>
      <c r="G3142" s="53"/>
    </row>
    <row r="3143">
      <c r="A3143" s="49">
        <v>44545.92843884259</v>
      </c>
      <c r="B3143" s="50">
        <v>44546.0534060995</v>
      </c>
      <c r="C3143" s="51">
        <v>1.015</v>
      </c>
      <c r="D3143" s="51">
        <v>62.0</v>
      </c>
      <c r="E3143" s="52" t="s">
        <v>25</v>
      </c>
      <c r="F3143" s="52" t="s">
        <v>26</v>
      </c>
      <c r="G3143" s="53"/>
    </row>
    <row r="3144">
      <c r="A3144" s="49">
        <v>44545.93885571759</v>
      </c>
      <c r="B3144" s="50">
        <v>44546.0638259375</v>
      </c>
      <c r="C3144" s="51">
        <v>1.015</v>
      </c>
      <c r="D3144" s="51">
        <v>62.0</v>
      </c>
      <c r="E3144" s="52" t="s">
        <v>25</v>
      </c>
      <c r="F3144" s="52" t="s">
        <v>26</v>
      </c>
      <c r="G3144" s="53"/>
    </row>
    <row r="3145">
      <c r="A3145" s="49">
        <v>44545.949277719905</v>
      </c>
      <c r="B3145" s="50">
        <v>44546.0742476388</v>
      </c>
      <c r="C3145" s="51">
        <v>1.015</v>
      </c>
      <c r="D3145" s="51">
        <v>62.0</v>
      </c>
      <c r="E3145" s="52" t="s">
        <v>25</v>
      </c>
      <c r="F3145" s="52" t="s">
        <v>26</v>
      </c>
      <c r="G3145" s="53"/>
    </row>
    <row r="3146">
      <c r="A3146" s="49">
        <v>44545.959695405094</v>
      </c>
      <c r="B3146" s="50">
        <v>44546.0846686689</v>
      </c>
      <c r="C3146" s="51">
        <v>1.015</v>
      </c>
      <c r="D3146" s="51">
        <v>62.0</v>
      </c>
      <c r="E3146" s="52" t="s">
        <v>25</v>
      </c>
      <c r="F3146" s="52" t="s">
        <v>26</v>
      </c>
      <c r="G3146" s="53"/>
    </row>
    <row r="3147">
      <c r="A3147" s="49">
        <v>44545.970138206016</v>
      </c>
      <c r="B3147" s="50">
        <v>44546.0951022685</v>
      </c>
      <c r="C3147" s="51">
        <v>1.015</v>
      </c>
      <c r="D3147" s="51">
        <v>62.0</v>
      </c>
      <c r="E3147" s="52" t="s">
        <v>25</v>
      </c>
      <c r="F3147" s="52" t="s">
        <v>26</v>
      </c>
      <c r="G3147" s="53"/>
    </row>
    <row r="3148">
      <c r="A3148" s="49">
        <v>44545.98055407408</v>
      </c>
      <c r="B3148" s="50">
        <v>44546.10552478</v>
      </c>
      <c r="C3148" s="51">
        <v>1.015</v>
      </c>
      <c r="D3148" s="51">
        <v>62.0</v>
      </c>
      <c r="E3148" s="52" t="s">
        <v>25</v>
      </c>
      <c r="F3148" s="52" t="s">
        <v>26</v>
      </c>
      <c r="G3148" s="53"/>
    </row>
    <row r="3149">
      <c r="A3149" s="49">
        <v>44545.99097436343</v>
      </c>
      <c r="B3149" s="50">
        <v>44546.1159452199</v>
      </c>
      <c r="C3149" s="51">
        <v>1.015</v>
      </c>
      <c r="D3149" s="51">
        <v>62.0</v>
      </c>
      <c r="E3149" s="52" t="s">
        <v>25</v>
      </c>
      <c r="F3149" s="52" t="s">
        <v>26</v>
      </c>
      <c r="G3149" s="53"/>
    </row>
    <row r="3150">
      <c r="A3150" s="49">
        <v>44546.00138920139</v>
      </c>
      <c r="B3150" s="50">
        <v>44546.1263662847</v>
      </c>
      <c r="C3150" s="51">
        <v>1.015</v>
      </c>
      <c r="D3150" s="51">
        <v>62.0</v>
      </c>
      <c r="E3150" s="52" t="s">
        <v>25</v>
      </c>
      <c r="F3150" s="52" t="s">
        <v>26</v>
      </c>
      <c r="G3150" s="53"/>
    </row>
    <row r="3151">
      <c r="A3151" s="49">
        <v>44546.0118216088</v>
      </c>
      <c r="B3151" s="50">
        <v>44546.1367873263</v>
      </c>
      <c r="C3151" s="51">
        <v>1.015</v>
      </c>
      <c r="D3151" s="51">
        <v>62.0</v>
      </c>
      <c r="E3151" s="52" t="s">
        <v>25</v>
      </c>
      <c r="F3151" s="52" t="s">
        <v>26</v>
      </c>
      <c r="G3151" s="53"/>
    </row>
    <row r="3152">
      <c r="A3152" s="49">
        <v>44546.022230856484</v>
      </c>
      <c r="B3152" s="50">
        <v>44546.1472090624</v>
      </c>
      <c r="C3152" s="51">
        <v>1.015</v>
      </c>
      <c r="D3152" s="51">
        <v>62.0</v>
      </c>
      <c r="E3152" s="52" t="s">
        <v>25</v>
      </c>
      <c r="F3152" s="52" t="s">
        <v>26</v>
      </c>
      <c r="G3152" s="53"/>
    </row>
    <row r="3153">
      <c r="A3153" s="49">
        <v>44546.03266103009</v>
      </c>
      <c r="B3153" s="50">
        <v>44546.1576298958</v>
      </c>
      <c r="C3153" s="51">
        <v>1.015</v>
      </c>
      <c r="D3153" s="51">
        <v>62.0</v>
      </c>
      <c r="E3153" s="52" t="s">
        <v>25</v>
      </c>
      <c r="F3153" s="52" t="s">
        <v>26</v>
      </c>
      <c r="G3153" s="53"/>
    </row>
    <row r="3154">
      <c r="A3154" s="49">
        <v>44546.043087962964</v>
      </c>
      <c r="B3154" s="50">
        <v>44546.168052662</v>
      </c>
      <c r="C3154" s="51">
        <v>1.015</v>
      </c>
      <c r="D3154" s="51">
        <v>62.0</v>
      </c>
      <c r="E3154" s="52" t="s">
        <v>25</v>
      </c>
      <c r="F3154" s="52" t="s">
        <v>26</v>
      </c>
      <c r="G3154" s="53"/>
    </row>
    <row r="3155">
      <c r="A3155" s="49">
        <v>44546.05350879629</v>
      </c>
      <c r="B3155" s="50">
        <v>44546.1784741435</v>
      </c>
      <c r="C3155" s="51">
        <v>1.015</v>
      </c>
      <c r="D3155" s="51">
        <v>62.0</v>
      </c>
      <c r="E3155" s="52" t="s">
        <v>25</v>
      </c>
      <c r="F3155" s="52" t="s">
        <v>26</v>
      </c>
      <c r="G3155" s="53"/>
    </row>
    <row r="3156">
      <c r="A3156" s="49">
        <v>44546.063923912036</v>
      </c>
      <c r="B3156" s="50">
        <v>44546.1888967708</v>
      </c>
      <c r="C3156" s="51">
        <v>1.015</v>
      </c>
      <c r="D3156" s="51">
        <v>62.0</v>
      </c>
      <c r="E3156" s="52" t="s">
        <v>25</v>
      </c>
      <c r="F3156" s="52" t="s">
        <v>26</v>
      </c>
      <c r="G3156" s="53"/>
    </row>
    <row r="3157">
      <c r="A3157" s="49">
        <v>44546.07434225694</v>
      </c>
      <c r="B3157" s="50">
        <v>44546.1993174074</v>
      </c>
      <c r="C3157" s="51">
        <v>1.015</v>
      </c>
      <c r="D3157" s="51">
        <v>62.0</v>
      </c>
      <c r="E3157" s="52" t="s">
        <v>25</v>
      </c>
      <c r="F3157" s="52" t="s">
        <v>26</v>
      </c>
      <c r="G3157" s="53"/>
    </row>
    <row r="3158">
      <c r="A3158" s="49">
        <v>44546.08477023148</v>
      </c>
      <c r="B3158" s="50">
        <v>44546.2097397337</v>
      </c>
      <c r="C3158" s="51">
        <v>1.015</v>
      </c>
      <c r="D3158" s="51">
        <v>62.0</v>
      </c>
      <c r="E3158" s="52" t="s">
        <v>25</v>
      </c>
      <c r="F3158" s="52" t="s">
        <v>26</v>
      </c>
      <c r="G3158" s="53"/>
    </row>
    <row r="3159">
      <c r="A3159" s="49">
        <v>44546.09519596065</v>
      </c>
      <c r="B3159" s="50">
        <v>44546.2201607407</v>
      </c>
      <c r="C3159" s="51">
        <v>1.015</v>
      </c>
      <c r="D3159" s="51">
        <v>62.0</v>
      </c>
      <c r="E3159" s="52" t="s">
        <v>25</v>
      </c>
      <c r="F3159" s="52" t="s">
        <v>26</v>
      </c>
      <c r="G3159" s="53"/>
    </row>
    <row r="3160">
      <c r="A3160" s="49">
        <v>44546.10561475695</v>
      </c>
      <c r="B3160" s="50">
        <v>44546.2305824884</v>
      </c>
      <c r="C3160" s="51">
        <v>1.015</v>
      </c>
      <c r="D3160" s="51">
        <v>62.0</v>
      </c>
      <c r="E3160" s="52" t="s">
        <v>25</v>
      </c>
      <c r="F3160" s="52" t="s">
        <v>26</v>
      </c>
      <c r="G3160" s="53"/>
    </row>
    <row r="3161">
      <c r="A3161" s="49">
        <v>44546.11603189815</v>
      </c>
      <c r="B3161" s="50">
        <v>44546.2410067592</v>
      </c>
      <c r="C3161" s="51">
        <v>1.015</v>
      </c>
      <c r="D3161" s="51">
        <v>62.0</v>
      </c>
      <c r="E3161" s="52" t="s">
        <v>25</v>
      </c>
      <c r="F3161" s="52" t="s">
        <v>26</v>
      </c>
      <c r="G3161" s="53"/>
    </row>
    <row r="3162">
      <c r="A3162" s="49">
        <v>44546.1264590162</v>
      </c>
      <c r="B3162" s="50">
        <v>44546.2514272337</v>
      </c>
      <c r="C3162" s="51">
        <v>1.015</v>
      </c>
      <c r="D3162" s="51">
        <v>62.0</v>
      </c>
      <c r="E3162" s="52" t="s">
        <v>25</v>
      </c>
      <c r="F3162" s="52" t="s">
        <v>26</v>
      </c>
      <c r="G3162" s="53"/>
    </row>
    <row r="3163">
      <c r="A3163" s="49">
        <v>44546.136879467595</v>
      </c>
      <c r="B3163" s="50">
        <v>44546.2618478472</v>
      </c>
      <c r="C3163" s="51">
        <v>1.015</v>
      </c>
      <c r="D3163" s="51">
        <v>62.0</v>
      </c>
      <c r="E3163" s="52" t="s">
        <v>25</v>
      </c>
      <c r="F3163" s="52" t="s">
        <v>26</v>
      </c>
      <c r="G3163" s="53"/>
    </row>
    <row r="3164">
      <c r="A3164" s="49">
        <v>44546.147297662035</v>
      </c>
      <c r="B3164" s="50">
        <v>44546.2722702662</v>
      </c>
      <c r="C3164" s="51">
        <v>1.015</v>
      </c>
      <c r="D3164" s="51">
        <v>62.0</v>
      </c>
      <c r="E3164" s="52" t="s">
        <v>25</v>
      </c>
      <c r="F3164" s="52" t="s">
        <v>26</v>
      </c>
      <c r="G3164" s="53"/>
    </row>
    <row r="3165">
      <c r="A3165" s="49">
        <v>44546.15773755787</v>
      </c>
      <c r="B3165" s="50">
        <v>44546.2826930555</v>
      </c>
      <c r="C3165" s="51">
        <v>1.015</v>
      </c>
      <c r="D3165" s="51">
        <v>62.0</v>
      </c>
      <c r="E3165" s="52" t="s">
        <v>25</v>
      </c>
      <c r="F3165" s="52" t="s">
        <v>26</v>
      </c>
      <c r="G3165" s="53"/>
    </row>
    <row r="3166">
      <c r="A3166" s="49">
        <v>44546.168145787036</v>
      </c>
      <c r="B3166" s="50">
        <v>44546.2931124884</v>
      </c>
      <c r="C3166" s="51">
        <v>1.015</v>
      </c>
      <c r="D3166" s="51">
        <v>62.0</v>
      </c>
      <c r="E3166" s="52" t="s">
        <v>25</v>
      </c>
      <c r="F3166" s="52" t="s">
        <v>26</v>
      </c>
      <c r="G3166" s="53"/>
    </row>
    <row r="3167">
      <c r="A3167" s="49">
        <v>44546.178565891205</v>
      </c>
      <c r="B3167" s="50">
        <v>44546.3035321064</v>
      </c>
      <c r="C3167" s="51">
        <v>1.015</v>
      </c>
      <c r="D3167" s="51">
        <v>62.0</v>
      </c>
      <c r="E3167" s="52" t="s">
        <v>25</v>
      </c>
      <c r="F3167" s="52" t="s">
        <v>26</v>
      </c>
      <c r="G3167" s="53"/>
    </row>
    <row r="3168">
      <c r="A3168" s="49">
        <v>44546.18898601852</v>
      </c>
      <c r="B3168" s="50">
        <v>44546.3139529745</v>
      </c>
      <c r="C3168" s="51">
        <v>1.015</v>
      </c>
      <c r="D3168" s="51">
        <v>62.0</v>
      </c>
      <c r="E3168" s="52" t="s">
        <v>25</v>
      </c>
      <c r="F3168" s="52" t="s">
        <v>26</v>
      </c>
      <c r="G3168" s="53"/>
    </row>
    <row r="3169">
      <c r="A3169" s="49">
        <v>44546.19942380787</v>
      </c>
      <c r="B3169" s="50">
        <v>44546.3243975462</v>
      </c>
      <c r="C3169" s="51">
        <v>1.015</v>
      </c>
      <c r="D3169" s="51">
        <v>62.0</v>
      </c>
      <c r="E3169" s="52" t="s">
        <v>25</v>
      </c>
      <c r="F3169" s="52" t="s">
        <v>26</v>
      </c>
      <c r="G3169" s="53"/>
    </row>
    <row r="3170">
      <c r="A3170" s="49">
        <v>44546.209840717594</v>
      </c>
      <c r="B3170" s="50">
        <v>44546.3348179398</v>
      </c>
      <c r="C3170" s="51">
        <v>1.015</v>
      </c>
      <c r="D3170" s="51">
        <v>62.0</v>
      </c>
      <c r="E3170" s="52" t="s">
        <v>25</v>
      </c>
      <c r="F3170" s="52" t="s">
        <v>26</v>
      </c>
      <c r="G3170" s="53"/>
    </row>
    <row r="3171">
      <c r="A3171" s="49">
        <v>44546.22026364584</v>
      </c>
      <c r="B3171" s="50">
        <v>44546.3452384259</v>
      </c>
      <c r="C3171" s="51">
        <v>1.015</v>
      </c>
      <c r="D3171" s="51">
        <v>62.0</v>
      </c>
      <c r="E3171" s="52" t="s">
        <v>25</v>
      </c>
      <c r="F3171" s="52" t="s">
        <v>26</v>
      </c>
      <c r="G3171" s="53"/>
    </row>
    <row r="3172">
      <c r="A3172" s="49">
        <v>44546.23070829861</v>
      </c>
      <c r="B3172" s="50">
        <v>44546.3556731828</v>
      </c>
      <c r="C3172" s="51">
        <v>1.015</v>
      </c>
      <c r="D3172" s="51">
        <v>62.0</v>
      </c>
      <c r="E3172" s="52" t="s">
        <v>25</v>
      </c>
      <c r="F3172" s="52" t="s">
        <v>26</v>
      </c>
      <c r="G3172" s="53"/>
    </row>
    <row r="3173">
      <c r="A3173" s="49">
        <v>44546.241130462964</v>
      </c>
      <c r="B3173" s="50">
        <v>44546.3660939699</v>
      </c>
      <c r="C3173" s="51">
        <v>1.015</v>
      </c>
      <c r="D3173" s="51">
        <v>62.0</v>
      </c>
      <c r="E3173" s="52" t="s">
        <v>25</v>
      </c>
      <c r="F3173" s="52" t="s">
        <v>26</v>
      </c>
      <c r="G3173" s="53"/>
    </row>
    <row r="3174">
      <c r="A3174" s="49">
        <v>44546.25154927083</v>
      </c>
      <c r="B3174" s="50">
        <v>44546.3765147106</v>
      </c>
      <c r="C3174" s="51">
        <v>1.015</v>
      </c>
      <c r="D3174" s="51">
        <v>62.0</v>
      </c>
      <c r="E3174" s="52" t="s">
        <v>25</v>
      </c>
      <c r="F3174" s="52" t="s">
        <v>26</v>
      </c>
      <c r="G3174" s="53"/>
    </row>
    <row r="3175">
      <c r="A3175" s="49">
        <v>44546.26200988426</v>
      </c>
      <c r="B3175" s="50">
        <v>44546.3869365972</v>
      </c>
      <c r="C3175" s="51">
        <v>1.015</v>
      </c>
      <c r="D3175" s="51">
        <v>62.0</v>
      </c>
      <c r="E3175" s="52" t="s">
        <v>25</v>
      </c>
      <c r="F3175" s="52" t="s">
        <v>26</v>
      </c>
      <c r="G3175" s="53"/>
    </row>
    <row r="3176">
      <c r="A3176" s="49">
        <v>44546.272389687496</v>
      </c>
      <c r="B3176" s="50">
        <v>44546.3973578009</v>
      </c>
      <c r="C3176" s="51">
        <v>1.015</v>
      </c>
      <c r="D3176" s="51">
        <v>62.0</v>
      </c>
      <c r="E3176" s="52" t="s">
        <v>25</v>
      </c>
      <c r="F3176" s="52" t="s">
        <v>26</v>
      </c>
      <c r="G3176" s="53"/>
    </row>
    <row r="3177">
      <c r="A3177" s="49">
        <v>44546.28281846065</v>
      </c>
      <c r="B3177" s="50">
        <v>44546.4077892476</v>
      </c>
      <c r="C3177" s="51">
        <v>1.015</v>
      </c>
      <c r="D3177" s="51">
        <v>62.0</v>
      </c>
      <c r="E3177" s="52" t="s">
        <v>25</v>
      </c>
      <c r="F3177" s="52" t="s">
        <v>26</v>
      </c>
      <c r="G3177" s="53"/>
    </row>
    <row r="3178">
      <c r="A3178" s="49">
        <v>44546.2932378125</v>
      </c>
      <c r="B3178" s="50">
        <v>44546.4182101736</v>
      </c>
      <c r="C3178" s="51">
        <v>1.015</v>
      </c>
      <c r="D3178" s="51">
        <v>62.0</v>
      </c>
      <c r="E3178" s="52" t="s">
        <v>25</v>
      </c>
      <c r="F3178" s="52" t="s">
        <v>26</v>
      </c>
      <c r="G3178" s="53"/>
    </row>
    <row r="3179">
      <c r="A3179" s="49">
        <v>44546.303689444445</v>
      </c>
      <c r="B3179" s="50">
        <v>44546.4286427199</v>
      </c>
      <c r="C3179" s="51">
        <v>1.015</v>
      </c>
      <c r="D3179" s="51">
        <v>62.0</v>
      </c>
      <c r="E3179" s="52" t="s">
        <v>25</v>
      </c>
      <c r="F3179" s="52" t="s">
        <v>26</v>
      </c>
      <c r="G3179" s="53"/>
    </row>
    <row r="3180">
      <c r="A3180" s="49">
        <v>44546.314115625</v>
      </c>
      <c r="B3180" s="50">
        <v>44546.4390619675</v>
      </c>
      <c r="C3180" s="51">
        <v>1.015</v>
      </c>
      <c r="D3180" s="51">
        <v>62.0</v>
      </c>
      <c r="E3180" s="52" t="s">
        <v>25</v>
      </c>
      <c r="F3180" s="52" t="s">
        <v>26</v>
      </c>
      <c r="G3180" s="53"/>
    </row>
    <row r="3181">
      <c r="A3181" s="49">
        <v>44546.324526041666</v>
      </c>
      <c r="B3181" s="50">
        <v>44546.4494944907</v>
      </c>
      <c r="C3181" s="51">
        <v>1.015</v>
      </c>
      <c r="D3181" s="51">
        <v>62.0</v>
      </c>
      <c r="E3181" s="52" t="s">
        <v>25</v>
      </c>
      <c r="F3181" s="52" t="s">
        <v>26</v>
      </c>
      <c r="G3181" s="53"/>
    </row>
    <row r="3182">
      <c r="A3182" s="49">
        <v>44546.3349547338</v>
      </c>
      <c r="B3182" s="50">
        <v>44546.4599156597</v>
      </c>
      <c r="C3182" s="51">
        <v>1.015</v>
      </c>
      <c r="D3182" s="51">
        <v>62.0</v>
      </c>
      <c r="E3182" s="52" t="s">
        <v>25</v>
      </c>
      <c r="F3182" s="52" t="s">
        <v>26</v>
      </c>
      <c r="G3182" s="53"/>
    </row>
    <row r="3183">
      <c r="A3183" s="49">
        <v>44546.34536383102</v>
      </c>
      <c r="B3183" s="50">
        <v>44546.4703370949</v>
      </c>
      <c r="C3183" s="51">
        <v>1.015</v>
      </c>
      <c r="D3183" s="51">
        <v>62.0</v>
      </c>
      <c r="E3183" s="52" t="s">
        <v>25</v>
      </c>
      <c r="F3183" s="52" t="s">
        <v>26</v>
      </c>
      <c r="G3183" s="53"/>
    </row>
    <row r="3184">
      <c r="A3184" s="49">
        <v>44546.35580140047</v>
      </c>
      <c r="B3184" s="50">
        <v>44546.4807699189</v>
      </c>
      <c r="C3184" s="51">
        <v>1.015</v>
      </c>
      <c r="D3184" s="51">
        <v>62.0</v>
      </c>
      <c r="E3184" s="52" t="s">
        <v>25</v>
      </c>
      <c r="F3184" s="52" t="s">
        <v>26</v>
      </c>
      <c r="G3184" s="53"/>
    </row>
    <row r="3185">
      <c r="A3185" s="49">
        <v>44546.366224618054</v>
      </c>
      <c r="B3185" s="50">
        <v>44546.4911911805</v>
      </c>
      <c r="C3185" s="51">
        <v>1.015</v>
      </c>
      <c r="D3185" s="51">
        <v>62.0</v>
      </c>
      <c r="E3185" s="52" t="s">
        <v>25</v>
      </c>
      <c r="F3185" s="52" t="s">
        <v>26</v>
      </c>
      <c r="G3185" s="53"/>
    </row>
    <row r="3186">
      <c r="A3186" s="49">
        <v>44546.37664773148</v>
      </c>
      <c r="B3186" s="50">
        <v>44546.5016119791</v>
      </c>
      <c r="C3186" s="51">
        <v>1.015</v>
      </c>
      <c r="D3186" s="51">
        <v>62.0</v>
      </c>
      <c r="E3186" s="52" t="s">
        <v>25</v>
      </c>
      <c r="F3186" s="52" t="s">
        <v>26</v>
      </c>
      <c r="G3186" s="53"/>
    </row>
    <row r="3187">
      <c r="A3187" s="49">
        <v>44546.38706503472</v>
      </c>
      <c r="B3187" s="50">
        <v>44546.5120325925</v>
      </c>
      <c r="C3187" s="51">
        <v>1.015</v>
      </c>
      <c r="D3187" s="51">
        <v>62.0</v>
      </c>
      <c r="E3187" s="52" t="s">
        <v>25</v>
      </c>
      <c r="F3187" s="52" t="s">
        <v>26</v>
      </c>
      <c r="G3187" s="53"/>
    </row>
    <row r="3188">
      <c r="A3188" s="49">
        <v>44546.397477743056</v>
      </c>
      <c r="B3188" s="50">
        <v>44546.5224515972</v>
      </c>
      <c r="C3188" s="51">
        <v>1.015</v>
      </c>
      <c r="D3188" s="51">
        <v>62.0</v>
      </c>
      <c r="E3188" s="52" t="s">
        <v>25</v>
      </c>
      <c r="F3188" s="52" t="s">
        <v>26</v>
      </c>
      <c r="G3188" s="53"/>
    </row>
    <row r="3189">
      <c r="A3189" s="49">
        <v>44546.40790872685</v>
      </c>
      <c r="B3189" s="50">
        <v>44546.5328736342</v>
      </c>
      <c r="C3189" s="51">
        <v>1.015</v>
      </c>
      <c r="D3189" s="51">
        <v>62.0</v>
      </c>
      <c r="E3189" s="52" t="s">
        <v>25</v>
      </c>
      <c r="F3189" s="52" t="s">
        <v>26</v>
      </c>
      <c r="G3189" s="53"/>
    </row>
    <row r="3190">
      <c r="A3190" s="49">
        <v>44546.4183309375</v>
      </c>
      <c r="B3190" s="50">
        <v>44546.5432952314</v>
      </c>
      <c r="C3190" s="51">
        <v>1.015</v>
      </c>
      <c r="D3190" s="51">
        <v>62.0</v>
      </c>
      <c r="E3190" s="52" t="s">
        <v>25</v>
      </c>
      <c r="F3190" s="52" t="s">
        <v>26</v>
      </c>
      <c r="G3190" s="53"/>
    </row>
    <row r="3191">
      <c r="A3191" s="49">
        <v>44546.42875146991</v>
      </c>
      <c r="B3191" s="50">
        <v>44546.5537171759</v>
      </c>
      <c r="C3191" s="51">
        <v>1.015</v>
      </c>
      <c r="D3191" s="51">
        <v>62.0</v>
      </c>
      <c r="E3191" s="52" t="s">
        <v>25</v>
      </c>
      <c r="F3191" s="52" t="s">
        <v>26</v>
      </c>
      <c r="G3191" s="53"/>
    </row>
    <row r="3192">
      <c r="A3192" s="49">
        <v>44546.43918048611</v>
      </c>
      <c r="B3192" s="50">
        <v>44546.5641385185</v>
      </c>
      <c r="C3192" s="51">
        <v>1.015</v>
      </c>
      <c r="D3192" s="51">
        <v>62.0</v>
      </c>
      <c r="E3192" s="52" t="s">
        <v>25</v>
      </c>
      <c r="F3192" s="52" t="s">
        <v>26</v>
      </c>
      <c r="G3192" s="53"/>
    </row>
    <row r="3193">
      <c r="A3193" s="49">
        <v>44546.44959508102</v>
      </c>
      <c r="B3193" s="50">
        <v>44546.5745595601</v>
      </c>
      <c r="C3193" s="51">
        <v>1.015</v>
      </c>
      <c r="D3193" s="51">
        <v>62.0</v>
      </c>
      <c r="E3193" s="52" t="s">
        <v>25</v>
      </c>
      <c r="F3193" s="52" t="s">
        <v>26</v>
      </c>
      <c r="G3193" s="53"/>
    </row>
    <row r="3194">
      <c r="A3194" s="49">
        <v>44546.46000951389</v>
      </c>
      <c r="B3194" s="50">
        <v>44546.584980243</v>
      </c>
      <c r="C3194" s="51">
        <v>1.015</v>
      </c>
      <c r="D3194" s="51">
        <v>62.0</v>
      </c>
      <c r="E3194" s="52" t="s">
        <v>25</v>
      </c>
      <c r="F3194" s="52" t="s">
        <v>26</v>
      </c>
      <c r="G3194" s="53"/>
    </row>
    <row r="3195">
      <c r="A3195" s="49">
        <v>44546.47045434028</v>
      </c>
      <c r="B3195" s="50">
        <v>44546.5954128819</v>
      </c>
      <c r="C3195" s="51">
        <v>1.015</v>
      </c>
      <c r="D3195" s="51">
        <v>62.0</v>
      </c>
      <c r="E3195" s="52" t="s">
        <v>25</v>
      </c>
      <c r="F3195" s="52" t="s">
        <v>26</v>
      </c>
      <c r="G3195" s="53"/>
    </row>
    <row r="3196">
      <c r="A3196" s="49">
        <v>44546.48086116898</v>
      </c>
      <c r="B3196" s="50">
        <v>44546.6058338657</v>
      </c>
      <c r="C3196" s="51">
        <v>1.015</v>
      </c>
      <c r="D3196" s="51">
        <v>62.0</v>
      </c>
      <c r="E3196" s="52" t="s">
        <v>25</v>
      </c>
      <c r="F3196" s="52" t="s">
        <v>26</v>
      </c>
      <c r="G3196" s="53"/>
    </row>
    <row r="3197">
      <c r="A3197" s="49">
        <v>44546.49130173611</v>
      </c>
      <c r="B3197" s="50">
        <v>44546.6162665972</v>
      </c>
      <c r="C3197" s="51">
        <v>1.015</v>
      </c>
      <c r="D3197" s="51">
        <v>62.0</v>
      </c>
      <c r="E3197" s="52" t="s">
        <v>25</v>
      </c>
      <c r="F3197" s="52" t="s">
        <v>26</v>
      </c>
      <c r="G3197" s="53"/>
    </row>
    <row r="3198">
      <c r="A3198" s="49">
        <v>44546.50171556713</v>
      </c>
      <c r="B3198" s="50">
        <v>44546.6266867245</v>
      </c>
      <c r="C3198" s="51">
        <v>1.015</v>
      </c>
      <c r="D3198" s="51">
        <v>62.0</v>
      </c>
      <c r="E3198" s="52" t="s">
        <v>25</v>
      </c>
      <c r="F3198" s="52" t="s">
        <v>26</v>
      </c>
      <c r="G3198" s="53"/>
    </row>
    <row r="3199">
      <c r="A3199" s="49">
        <v>44546.512144513894</v>
      </c>
      <c r="B3199" s="50">
        <v>44546.6371087731</v>
      </c>
      <c r="C3199" s="51">
        <v>1.015</v>
      </c>
      <c r="D3199" s="51">
        <v>62.0</v>
      </c>
      <c r="E3199" s="52" t="s">
        <v>25</v>
      </c>
      <c r="F3199" s="52" t="s">
        <v>26</v>
      </c>
      <c r="G3199" s="53"/>
    </row>
    <row r="3200">
      <c r="A3200" s="49">
        <v>44546.52255454861</v>
      </c>
      <c r="B3200" s="50">
        <v>44546.6475312615</v>
      </c>
      <c r="C3200" s="51">
        <v>1.015</v>
      </c>
      <c r="D3200" s="51">
        <v>62.0</v>
      </c>
      <c r="E3200" s="52" t="s">
        <v>25</v>
      </c>
      <c r="F3200" s="52" t="s">
        <v>26</v>
      </c>
      <c r="G3200" s="53"/>
    </row>
    <row r="3201">
      <c r="A3201" s="49">
        <v>44546.532982233795</v>
      </c>
      <c r="B3201" s="50">
        <v>44546.6579508912</v>
      </c>
      <c r="C3201" s="51">
        <v>1.015</v>
      </c>
      <c r="D3201" s="51">
        <v>62.0</v>
      </c>
      <c r="E3201" s="52" t="s">
        <v>25</v>
      </c>
      <c r="F3201" s="52" t="s">
        <v>26</v>
      </c>
      <c r="G3201" s="53"/>
    </row>
    <row r="3202">
      <c r="A3202" s="49">
        <v>44546.54340929398</v>
      </c>
      <c r="B3202" s="50">
        <v>44546.668371493</v>
      </c>
      <c r="C3202" s="51">
        <v>1.015</v>
      </c>
      <c r="D3202" s="51">
        <v>62.0</v>
      </c>
      <c r="E3202" s="52" t="s">
        <v>25</v>
      </c>
      <c r="F3202" s="52" t="s">
        <v>26</v>
      </c>
      <c r="G3202" s="53"/>
    </row>
    <row r="3203">
      <c r="A3203" s="49">
        <v>44546.55382721065</v>
      </c>
      <c r="B3203" s="50">
        <v>44546.6787931828</v>
      </c>
      <c r="C3203" s="51">
        <v>1.014</v>
      </c>
      <c r="D3203" s="51">
        <v>62.0</v>
      </c>
      <c r="E3203" s="52" t="s">
        <v>25</v>
      </c>
      <c r="F3203" s="52" t="s">
        <v>26</v>
      </c>
      <c r="G3203" s="53"/>
    </row>
    <row r="3204">
      <c r="A3204" s="49">
        <v>44546.564255300924</v>
      </c>
      <c r="B3204" s="50">
        <v>44546.6892138425</v>
      </c>
      <c r="C3204" s="51">
        <v>1.014</v>
      </c>
      <c r="D3204" s="51">
        <v>62.0</v>
      </c>
      <c r="E3204" s="52" t="s">
        <v>25</v>
      </c>
      <c r="F3204" s="52" t="s">
        <v>26</v>
      </c>
      <c r="G3204" s="53"/>
    </row>
    <row r="3205">
      <c r="A3205" s="49">
        <v>44546.57466594907</v>
      </c>
      <c r="B3205" s="50">
        <v>44546.6996359259</v>
      </c>
      <c r="C3205" s="51">
        <v>1.015</v>
      </c>
      <c r="D3205" s="51">
        <v>62.0</v>
      </c>
      <c r="E3205" s="52" t="s">
        <v>25</v>
      </c>
      <c r="F3205" s="52" t="s">
        <v>26</v>
      </c>
      <c r="G3205" s="53"/>
    </row>
    <row r="3206">
      <c r="A3206" s="49">
        <v>44546.58508599537</v>
      </c>
      <c r="B3206" s="50">
        <v>44546.7100585416</v>
      </c>
      <c r="C3206" s="51">
        <v>1.015</v>
      </c>
      <c r="D3206" s="51">
        <v>62.0</v>
      </c>
      <c r="E3206" s="52" t="s">
        <v>25</v>
      </c>
      <c r="F3206" s="52" t="s">
        <v>26</v>
      </c>
      <c r="G3206" s="53"/>
    </row>
    <row r="3207">
      <c r="A3207" s="49">
        <v>44546.59551347222</v>
      </c>
      <c r="B3207" s="50">
        <v>44546.7204815162</v>
      </c>
      <c r="C3207" s="51">
        <v>1.015</v>
      </c>
      <c r="D3207" s="51">
        <v>62.0</v>
      </c>
      <c r="E3207" s="52" t="s">
        <v>25</v>
      </c>
      <c r="F3207" s="52" t="s">
        <v>26</v>
      </c>
      <c r="G3207" s="53"/>
    </row>
    <row r="3208">
      <c r="A3208" s="49">
        <v>44546.60593819444</v>
      </c>
      <c r="B3208" s="50">
        <v>44546.7309030902</v>
      </c>
      <c r="C3208" s="51">
        <v>1.015</v>
      </c>
      <c r="D3208" s="51">
        <v>62.0</v>
      </c>
      <c r="E3208" s="52" t="s">
        <v>25</v>
      </c>
      <c r="F3208" s="52" t="s">
        <v>26</v>
      </c>
      <c r="G3208" s="53"/>
    </row>
    <row r="3209">
      <c r="A3209" s="49">
        <v>44546.61634572917</v>
      </c>
      <c r="B3209" s="50">
        <v>44546.7413229745</v>
      </c>
      <c r="C3209" s="51">
        <v>1.015</v>
      </c>
      <c r="D3209" s="51">
        <v>62.0</v>
      </c>
      <c r="E3209" s="52" t="s">
        <v>25</v>
      </c>
      <c r="F3209" s="52" t="s">
        <v>26</v>
      </c>
      <c r="G3209" s="53"/>
    </row>
    <row r="3210">
      <c r="A3210" s="49">
        <v>44546.62676694445</v>
      </c>
      <c r="B3210" s="50">
        <v>44546.7517449305</v>
      </c>
      <c r="C3210" s="51">
        <v>1.015</v>
      </c>
      <c r="D3210" s="51">
        <v>62.0</v>
      </c>
      <c r="E3210" s="52" t="s">
        <v>25</v>
      </c>
      <c r="F3210" s="52" t="s">
        <v>26</v>
      </c>
      <c r="G3210" s="53"/>
    </row>
    <row r="3211">
      <c r="A3211" s="49">
        <v>44546.637190497684</v>
      </c>
      <c r="B3211" s="50">
        <v>44546.7621658101</v>
      </c>
      <c r="C3211" s="51">
        <v>1.015</v>
      </c>
      <c r="D3211" s="51">
        <v>62.0</v>
      </c>
      <c r="E3211" s="52" t="s">
        <v>25</v>
      </c>
      <c r="F3211" s="52" t="s">
        <v>26</v>
      </c>
      <c r="G3211" s="53"/>
    </row>
    <row r="3212">
      <c r="A3212" s="49">
        <v>44546.64761398148</v>
      </c>
      <c r="B3212" s="50">
        <v>44546.7725856249</v>
      </c>
      <c r="C3212" s="51">
        <v>1.015</v>
      </c>
      <c r="D3212" s="51">
        <v>62.0</v>
      </c>
      <c r="E3212" s="52" t="s">
        <v>25</v>
      </c>
      <c r="F3212" s="52" t="s">
        <v>26</v>
      </c>
      <c r="G3212" s="53"/>
    </row>
    <row r="3213">
      <c r="A3213" s="49">
        <v>44546.6580495949</v>
      </c>
      <c r="B3213" s="50">
        <v>44546.7830173263</v>
      </c>
      <c r="C3213" s="51">
        <v>1.014</v>
      </c>
      <c r="D3213" s="51">
        <v>62.0</v>
      </c>
      <c r="E3213" s="52" t="s">
        <v>25</v>
      </c>
      <c r="F3213" s="52" t="s">
        <v>26</v>
      </c>
      <c r="G3213" s="53"/>
    </row>
    <row r="3214">
      <c r="A3214" s="49">
        <v>44546.66847087963</v>
      </c>
      <c r="B3214" s="50">
        <v>44546.7934384259</v>
      </c>
      <c r="C3214" s="51">
        <v>1.015</v>
      </c>
      <c r="D3214" s="51">
        <v>62.0</v>
      </c>
      <c r="E3214" s="52" t="s">
        <v>25</v>
      </c>
      <c r="F3214" s="52" t="s">
        <v>26</v>
      </c>
      <c r="G3214" s="53"/>
    </row>
    <row r="3215">
      <c r="A3215" s="49">
        <v>44546.67890190972</v>
      </c>
      <c r="B3215" s="50">
        <v>44546.8038717708</v>
      </c>
      <c r="C3215" s="51">
        <v>1.015</v>
      </c>
      <c r="D3215" s="51">
        <v>62.0</v>
      </c>
      <c r="E3215" s="52" t="s">
        <v>25</v>
      </c>
      <c r="F3215" s="52" t="s">
        <v>26</v>
      </c>
      <c r="G3215" s="53"/>
    </row>
    <row r="3216">
      <c r="A3216" s="49">
        <v>44546.68932280093</v>
      </c>
      <c r="B3216" s="50">
        <v>44546.8142926967</v>
      </c>
      <c r="C3216" s="51">
        <v>1.015</v>
      </c>
      <c r="D3216" s="51">
        <v>62.0</v>
      </c>
      <c r="E3216" s="52" t="s">
        <v>25</v>
      </c>
      <c r="F3216" s="52" t="s">
        <v>26</v>
      </c>
      <c r="G3216" s="53"/>
    </row>
    <row r="3217">
      <c r="A3217" s="49">
        <v>44546.699744513884</v>
      </c>
      <c r="B3217" s="50">
        <v>44546.824713368</v>
      </c>
      <c r="C3217" s="51">
        <v>1.015</v>
      </c>
      <c r="D3217" s="51">
        <v>62.0</v>
      </c>
      <c r="E3217" s="52" t="s">
        <v>25</v>
      </c>
      <c r="F3217" s="52" t="s">
        <v>26</v>
      </c>
      <c r="G3217" s="53"/>
    </row>
    <row r="3218">
      <c r="A3218" s="49">
        <v>44546.710160891205</v>
      </c>
      <c r="B3218" s="50">
        <v>44546.8351351851</v>
      </c>
      <c r="C3218" s="51">
        <v>1.015</v>
      </c>
      <c r="D3218" s="51">
        <v>62.0</v>
      </c>
      <c r="E3218" s="52" t="s">
        <v>25</v>
      </c>
      <c r="F3218" s="52" t="s">
        <v>26</v>
      </c>
      <c r="G3218" s="53"/>
    </row>
    <row r="3219">
      <c r="A3219" s="49">
        <v>44546.720577824075</v>
      </c>
      <c r="B3219" s="50">
        <v>44546.8455567245</v>
      </c>
      <c r="C3219" s="51">
        <v>1.015</v>
      </c>
      <c r="D3219" s="51">
        <v>62.0</v>
      </c>
      <c r="E3219" s="52" t="s">
        <v>25</v>
      </c>
      <c r="F3219" s="52" t="s">
        <v>26</v>
      </c>
      <c r="G3219" s="53"/>
    </row>
    <row r="3220">
      <c r="A3220" s="49">
        <v>44546.731003113426</v>
      </c>
      <c r="B3220" s="50">
        <v>44546.8559776273</v>
      </c>
      <c r="C3220" s="51">
        <v>1.015</v>
      </c>
      <c r="D3220" s="51">
        <v>62.0</v>
      </c>
      <c r="E3220" s="52" t="s">
        <v>25</v>
      </c>
      <c r="F3220" s="52" t="s">
        <v>26</v>
      </c>
      <c r="G3220" s="53"/>
    </row>
    <row r="3221">
      <c r="A3221" s="49">
        <v>44546.74143435185</v>
      </c>
      <c r="B3221" s="50">
        <v>44546.8663998611</v>
      </c>
      <c r="C3221" s="51">
        <v>1.015</v>
      </c>
      <c r="D3221" s="51">
        <v>62.0</v>
      </c>
      <c r="E3221" s="52" t="s">
        <v>25</v>
      </c>
      <c r="F3221" s="52" t="s">
        <v>26</v>
      </c>
      <c r="G3221" s="53"/>
    </row>
    <row r="3222">
      <c r="A3222" s="49">
        <v>44546.75186708334</v>
      </c>
      <c r="B3222" s="50">
        <v>44546.8768422916</v>
      </c>
      <c r="C3222" s="51">
        <v>1.015</v>
      </c>
      <c r="D3222" s="51">
        <v>62.0</v>
      </c>
      <c r="E3222" s="52" t="s">
        <v>25</v>
      </c>
      <c r="F3222" s="52" t="s">
        <v>26</v>
      </c>
      <c r="G3222" s="53"/>
    </row>
    <row r="3223">
      <c r="A3223" s="49">
        <v>44546.7622968287</v>
      </c>
      <c r="B3223" s="50">
        <v>44546.8872643402</v>
      </c>
      <c r="C3223" s="51">
        <v>1.015</v>
      </c>
      <c r="D3223" s="51">
        <v>62.0</v>
      </c>
      <c r="E3223" s="52" t="s">
        <v>25</v>
      </c>
      <c r="F3223" s="52" t="s">
        <v>26</v>
      </c>
      <c r="G3223" s="53"/>
    </row>
    <row r="3224">
      <c r="A3224" s="49">
        <v>44546.772737754625</v>
      </c>
      <c r="B3224" s="50">
        <v>44546.897695243</v>
      </c>
      <c r="C3224" s="51">
        <v>1.015</v>
      </c>
      <c r="D3224" s="51">
        <v>62.0</v>
      </c>
      <c r="E3224" s="52" t="s">
        <v>25</v>
      </c>
      <c r="F3224" s="52" t="s">
        <v>26</v>
      </c>
      <c r="G3224" s="53"/>
    </row>
    <row r="3225">
      <c r="A3225" s="49">
        <v>44546.78314140046</v>
      </c>
      <c r="B3225" s="50">
        <v>44546.9081158333</v>
      </c>
      <c r="C3225" s="51">
        <v>1.014</v>
      </c>
      <c r="D3225" s="51">
        <v>62.0</v>
      </c>
      <c r="E3225" s="52" t="s">
        <v>25</v>
      </c>
      <c r="F3225" s="52" t="s">
        <v>26</v>
      </c>
      <c r="G3225" s="53"/>
    </row>
    <row r="3226">
      <c r="A3226" s="49">
        <v>44546.79355987268</v>
      </c>
      <c r="B3226" s="50">
        <v>44546.9185357175</v>
      </c>
      <c r="C3226" s="51">
        <v>1.014</v>
      </c>
      <c r="D3226" s="51">
        <v>62.0</v>
      </c>
      <c r="E3226" s="52" t="s">
        <v>25</v>
      </c>
      <c r="F3226" s="52" t="s">
        <v>26</v>
      </c>
      <c r="G3226" s="53"/>
    </row>
    <row r="3227">
      <c r="A3227" s="49">
        <v>44546.80399990741</v>
      </c>
      <c r="B3227" s="50">
        <v>44546.9289571527</v>
      </c>
      <c r="C3227" s="51">
        <v>1.015</v>
      </c>
      <c r="D3227" s="51">
        <v>62.0</v>
      </c>
      <c r="E3227" s="52" t="s">
        <v>25</v>
      </c>
      <c r="F3227" s="52" t="s">
        <v>26</v>
      </c>
      <c r="G3227" s="53"/>
    </row>
    <row r="3228">
      <c r="A3228" s="49">
        <v>44546.8144034375</v>
      </c>
      <c r="B3228" s="50">
        <v>44546.9393782523</v>
      </c>
      <c r="C3228" s="51">
        <v>1.014</v>
      </c>
      <c r="D3228" s="51">
        <v>62.0</v>
      </c>
      <c r="E3228" s="52" t="s">
        <v>25</v>
      </c>
      <c r="F3228" s="52" t="s">
        <v>26</v>
      </c>
      <c r="G3228" s="53"/>
    </row>
    <row r="3229">
      <c r="A3229" s="49">
        <v>44546.82483060185</v>
      </c>
      <c r="B3229" s="50">
        <v>44546.9498004282</v>
      </c>
      <c r="C3229" s="51">
        <v>1.014</v>
      </c>
      <c r="D3229" s="51">
        <v>62.0</v>
      </c>
      <c r="E3229" s="52" t="s">
        <v>25</v>
      </c>
      <c r="F3229" s="52" t="s">
        <v>26</v>
      </c>
      <c r="G3229" s="53"/>
    </row>
    <row r="3230">
      <c r="A3230" s="49">
        <v>44546.835259432875</v>
      </c>
      <c r="B3230" s="50">
        <v>44546.9602226157</v>
      </c>
      <c r="C3230" s="51">
        <v>1.015</v>
      </c>
      <c r="D3230" s="51">
        <v>62.0</v>
      </c>
      <c r="E3230" s="52" t="s">
        <v>25</v>
      </c>
      <c r="F3230" s="52" t="s">
        <v>26</v>
      </c>
      <c r="G3230" s="53"/>
    </row>
    <row r="3231">
      <c r="A3231" s="49">
        <v>44546.845672407406</v>
      </c>
      <c r="B3231" s="50">
        <v>44546.9706436574</v>
      </c>
      <c r="C3231" s="51">
        <v>1.014</v>
      </c>
      <c r="D3231" s="51">
        <v>62.0</v>
      </c>
      <c r="E3231" s="52" t="s">
        <v>25</v>
      </c>
      <c r="F3231" s="52" t="s">
        <v>26</v>
      </c>
      <c r="G3231" s="53"/>
    </row>
    <row r="3232">
      <c r="A3232" s="49">
        <v>44546.85609596065</v>
      </c>
      <c r="B3232" s="50">
        <v>44546.9810634953</v>
      </c>
      <c r="C3232" s="51">
        <v>1.014</v>
      </c>
      <c r="D3232" s="51">
        <v>62.0</v>
      </c>
      <c r="E3232" s="52" t="s">
        <v>25</v>
      </c>
      <c r="F3232" s="52" t="s">
        <v>26</v>
      </c>
      <c r="G3232" s="53"/>
    </row>
    <row r="3233">
      <c r="A3233" s="49">
        <v>44546.86651767361</v>
      </c>
      <c r="B3233" s="50">
        <v>44546.9914852662</v>
      </c>
      <c r="C3233" s="51">
        <v>1.014</v>
      </c>
      <c r="D3233" s="51">
        <v>62.0</v>
      </c>
      <c r="E3233" s="52" t="s">
        <v>25</v>
      </c>
      <c r="F3233" s="52" t="s">
        <v>26</v>
      </c>
      <c r="G3233" s="53"/>
    </row>
    <row r="3234">
      <c r="A3234" s="49">
        <v>44546.87693322917</v>
      </c>
      <c r="B3234" s="50">
        <v>44547.001905</v>
      </c>
      <c r="C3234" s="51">
        <v>1.014</v>
      </c>
      <c r="D3234" s="51">
        <v>62.0</v>
      </c>
      <c r="E3234" s="52" t="s">
        <v>25</v>
      </c>
      <c r="F3234" s="52" t="s">
        <v>26</v>
      </c>
      <c r="G3234" s="53"/>
    </row>
    <row r="3235">
      <c r="A3235" s="49">
        <v>44546.887355300925</v>
      </c>
      <c r="B3235" s="50">
        <v>44547.0123256365</v>
      </c>
      <c r="C3235" s="51">
        <v>1.015</v>
      </c>
      <c r="D3235" s="51">
        <v>62.0</v>
      </c>
      <c r="E3235" s="52" t="s">
        <v>25</v>
      </c>
      <c r="F3235" s="52" t="s">
        <v>26</v>
      </c>
      <c r="G3235" s="53"/>
    </row>
    <row r="3236">
      <c r="A3236" s="49">
        <v>44546.89777347222</v>
      </c>
      <c r="B3236" s="50">
        <v>44547.0227467476</v>
      </c>
      <c r="C3236" s="51">
        <v>1.015</v>
      </c>
      <c r="D3236" s="51">
        <v>62.0</v>
      </c>
      <c r="E3236" s="52" t="s">
        <v>25</v>
      </c>
      <c r="F3236" s="52" t="s">
        <v>26</v>
      </c>
      <c r="G3236" s="53"/>
    </row>
    <row r="3237">
      <c r="A3237" s="49">
        <v>44546.90819618056</v>
      </c>
      <c r="B3237" s="50">
        <v>44547.0331675347</v>
      </c>
      <c r="C3237" s="51">
        <v>1.014</v>
      </c>
      <c r="D3237" s="51">
        <v>62.0</v>
      </c>
      <c r="E3237" s="52" t="s">
        <v>25</v>
      </c>
      <c r="F3237" s="52" t="s">
        <v>26</v>
      </c>
      <c r="G3237" s="53"/>
    </row>
    <row r="3238">
      <c r="A3238" s="49">
        <v>44546.918616006944</v>
      </c>
      <c r="B3238" s="50">
        <v>44547.0435878009</v>
      </c>
      <c r="C3238" s="51">
        <v>1.015</v>
      </c>
      <c r="D3238" s="51">
        <v>62.0</v>
      </c>
      <c r="E3238" s="52" t="s">
        <v>25</v>
      </c>
      <c r="F3238" s="52" t="s">
        <v>26</v>
      </c>
      <c r="G3238" s="53"/>
    </row>
    <row r="3239">
      <c r="A3239" s="49">
        <v>44546.9290430324</v>
      </c>
      <c r="B3239" s="50">
        <v>44547.0540093287</v>
      </c>
      <c r="C3239" s="51">
        <v>1.015</v>
      </c>
      <c r="D3239" s="51">
        <v>62.0</v>
      </c>
      <c r="E3239" s="52" t="s">
        <v>25</v>
      </c>
      <c r="F3239" s="52" t="s">
        <v>26</v>
      </c>
      <c r="G3239" s="53"/>
    </row>
    <row r="3240">
      <c r="A3240" s="49">
        <v>44546.939455300926</v>
      </c>
      <c r="B3240" s="50">
        <v>44547.0644285416</v>
      </c>
      <c r="C3240" s="51">
        <v>1.014</v>
      </c>
      <c r="D3240" s="51">
        <v>62.0</v>
      </c>
      <c r="E3240" s="52" t="s">
        <v>25</v>
      </c>
      <c r="F3240" s="52" t="s">
        <v>26</v>
      </c>
      <c r="G3240" s="53"/>
    </row>
    <row r="3241">
      <c r="A3241" s="49">
        <v>44546.94987246528</v>
      </c>
      <c r="B3241" s="50">
        <v>44547.0748503356</v>
      </c>
      <c r="C3241" s="51">
        <v>1.015</v>
      </c>
      <c r="D3241" s="51">
        <v>62.0</v>
      </c>
      <c r="E3241" s="52" t="s">
        <v>25</v>
      </c>
      <c r="F3241" s="52" t="s">
        <v>26</v>
      </c>
      <c r="G3241" s="53"/>
    </row>
    <row r="3242">
      <c r="A3242" s="49">
        <v>44546.960309016205</v>
      </c>
      <c r="B3242" s="50">
        <v>44547.0852834027</v>
      </c>
      <c r="C3242" s="51">
        <v>1.015</v>
      </c>
      <c r="D3242" s="51">
        <v>62.0</v>
      </c>
      <c r="E3242" s="52" t="s">
        <v>25</v>
      </c>
      <c r="F3242" s="52" t="s">
        <v>26</v>
      </c>
      <c r="G3242" s="53"/>
    </row>
    <row r="3243">
      <c r="A3243" s="49">
        <v>44546.970736585645</v>
      </c>
      <c r="B3243" s="50">
        <v>44547.0957051041</v>
      </c>
      <c r="C3243" s="51">
        <v>1.014</v>
      </c>
      <c r="D3243" s="51">
        <v>62.0</v>
      </c>
      <c r="E3243" s="52" t="s">
        <v>25</v>
      </c>
      <c r="F3243" s="52" t="s">
        <v>26</v>
      </c>
      <c r="G3243" s="53"/>
    </row>
    <row r="3244">
      <c r="A3244" s="49">
        <v>44546.9811590162</v>
      </c>
      <c r="B3244" s="50">
        <v>44547.1061276851</v>
      </c>
      <c r="C3244" s="51">
        <v>1.014</v>
      </c>
      <c r="D3244" s="51">
        <v>62.0</v>
      </c>
      <c r="E3244" s="52" t="s">
        <v>25</v>
      </c>
      <c r="F3244" s="52" t="s">
        <v>26</v>
      </c>
      <c r="G3244" s="53"/>
    </row>
    <row r="3245">
      <c r="A3245" s="49">
        <v>44546.99158503472</v>
      </c>
      <c r="B3245" s="50">
        <v>44547.11654853</v>
      </c>
      <c r="C3245" s="51">
        <v>1.014</v>
      </c>
      <c r="D3245" s="51">
        <v>62.0</v>
      </c>
      <c r="E3245" s="52" t="s">
        <v>25</v>
      </c>
      <c r="F3245" s="52" t="s">
        <v>26</v>
      </c>
      <c r="G3245" s="53"/>
    </row>
    <row r="3246">
      <c r="A3246" s="49">
        <v>44547.002004317124</v>
      </c>
      <c r="B3246" s="50">
        <v>44547.1269698611</v>
      </c>
      <c r="C3246" s="51">
        <v>1.015</v>
      </c>
      <c r="D3246" s="51">
        <v>62.0</v>
      </c>
      <c r="E3246" s="52" t="s">
        <v>25</v>
      </c>
      <c r="F3246" s="52" t="s">
        <v>26</v>
      </c>
      <c r="G3246" s="53"/>
    </row>
    <row r="3247">
      <c r="A3247" s="49">
        <v>44547.01242226852</v>
      </c>
      <c r="B3247" s="50">
        <v>44547.13739125</v>
      </c>
      <c r="C3247" s="51">
        <v>1.015</v>
      </c>
      <c r="D3247" s="51">
        <v>62.0</v>
      </c>
      <c r="E3247" s="52" t="s">
        <v>25</v>
      </c>
      <c r="F3247" s="52" t="s">
        <v>26</v>
      </c>
      <c r="G3247" s="53"/>
    </row>
    <row r="3248">
      <c r="A3248" s="49">
        <v>44547.02284372685</v>
      </c>
      <c r="B3248" s="50">
        <v>44547.1478131134</v>
      </c>
      <c r="C3248" s="51">
        <v>1.014</v>
      </c>
      <c r="D3248" s="51">
        <v>62.0</v>
      </c>
      <c r="E3248" s="52" t="s">
        <v>25</v>
      </c>
      <c r="F3248" s="52" t="s">
        <v>26</v>
      </c>
      <c r="G3248" s="53"/>
    </row>
    <row r="3249">
      <c r="A3249" s="49">
        <v>44547.03326939815</v>
      </c>
      <c r="B3249" s="50">
        <v>44547.1582329513</v>
      </c>
      <c r="C3249" s="51">
        <v>1.014</v>
      </c>
      <c r="D3249" s="51">
        <v>62.0</v>
      </c>
      <c r="E3249" s="52" t="s">
        <v>25</v>
      </c>
      <c r="F3249" s="52" t="s">
        <v>26</v>
      </c>
      <c r="G3249" s="53"/>
    </row>
    <row r="3250">
      <c r="A3250" s="49">
        <v>44547.04370902778</v>
      </c>
      <c r="B3250" s="50">
        <v>44547.1686775694</v>
      </c>
      <c r="C3250" s="51">
        <v>1.014</v>
      </c>
      <c r="D3250" s="51">
        <v>62.0</v>
      </c>
      <c r="E3250" s="52" t="s">
        <v>25</v>
      </c>
      <c r="F3250" s="52" t="s">
        <v>26</v>
      </c>
      <c r="G3250" s="53"/>
    </row>
    <row r="3251">
      <c r="A3251" s="49">
        <v>44547.05414252315</v>
      </c>
      <c r="B3251" s="50">
        <v>44547.1791123958</v>
      </c>
      <c r="C3251" s="51">
        <v>1.014</v>
      </c>
      <c r="D3251" s="51">
        <v>62.0</v>
      </c>
      <c r="E3251" s="52" t="s">
        <v>25</v>
      </c>
      <c r="F3251" s="52" t="s">
        <v>26</v>
      </c>
      <c r="G3251" s="53"/>
    </row>
    <row r="3252">
      <c r="A3252" s="49">
        <v>44547.06456616898</v>
      </c>
      <c r="B3252" s="50">
        <v>44547.189534155</v>
      </c>
      <c r="C3252" s="51">
        <v>1.014</v>
      </c>
      <c r="D3252" s="51">
        <v>62.0</v>
      </c>
      <c r="E3252" s="52" t="s">
        <v>25</v>
      </c>
      <c r="F3252" s="52" t="s">
        <v>26</v>
      </c>
      <c r="G3252" s="53"/>
    </row>
    <row r="3253">
      <c r="A3253" s="49">
        <v>44547.07498435186</v>
      </c>
      <c r="B3253" s="50">
        <v>44547.1999539004</v>
      </c>
      <c r="C3253" s="51">
        <v>1.014</v>
      </c>
      <c r="D3253" s="51">
        <v>62.0</v>
      </c>
      <c r="E3253" s="52" t="s">
        <v>25</v>
      </c>
      <c r="F3253" s="52" t="s">
        <v>26</v>
      </c>
      <c r="G3253" s="53"/>
    </row>
    <row r="3254">
      <c r="A3254" s="49">
        <v>44547.08540600694</v>
      </c>
      <c r="B3254" s="50">
        <v>44547.2103748263</v>
      </c>
      <c r="C3254" s="51">
        <v>1.014</v>
      </c>
      <c r="D3254" s="51">
        <v>62.0</v>
      </c>
      <c r="E3254" s="52" t="s">
        <v>25</v>
      </c>
      <c r="F3254" s="52" t="s">
        <v>26</v>
      </c>
      <c r="G3254" s="53"/>
    </row>
    <row r="3255">
      <c r="A3255" s="49">
        <v>44547.09582502315</v>
      </c>
      <c r="B3255" s="50">
        <v>44547.220796655</v>
      </c>
      <c r="C3255" s="51">
        <v>1.015</v>
      </c>
      <c r="D3255" s="51">
        <v>62.0</v>
      </c>
      <c r="E3255" s="52" t="s">
        <v>25</v>
      </c>
      <c r="F3255" s="52" t="s">
        <v>26</v>
      </c>
      <c r="G3255" s="53"/>
    </row>
    <row r="3256">
      <c r="A3256" s="49">
        <v>44547.106253958336</v>
      </c>
      <c r="B3256" s="50">
        <v>44547.2312196759</v>
      </c>
      <c r="C3256" s="51">
        <v>1.014</v>
      </c>
      <c r="D3256" s="51">
        <v>62.0</v>
      </c>
      <c r="E3256" s="52" t="s">
        <v>25</v>
      </c>
      <c r="F3256" s="52" t="s">
        <v>26</v>
      </c>
      <c r="G3256" s="53"/>
    </row>
    <row r="3257">
      <c r="A3257" s="49">
        <v>44547.11668766204</v>
      </c>
      <c r="B3257" s="50">
        <v>44547.2416530439</v>
      </c>
      <c r="C3257" s="51">
        <v>1.014</v>
      </c>
      <c r="D3257" s="51">
        <v>62.0</v>
      </c>
      <c r="E3257" s="52" t="s">
        <v>25</v>
      </c>
      <c r="F3257" s="52" t="s">
        <v>26</v>
      </c>
      <c r="G3257" s="53"/>
    </row>
    <row r="3258">
      <c r="A3258" s="49">
        <v>44547.12710873842</v>
      </c>
      <c r="B3258" s="50">
        <v>44547.2520722222</v>
      </c>
      <c r="C3258" s="51">
        <v>1.014</v>
      </c>
      <c r="D3258" s="51">
        <v>62.0</v>
      </c>
      <c r="E3258" s="52" t="s">
        <v>25</v>
      </c>
      <c r="F3258" s="52" t="s">
        <v>26</v>
      </c>
      <c r="G3258" s="53"/>
    </row>
    <row r="3259">
      <c r="A3259" s="49">
        <v>44547.13752664352</v>
      </c>
      <c r="B3259" s="50">
        <v>44547.2624936805</v>
      </c>
      <c r="C3259" s="51">
        <v>1.014</v>
      </c>
      <c r="D3259" s="51">
        <v>62.0</v>
      </c>
      <c r="E3259" s="52" t="s">
        <v>25</v>
      </c>
      <c r="F3259" s="52" t="s">
        <v>26</v>
      </c>
      <c r="G3259" s="53"/>
    </row>
    <row r="3260">
      <c r="A3260" s="49">
        <v>44547.147944791664</v>
      </c>
      <c r="B3260" s="50">
        <v>44547.2729139351</v>
      </c>
      <c r="C3260" s="51">
        <v>1.014</v>
      </c>
      <c r="D3260" s="51">
        <v>62.0</v>
      </c>
      <c r="E3260" s="52" t="s">
        <v>25</v>
      </c>
      <c r="F3260" s="52" t="s">
        <v>26</v>
      </c>
      <c r="G3260" s="53"/>
    </row>
    <row r="3261">
      <c r="A3261" s="49">
        <v>44547.15835625</v>
      </c>
      <c r="B3261" s="50">
        <v>44547.2833323958</v>
      </c>
      <c r="C3261" s="51">
        <v>1.014</v>
      </c>
      <c r="D3261" s="51">
        <v>62.0</v>
      </c>
      <c r="E3261" s="52" t="s">
        <v>25</v>
      </c>
      <c r="F3261" s="52" t="s">
        <v>26</v>
      </c>
      <c r="G3261" s="53"/>
    </row>
    <row r="3262">
      <c r="A3262" s="49">
        <v>44547.16878432871</v>
      </c>
      <c r="B3262" s="50">
        <v>44547.2937537152</v>
      </c>
      <c r="C3262" s="51">
        <v>1.014</v>
      </c>
      <c r="D3262" s="51">
        <v>62.0</v>
      </c>
      <c r="E3262" s="52" t="s">
        <v>25</v>
      </c>
      <c r="F3262" s="52" t="s">
        <v>26</v>
      </c>
      <c r="G3262" s="53"/>
    </row>
    <row r="3263">
      <c r="A3263" s="49">
        <v>44547.179205231485</v>
      </c>
      <c r="B3263" s="50">
        <v>44547.3041751736</v>
      </c>
      <c r="C3263" s="51">
        <v>1.014</v>
      </c>
      <c r="D3263" s="51">
        <v>62.0</v>
      </c>
      <c r="E3263" s="52" t="s">
        <v>25</v>
      </c>
      <c r="F3263" s="52" t="s">
        <v>26</v>
      </c>
      <c r="G3263" s="53"/>
    </row>
    <row r="3264">
      <c r="A3264" s="49">
        <v>44547.18962181713</v>
      </c>
      <c r="B3264" s="50">
        <v>44547.3145970138</v>
      </c>
      <c r="C3264" s="51">
        <v>1.014</v>
      </c>
      <c r="D3264" s="51">
        <v>62.0</v>
      </c>
      <c r="E3264" s="52" t="s">
        <v>25</v>
      </c>
      <c r="F3264" s="52" t="s">
        <v>26</v>
      </c>
      <c r="G3264" s="53"/>
    </row>
    <row r="3265">
      <c r="A3265" s="49">
        <v>44547.200043854165</v>
      </c>
      <c r="B3265" s="50">
        <v>44547.3250187962</v>
      </c>
      <c r="C3265" s="51">
        <v>1.014</v>
      </c>
      <c r="D3265" s="51">
        <v>62.0</v>
      </c>
      <c r="E3265" s="52" t="s">
        <v>25</v>
      </c>
      <c r="F3265" s="52" t="s">
        <v>26</v>
      </c>
      <c r="G3265" s="53"/>
    </row>
    <row r="3266">
      <c r="A3266" s="49">
        <v>44547.210476064814</v>
      </c>
      <c r="B3266" s="50">
        <v>44547.335450324</v>
      </c>
      <c r="C3266" s="51">
        <v>1.014</v>
      </c>
      <c r="D3266" s="51">
        <v>62.0</v>
      </c>
      <c r="E3266" s="52" t="s">
        <v>25</v>
      </c>
      <c r="F3266" s="52" t="s">
        <v>26</v>
      </c>
      <c r="G3266" s="53"/>
    </row>
    <row r="3267">
      <c r="A3267" s="49">
        <v>44547.22091185185</v>
      </c>
      <c r="B3267" s="50">
        <v>44547.3458833217</v>
      </c>
      <c r="C3267" s="51">
        <v>1.014</v>
      </c>
      <c r="D3267" s="51">
        <v>62.0</v>
      </c>
      <c r="E3267" s="52" t="s">
        <v>25</v>
      </c>
      <c r="F3267" s="52" t="s">
        <v>26</v>
      </c>
      <c r="G3267" s="53"/>
    </row>
    <row r="3268">
      <c r="A3268" s="49">
        <v>44547.23135195602</v>
      </c>
      <c r="B3268" s="50">
        <v>44547.3563041666</v>
      </c>
      <c r="C3268" s="51">
        <v>1.014</v>
      </c>
      <c r="D3268" s="51">
        <v>62.0</v>
      </c>
      <c r="E3268" s="52" t="s">
        <v>25</v>
      </c>
      <c r="F3268" s="52" t="s">
        <v>26</v>
      </c>
      <c r="G3268" s="53"/>
    </row>
    <row r="3269">
      <c r="A3269" s="49">
        <v>44547.24176474537</v>
      </c>
      <c r="B3269" s="50">
        <v>44547.3667365162</v>
      </c>
      <c r="C3269" s="51">
        <v>1.014</v>
      </c>
      <c r="D3269" s="51">
        <v>62.0</v>
      </c>
      <c r="E3269" s="52" t="s">
        <v>25</v>
      </c>
      <c r="F3269" s="52" t="s">
        <v>26</v>
      </c>
      <c r="G3269" s="53"/>
    </row>
    <row r="3270">
      <c r="A3270" s="49">
        <v>44547.25218949074</v>
      </c>
      <c r="B3270" s="50">
        <v>44547.3771588541</v>
      </c>
      <c r="C3270" s="51">
        <v>1.014</v>
      </c>
      <c r="D3270" s="51">
        <v>62.0</v>
      </c>
      <c r="E3270" s="52" t="s">
        <v>25</v>
      </c>
      <c r="F3270" s="52" t="s">
        <v>26</v>
      </c>
      <c r="G3270" s="53"/>
    </row>
    <row r="3271">
      <c r="A3271" s="49">
        <v>44547.2626025</v>
      </c>
      <c r="B3271" s="50">
        <v>44547.3875792824</v>
      </c>
      <c r="C3271" s="51">
        <v>1.014</v>
      </c>
      <c r="D3271" s="51">
        <v>62.0</v>
      </c>
      <c r="E3271" s="52" t="s">
        <v>25</v>
      </c>
      <c r="F3271" s="52" t="s">
        <v>26</v>
      </c>
      <c r="G3271" s="53"/>
    </row>
    <row r="3272">
      <c r="A3272" s="49">
        <v>44547.27302645834</v>
      </c>
      <c r="B3272" s="50">
        <v>44547.3980019791</v>
      </c>
      <c r="C3272" s="51">
        <v>1.014</v>
      </c>
      <c r="D3272" s="51">
        <v>62.0</v>
      </c>
      <c r="E3272" s="52" t="s">
        <v>25</v>
      </c>
      <c r="F3272" s="52" t="s">
        <v>26</v>
      </c>
      <c r="G3272" s="53"/>
    </row>
    <row r="3273">
      <c r="A3273" s="49">
        <v>44547.283460694445</v>
      </c>
      <c r="B3273" s="50">
        <v>44547.4084339814</v>
      </c>
      <c r="C3273" s="51">
        <v>1.014</v>
      </c>
      <c r="D3273" s="51">
        <v>62.0</v>
      </c>
      <c r="E3273" s="52" t="s">
        <v>25</v>
      </c>
      <c r="F3273" s="52" t="s">
        <v>26</v>
      </c>
      <c r="G3273" s="53"/>
    </row>
    <row r="3274">
      <c r="A3274" s="49">
        <v>44547.29388107639</v>
      </c>
      <c r="B3274" s="50">
        <v>44547.4188537731</v>
      </c>
      <c r="C3274" s="51">
        <v>1.014</v>
      </c>
      <c r="D3274" s="51">
        <v>62.0</v>
      </c>
      <c r="E3274" s="52" t="s">
        <v>25</v>
      </c>
      <c r="F3274" s="52" t="s">
        <v>26</v>
      </c>
      <c r="G3274" s="53"/>
    </row>
    <row r="3275">
      <c r="A3275" s="49">
        <v>44547.30429881944</v>
      </c>
      <c r="B3275" s="50">
        <v>44547.4292748611</v>
      </c>
      <c r="C3275" s="51">
        <v>1.014</v>
      </c>
      <c r="D3275" s="51">
        <v>62.0</v>
      </c>
      <c r="E3275" s="52" t="s">
        <v>25</v>
      </c>
      <c r="F3275" s="52" t="s">
        <v>26</v>
      </c>
      <c r="G3275" s="53"/>
    </row>
    <row r="3276">
      <c r="A3276" s="49">
        <v>44547.314741168986</v>
      </c>
      <c r="B3276" s="50">
        <v>44547.4397075231</v>
      </c>
      <c r="C3276" s="51">
        <v>1.014</v>
      </c>
      <c r="D3276" s="51">
        <v>62.0</v>
      </c>
      <c r="E3276" s="52" t="s">
        <v>25</v>
      </c>
      <c r="F3276" s="52" t="s">
        <v>26</v>
      </c>
      <c r="G3276" s="53"/>
    </row>
    <row r="3277">
      <c r="A3277" s="49">
        <v>44547.32516652778</v>
      </c>
      <c r="B3277" s="50">
        <v>44547.4501284027</v>
      </c>
      <c r="C3277" s="51">
        <v>1.014</v>
      </c>
      <c r="D3277" s="51">
        <v>62.0</v>
      </c>
      <c r="E3277" s="52" t="s">
        <v>25</v>
      </c>
      <c r="F3277" s="52" t="s">
        <v>26</v>
      </c>
      <c r="G3277" s="53"/>
    </row>
    <row r="3278">
      <c r="A3278" s="49">
        <v>44547.3355843287</v>
      </c>
      <c r="B3278" s="50">
        <v>44547.4605501967</v>
      </c>
      <c r="C3278" s="51">
        <v>1.014</v>
      </c>
      <c r="D3278" s="51">
        <v>62.0</v>
      </c>
      <c r="E3278" s="52" t="s">
        <v>25</v>
      </c>
      <c r="F3278" s="52" t="s">
        <v>26</v>
      </c>
      <c r="G3278" s="53"/>
    </row>
    <row r="3279">
      <c r="A3279" s="49">
        <v>44547.34600710648</v>
      </c>
      <c r="B3279" s="50">
        <v>44547.4709707523</v>
      </c>
      <c r="C3279" s="51">
        <v>1.014</v>
      </c>
      <c r="D3279" s="51">
        <v>62.0</v>
      </c>
      <c r="E3279" s="52" t="s">
        <v>25</v>
      </c>
      <c r="F3279" s="52" t="s">
        <v>26</v>
      </c>
      <c r="G3279" s="53"/>
    </row>
    <row r="3280">
      <c r="A3280" s="49">
        <v>44547.35641719907</v>
      </c>
      <c r="B3280" s="50">
        <v>44547.4813900925</v>
      </c>
      <c r="C3280" s="51">
        <v>1.014</v>
      </c>
      <c r="D3280" s="51">
        <v>63.0</v>
      </c>
      <c r="E3280" s="52" t="s">
        <v>25</v>
      </c>
      <c r="F3280" s="52" t="s">
        <v>26</v>
      </c>
      <c r="G3280" s="53"/>
    </row>
    <row r="3281">
      <c r="A3281" s="49">
        <v>44547.366856215274</v>
      </c>
      <c r="B3281" s="50">
        <v>44547.4918113773</v>
      </c>
      <c r="C3281" s="51">
        <v>1.014</v>
      </c>
      <c r="D3281" s="51">
        <v>63.0</v>
      </c>
      <c r="E3281" s="52" t="s">
        <v>25</v>
      </c>
      <c r="F3281" s="52" t="s">
        <v>26</v>
      </c>
      <c r="G3281" s="53"/>
    </row>
    <row r="3282">
      <c r="A3282" s="49">
        <v>44547.377269942124</v>
      </c>
      <c r="B3282" s="50">
        <v>44547.5022321643</v>
      </c>
      <c r="C3282" s="51">
        <v>1.014</v>
      </c>
      <c r="D3282" s="51">
        <v>62.0</v>
      </c>
      <c r="E3282" s="52" t="s">
        <v>25</v>
      </c>
      <c r="F3282" s="52" t="s">
        <v>26</v>
      </c>
      <c r="G3282" s="53"/>
    </row>
    <row r="3283">
      <c r="A3283" s="49">
        <v>44547.38769292824</v>
      </c>
      <c r="B3283" s="50">
        <v>44547.5126527893</v>
      </c>
      <c r="C3283" s="51">
        <v>1.014</v>
      </c>
      <c r="D3283" s="51">
        <v>62.0</v>
      </c>
      <c r="E3283" s="52" t="s">
        <v>25</v>
      </c>
      <c r="F3283" s="52" t="s">
        <v>26</v>
      </c>
      <c r="G3283" s="53"/>
    </row>
    <row r="3284">
      <c r="A3284" s="49">
        <v>44547.398101597224</v>
      </c>
      <c r="B3284" s="50">
        <v>44547.5230733449</v>
      </c>
      <c r="C3284" s="51">
        <v>1.014</v>
      </c>
      <c r="D3284" s="51">
        <v>62.0</v>
      </c>
      <c r="E3284" s="52" t="s">
        <v>25</v>
      </c>
      <c r="F3284" s="52" t="s">
        <v>26</v>
      </c>
      <c r="G3284" s="53"/>
    </row>
    <row r="3285">
      <c r="A3285" s="49">
        <v>44547.408529374996</v>
      </c>
      <c r="B3285" s="50">
        <v>44547.5334955324</v>
      </c>
      <c r="C3285" s="51">
        <v>1.014</v>
      </c>
      <c r="D3285" s="51">
        <v>63.0</v>
      </c>
      <c r="E3285" s="52" t="s">
        <v>25</v>
      </c>
      <c r="F3285" s="52" t="s">
        <v>26</v>
      </c>
      <c r="G3285" s="53"/>
    </row>
    <row r="3286">
      <c r="A3286" s="49">
        <v>44547.41894300926</v>
      </c>
      <c r="B3286" s="50">
        <v>44547.5439162731</v>
      </c>
      <c r="C3286" s="51">
        <v>1.014</v>
      </c>
      <c r="D3286" s="51">
        <v>62.0</v>
      </c>
      <c r="E3286" s="52" t="s">
        <v>25</v>
      </c>
      <c r="F3286" s="52" t="s">
        <v>26</v>
      </c>
      <c r="G3286" s="53"/>
    </row>
    <row r="3287">
      <c r="A3287" s="49">
        <v>44547.429365289354</v>
      </c>
      <c r="B3287" s="50">
        <v>44547.5543357754</v>
      </c>
      <c r="C3287" s="51">
        <v>1.014</v>
      </c>
      <c r="D3287" s="51">
        <v>62.0</v>
      </c>
      <c r="E3287" s="52" t="s">
        <v>25</v>
      </c>
      <c r="F3287" s="52" t="s">
        <v>26</v>
      </c>
      <c r="G3287" s="53"/>
    </row>
    <row r="3288">
      <c r="A3288" s="49">
        <v>44547.43979209491</v>
      </c>
      <c r="B3288" s="50">
        <v>44547.5647559375</v>
      </c>
      <c r="C3288" s="51">
        <v>1.014</v>
      </c>
      <c r="D3288" s="51">
        <v>63.0</v>
      </c>
      <c r="E3288" s="52" t="s">
        <v>25</v>
      </c>
      <c r="F3288" s="52" t="s">
        <v>26</v>
      </c>
      <c r="G3288" s="53"/>
    </row>
    <row r="3289">
      <c r="A3289" s="49">
        <v>44547.45020614583</v>
      </c>
      <c r="B3289" s="50">
        <v>44547.5751776851</v>
      </c>
      <c r="C3289" s="51">
        <v>1.014</v>
      </c>
      <c r="D3289" s="51">
        <v>62.0</v>
      </c>
      <c r="E3289" s="52" t="s">
        <v>25</v>
      </c>
      <c r="F3289" s="52" t="s">
        <v>26</v>
      </c>
      <c r="G3289" s="53"/>
    </row>
    <row r="3290">
      <c r="A3290" s="49">
        <v>44547.460636909724</v>
      </c>
      <c r="B3290" s="50">
        <v>44547.5856106249</v>
      </c>
      <c r="C3290" s="51">
        <v>1.014</v>
      </c>
      <c r="D3290" s="51">
        <v>63.0</v>
      </c>
      <c r="E3290" s="52" t="s">
        <v>25</v>
      </c>
      <c r="F3290" s="52" t="s">
        <v>26</v>
      </c>
      <c r="G3290" s="53"/>
    </row>
    <row r="3291">
      <c r="A3291" s="49">
        <v>44547.47106060185</v>
      </c>
      <c r="B3291" s="50">
        <v>44547.59603103</v>
      </c>
      <c r="C3291" s="51">
        <v>1.014</v>
      </c>
      <c r="D3291" s="51">
        <v>63.0</v>
      </c>
      <c r="E3291" s="52" t="s">
        <v>25</v>
      </c>
      <c r="F3291" s="52" t="s">
        <v>26</v>
      </c>
      <c r="G3291" s="53"/>
    </row>
    <row r="3292">
      <c r="A3292" s="49">
        <v>44547.48147633101</v>
      </c>
      <c r="B3292" s="50">
        <v>44547.6064530555</v>
      </c>
      <c r="C3292" s="51">
        <v>1.014</v>
      </c>
      <c r="D3292" s="51">
        <v>62.0</v>
      </c>
      <c r="E3292" s="52" t="s">
        <v>25</v>
      </c>
      <c r="F3292" s="52" t="s">
        <v>26</v>
      </c>
      <c r="G3292" s="53"/>
    </row>
    <row r="3293">
      <c r="A3293" s="49">
        <v>44547.4918975926</v>
      </c>
      <c r="B3293" s="50">
        <v>44547.6168751157</v>
      </c>
      <c r="C3293" s="51">
        <v>1.014</v>
      </c>
      <c r="D3293" s="51">
        <v>63.0</v>
      </c>
      <c r="E3293" s="52" t="s">
        <v>25</v>
      </c>
      <c r="F3293" s="52" t="s">
        <v>26</v>
      </c>
      <c r="G3293" s="53"/>
    </row>
    <row r="3294">
      <c r="A3294" s="49">
        <v>44547.50232246528</v>
      </c>
      <c r="B3294" s="50">
        <v>44547.6272963657</v>
      </c>
      <c r="C3294" s="51">
        <v>1.014</v>
      </c>
      <c r="D3294" s="51">
        <v>63.0</v>
      </c>
      <c r="E3294" s="52" t="s">
        <v>25</v>
      </c>
      <c r="F3294" s="52" t="s">
        <v>26</v>
      </c>
      <c r="G3294" s="53"/>
    </row>
    <row r="3295">
      <c r="A3295" s="49">
        <v>44547.51274873843</v>
      </c>
      <c r="B3295" s="50">
        <v>44547.6377175231</v>
      </c>
      <c r="C3295" s="51">
        <v>1.014</v>
      </c>
      <c r="D3295" s="51">
        <v>62.0</v>
      </c>
      <c r="E3295" s="52" t="s">
        <v>25</v>
      </c>
      <c r="F3295" s="52" t="s">
        <v>26</v>
      </c>
      <c r="G3295" s="53"/>
    </row>
    <row r="3296">
      <c r="A3296" s="49">
        <v>44547.52317428241</v>
      </c>
      <c r="B3296" s="50">
        <v>44547.6481389351</v>
      </c>
      <c r="C3296" s="51">
        <v>1.014</v>
      </c>
      <c r="D3296" s="51">
        <v>63.0</v>
      </c>
      <c r="E3296" s="52" t="s">
        <v>25</v>
      </c>
      <c r="F3296" s="52" t="s">
        <v>26</v>
      </c>
      <c r="G3296" s="53"/>
    </row>
    <row r="3297">
      <c r="A3297" s="49">
        <v>44547.53359121528</v>
      </c>
      <c r="B3297" s="50">
        <v>44547.658561956</v>
      </c>
      <c r="C3297" s="51">
        <v>1.014</v>
      </c>
      <c r="D3297" s="51">
        <v>63.0</v>
      </c>
      <c r="E3297" s="52" t="s">
        <v>25</v>
      </c>
      <c r="F3297" s="52" t="s">
        <v>26</v>
      </c>
      <c r="G3297" s="53"/>
    </row>
    <row r="3298">
      <c r="A3298" s="49">
        <v>44547.54401554399</v>
      </c>
      <c r="B3298" s="50">
        <v>44547.6689834143</v>
      </c>
      <c r="C3298" s="51">
        <v>1.014</v>
      </c>
      <c r="D3298" s="51">
        <v>63.0</v>
      </c>
      <c r="E3298" s="52" t="s">
        <v>25</v>
      </c>
      <c r="F3298" s="52" t="s">
        <v>26</v>
      </c>
      <c r="G3298" s="53"/>
    </row>
    <row r="3299">
      <c r="A3299" s="49">
        <v>44547.554434606485</v>
      </c>
      <c r="B3299" s="50">
        <v>44547.6794037036</v>
      </c>
      <c r="C3299" s="51">
        <v>1.014</v>
      </c>
      <c r="D3299" s="51">
        <v>63.0</v>
      </c>
      <c r="E3299" s="52" t="s">
        <v>25</v>
      </c>
      <c r="F3299" s="52" t="s">
        <v>26</v>
      </c>
      <c r="G3299" s="53"/>
    </row>
    <row r="3300">
      <c r="A3300" s="49">
        <v>44547.564865844906</v>
      </c>
      <c r="B3300" s="50">
        <v>44547.6898362384</v>
      </c>
      <c r="C3300" s="51">
        <v>1.014</v>
      </c>
      <c r="D3300" s="51">
        <v>63.0</v>
      </c>
      <c r="E3300" s="52" t="s">
        <v>25</v>
      </c>
      <c r="F3300" s="52" t="s">
        <v>26</v>
      </c>
      <c r="G3300" s="53"/>
    </row>
    <row r="3301">
      <c r="A3301" s="49">
        <v>44547.575285486106</v>
      </c>
      <c r="B3301" s="50">
        <v>44547.7002578587</v>
      </c>
      <c r="C3301" s="51">
        <v>1.014</v>
      </c>
      <c r="D3301" s="51">
        <v>63.0</v>
      </c>
      <c r="E3301" s="52" t="s">
        <v>25</v>
      </c>
      <c r="F3301" s="52" t="s">
        <v>26</v>
      </c>
      <c r="G3301" s="53"/>
    </row>
    <row r="3302">
      <c r="A3302" s="49">
        <v>44547.585715277775</v>
      </c>
      <c r="B3302" s="50">
        <v>44547.7106901967</v>
      </c>
      <c r="C3302" s="51">
        <v>1.014</v>
      </c>
      <c r="D3302" s="51">
        <v>63.0</v>
      </c>
      <c r="E3302" s="52" t="s">
        <v>25</v>
      </c>
      <c r="F3302" s="52" t="s">
        <v>26</v>
      </c>
      <c r="G3302" s="53"/>
    </row>
    <row r="3303">
      <c r="A3303" s="49">
        <v>44547.596135844906</v>
      </c>
      <c r="B3303" s="50">
        <v>44547.7211107291</v>
      </c>
      <c r="C3303" s="51">
        <v>1.014</v>
      </c>
      <c r="D3303" s="51">
        <v>63.0</v>
      </c>
      <c r="E3303" s="52" t="s">
        <v>25</v>
      </c>
      <c r="F3303" s="52" t="s">
        <v>26</v>
      </c>
      <c r="G3303" s="53"/>
    </row>
    <row r="3304">
      <c r="A3304" s="49">
        <v>44547.606566574075</v>
      </c>
      <c r="B3304" s="50">
        <v>44547.7315316203</v>
      </c>
      <c r="C3304" s="51">
        <v>1.014</v>
      </c>
      <c r="D3304" s="51">
        <v>63.0</v>
      </c>
      <c r="E3304" s="52" t="s">
        <v>25</v>
      </c>
      <c r="F3304" s="52" t="s">
        <v>26</v>
      </c>
      <c r="G3304" s="53"/>
    </row>
    <row r="3305">
      <c r="A3305" s="49">
        <v>44547.61698142361</v>
      </c>
      <c r="B3305" s="50">
        <v>44547.7419522569</v>
      </c>
      <c r="C3305" s="51">
        <v>1.014</v>
      </c>
      <c r="D3305" s="51">
        <v>63.0</v>
      </c>
      <c r="E3305" s="52" t="s">
        <v>25</v>
      </c>
      <c r="F3305" s="52" t="s">
        <v>26</v>
      </c>
      <c r="G3305" s="53"/>
    </row>
    <row r="3306">
      <c r="A3306" s="49">
        <v>44547.627414849536</v>
      </c>
      <c r="B3306" s="50">
        <v>44547.7523842245</v>
      </c>
      <c r="C3306" s="51">
        <v>1.014</v>
      </c>
      <c r="D3306" s="51">
        <v>62.0</v>
      </c>
      <c r="E3306" s="52" t="s">
        <v>25</v>
      </c>
      <c r="F3306" s="52" t="s">
        <v>26</v>
      </c>
      <c r="G3306" s="53"/>
    </row>
    <row r="3307">
      <c r="A3307" s="49">
        <v>44547.6378456713</v>
      </c>
      <c r="B3307" s="50">
        <v>44547.7628169097</v>
      </c>
      <c r="C3307" s="51">
        <v>1.014</v>
      </c>
      <c r="D3307" s="51">
        <v>63.0</v>
      </c>
      <c r="E3307" s="52" t="s">
        <v>25</v>
      </c>
      <c r="F3307" s="52" t="s">
        <v>26</v>
      </c>
      <c r="G3307" s="53"/>
    </row>
    <row r="3308">
      <c r="A3308" s="49">
        <v>44547.648258553236</v>
      </c>
      <c r="B3308" s="50">
        <v>44547.7732360763</v>
      </c>
      <c r="C3308" s="51">
        <v>1.014</v>
      </c>
      <c r="D3308" s="51">
        <v>63.0</v>
      </c>
      <c r="E3308" s="52" t="s">
        <v>25</v>
      </c>
      <c r="F3308" s="52" t="s">
        <v>26</v>
      </c>
      <c r="G3308" s="53"/>
    </row>
    <row r="3309">
      <c r="A3309" s="49">
        <v>44547.658690752316</v>
      </c>
      <c r="B3309" s="50">
        <v>44547.7836556712</v>
      </c>
      <c r="C3309" s="51">
        <v>1.014</v>
      </c>
      <c r="D3309" s="51">
        <v>63.0</v>
      </c>
      <c r="E3309" s="52" t="s">
        <v>25</v>
      </c>
      <c r="F3309" s="52" t="s">
        <v>26</v>
      </c>
      <c r="G3309" s="53"/>
    </row>
    <row r="3310">
      <c r="A3310" s="49">
        <v>44547.669115439814</v>
      </c>
      <c r="B3310" s="50">
        <v>44547.7940882523</v>
      </c>
      <c r="C3310" s="51">
        <v>1.014</v>
      </c>
      <c r="D3310" s="51">
        <v>63.0</v>
      </c>
      <c r="E3310" s="52" t="s">
        <v>25</v>
      </c>
      <c r="F3310" s="52" t="s">
        <v>26</v>
      </c>
      <c r="G3310" s="53"/>
    </row>
    <row r="3311">
      <c r="A3311" s="49">
        <v>44547.67953689815</v>
      </c>
      <c r="B3311" s="50">
        <v>44547.804508831</v>
      </c>
      <c r="C3311" s="51">
        <v>1.014</v>
      </c>
      <c r="D3311" s="51">
        <v>63.0</v>
      </c>
      <c r="E3311" s="52" t="s">
        <v>25</v>
      </c>
      <c r="F3311" s="52" t="s">
        <v>26</v>
      </c>
      <c r="G3311" s="53"/>
    </row>
    <row r="3312">
      <c r="A3312" s="49">
        <v>44547.68997571759</v>
      </c>
      <c r="B3312" s="50">
        <v>44547.8149419791</v>
      </c>
      <c r="C3312" s="51">
        <v>1.014</v>
      </c>
      <c r="D3312" s="51">
        <v>63.0</v>
      </c>
      <c r="E3312" s="52" t="s">
        <v>25</v>
      </c>
      <c r="F3312" s="52" t="s">
        <v>26</v>
      </c>
      <c r="G3312" s="53"/>
    </row>
    <row r="3313">
      <c r="A3313" s="49">
        <v>44547.7003924537</v>
      </c>
      <c r="B3313" s="50">
        <v>44547.825363206</v>
      </c>
      <c r="C3313" s="51">
        <v>1.014</v>
      </c>
      <c r="D3313" s="51">
        <v>63.0</v>
      </c>
      <c r="E3313" s="52" t="s">
        <v>25</v>
      </c>
      <c r="F3313" s="52" t="s">
        <v>26</v>
      </c>
      <c r="G3313" s="53"/>
    </row>
    <row r="3314">
      <c r="A3314" s="49">
        <v>44547.710808993055</v>
      </c>
      <c r="B3314" s="50">
        <v>44547.8357831828</v>
      </c>
      <c r="C3314" s="51">
        <v>1.014</v>
      </c>
      <c r="D3314" s="51">
        <v>63.0</v>
      </c>
      <c r="E3314" s="52" t="s">
        <v>25</v>
      </c>
      <c r="F3314" s="52" t="s">
        <v>26</v>
      </c>
      <c r="G3314" s="53"/>
    </row>
    <row r="3315">
      <c r="A3315" s="49">
        <v>44547.72123267361</v>
      </c>
      <c r="B3315" s="50">
        <v>44547.846205405</v>
      </c>
      <c r="C3315" s="51">
        <v>1.014</v>
      </c>
      <c r="D3315" s="51">
        <v>63.0</v>
      </c>
      <c r="E3315" s="52" t="s">
        <v>25</v>
      </c>
      <c r="F3315" s="52" t="s">
        <v>26</v>
      </c>
      <c r="G3315" s="53"/>
    </row>
    <row r="3316">
      <c r="A3316" s="49">
        <v>44547.731654953706</v>
      </c>
      <c r="B3316" s="50">
        <v>44547.8566243518</v>
      </c>
      <c r="C3316" s="51">
        <v>1.014</v>
      </c>
      <c r="D3316" s="51">
        <v>63.0</v>
      </c>
      <c r="E3316" s="52" t="s">
        <v>25</v>
      </c>
      <c r="F3316" s="52" t="s">
        <v>26</v>
      </c>
      <c r="G3316" s="53"/>
    </row>
    <row r="3317">
      <c r="A3317" s="49">
        <v>44547.74207011574</v>
      </c>
      <c r="B3317" s="50">
        <v>44547.8670460416</v>
      </c>
      <c r="C3317" s="51">
        <v>1.014</v>
      </c>
      <c r="D3317" s="51">
        <v>63.0</v>
      </c>
      <c r="E3317" s="52" t="s">
        <v>25</v>
      </c>
      <c r="F3317" s="52" t="s">
        <v>26</v>
      </c>
      <c r="G3317" s="53"/>
    </row>
    <row r="3318">
      <c r="A3318" s="49">
        <v>44547.752501111114</v>
      </c>
      <c r="B3318" s="50">
        <v>44547.8774671643</v>
      </c>
      <c r="C3318" s="51">
        <v>1.014</v>
      </c>
      <c r="D3318" s="51">
        <v>62.0</v>
      </c>
      <c r="E3318" s="52" t="s">
        <v>25</v>
      </c>
      <c r="F3318" s="52" t="s">
        <v>26</v>
      </c>
      <c r="G3318" s="53"/>
    </row>
    <row r="3319">
      <c r="A3319" s="49">
        <v>44547.76293708333</v>
      </c>
      <c r="B3319" s="50">
        <v>44547.8879010879</v>
      </c>
      <c r="C3319" s="51">
        <v>1.014</v>
      </c>
      <c r="D3319" s="51">
        <v>63.0</v>
      </c>
      <c r="E3319" s="52" t="s">
        <v>25</v>
      </c>
      <c r="F3319" s="52" t="s">
        <v>26</v>
      </c>
      <c r="G3319" s="53"/>
    </row>
    <row r="3320">
      <c r="A3320" s="49">
        <v>44547.77336171296</v>
      </c>
      <c r="B3320" s="50">
        <v>44547.8983327777</v>
      </c>
      <c r="C3320" s="51">
        <v>1.014</v>
      </c>
      <c r="D3320" s="51">
        <v>63.0</v>
      </c>
      <c r="E3320" s="52" t="s">
        <v>25</v>
      </c>
      <c r="F3320" s="52" t="s">
        <v>26</v>
      </c>
      <c r="G3320" s="53"/>
    </row>
    <row r="3321">
      <c r="A3321" s="49">
        <v>44547.78378528936</v>
      </c>
      <c r="B3321" s="50">
        <v>44547.9087537963</v>
      </c>
      <c r="C3321" s="51">
        <v>1.014</v>
      </c>
      <c r="D3321" s="51">
        <v>63.0</v>
      </c>
      <c r="E3321" s="52" t="s">
        <v>25</v>
      </c>
      <c r="F3321" s="52" t="s">
        <v>26</v>
      </c>
      <c r="G3321" s="53"/>
    </row>
    <row r="3322">
      <c r="A3322" s="49">
        <v>44547.79420413195</v>
      </c>
      <c r="B3322" s="50">
        <v>44547.9191741435</v>
      </c>
      <c r="C3322" s="51">
        <v>1.014</v>
      </c>
      <c r="D3322" s="51">
        <v>63.0</v>
      </c>
      <c r="E3322" s="52" t="s">
        <v>25</v>
      </c>
      <c r="F3322" s="52" t="s">
        <v>26</v>
      </c>
      <c r="G3322" s="53"/>
    </row>
    <row r="3323">
      <c r="A3323" s="49">
        <v>44547.80462116898</v>
      </c>
      <c r="B3323" s="50">
        <v>44547.9295950578</v>
      </c>
      <c r="C3323" s="51">
        <v>1.014</v>
      </c>
      <c r="D3323" s="51">
        <v>63.0</v>
      </c>
      <c r="E3323" s="52" t="s">
        <v>25</v>
      </c>
      <c r="F3323" s="52" t="s">
        <v>26</v>
      </c>
      <c r="G3323" s="53"/>
    </row>
    <row r="3324">
      <c r="A3324" s="49">
        <v>44547.81505138889</v>
      </c>
      <c r="B3324" s="50">
        <v>44547.9400170023</v>
      </c>
      <c r="C3324" s="51">
        <v>1.014</v>
      </c>
      <c r="D3324" s="51">
        <v>63.0</v>
      </c>
      <c r="E3324" s="52" t="s">
        <v>25</v>
      </c>
      <c r="F3324" s="52" t="s">
        <v>26</v>
      </c>
      <c r="G3324" s="53"/>
    </row>
    <row r="3325">
      <c r="A3325" s="49">
        <v>44547.82547166667</v>
      </c>
      <c r="B3325" s="50">
        <v>44547.950437905</v>
      </c>
      <c r="C3325" s="51">
        <v>1.014</v>
      </c>
      <c r="D3325" s="51">
        <v>63.0</v>
      </c>
      <c r="E3325" s="52" t="s">
        <v>25</v>
      </c>
      <c r="F3325" s="52" t="s">
        <v>26</v>
      </c>
      <c r="G3325" s="53"/>
    </row>
    <row r="3326">
      <c r="A3326" s="49">
        <v>44547.835916192125</v>
      </c>
      <c r="B3326" s="50">
        <v>44547.9608834722</v>
      </c>
      <c r="C3326" s="51">
        <v>1.014</v>
      </c>
      <c r="D3326" s="51">
        <v>63.0</v>
      </c>
      <c r="E3326" s="52" t="s">
        <v>25</v>
      </c>
      <c r="F3326" s="52" t="s">
        <v>26</v>
      </c>
      <c r="G3326" s="53"/>
    </row>
    <row r="3327">
      <c r="A3327" s="49">
        <v>44547.846345729165</v>
      </c>
      <c r="B3327" s="50">
        <v>44547.9713148263</v>
      </c>
      <c r="C3327" s="51">
        <v>1.014</v>
      </c>
      <c r="D3327" s="51">
        <v>63.0</v>
      </c>
      <c r="E3327" s="52" t="s">
        <v>25</v>
      </c>
      <c r="F3327" s="52" t="s">
        <v>26</v>
      </c>
      <c r="G3327" s="53"/>
    </row>
    <row r="3328">
      <c r="A3328" s="49">
        <v>44547.85677537037</v>
      </c>
      <c r="B3328" s="50">
        <v>44547.9817474884</v>
      </c>
      <c r="C3328" s="51">
        <v>1.014</v>
      </c>
      <c r="D3328" s="51">
        <v>63.0</v>
      </c>
      <c r="E3328" s="52" t="s">
        <v>25</v>
      </c>
      <c r="F3328" s="52" t="s">
        <v>26</v>
      </c>
      <c r="G3328" s="53"/>
    </row>
    <row r="3329">
      <c r="A3329" s="49">
        <v>44547.86720245371</v>
      </c>
      <c r="B3329" s="50">
        <v>44547.9921810069</v>
      </c>
      <c r="C3329" s="51">
        <v>1.014</v>
      </c>
      <c r="D3329" s="51">
        <v>63.0</v>
      </c>
      <c r="E3329" s="52" t="s">
        <v>25</v>
      </c>
      <c r="F3329" s="52" t="s">
        <v>26</v>
      </c>
      <c r="G3329" s="53"/>
    </row>
    <row r="3330">
      <c r="A3330" s="49">
        <v>44547.87763511574</v>
      </c>
      <c r="B3330" s="50">
        <v>44548.0026023148</v>
      </c>
      <c r="C3330" s="51">
        <v>1.014</v>
      </c>
      <c r="D3330" s="51">
        <v>63.0</v>
      </c>
      <c r="E3330" s="52" t="s">
        <v>25</v>
      </c>
      <c r="F3330" s="52" t="s">
        <v>26</v>
      </c>
      <c r="G3330" s="53"/>
    </row>
    <row r="3331">
      <c r="A3331" s="49">
        <v>44547.888055717594</v>
      </c>
      <c r="B3331" s="50">
        <v>44548.013024155</v>
      </c>
      <c r="C3331" s="51">
        <v>1.014</v>
      </c>
      <c r="D3331" s="51">
        <v>63.0</v>
      </c>
      <c r="E3331" s="52" t="s">
        <v>25</v>
      </c>
      <c r="F3331" s="52" t="s">
        <v>26</v>
      </c>
      <c r="G3331" s="53"/>
    </row>
    <row r="3332">
      <c r="A3332" s="49">
        <v>44547.89849818287</v>
      </c>
      <c r="B3332" s="50">
        <v>44548.0234684259</v>
      </c>
      <c r="C3332" s="51">
        <v>1.014</v>
      </c>
      <c r="D3332" s="51">
        <v>63.0</v>
      </c>
      <c r="E3332" s="52" t="s">
        <v>25</v>
      </c>
      <c r="F3332" s="52" t="s">
        <v>26</v>
      </c>
      <c r="G3332" s="53"/>
    </row>
    <row r="3333">
      <c r="A3333" s="49">
        <v>44547.90891863426</v>
      </c>
      <c r="B3333" s="50">
        <v>44548.0338896759</v>
      </c>
      <c r="C3333" s="51">
        <v>1.014</v>
      </c>
      <c r="D3333" s="51">
        <v>63.0</v>
      </c>
      <c r="E3333" s="52" t="s">
        <v>25</v>
      </c>
      <c r="F3333" s="52" t="s">
        <v>26</v>
      </c>
      <c r="G3333" s="53"/>
    </row>
    <row r="3334">
      <c r="A3334" s="49">
        <v>44547.91934121528</v>
      </c>
      <c r="B3334" s="50">
        <v>44548.0443119907</v>
      </c>
      <c r="C3334" s="51">
        <v>1.014</v>
      </c>
      <c r="D3334" s="51">
        <v>63.0</v>
      </c>
      <c r="E3334" s="52" t="s">
        <v>25</v>
      </c>
      <c r="F3334" s="52" t="s">
        <v>26</v>
      </c>
      <c r="G3334" s="53"/>
    </row>
    <row r="3335">
      <c r="A3335" s="49">
        <v>44547.92976452546</v>
      </c>
      <c r="B3335" s="50">
        <v>44548.054735243</v>
      </c>
      <c r="C3335" s="51">
        <v>1.014</v>
      </c>
      <c r="D3335" s="51">
        <v>63.0</v>
      </c>
      <c r="E3335" s="52" t="s">
        <v>25</v>
      </c>
      <c r="F3335" s="52" t="s">
        <v>26</v>
      </c>
      <c r="G3335" s="53"/>
    </row>
    <row r="3336">
      <c r="A3336" s="49">
        <v>44547.94020224537</v>
      </c>
      <c r="B3336" s="50">
        <v>44548.0651799305</v>
      </c>
      <c r="C3336" s="51">
        <v>1.014</v>
      </c>
      <c r="D3336" s="51">
        <v>63.0</v>
      </c>
      <c r="E3336" s="52" t="s">
        <v>25</v>
      </c>
      <c r="F3336" s="52" t="s">
        <v>26</v>
      </c>
      <c r="G3336" s="53"/>
    </row>
    <row r="3337">
      <c r="A3337" s="49">
        <v>44547.95063584491</v>
      </c>
      <c r="B3337" s="50">
        <v>44548.0756027083</v>
      </c>
      <c r="C3337" s="51">
        <v>1.014</v>
      </c>
      <c r="D3337" s="51">
        <v>63.0</v>
      </c>
      <c r="E3337" s="52" t="s">
        <v>25</v>
      </c>
      <c r="F3337" s="52" t="s">
        <v>26</v>
      </c>
      <c r="G3337" s="53"/>
    </row>
    <row r="3338">
      <c r="A3338" s="49">
        <v>44547.96105484954</v>
      </c>
      <c r="B3338" s="50">
        <v>44548.0860245023</v>
      </c>
      <c r="C3338" s="51">
        <v>1.014</v>
      </c>
      <c r="D3338" s="51">
        <v>63.0</v>
      </c>
      <c r="E3338" s="52" t="s">
        <v>25</v>
      </c>
      <c r="F3338" s="52" t="s">
        <v>26</v>
      </c>
      <c r="G3338" s="53"/>
    </row>
    <row r="3339">
      <c r="A3339" s="49">
        <v>44547.971501782406</v>
      </c>
      <c r="B3339" s="50">
        <v>44548.0964680902</v>
      </c>
      <c r="C3339" s="51">
        <v>1.014</v>
      </c>
      <c r="D3339" s="51">
        <v>63.0</v>
      </c>
      <c r="E3339" s="52" t="s">
        <v>25</v>
      </c>
      <c r="F3339" s="52" t="s">
        <v>26</v>
      </c>
      <c r="G3339" s="53"/>
    </row>
    <row r="3340">
      <c r="A3340" s="49">
        <v>44547.98193238426</v>
      </c>
      <c r="B3340" s="50">
        <v>44548.1068990393</v>
      </c>
      <c r="C3340" s="51">
        <v>1.014</v>
      </c>
      <c r="D3340" s="51">
        <v>63.0</v>
      </c>
      <c r="E3340" s="52" t="s">
        <v>25</v>
      </c>
      <c r="F3340" s="52" t="s">
        <v>26</v>
      </c>
      <c r="G3340" s="53"/>
    </row>
    <row r="3341">
      <c r="A3341" s="49">
        <v>44547.99236914352</v>
      </c>
      <c r="B3341" s="50">
        <v>44548.1173331828</v>
      </c>
      <c r="C3341" s="51">
        <v>1.014</v>
      </c>
      <c r="D3341" s="51">
        <v>63.0</v>
      </c>
      <c r="E3341" s="52" t="s">
        <v>25</v>
      </c>
      <c r="F3341" s="52" t="s">
        <v>26</v>
      </c>
      <c r="G3341" s="53"/>
    </row>
    <row r="3342">
      <c r="A3342" s="49">
        <v>44548.00277710648</v>
      </c>
      <c r="B3342" s="50">
        <v>44548.1277534259</v>
      </c>
      <c r="C3342" s="51">
        <v>1.014</v>
      </c>
      <c r="D3342" s="51">
        <v>63.0</v>
      </c>
      <c r="E3342" s="52" t="s">
        <v>25</v>
      </c>
      <c r="F3342" s="52" t="s">
        <v>26</v>
      </c>
      <c r="G3342" s="53"/>
    </row>
    <row r="3343">
      <c r="A3343" s="49">
        <v>44548.01320297454</v>
      </c>
      <c r="B3343" s="50">
        <v>44548.1381752314</v>
      </c>
      <c r="C3343" s="51">
        <v>1.014</v>
      </c>
      <c r="D3343" s="51">
        <v>63.0</v>
      </c>
      <c r="E3343" s="52" t="s">
        <v>25</v>
      </c>
      <c r="F3343" s="52" t="s">
        <v>26</v>
      </c>
      <c r="G3343" s="53"/>
    </row>
    <row r="3344">
      <c r="A3344" s="49">
        <v>44548.02362894676</v>
      </c>
      <c r="B3344" s="50">
        <v>44548.1485977083</v>
      </c>
      <c r="C3344" s="51">
        <v>1.014</v>
      </c>
      <c r="D3344" s="51">
        <v>63.0</v>
      </c>
      <c r="E3344" s="52" t="s">
        <v>25</v>
      </c>
      <c r="F3344" s="52" t="s">
        <v>26</v>
      </c>
      <c r="G3344" s="53"/>
    </row>
    <row r="3345">
      <c r="A3345" s="49">
        <v>44548.03405299768</v>
      </c>
      <c r="B3345" s="50">
        <v>44548.1590174074</v>
      </c>
      <c r="C3345" s="51">
        <v>1.014</v>
      </c>
      <c r="D3345" s="51">
        <v>63.0</v>
      </c>
      <c r="E3345" s="52" t="s">
        <v>25</v>
      </c>
      <c r="F3345" s="52" t="s">
        <v>26</v>
      </c>
      <c r="G3345" s="53"/>
    </row>
    <row r="3346">
      <c r="A3346" s="49">
        <v>44548.044469201384</v>
      </c>
      <c r="B3346" s="50">
        <v>44548.1694371412</v>
      </c>
      <c r="C3346" s="51">
        <v>1.014</v>
      </c>
      <c r="D3346" s="51">
        <v>63.0</v>
      </c>
      <c r="E3346" s="52" t="s">
        <v>25</v>
      </c>
      <c r="F3346" s="52" t="s">
        <v>26</v>
      </c>
      <c r="G3346" s="53"/>
    </row>
    <row r="3347">
      <c r="A3347" s="49">
        <v>44548.054914328706</v>
      </c>
      <c r="B3347" s="50">
        <v>44548.1798799305</v>
      </c>
      <c r="C3347" s="51">
        <v>1.014</v>
      </c>
      <c r="D3347" s="51">
        <v>63.0</v>
      </c>
      <c r="E3347" s="52" t="s">
        <v>25</v>
      </c>
      <c r="F3347" s="52" t="s">
        <v>26</v>
      </c>
      <c r="G3347" s="53"/>
    </row>
    <row r="3348">
      <c r="A3348" s="49">
        <v>44548.06533467592</v>
      </c>
      <c r="B3348" s="50">
        <v>44548.1903018287</v>
      </c>
      <c r="C3348" s="51">
        <v>1.014</v>
      </c>
      <c r="D3348" s="51">
        <v>63.0</v>
      </c>
      <c r="E3348" s="52" t="s">
        <v>25</v>
      </c>
      <c r="F3348" s="52" t="s">
        <v>26</v>
      </c>
      <c r="G3348" s="53"/>
    </row>
    <row r="3349">
      <c r="A3349" s="49">
        <v>44548.07574547453</v>
      </c>
      <c r="B3349" s="50">
        <v>44548.2007230555</v>
      </c>
      <c r="C3349" s="51">
        <v>1.014</v>
      </c>
      <c r="D3349" s="51">
        <v>63.0</v>
      </c>
      <c r="E3349" s="52" t="s">
        <v>25</v>
      </c>
      <c r="F3349" s="52" t="s">
        <v>26</v>
      </c>
      <c r="G3349" s="53"/>
    </row>
    <row r="3350">
      <c r="A3350" s="49">
        <v>44548.086185821754</v>
      </c>
      <c r="B3350" s="50">
        <v>44548.2111551157</v>
      </c>
      <c r="C3350" s="51">
        <v>1.014</v>
      </c>
      <c r="D3350" s="51">
        <v>63.0</v>
      </c>
      <c r="E3350" s="52" t="s">
        <v>25</v>
      </c>
      <c r="F3350" s="52" t="s">
        <v>26</v>
      </c>
      <c r="G3350" s="53"/>
    </row>
    <row r="3351">
      <c r="A3351" s="49">
        <v>44548.09660682871</v>
      </c>
      <c r="B3351" s="50">
        <v>44548.2215759953</v>
      </c>
      <c r="C3351" s="51">
        <v>1.014</v>
      </c>
      <c r="D3351" s="51">
        <v>63.0</v>
      </c>
      <c r="E3351" s="52" t="s">
        <v>25</v>
      </c>
      <c r="F3351" s="52" t="s">
        <v>26</v>
      </c>
      <c r="G3351" s="53"/>
    </row>
    <row r="3352">
      <c r="A3352" s="49">
        <v>44548.10702909723</v>
      </c>
      <c r="B3352" s="50">
        <v>44548.2319967013</v>
      </c>
      <c r="C3352" s="51">
        <v>1.014</v>
      </c>
      <c r="D3352" s="51">
        <v>63.0</v>
      </c>
      <c r="E3352" s="52" t="s">
        <v>25</v>
      </c>
      <c r="F3352" s="52" t="s">
        <v>26</v>
      </c>
      <c r="G3352" s="53"/>
    </row>
    <row r="3353">
      <c r="A3353" s="49">
        <v>44548.117449930556</v>
      </c>
      <c r="B3353" s="50">
        <v>44548.2424172222</v>
      </c>
      <c r="C3353" s="51">
        <v>1.014</v>
      </c>
      <c r="D3353" s="51">
        <v>63.0</v>
      </c>
      <c r="E3353" s="52" t="s">
        <v>25</v>
      </c>
      <c r="F3353" s="52" t="s">
        <v>26</v>
      </c>
      <c r="G3353" s="53"/>
    </row>
    <row r="3354">
      <c r="A3354" s="49">
        <v>44548.12786717592</v>
      </c>
      <c r="B3354" s="50">
        <v>44548.2528389004</v>
      </c>
      <c r="C3354" s="51">
        <v>1.014</v>
      </c>
      <c r="D3354" s="51">
        <v>63.0</v>
      </c>
      <c r="E3354" s="52" t="s">
        <v>25</v>
      </c>
      <c r="F3354" s="52" t="s">
        <v>26</v>
      </c>
      <c r="G3354" s="53"/>
    </row>
    <row r="3355">
      <c r="A3355" s="49">
        <v>44548.13828738426</v>
      </c>
      <c r="B3355" s="50">
        <v>44548.2632597569</v>
      </c>
      <c r="C3355" s="51">
        <v>1.014</v>
      </c>
      <c r="D3355" s="51">
        <v>63.0</v>
      </c>
      <c r="E3355" s="52" t="s">
        <v>25</v>
      </c>
      <c r="F3355" s="52" t="s">
        <v>26</v>
      </c>
      <c r="G3355" s="53"/>
    </row>
    <row r="3356">
      <c r="A3356" s="49">
        <v>44548.1487115162</v>
      </c>
      <c r="B3356" s="50">
        <v>44548.273680405</v>
      </c>
      <c r="C3356" s="51">
        <v>1.014</v>
      </c>
      <c r="D3356" s="51">
        <v>63.0</v>
      </c>
      <c r="E3356" s="52" t="s">
        <v>25</v>
      </c>
      <c r="F3356" s="52" t="s">
        <v>26</v>
      </c>
      <c r="G3356" s="53"/>
    </row>
    <row r="3357">
      <c r="A3357" s="49">
        <v>44548.15913181713</v>
      </c>
      <c r="B3357" s="50">
        <v>44548.2841013541</v>
      </c>
      <c r="C3357" s="51">
        <v>1.014</v>
      </c>
      <c r="D3357" s="51">
        <v>63.0</v>
      </c>
      <c r="E3357" s="52" t="s">
        <v>25</v>
      </c>
      <c r="F3357" s="52" t="s">
        <v>26</v>
      </c>
      <c r="G3357" s="53"/>
    </row>
    <row r="3358">
      <c r="A3358" s="49">
        <v>44548.169559710645</v>
      </c>
      <c r="B3358" s="50">
        <v>44548.2945227893</v>
      </c>
      <c r="C3358" s="51">
        <v>1.014</v>
      </c>
      <c r="D3358" s="51">
        <v>63.0</v>
      </c>
      <c r="E3358" s="52" t="s">
        <v>25</v>
      </c>
      <c r="F3358" s="52" t="s">
        <v>26</v>
      </c>
      <c r="G3358" s="53"/>
    </row>
    <row r="3359">
      <c r="A3359" s="49">
        <v>44548.17998444445</v>
      </c>
      <c r="B3359" s="50">
        <v>44548.3049451041</v>
      </c>
      <c r="C3359" s="51">
        <v>1.014</v>
      </c>
      <c r="D3359" s="51">
        <v>63.0</v>
      </c>
      <c r="E3359" s="52" t="s">
        <v>25</v>
      </c>
      <c r="F3359" s="52" t="s">
        <v>26</v>
      </c>
      <c r="G3359" s="53"/>
    </row>
    <row r="3360">
      <c r="A3360" s="49">
        <v>44548.190393425924</v>
      </c>
      <c r="B3360" s="50">
        <v>44548.3153659143</v>
      </c>
      <c r="C3360" s="51">
        <v>1.014</v>
      </c>
      <c r="D3360" s="51">
        <v>63.0</v>
      </c>
      <c r="E3360" s="52" t="s">
        <v>25</v>
      </c>
      <c r="F3360" s="52" t="s">
        <v>26</v>
      </c>
      <c r="G3360" s="53"/>
    </row>
    <row r="3361">
      <c r="A3361" s="49">
        <v>44548.20082085648</v>
      </c>
      <c r="B3361" s="50">
        <v>44548.3257866203</v>
      </c>
      <c r="C3361" s="51">
        <v>1.014</v>
      </c>
      <c r="D3361" s="51">
        <v>63.0</v>
      </c>
      <c r="E3361" s="52" t="s">
        <v>25</v>
      </c>
      <c r="F3361" s="52" t="s">
        <v>26</v>
      </c>
      <c r="G3361" s="53"/>
    </row>
    <row r="3362">
      <c r="A3362" s="49">
        <v>44548.21124800926</v>
      </c>
      <c r="B3362" s="50">
        <v>44548.33621978</v>
      </c>
      <c r="C3362" s="51">
        <v>1.014</v>
      </c>
      <c r="D3362" s="51">
        <v>63.0</v>
      </c>
      <c r="E3362" s="52" t="s">
        <v>25</v>
      </c>
      <c r="F3362" s="52" t="s">
        <v>26</v>
      </c>
      <c r="G3362" s="53"/>
    </row>
    <row r="3363">
      <c r="A3363" s="49">
        <v>44548.221689212965</v>
      </c>
      <c r="B3363" s="50">
        <v>44548.3466403935</v>
      </c>
      <c r="C3363" s="51">
        <v>1.014</v>
      </c>
      <c r="D3363" s="51">
        <v>63.0</v>
      </c>
      <c r="E3363" s="52" t="s">
        <v>25</v>
      </c>
      <c r="F3363" s="52" t="s">
        <v>26</v>
      </c>
      <c r="G3363" s="53"/>
    </row>
    <row r="3364">
      <c r="A3364" s="49">
        <v>44548.23209542824</v>
      </c>
      <c r="B3364" s="50">
        <v>44548.3570621527</v>
      </c>
      <c r="C3364" s="51">
        <v>1.014</v>
      </c>
      <c r="D3364" s="51">
        <v>63.0</v>
      </c>
      <c r="E3364" s="52" t="s">
        <v>25</v>
      </c>
      <c r="F3364" s="52" t="s">
        <v>26</v>
      </c>
      <c r="G3364" s="53"/>
    </row>
    <row r="3365">
      <c r="A3365" s="49">
        <v>44548.242512997684</v>
      </c>
      <c r="B3365" s="50">
        <v>44548.367483125</v>
      </c>
      <c r="C3365" s="51">
        <v>1.014</v>
      </c>
      <c r="D3365" s="51">
        <v>63.0</v>
      </c>
      <c r="E3365" s="52" t="s">
        <v>25</v>
      </c>
      <c r="F3365" s="52" t="s">
        <v>26</v>
      </c>
      <c r="G3365" s="53"/>
    </row>
    <row r="3366">
      <c r="A3366" s="49">
        <v>44548.252934675926</v>
      </c>
      <c r="B3366" s="50">
        <v>44548.3779051967</v>
      </c>
      <c r="C3366" s="51">
        <v>1.014</v>
      </c>
      <c r="D3366" s="51">
        <v>63.0</v>
      </c>
      <c r="E3366" s="52" t="s">
        <v>25</v>
      </c>
      <c r="F3366" s="52" t="s">
        <v>26</v>
      </c>
      <c r="G3366" s="53"/>
    </row>
    <row r="3367">
      <c r="A3367" s="49">
        <v>44548.263353738424</v>
      </c>
      <c r="B3367" s="50">
        <v>44548.3883248726</v>
      </c>
      <c r="C3367" s="51">
        <v>1.014</v>
      </c>
      <c r="D3367" s="51">
        <v>63.0</v>
      </c>
      <c r="E3367" s="52" t="s">
        <v>25</v>
      </c>
      <c r="F3367" s="52" t="s">
        <v>26</v>
      </c>
      <c r="G3367" s="53"/>
    </row>
    <row r="3368">
      <c r="A3368" s="49">
        <v>44548.27377515046</v>
      </c>
      <c r="B3368" s="50">
        <v>44548.3987464814</v>
      </c>
      <c r="C3368" s="51">
        <v>1.014</v>
      </c>
      <c r="D3368" s="51">
        <v>63.0</v>
      </c>
      <c r="E3368" s="52" t="s">
        <v>25</v>
      </c>
      <c r="F3368" s="52" t="s">
        <v>26</v>
      </c>
      <c r="G3368" s="53"/>
    </row>
    <row r="3369">
      <c r="A3369" s="49">
        <v>44548.28420017361</v>
      </c>
      <c r="B3369" s="50">
        <v>44548.4091677314</v>
      </c>
      <c r="C3369" s="51">
        <v>1.014</v>
      </c>
      <c r="D3369" s="51">
        <v>63.0</v>
      </c>
      <c r="E3369" s="52" t="s">
        <v>25</v>
      </c>
      <c r="F3369" s="52" t="s">
        <v>26</v>
      </c>
      <c r="G3369" s="53"/>
    </row>
    <row r="3370">
      <c r="A3370" s="49">
        <v>44548.30504578704</v>
      </c>
      <c r="B3370" s="50">
        <v>44548.4300199768</v>
      </c>
      <c r="C3370" s="51">
        <v>1.014</v>
      </c>
      <c r="D3370" s="51">
        <v>63.0</v>
      </c>
      <c r="E3370" s="52" t="s">
        <v>25</v>
      </c>
      <c r="F3370" s="52" t="s">
        <v>26</v>
      </c>
      <c r="G3370" s="53"/>
    </row>
    <row r="3371">
      <c r="A3371" s="49">
        <v>44548.31546686342</v>
      </c>
      <c r="B3371" s="50">
        <v>44548.4404419212</v>
      </c>
      <c r="C3371" s="51">
        <v>1.014</v>
      </c>
      <c r="D3371" s="51">
        <v>63.0</v>
      </c>
      <c r="E3371" s="52" t="s">
        <v>25</v>
      </c>
      <c r="F3371" s="52" t="s">
        <v>26</v>
      </c>
      <c r="G3371" s="53"/>
    </row>
    <row r="3372">
      <c r="A3372" s="49">
        <v>44548.32589515046</v>
      </c>
      <c r="B3372" s="50">
        <v>44548.4508638773</v>
      </c>
      <c r="C3372" s="51">
        <v>1.014</v>
      </c>
      <c r="D3372" s="51">
        <v>63.0</v>
      </c>
      <c r="E3372" s="52" t="s">
        <v>25</v>
      </c>
      <c r="F3372" s="52" t="s">
        <v>26</v>
      </c>
      <c r="G3372" s="53"/>
    </row>
    <row r="3373">
      <c r="A3373" s="49">
        <v>44548.336311782405</v>
      </c>
      <c r="B3373" s="50">
        <v>44548.4612853703</v>
      </c>
      <c r="C3373" s="51">
        <v>1.014</v>
      </c>
      <c r="D3373" s="51">
        <v>63.0</v>
      </c>
      <c r="E3373" s="52" t="s">
        <v>25</v>
      </c>
      <c r="F3373" s="52" t="s">
        <v>26</v>
      </c>
      <c r="G3373" s="53"/>
    </row>
    <row r="3374">
      <c r="A3374" s="49">
        <v>44548.3467503125</v>
      </c>
      <c r="B3374" s="50">
        <v>44548.4717179513</v>
      </c>
      <c r="C3374" s="51">
        <v>1.014</v>
      </c>
      <c r="D3374" s="51">
        <v>63.0</v>
      </c>
      <c r="E3374" s="52" t="s">
        <v>25</v>
      </c>
      <c r="F3374" s="52" t="s">
        <v>26</v>
      </c>
      <c r="G3374" s="53"/>
    </row>
    <row r="3375">
      <c r="A3375" s="49">
        <v>44548.35717142361</v>
      </c>
      <c r="B3375" s="50">
        <v>44548.482140081</v>
      </c>
      <c r="C3375" s="51">
        <v>1.014</v>
      </c>
      <c r="D3375" s="51">
        <v>63.0</v>
      </c>
      <c r="E3375" s="52" t="s">
        <v>25</v>
      </c>
      <c r="F3375" s="52" t="s">
        <v>26</v>
      </c>
      <c r="G3375" s="53"/>
    </row>
    <row r="3376">
      <c r="A3376" s="49">
        <v>44548.3675837037</v>
      </c>
      <c r="B3376" s="50">
        <v>44548.4925602199</v>
      </c>
      <c r="C3376" s="51">
        <v>1.014</v>
      </c>
      <c r="D3376" s="51">
        <v>63.0</v>
      </c>
      <c r="E3376" s="52" t="s">
        <v>25</v>
      </c>
      <c r="F3376" s="52" t="s">
        <v>26</v>
      </c>
      <c r="G3376" s="53"/>
    </row>
    <row r="3377">
      <c r="A3377" s="49">
        <v>44548.377999131946</v>
      </c>
      <c r="B3377" s="50">
        <v>44548.5029810301</v>
      </c>
      <c r="C3377" s="51">
        <v>1.014</v>
      </c>
      <c r="D3377" s="51">
        <v>63.0</v>
      </c>
      <c r="E3377" s="52" t="s">
        <v>25</v>
      </c>
      <c r="F3377" s="52" t="s">
        <v>26</v>
      </c>
      <c r="G3377" s="53"/>
    </row>
    <row r="3378">
      <c r="A3378" s="49">
        <v>44548.38843909722</v>
      </c>
      <c r="B3378" s="50">
        <v>44548.5134024421</v>
      </c>
      <c r="C3378" s="51">
        <v>1.014</v>
      </c>
      <c r="D3378" s="51">
        <v>63.0</v>
      </c>
      <c r="E3378" s="52" t="s">
        <v>25</v>
      </c>
      <c r="F3378" s="52" t="s">
        <v>26</v>
      </c>
      <c r="G3378" s="53"/>
    </row>
    <row r="3379">
      <c r="A3379" s="49">
        <v>44548.39885561343</v>
      </c>
      <c r="B3379" s="50">
        <v>44548.5238226967</v>
      </c>
      <c r="C3379" s="51">
        <v>1.014</v>
      </c>
      <c r="D3379" s="51">
        <v>63.0</v>
      </c>
      <c r="E3379" s="52" t="s">
        <v>25</v>
      </c>
      <c r="F3379" s="52" t="s">
        <v>26</v>
      </c>
      <c r="G3379" s="53"/>
    </row>
    <row r="3380">
      <c r="A3380" s="49">
        <v>44548.409274351856</v>
      </c>
      <c r="B3380" s="50">
        <v>44548.5342431018</v>
      </c>
      <c r="C3380" s="51">
        <v>1.014</v>
      </c>
      <c r="D3380" s="51">
        <v>63.0</v>
      </c>
      <c r="E3380" s="52" t="s">
        <v>25</v>
      </c>
      <c r="F3380" s="52" t="s">
        <v>26</v>
      </c>
      <c r="G3380" s="53"/>
    </row>
    <row r="3381">
      <c r="A3381" s="49">
        <v>44548.41969041667</v>
      </c>
      <c r="B3381" s="50">
        <v>44548.5446635069</v>
      </c>
      <c r="C3381" s="51">
        <v>1.014</v>
      </c>
      <c r="D3381" s="51">
        <v>63.0</v>
      </c>
      <c r="E3381" s="52" t="s">
        <v>25</v>
      </c>
      <c r="F3381" s="52" t="s">
        <v>26</v>
      </c>
      <c r="G3381" s="53"/>
    </row>
    <row r="3382">
      <c r="A3382" s="49">
        <v>44548.43012251158</v>
      </c>
      <c r="B3382" s="50">
        <v>44548.5550955671</v>
      </c>
      <c r="C3382" s="51">
        <v>1.014</v>
      </c>
      <c r="D3382" s="51">
        <v>63.0</v>
      </c>
      <c r="E3382" s="52" t="s">
        <v>25</v>
      </c>
      <c r="F3382" s="52" t="s">
        <v>26</v>
      </c>
      <c r="G3382" s="53"/>
    </row>
    <row r="3383">
      <c r="A3383" s="49">
        <v>44548.4405410301</v>
      </c>
      <c r="B3383" s="50">
        <v>44548.5655182175</v>
      </c>
      <c r="C3383" s="51">
        <v>1.014</v>
      </c>
      <c r="D3383" s="51">
        <v>63.0</v>
      </c>
      <c r="E3383" s="52" t="s">
        <v>25</v>
      </c>
      <c r="F3383" s="52" t="s">
        <v>26</v>
      </c>
      <c r="G3383" s="53"/>
    </row>
    <row r="3384">
      <c r="A3384" s="49">
        <v>44548.4509678125</v>
      </c>
      <c r="B3384" s="50">
        <v>44548.575938831</v>
      </c>
      <c r="C3384" s="51">
        <v>1.014</v>
      </c>
      <c r="D3384" s="51">
        <v>63.0</v>
      </c>
      <c r="E3384" s="52" t="s">
        <v>25</v>
      </c>
      <c r="F3384" s="52" t="s">
        <v>26</v>
      </c>
      <c r="G3384" s="53"/>
    </row>
    <row r="3385">
      <c r="A3385" s="49">
        <v>44548.46140216435</v>
      </c>
      <c r="B3385" s="50">
        <v>44548.5863729629</v>
      </c>
      <c r="C3385" s="51">
        <v>1.014</v>
      </c>
      <c r="D3385" s="51">
        <v>63.0</v>
      </c>
      <c r="E3385" s="52" t="s">
        <v>25</v>
      </c>
      <c r="F3385" s="52" t="s">
        <v>26</v>
      </c>
      <c r="G3385" s="53"/>
    </row>
    <row r="3386">
      <c r="A3386" s="49">
        <v>44548.47181859954</v>
      </c>
      <c r="B3386" s="50">
        <v>44548.5967927893</v>
      </c>
      <c r="C3386" s="51">
        <v>1.014</v>
      </c>
      <c r="D3386" s="51">
        <v>63.0</v>
      </c>
      <c r="E3386" s="52" t="s">
        <v>25</v>
      </c>
      <c r="F3386" s="52" t="s">
        <v>26</v>
      </c>
      <c r="G3386" s="53"/>
    </row>
    <row r="3387">
      <c r="A3387" s="49">
        <v>44548.48224519676</v>
      </c>
      <c r="B3387" s="50">
        <v>44548.60721228</v>
      </c>
      <c r="C3387" s="51">
        <v>1.014</v>
      </c>
      <c r="D3387" s="51">
        <v>63.0</v>
      </c>
      <c r="E3387" s="52" t="s">
        <v>25</v>
      </c>
      <c r="F3387" s="52" t="s">
        <v>26</v>
      </c>
      <c r="G3387" s="53"/>
    </row>
    <row r="3388">
      <c r="A3388" s="49">
        <v>44548.49265738426</v>
      </c>
      <c r="B3388" s="50">
        <v>44548.6176333564</v>
      </c>
      <c r="C3388" s="51">
        <v>1.014</v>
      </c>
      <c r="D3388" s="51">
        <v>63.0</v>
      </c>
      <c r="E3388" s="52" t="s">
        <v>25</v>
      </c>
      <c r="F3388" s="52" t="s">
        <v>26</v>
      </c>
      <c r="G3388" s="53"/>
    </row>
    <row r="3389">
      <c r="A3389" s="49">
        <v>44548.503097175926</v>
      </c>
      <c r="B3389" s="50">
        <v>44548.6280782291</v>
      </c>
      <c r="C3389" s="51">
        <v>1.014</v>
      </c>
      <c r="D3389" s="51">
        <v>63.0</v>
      </c>
      <c r="E3389" s="52" t="s">
        <v>25</v>
      </c>
      <c r="F3389" s="52" t="s">
        <v>26</v>
      </c>
      <c r="G3389" s="53"/>
    </row>
    <row r="3390">
      <c r="A3390" s="49">
        <v>44548.51352666666</v>
      </c>
      <c r="B3390" s="50">
        <v>44548.638500706</v>
      </c>
      <c r="C3390" s="51">
        <v>1.014</v>
      </c>
      <c r="D3390" s="51">
        <v>63.0</v>
      </c>
      <c r="E3390" s="52" t="s">
        <v>25</v>
      </c>
      <c r="F3390" s="52" t="s">
        <v>26</v>
      </c>
      <c r="G3390" s="53"/>
    </row>
    <row r="3391">
      <c r="A3391" s="49">
        <v>44548.52396585648</v>
      </c>
      <c r="B3391" s="50">
        <v>44548.6489434953</v>
      </c>
      <c r="C3391" s="51">
        <v>1.014</v>
      </c>
      <c r="D3391" s="51">
        <v>63.0</v>
      </c>
      <c r="E3391" s="52" t="s">
        <v>25</v>
      </c>
      <c r="F3391" s="52" t="s">
        <v>26</v>
      </c>
      <c r="G3391" s="53"/>
    </row>
    <row r="3392">
      <c r="A3392" s="49">
        <v>44548.53438473379</v>
      </c>
      <c r="B3392" s="50">
        <v>44548.6593634374</v>
      </c>
      <c r="C3392" s="51">
        <v>1.014</v>
      </c>
      <c r="D3392" s="51">
        <v>63.0</v>
      </c>
      <c r="E3392" s="52" t="s">
        <v>25</v>
      </c>
      <c r="F3392" s="52" t="s">
        <v>26</v>
      </c>
      <c r="G3392" s="53"/>
    </row>
    <row r="3393">
      <c r="A3393" s="49">
        <v>44548.54481583333</v>
      </c>
      <c r="B3393" s="50">
        <v>44548.6697838078</v>
      </c>
      <c r="C3393" s="51">
        <v>1.014</v>
      </c>
      <c r="D3393" s="51">
        <v>63.0</v>
      </c>
      <c r="E3393" s="52" t="s">
        <v>25</v>
      </c>
      <c r="F3393" s="52" t="s">
        <v>26</v>
      </c>
      <c r="G3393" s="53"/>
    </row>
    <row r="3394">
      <c r="A3394" s="49">
        <v>44548.555238622685</v>
      </c>
      <c r="B3394" s="50">
        <v>44548.6802046643</v>
      </c>
      <c r="C3394" s="51">
        <v>1.014</v>
      </c>
      <c r="D3394" s="51">
        <v>63.0</v>
      </c>
      <c r="E3394" s="52" t="s">
        <v>25</v>
      </c>
      <c r="F3394" s="52" t="s">
        <v>26</v>
      </c>
      <c r="G3394" s="53"/>
    </row>
    <row r="3395">
      <c r="A3395" s="49">
        <v>44548.565652777776</v>
      </c>
      <c r="B3395" s="50">
        <v>44548.6906257175</v>
      </c>
      <c r="C3395" s="51">
        <v>1.014</v>
      </c>
      <c r="D3395" s="51">
        <v>63.0</v>
      </c>
      <c r="E3395" s="52" t="s">
        <v>25</v>
      </c>
      <c r="F3395" s="52" t="s">
        <v>26</v>
      </c>
      <c r="G3395" s="53"/>
    </row>
    <row r="3396">
      <c r="A3396" s="49">
        <v>44548.57608489583</v>
      </c>
      <c r="B3396" s="50">
        <v>44548.7010573032</v>
      </c>
      <c r="C3396" s="51">
        <v>1.014</v>
      </c>
      <c r="D3396" s="51">
        <v>63.0</v>
      </c>
      <c r="E3396" s="52" t="s">
        <v>25</v>
      </c>
      <c r="F3396" s="52" t="s">
        <v>26</v>
      </c>
      <c r="G3396" s="53"/>
    </row>
    <row r="3397">
      <c r="A3397" s="49">
        <v>44548.58649951388</v>
      </c>
      <c r="B3397" s="50">
        <v>44548.7114781365</v>
      </c>
      <c r="C3397" s="51">
        <v>1.014</v>
      </c>
      <c r="D3397" s="51">
        <v>63.0</v>
      </c>
      <c r="E3397" s="52" t="s">
        <v>25</v>
      </c>
      <c r="F3397" s="52" t="s">
        <v>26</v>
      </c>
      <c r="G3397" s="53"/>
    </row>
    <row r="3398">
      <c r="A3398" s="49">
        <v>44548.59693356481</v>
      </c>
      <c r="B3398" s="50">
        <v>44548.7218999652</v>
      </c>
      <c r="C3398" s="51">
        <v>1.014</v>
      </c>
      <c r="D3398" s="51">
        <v>63.0</v>
      </c>
      <c r="E3398" s="52" t="s">
        <v>25</v>
      </c>
      <c r="F3398" s="52" t="s">
        <v>26</v>
      </c>
      <c r="G3398" s="53"/>
    </row>
    <row r="3399">
      <c r="A3399" s="49">
        <v>44548.60734962963</v>
      </c>
      <c r="B3399" s="50">
        <v>44548.7323209027</v>
      </c>
      <c r="C3399" s="51">
        <v>1.014</v>
      </c>
      <c r="D3399" s="51">
        <v>63.0</v>
      </c>
      <c r="E3399" s="52" t="s">
        <v>25</v>
      </c>
      <c r="F3399" s="52" t="s">
        <v>26</v>
      </c>
      <c r="G3399" s="53"/>
    </row>
    <row r="3400">
      <c r="A3400" s="49">
        <v>44548.61777247685</v>
      </c>
      <c r="B3400" s="50">
        <v>44548.7427425694</v>
      </c>
      <c r="C3400" s="51">
        <v>1.014</v>
      </c>
      <c r="D3400" s="51">
        <v>63.0</v>
      </c>
      <c r="E3400" s="52" t="s">
        <v>25</v>
      </c>
      <c r="F3400" s="52" t="s">
        <v>26</v>
      </c>
      <c r="G3400" s="53"/>
    </row>
    <row r="3401">
      <c r="A3401" s="49">
        <v>44548.62818443287</v>
      </c>
      <c r="B3401" s="50">
        <v>44548.7531628819</v>
      </c>
      <c r="C3401" s="51">
        <v>1.014</v>
      </c>
      <c r="D3401" s="51">
        <v>63.0</v>
      </c>
      <c r="E3401" s="52" t="s">
        <v>25</v>
      </c>
      <c r="F3401" s="52" t="s">
        <v>26</v>
      </c>
      <c r="G3401" s="53"/>
    </row>
    <row r="3402">
      <c r="A3402" s="49">
        <v>44548.63861456019</v>
      </c>
      <c r="B3402" s="50">
        <v>44548.7635842708</v>
      </c>
      <c r="C3402" s="51">
        <v>1.014</v>
      </c>
      <c r="D3402" s="51">
        <v>63.0</v>
      </c>
      <c r="E3402" s="52" t="s">
        <v>25</v>
      </c>
      <c r="F3402" s="52" t="s">
        <v>26</v>
      </c>
      <c r="G3402" s="53"/>
    </row>
    <row r="3403">
      <c r="A3403" s="49">
        <v>44548.64903180556</v>
      </c>
      <c r="B3403" s="50">
        <v>44548.7740047337</v>
      </c>
      <c r="C3403" s="51">
        <v>1.014</v>
      </c>
      <c r="D3403" s="51">
        <v>63.0</v>
      </c>
      <c r="E3403" s="52" t="s">
        <v>25</v>
      </c>
      <c r="F3403" s="52" t="s">
        <v>26</v>
      </c>
      <c r="G3403" s="53"/>
    </row>
    <row r="3404">
      <c r="A3404" s="49">
        <v>44548.65945601852</v>
      </c>
      <c r="B3404" s="50">
        <v>44548.7844273958</v>
      </c>
      <c r="C3404" s="51">
        <v>1.014</v>
      </c>
      <c r="D3404" s="51">
        <v>63.0</v>
      </c>
      <c r="E3404" s="52" t="s">
        <v>25</v>
      </c>
      <c r="F3404" s="52" t="s">
        <v>26</v>
      </c>
      <c r="G3404" s="53"/>
    </row>
    <row r="3405">
      <c r="A3405" s="49">
        <v>44548.66987431713</v>
      </c>
      <c r="B3405" s="50">
        <v>44548.794849155</v>
      </c>
      <c r="C3405" s="51">
        <v>1.014</v>
      </c>
      <c r="D3405" s="51">
        <v>63.0</v>
      </c>
      <c r="E3405" s="52" t="s">
        <v>25</v>
      </c>
      <c r="F3405" s="52" t="s">
        <v>26</v>
      </c>
      <c r="G3405" s="53"/>
    </row>
    <row r="3406">
      <c r="A3406" s="49">
        <v>44548.68031222222</v>
      </c>
      <c r="B3406" s="50">
        <v>44548.8052831944</v>
      </c>
      <c r="C3406" s="51">
        <v>1.014</v>
      </c>
      <c r="D3406" s="51">
        <v>63.0</v>
      </c>
      <c r="E3406" s="52" t="s">
        <v>25</v>
      </c>
      <c r="F3406" s="52" t="s">
        <v>26</v>
      </c>
      <c r="G3406" s="53"/>
    </row>
    <row r="3407">
      <c r="A3407" s="49">
        <v>44548.690735474534</v>
      </c>
      <c r="B3407" s="50">
        <v>44548.8157055902</v>
      </c>
      <c r="C3407" s="51">
        <v>1.014</v>
      </c>
      <c r="D3407" s="51">
        <v>63.0</v>
      </c>
      <c r="E3407" s="52" t="s">
        <v>25</v>
      </c>
      <c r="F3407" s="52" t="s">
        <v>26</v>
      </c>
      <c r="G3407" s="53"/>
    </row>
    <row r="3408">
      <c r="A3408" s="49">
        <v>44548.70115177083</v>
      </c>
      <c r="B3408" s="50">
        <v>44548.8261266203</v>
      </c>
      <c r="C3408" s="51">
        <v>1.014</v>
      </c>
      <c r="D3408" s="51">
        <v>63.0</v>
      </c>
      <c r="E3408" s="52" t="s">
        <v>25</v>
      </c>
      <c r="F3408" s="52" t="s">
        <v>26</v>
      </c>
      <c r="G3408" s="53"/>
    </row>
    <row r="3409">
      <c r="A3409" s="49">
        <v>44548.71157233797</v>
      </c>
      <c r="B3409" s="50">
        <v>44548.8365468287</v>
      </c>
      <c r="C3409" s="51">
        <v>1.013</v>
      </c>
      <c r="D3409" s="51">
        <v>63.0</v>
      </c>
      <c r="E3409" s="52" t="s">
        <v>25</v>
      </c>
      <c r="F3409" s="52" t="s">
        <v>26</v>
      </c>
      <c r="G3409" s="53"/>
    </row>
    <row r="3410">
      <c r="A3410" s="49">
        <v>44548.72199582176</v>
      </c>
      <c r="B3410" s="50">
        <v>44548.846968206</v>
      </c>
      <c r="C3410" s="51">
        <v>1.013</v>
      </c>
      <c r="D3410" s="51">
        <v>63.0</v>
      </c>
      <c r="E3410" s="52" t="s">
        <v>25</v>
      </c>
      <c r="F3410" s="52" t="s">
        <v>26</v>
      </c>
      <c r="G3410" s="53"/>
    </row>
    <row r="3411">
      <c r="A3411" s="49">
        <v>44548.73242059028</v>
      </c>
      <c r="B3411" s="50">
        <v>44548.8573895254</v>
      </c>
      <c r="C3411" s="51">
        <v>1.014</v>
      </c>
      <c r="D3411" s="51">
        <v>63.0</v>
      </c>
      <c r="E3411" s="52" t="s">
        <v>25</v>
      </c>
      <c r="F3411" s="52" t="s">
        <v>26</v>
      </c>
      <c r="G3411" s="53"/>
    </row>
    <row r="3412">
      <c r="A3412" s="49">
        <v>44548.74286832176</v>
      </c>
      <c r="B3412" s="50">
        <v>44548.8678345023</v>
      </c>
      <c r="C3412" s="51">
        <v>1.014</v>
      </c>
      <c r="D3412" s="51">
        <v>63.0</v>
      </c>
      <c r="E3412" s="52" t="s">
        <v>25</v>
      </c>
      <c r="F3412" s="52" t="s">
        <v>26</v>
      </c>
      <c r="G3412" s="53"/>
    </row>
    <row r="3413">
      <c r="A3413" s="49">
        <v>44548.75328752315</v>
      </c>
      <c r="B3413" s="50">
        <v>44548.8782566435</v>
      </c>
      <c r="C3413" s="51">
        <v>1.013</v>
      </c>
      <c r="D3413" s="51">
        <v>63.0</v>
      </c>
      <c r="E3413" s="52" t="s">
        <v>25</v>
      </c>
      <c r="F3413" s="52" t="s">
        <v>26</v>
      </c>
      <c r="G3413" s="53"/>
    </row>
    <row r="3414">
      <c r="A3414" s="49">
        <v>44548.76369806713</v>
      </c>
      <c r="B3414" s="50">
        <v>44548.8886775231</v>
      </c>
      <c r="C3414" s="51">
        <v>1.014</v>
      </c>
      <c r="D3414" s="51">
        <v>63.0</v>
      </c>
      <c r="E3414" s="52" t="s">
        <v>25</v>
      </c>
      <c r="F3414" s="52" t="s">
        <v>26</v>
      </c>
      <c r="G3414" s="53"/>
    </row>
    <row r="3415">
      <c r="A3415" s="49">
        <v>44548.774123333336</v>
      </c>
      <c r="B3415" s="50">
        <v>44548.8990979745</v>
      </c>
      <c r="C3415" s="51">
        <v>1.014</v>
      </c>
      <c r="D3415" s="51">
        <v>63.0</v>
      </c>
      <c r="E3415" s="52" t="s">
        <v>25</v>
      </c>
      <c r="F3415" s="52" t="s">
        <v>26</v>
      </c>
      <c r="G3415" s="53"/>
    </row>
    <row r="3416">
      <c r="A3416" s="49">
        <v>44548.784551840276</v>
      </c>
      <c r="B3416" s="50">
        <v>44548.9095306481</v>
      </c>
      <c r="C3416" s="51">
        <v>1.014</v>
      </c>
      <c r="D3416" s="51">
        <v>63.0</v>
      </c>
      <c r="E3416" s="52" t="s">
        <v>25</v>
      </c>
      <c r="F3416" s="52" t="s">
        <v>26</v>
      </c>
      <c r="G3416" s="53"/>
    </row>
    <row r="3417">
      <c r="A3417" s="49">
        <v>44548.79498910879</v>
      </c>
      <c r="B3417" s="50">
        <v>44548.9199515972</v>
      </c>
      <c r="C3417" s="51">
        <v>1.014</v>
      </c>
      <c r="D3417" s="51">
        <v>63.0</v>
      </c>
      <c r="E3417" s="52" t="s">
        <v>25</v>
      </c>
      <c r="F3417" s="52" t="s">
        <v>26</v>
      </c>
      <c r="G3417" s="53"/>
    </row>
    <row r="3418">
      <c r="A3418" s="49">
        <v>44548.80540149305</v>
      </c>
      <c r="B3418" s="50">
        <v>44548.9303719328</v>
      </c>
      <c r="C3418" s="51">
        <v>1.014</v>
      </c>
      <c r="D3418" s="51">
        <v>63.0</v>
      </c>
      <c r="E3418" s="52" t="s">
        <v>25</v>
      </c>
      <c r="F3418" s="52" t="s">
        <v>26</v>
      </c>
      <c r="G3418" s="53"/>
    </row>
    <row r="3419">
      <c r="A3419" s="49">
        <v>44548.815836388894</v>
      </c>
      <c r="B3419" s="50">
        <v>44548.9408064004</v>
      </c>
      <c r="C3419" s="51">
        <v>1.013</v>
      </c>
      <c r="D3419" s="51">
        <v>63.0</v>
      </c>
      <c r="E3419" s="52" t="s">
        <v>25</v>
      </c>
      <c r="F3419" s="52" t="s">
        <v>26</v>
      </c>
      <c r="G3419" s="53"/>
    </row>
    <row r="3420">
      <c r="A3420" s="49">
        <v>44548.82625336805</v>
      </c>
      <c r="B3420" s="50">
        <v>44548.9512274999</v>
      </c>
      <c r="C3420" s="51">
        <v>1.014</v>
      </c>
      <c r="D3420" s="51">
        <v>63.0</v>
      </c>
      <c r="E3420" s="52" t="s">
        <v>25</v>
      </c>
      <c r="F3420" s="52" t="s">
        <v>26</v>
      </c>
      <c r="G3420" s="53"/>
    </row>
    <row r="3421">
      <c r="A3421" s="49">
        <v>44548.83667513889</v>
      </c>
      <c r="B3421" s="50">
        <v>44548.9616477893</v>
      </c>
      <c r="C3421" s="51">
        <v>1.014</v>
      </c>
      <c r="D3421" s="51">
        <v>63.0</v>
      </c>
      <c r="E3421" s="52" t="s">
        <v>25</v>
      </c>
      <c r="F3421" s="52" t="s">
        <v>26</v>
      </c>
      <c r="G3421" s="53"/>
    </row>
    <row r="3422">
      <c r="A3422" s="49">
        <v>44548.8471078125</v>
      </c>
      <c r="B3422" s="50">
        <v>44548.9720805902</v>
      </c>
      <c r="C3422" s="51">
        <v>1.014</v>
      </c>
      <c r="D3422" s="51">
        <v>63.0</v>
      </c>
      <c r="E3422" s="52" t="s">
        <v>25</v>
      </c>
      <c r="F3422" s="52" t="s">
        <v>26</v>
      </c>
      <c r="G3422" s="53"/>
    </row>
    <row r="3423">
      <c r="A3423" s="49">
        <v>44548.85754431713</v>
      </c>
      <c r="B3423" s="50">
        <v>44548.9825151851</v>
      </c>
      <c r="C3423" s="51">
        <v>1.014</v>
      </c>
      <c r="D3423" s="51">
        <v>63.0</v>
      </c>
      <c r="E3423" s="52" t="s">
        <v>25</v>
      </c>
      <c r="F3423" s="52" t="s">
        <v>26</v>
      </c>
      <c r="G3423" s="53"/>
    </row>
    <row r="3424">
      <c r="A3424" s="49">
        <v>44548.86798707176</v>
      </c>
      <c r="B3424" s="50">
        <v>44548.9929477662</v>
      </c>
      <c r="C3424" s="51">
        <v>1.014</v>
      </c>
      <c r="D3424" s="51">
        <v>63.0</v>
      </c>
      <c r="E3424" s="52" t="s">
        <v>25</v>
      </c>
      <c r="F3424" s="52" t="s">
        <v>26</v>
      </c>
      <c r="G3424" s="53"/>
    </row>
    <row r="3425">
      <c r="A3425" s="49">
        <v>44548.87839974537</v>
      </c>
      <c r="B3425" s="50">
        <v>44549.0033669907</v>
      </c>
      <c r="C3425" s="51">
        <v>1.014</v>
      </c>
      <c r="D3425" s="51">
        <v>63.0</v>
      </c>
      <c r="E3425" s="52" t="s">
        <v>25</v>
      </c>
      <c r="F3425" s="52" t="s">
        <v>26</v>
      </c>
      <c r="G3425" s="53"/>
    </row>
    <row r="3426">
      <c r="A3426" s="49">
        <v>44548.88883261574</v>
      </c>
      <c r="B3426" s="50">
        <v>44549.0137989467</v>
      </c>
      <c r="C3426" s="51">
        <v>1.013</v>
      </c>
      <c r="D3426" s="51">
        <v>63.0</v>
      </c>
      <c r="E3426" s="52" t="s">
        <v>25</v>
      </c>
      <c r="F3426" s="52" t="s">
        <v>26</v>
      </c>
      <c r="G3426" s="53"/>
    </row>
    <row r="3427">
      <c r="A3427" s="49">
        <v>44548.89924986111</v>
      </c>
      <c r="B3427" s="50">
        <v>44549.0242213773</v>
      </c>
      <c r="C3427" s="51">
        <v>1.013</v>
      </c>
      <c r="D3427" s="51">
        <v>63.0</v>
      </c>
      <c r="E3427" s="52" t="s">
        <v>25</v>
      </c>
      <c r="F3427" s="52" t="s">
        <v>26</v>
      </c>
      <c r="G3427" s="53"/>
    </row>
    <row r="3428">
      <c r="A3428" s="49">
        <v>44548.90966263889</v>
      </c>
      <c r="B3428" s="50">
        <v>44549.0346419097</v>
      </c>
      <c r="C3428" s="51">
        <v>1.014</v>
      </c>
      <c r="D3428" s="51">
        <v>63.0</v>
      </c>
      <c r="E3428" s="52" t="s">
        <v>25</v>
      </c>
      <c r="F3428" s="52" t="s">
        <v>26</v>
      </c>
      <c r="G3428" s="53"/>
    </row>
    <row r="3429">
      <c r="A3429" s="49">
        <v>44548.92008981481</v>
      </c>
      <c r="B3429" s="50">
        <v>44549.0450635763</v>
      </c>
      <c r="C3429" s="51">
        <v>1.013</v>
      </c>
      <c r="D3429" s="51">
        <v>63.0</v>
      </c>
      <c r="E3429" s="52" t="s">
        <v>25</v>
      </c>
      <c r="F3429" s="52" t="s">
        <v>26</v>
      </c>
      <c r="G3429" s="53"/>
    </row>
    <row r="3430">
      <c r="A3430" s="49">
        <v>44548.930517615736</v>
      </c>
      <c r="B3430" s="50">
        <v>44549.0554955671</v>
      </c>
      <c r="C3430" s="51">
        <v>1.014</v>
      </c>
      <c r="D3430" s="51">
        <v>63.0</v>
      </c>
      <c r="E3430" s="52" t="s">
        <v>25</v>
      </c>
      <c r="F3430" s="52" t="s">
        <v>26</v>
      </c>
      <c r="G3430" s="53"/>
    </row>
    <row r="3431">
      <c r="A3431" s="49">
        <v>44548.940962256944</v>
      </c>
      <c r="B3431" s="50">
        <v>44549.0659276736</v>
      </c>
      <c r="C3431" s="51">
        <v>1.013</v>
      </c>
      <c r="D3431" s="51">
        <v>63.0</v>
      </c>
      <c r="E3431" s="52" t="s">
        <v>25</v>
      </c>
      <c r="F3431" s="52" t="s">
        <v>26</v>
      </c>
      <c r="G3431" s="53"/>
    </row>
    <row r="3432">
      <c r="A3432" s="49">
        <v>44548.95138174768</v>
      </c>
      <c r="B3432" s="50">
        <v>44549.0763585995</v>
      </c>
      <c r="C3432" s="51">
        <v>1.014</v>
      </c>
      <c r="D3432" s="51">
        <v>63.0</v>
      </c>
      <c r="E3432" s="52" t="s">
        <v>25</v>
      </c>
      <c r="F3432" s="52" t="s">
        <v>26</v>
      </c>
      <c r="G3432" s="53"/>
    </row>
    <row r="3433">
      <c r="A3433" s="49">
        <v>44548.96180634259</v>
      </c>
      <c r="B3433" s="50">
        <v>44549.0867813078</v>
      </c>
      <c r="C3433" s="51">
        <v>1.013</v>
      </c>
      <c r="D3433" s="51">
        <v>63.0</v>
      </c>
      <c r="E3433" s="52" t="s">
        <v>25</v>
      </c>
      <c r="F3433" s="52" t="s">
        <v>26</v>
      </c>
      <c r="G3433" s="53"/>
    </row>
    <row r="3434">
      <c r="A3434" s="49">
        <v>44548.972244131946</v>
      </c>
      <c r="B3434" s="50">
        <v>44549.097214537</v>
      </c>
      <c r="C3434" s="51">
        <v>1.013</v>
      </c>
      <c r="D3434" s="51">
        <v>63.0</v>
      </c>
      <c r="E3434" s="52" t="s">
        <v>25</v>
      </c>
      <c r="F3434" s="52" t="s">
        <v>26</v>
      </c>
      <c r="G3434" s="53"/>
    </row>
    <row r="3435">
      <c r="A3435" s="49">
        <v>44548.982667592594</v>
      </c>
      <c r="B3435" s="50">
        <v>44549.1076357291</v>
      </c>
      <c r="C3435" s="51">
        <v>1.013</v>
      </c>
      <c r="D3435" s="51">
        <v>63.0</v>
      </c>
      <c r="E3435" s="52" t="s">
        <v>25</v>
      </c>
      <c r="F3435" s="52" t="s">
        <v>26</v>
      </c>
      <c r="G3435" s="53"/>
    </row>
    <row r="3436">
      <c r="A3436" s="49">
        <v>44548.99309167824</v>
      </c>
      <c r="B3436" s="50">
        <v>44549.1180673032</v>
      </c>
      <c r="C3436" s="51">
        <v>1.013</v>
      </c>
      <c r="D3436" s="51">
        <v>63.0</v>
      </c>
      <c r="E3436" s="52" t="s">
        <v>25</v>
      </c>
      <c r="F3436" s="52" t="s">
        <v>26</v>
      </c>
      <c r="G3436" s="53"/>
    </row>
    <row r="3437">
      <c r="A3437" s="49">
        <v>44549.003515868055</v>
      </c>
      <c r="B3437" s="50">
        <v>44549.1284873263</v>
      </c>
      <c r="C3437" s="51">
        <v>1.013</v>
      </c>
      <c r="D3437" s="51">
        <v>63.0</v>
      </c>
      <c r="E3437" s="52" t="s">
        <v>25</v>
      </c>
      <c r="F3437" s="52" t="s">
        <v>26</v>
      </c>
      <c r="G3437" s="53"/>
    </row>
    <row r="3438">
      <c r="A3438" s="49">
        <v>44549.01395635417</v>
      </c>
      <c r="B3438" s="50">
        <v>44549.1389206134</v>
      </c>
      <c r="C3438" s="51">
        <v>1.013</v>
      </c>
      <c r="D3438" s="51">
        <v>63.0</v>
      </c>
      <c r="E3438" s="52" t="s">
        <v>25</v>
      </c>
      <c r="F3438" s="52" t="s">
        <v>26</v>
      </c>
      <c r="G3438" s="53"/>
    </row>
    <row r="3439">
      <c r="A3439" s="49">
        <v>44549.024394618056</v>
      </c>
      <c r="B3439" s="50">
        <v>44549.1493542361</v>
      </c>
      <c r="C3439" s="51">
        <v>1.014</v>
      </c>
      <c r="D3439" s="51">
        <v>63.0</v>
      </c>
      <c r="E3439" s="52" t="s">
        <v>25</v>
      </c>
      <c r="F3439" s="52" t="s">
        <v>26</v>
      </c>
      <c r="G3439" s="53"/>
    </row>
    <row r="3440">
      <c r="A3440" s="49">
        <v>44549.0348055787</v>
      </c>
      <c r="B3440" s="50">
        <v>44549.1597748148</v>
      </c>
      <c r="C3440" s="51">
        <v>1.013</v>
      </c>
      <c r="D3440" s="51">
        <v>63.0</v>
      </c>
      <c r="E3440" s="52" t="s">
        <v>25</v>
      </c>
      <c r="F3440" s="52" t="s">
        <v>26</v>
      </c>
      <c r="G3440" s="53"/>
    </row>
    <row r="3441">
      <c r="A3441" s="49">
        <v>44549.04522248842</v>
      </c>
      <c r="B3441" s="50">
        <v>44549.1701960185</v>
      </c>
      <c r="C3441" s="51">
        <v>1.013</v>
      </c>
      <c r="D3441" s="51">
        <v>63.0</v>
      </c>
      <c r="E3441" s="52" t="s">
        <v>25</v>
      </c>
      <c r="F3441" s="52" t="s">
        <v>26</v>
      </c>
      <c r="G3441" s="53"/>
    </row>
    <row r="3442">
      <c r="A3442" s="49">
        <v>44549.05564438658</v>
      </c>
      <c r="B3442" s="50">
        <v>44549.1806161458</v>
      </c>
      <c r="C3442" s="51">
        <v>1.013</v>
      </c>
      <c r="D3442" s="51">
        <v>63.0</v>
      </c>
      <c r="E3442" s="52" t="s">
        <v>25</v>
      </c>
      <c r="F3442" s="52" t="s">
        <v>26</v>
      </c>
      <c r="G3442" s="53"/>
    </row>
    <row r="3443">
      <c r="A3443" s="49">
        <v>44549.0660590162</v>
      </c>
      <c r="B3443" s="50">
        <v>44549.1910365162</v>
      </c>
      <c r="C3443" s="51">
        <v>1.013</v>
      </c>
      <c r="D3443" s="51">
        <v>63.0</v>
      </c>
      <c r="E3443" s="52" t="s">
        <v>25</v>
      </c>
      <c r="F3443" s="52" t="s">
        <v>26</v>
      </c>
      <c r="G3443" s="53"/>
    </row>
    <row r="3444">
      <c r="A3444" s="49">
        <v>44549.0764891088</v>
      </c>
      <c r="B3444" s="50">
        <v>44549.2014690972</v>
      </c>
      <c r="C3444" s="51">
        <v>1.013</v>
      </c>
      <c r="D3444" s="51">
        <v>63.0</v>
      </c>
      <c r="E3444" s="52" t="s">
        <v>25</v>
      </c>
      <c r="F3444" s="52" t="s">
        <v>26</v>
      </c>
      <c r="G3444" s="53"/>
    </row>
    <row r="3445">
      <c r="A3445" s="49">
        <v>44549.08692565972</v>
      </c>
      <c r="B3445" s="50">
        <v>44549.2118898495</v>
      </c>
      <c r="C3445" s="51">
        <v>1.013</v>
      </c>
      <c r="D3445" s="51">
        <v>63.0</v>
      </c>
      <c r="E3445" s="52" t="s">
        <v>25</v>
      </c>
      <c r="F3445" s="52" t="s">
        <v>26</v>
      </c>
      <c r="G3445" s="53"/>
    </row>
    <row r="3446">
      <c r="A3446" s="49">
        <v>44549.09735311342</v>
      </c>
      <c r="B3446" s="50">
        <v>44549.2223236574</v>
      </c>
      <c r="C3446" s="51">
        <v>1.013</v>
      </c>
      <c r="D3446" s="51">
        <v>63.0</v>
      </c>
      <c r="E3446" s="52" t="s">
        <v>25</v>
      </c>
      <c r="F3446" s="52" t="s">
        <v>26</v>
      </c>
      <c r="G3446" s="53"/>
    </row>
    <row r="3447">
      <c r="A3447" s="49">
        <v>44549.10776309027</v>
      </c>
      <c r="B3447" s="50">
        <v>44549.2327436689</v>
      </c>
      <c r="C3447" s="51">
        <v>1.013</v>
      </c>
      <c r="D3447" s="51">
        <v>63.0</v>
      </c>
      <c r="E3447" s="52" t="s">
        <v>25</v>
      </c>
      <c r="F3447" s="52" t="s">
        <v>26</v>
      </c>
      <c r="G3447" s="53"/>
    </row>
    <row r="3448">
      <c r="A3448" s="49">
        <v>44549.11820363426</v>
      </c>
      <c r="B3448" s="50">
        <v>44549.2431766898</v>
      </c>
      <c r="C3448" s="51">
        <v>1.013</v>
      </c>
      <c r="D3448" s="51">
        <v>63.0</v>
      </c>
      <c r="E3448" s="52" t="s">
        <v>25</v>
      </c>
      <c r="F3448" s="52" t="s">
        <v>26</v>
      </c>
      <c r="G3448" s="53"/>
    </row>
    <row r="3449">
      <c r="A3449" s="49">
        <v>44549.1286296412</v>
      </c>
      <c r="B3449" s="50">
        <v>44549.2535977314</v>
      </c>
      <c r="C3449" s="51">
        <v>1.013</v>
      </c>
      <c r="D3449" s="51">
        <v>63.0</v>
      </c>
      <c r="E3449" s="52" t="s">
        <v>25</v>
      </c>
      <c r="F3449" s="52" t="s">
        <v>26</v>
      </c>
      <c r="G3449" s="53"/>
    </row>
    <row r="3450">
      <c r="A3450" s="49">
        <v>44549.13904653935</v>
      </c>
      <c r="B3450" s="50">
        <v>44549.2640208217</v>
      </c>
      <c r="C3450" s="51">
        <v>1.013</v>
      </c>
      <c r="D3450" s="51">
        <v>63.0</v>
      </c>
      <c r="E3450" s="52" t="s">
        <v>25</v>
      </c>
      <c r="F3450" s="52" t="s">
        <v>26</v>
      </c>
      <c r="G3450" s="53"/>
    </row>
    <row r="3451">
      <c r="A3451" s="49">
        <v>44549.14947372685</v>
      </c>
      <c r="B3451" s="50">
        <v>44549.2744428588</v>
      </c>
      <c r="C3451" s="51">
        <v>1.013</v>
      </c>
      <c r="D3451" s="51">
        <v>63.0</v>
      </c>
      <c r="E3451" s="52" t="s">
        <v>25</v>
      </c>
      <c r="F3451" s="52" t="s">
        <v>26</v>
      </c>
      <c r="G3451" s="53"/>
    </row>
    <row r="3452">
      <c r="A3452" s="49">
        <v>44549.1598890162</v>
      </c>
      <c r="B3452" s="50">
        <v>44549.2848637615</v>
      </c>
      <c r="C3452" s="51">
        <v>1.013</v>
      </c>
      <c r="D3452" s="51">
        <v>63.0</v>
      </c>
      <c r="E3452" s="52" t="s">
        <v>25</v>
      </c>
      <c r="F3452" s="52" t="s">
        <v>26</v>
      </c>
      <c r="G3452" s="53"/>
    </row>
    <row r="3453">
      <c r="A3453" s="49">
        <v>44549.170311574075</v>
      </c>
      <c r="B3453" s="50">
        <v>44549.2952853472</v>
      </c>
      <c r="C3453" s="51">
        <v>1.013</v>
      </c>
      <c r="D3453" s="51">
        <v>63.0</v>
      </c>
      <c r="E3453" s="52" t="s">
        <v>25</v>
      </c>
      <c r="F3453" s="52" t="s">
        <v>26</v>
      </c>
      <c r="G3453" s="53"/>
    </row>
    <row r="3454">
      <c r="A3454" s="49">
        <v>44549.18072400463</v>
      </c>
      <c r="B3454" s="50">
        <v>44549.3057043055</v>
      </c>
      <c r="C3454" s="51">
        <v>1.013</v>
      </c>
      <c r="D3454" s="51">
        <v>63.0</v>
      </c>
      <c r="E3454" s="52" t="s">
        <v>25</v>
      </c>
      <c r="F3454" s="52" t="s">
        <v>26</v>
      </c>
      <c r="G3454" s="53"/>
    </row>
    <row r="3455">
      <c r="A3455" s="49">
        <v>44549.191163738426</v>
      </c>
      <c r="B3455" s="50">
        <v>44549.3161275694</v>
      </c>
      <c r="C3455" s="51">
        <v>1.013</v>
      </c>
      <c r="D3455" s="51">
        <v>63.0</v>
      </c>
      <c r="E3455" s="52" t="s">
        <v>25</v>
      </c>
      <c r="F3455" s="52" t="s">
        <v>26</v>
      </c>
      <c r="G3455" s="53"/>
    </row>
    <row r="3456">
      <c r="A3456" s="49">
        <v>44549.20157116898</v>
      </c>
      <c r="B3456" s="50">
        <v>44549.3265479166</v>
      </c>
      <c r="C3456" s="51">
        <v>1.013</v>
      </c>
      <c r="D3456" s="51">
        <v>63.0</v>
      </c>
      <c r="E3456" s="52" t="s">
        <v>25</v>
      </c>
      <c r="F3456" s="52" t="s">
        <v>26</v>
      </c>
      <c r="G3456" s="53"/>
    </row>
    <row r="3457">
      <c r="A3457" s="49">
        <v>44549.21199033565</v>
      </c>
      <c r="B3457" s="50">
        <v>44549.3369682523</v>
      </c>
      <c r="C3457" s="51">
        <v>1.013</v>
      </c>
      <c r="D3457" s="51">
        <v>63.0</v>
      </c>
      <c r="E3457" s="52" t="s">
        <v>25</v>
      </c>
      <c r="F3457" s="52" t="s">
        <v>26</v>
      </c>
      <c r="G3457" s="53"/>
    </row>
    <row r="3458">
      <c r="A3458" s="49">
        <v>44549.222423680556</v>
      </c>
      <c r="B3458" s="50">
        <v>44549.3474018865</v>
      </c>
      <c r="C3458" s="51">
        <v>1.013</v>
      </c>
      <c r="D3458" s="51">
        <v>63.0</v>
      </c>
      <c r="E3458" s="52" t="s">
        <v>25</v>
      </c>
      <c r="F3458" s="52" t="s">
        <v>26</v>
      </c>
      <c r="G3458" s="53"/>
    </row>
    <row r="3459">
      <c r="A3459" s="49">
        <v>44549.232867743056</v>
      </c>
      <c r="B3459" s="50">
        <v>44549.3578457754</v>
      </c>
      <c r="C3459" s="51">
        <v>1.013</v>
      </c>
      <c r="D3459" s="51">
        <v>63.0</v>
      </c>
      <c r="E3459" s="52" t="s">
        <v>25</v>
      </c>
      <c r="F3459" s="52" t="s">
        <v>26</v>
      </c>
      <c r="G3459" s="53"/>
    </row>
    <row r="3460">
      <c r="A3460" s="49">
        <v>44549.24329086806</v>
      </c>
      <c r="B3460" s="50">
        <v>44549.3682658217</v>
      </c>
      <c r="C3460" s="51">
        <v>1.013</v>
      </c>
      <c r="D3460" s="51">
        <v>63.0</v>
      </c>
      <c r="E3460" s="52" t="s">
        <v>25</v>
      </c>
      <c r="F3460" s="52" t="s">
        <v>26</v>
      </c>
      <c r="G3460" s="53"/>
    </row>
    <row r="3461">
      <c r="A3461" s="49">
        <v>44549.253717997686</v>
      </c>
      <c r="B3461" s="50">
        <v>44549.3786872106</v>
      </c>
      <c r="C3461" s="51">
        <v>1.013</v>
      </c>
      <c r="D3461" s="51">
        <v>63.0</v>
      </c>
      <c r="E3461" s="52" t="s">
        <v>25</v>
      </c>
      <c r="F3461" s="52" t="s">
        <v>26</v>
      </c>
      <c r="G3461" s="53"/>
    </row>
    <row r="3462">
      <c r="A3462" s="49">
        <v>44549.26413388889</v>
      </c>
      <c r="B3462" s="50">
        <v>44549.3891084606</v>
      </c>
      <c r="C3462" s="51">
        <v>1.013</v>
      </c>
      <c r="D3462" s="51">
        <v>63.0</v>
      </c>
      <c r="E3462" s="52" t="s">
        <v>25</v>
      </c>
      <c r="F3462" s="52" t="s">
        <v>26</v>
      </c>
      <c r="G3462" s="53"/>
    </row>
    <row r="3463">
      <c r="A3463" s="49">
        <v>44549.274558923615</v>
      </c>
      <c r="B3463" s="50">
        <v>44549.3995294791</v>
      </c>
      <c r="C3463" s="51">
        <v>1.013</v>
      </c>
      <c r="D3463" s="51">
        <v>63.0</v>
      </c>
      <c r="E3463" s="52" t="s">
        <v>25</v>
      </c>
      <c r="F3463" s="52" t="s">
        <v>26</v>
      </c>
      <c r="G3463" s="53"/>
    </row>
    <row r="3464">
      <c r="A3464" s="49">
        <v>44549.284990949076</v>
      </c>
      <c r="B3464" s="50">
        <v>44549.4099608564</v>
      </c>
      <c r="C3464" s="51">
        <v>1.013</v>
      </c>
      <c r="D3464" s="51">
        <v>63.0</v>
      </c>
      <c r="E3464" s="52" t="s">
        <v>25</v>
      </c>
      <c r="F3464" s="52" t="s">
        <v>26</v>
      </c>
      <c r="G3464" s="53"/>
    </row>
    <row r="3465">
      <c r="A3465" s="49">
        <v>44549.295414699074</v>
      </c>
      <c r="B3465" s="50">
        <v>44549.4203797222</v>
      </c>
      <c r="C3465" s="51">
        <v>1.013</v>
      </c>
      <c r="D3465" s="51">
        <v>63.0</v>
      </c>
      <c r="E3465" s="52" t="s">
        <v>25</v>
      </c>
      <c r="F3465" s="52" t="s">
        <v>26</v>
      </c>
      <c r="G3465" s="53"/>
    </row>
    <row r="3466">
      <c r="A3466" s="49">
        <v>44549.30584064814</v>
      </c>
      <c r="B3466" s="50">
        <v>44549.4308018749</v>
      </c>
      <c r="C3466" s="51">
        <v>1.013</v>
      </c>
      <c r="D3466" s="51">
        <v>63.0</v>
      </c>
      <c r="E3466" s="52" t="s">
        <v>25</v>
      </c>
      <c r="F3466" s="52" t="s">
        <v>26</v>
      </c>
      <c r="G3466" s="53"/>
    </row>
    <row r="3467">
      <c r="A3467" s="49">
        <v>44549.31624623842</v>
      </c>
      <c r="B3467" s="50">
        <v>44549.4412217129</v>
      </c>
      <c r="C3467" s="51">
        <v>1.013</v>
      </c>
      <c r="D3467" s="51">
        <v>63.0</v>
      </c>
      <c r="E3467" s="52" t="s">
        <v>25</v>
      </c>
      <c r="F3467" s="52" t="s">
        <v>26</v>
      </c>
      <c r="G3467" s="53"/>
    </row>
    <row r="3468">
      <c r="A3468" s="49">
        <v>44549.326667037036</v>
      </c>
      <c r="B3468" s="50">
        <v>44549.4516422338</v>
      </c>
      <c r="C3468" s="51">
        <v>1.013</v>
      </c>
      <c r="D3468" s="51">
        <v>63.0</v>
      </c>
      <c r="E3468" s="52" t="s">
        <v>25</v>
      </c>
      <c r="F3468" s="52" t="s">
        <v>26</v>
      </c>
      <c r="G3468" s="53"/>
    </row>
    <row r="3469">
      <c r="A3469" s="49">
        <v>44549.337095219904</v>
      </c>
      <c r="B3469" s="50">
        <v>44549.4620631249</v>
      </c>
      <c r="C3469" s="51">
        <v>1.013</v>
      </c>
      <c r="D3469" s="51">
        <v>63.0</v>
      </c>
      <c r="E3469" s="52" t="s">
        <v>25</v>
      </c>
      <c r="F3469" s="52" t="s">
        <v>26</v>
      </c>
      <c r="G3469" s="53"/>
    </row>
    <row r="3470">
      <c r="A3470" s="49">
        <v>44549.3475181713</v>
      </c>
      <c r="B3470" s="50">
        <v>44549.472484699</v>
      </c>
      <c r="C3470" s="51">
        <v>1.013</v>
      </c>
      <c r="D3470" s="51">
        <v>63.0</v>
      </c>
      <c r="E3470" s="52" t="s">
        <v>25</v>
      </c>
      <c r="F3470" s="52" t="s">
        <v>26</v>
      </c>
      <c r="G3470" s="53"/>
    </row>
    <row r="3471">
      <c r="A3471" s="49">
        <v>44549.35794400463</v>
      </c>
      <c r="B3471" s="50">
        <v>44549.4829177777</v>
      </c>
      <c r="C3471" s="51">
        <v>1.013</v>
      </c>
      <c r="D3471" s="51">
        <v>63.0</v>
      </c>
      <c r="E3471" s="52" t="s">
        <v>25</v>
      </c>
      <c r="F3471" s="52" t="s">
        <v>26</v>
      </c>
      <c r="G3471" s="53"/>
    </row>
    <row r="3472">
      <c r="A3472" s="49">
        <v>44549.36837246528</v>
      </c>
      <c r="B3472" s="50">
        <v>44549.4933511342</v>
      </c>
      <c r="C3472" s="51">
        <v>1.013</v>
      </c>
      <c r="D3472" s="51">
        <v>63.0</v>
      </c>
      <c r="E3472" s="52" t="s">
        <v>25</v>
      </c>
      <c r="F3472" s="52" t="s">
        <v>26</v>
      </c>
      <c r="G3472" s="53"/>
    </row>
    <row r="3473">
      <c r="A3473" s="49">
        <v>44549.378795150464</v>
      </c>
      <c r="B3473" s="50">
        <v>44549.5037707754</v>
      </c>
      <c r="C3473" s="51">
        <v>1.013</v>
      </c>
      <c r="D3473" s="51">
        <v>63.0</v>
      </c>
      <c r="E3473" s="52" t="s">
        <v>25</v>
      </c>
      <c r="F3473" s="52" t="s">
        <v>26</v>
      </c>
      <c r="G3473" s="53"/>
    </row>
    <row r="3474">
      <c r="A3474" s="49">
        <v>44549.38922028935</v>
      </c>
      <c r="B3474" s="50">
        <v>44549.5141926504</v>
      </c>
      <c r="C3474" s="51">
        <v>1.013</v>
      </c>
      <c r="D3474" s="51">
        <v>63.0</v>
      </c>
      <c r="E3474" s="52" t="s">
        <v>25</v>
      </c>
      <c r="F3474" s="52" t="s">
        <v>26</v>
      </c>
      <c r="G3474" s="53"/>
    </row>
    <row r="3475">
      <c r="A3475" s="49">
        <v>44549.39963891204</v>
      </c>
      <c r="B3475" s="50">
        <v>44549.5246141782</v>
      </c>
      <c r="C3475" s="51">
        <v>1.013</v>
      </c>
      <c r="D3475" s="51">
        <v>63.0</v>
      </c>
      <c r="E3475" s="52" t="s">
        <v>25</v>
      </c>
      <c r="F3475" s="52" t="s">
        <v>26</v>
      </c>
      <c r="G3475" s="53"/>
    </row>
    <row r="3476">
      <c r="A3476" s="49">
        <v>44549.41006572917</v>
      </c>
      <c r="B3476" s="50">
        <v>44549.5350349884</v>
      </c>
      <c r="C3476" s="51">
        <v>1.013</v>
      </c>
      <c r="D3476" s="51">
        <v>63.0</v>
      </c>
      <c r="E3476" s="52" t="s">
        <v>25</v>
      </c>
      <c r="F3476" s="52" t="s">
        <v>26</v>
      </c>
      <c r="G3476" s="53"/>
    </row>
    <row r="3477">
      <c r="A3477" s="49">
        <v>44549.42047884259</v>
      </c>
      <c r="B3477" s="50">
        <v>44549.5454562615</v>
      </c>
      <c r="C3477" s="51">
        <v>1.013</v>
      </c>
      <c r="D3477" s="51">
        <v>63.0</v>
      </c>
      <c r="E3477" s="52" t="s">
        <v>25</v>
      </c>
      <c r="F3477" s="52" t="s">
        <v>26</v>
      </c>
      <c r="G3477" s="53"/>
    </row>
    <row r="3478">
      <c r="A3478" s="49">
        <v>44549.43090976852</v>
      </c>
      <c r="B3478" s="50">
        <v>44549.555888287</v>
      </c>
      <c r="C3478" s="51">
        <v>1.013</v>
      </c>
      <c r="D3478" s="51">
        <v>63.0</v>
      </c>
      <c r="E3478" s="52" t="s">
        <v>25</v>
      </c>
      <c r="F3478" s="52" t="s">
        <v>26</v>
      </c>
      <c r="G3478" s="53"/>
    </row>
    <row r="3479">
      <c r="A3479" s="49">
        <v>44549.44133450231</v>
      </c>
      <c r="B3479" s="50">
        <v>44549.5663098495</v>
      </c>
      <c r="C3479" s="51">
        <v>1.013</v>
      </c>
      <c r="D3479" s="51">
        <v>63.0</v>
      </c>
      <c r="E3479" s="52" t="s">
        <v>25</v>
      </c>
      <c r="F3479" s="52" t="s">
        <v>26</v>
      </c>
      <c r="G3479" s="53"/>
    </row>
    <row r="3480">
      <c r="A3480" s="49">
        <v>44549.45175862269</v>
      </c>
      <c r="B3480" s="50">
        <v>44549.5767298611</v>
      </c>
      <c r="C3480" s="51">
        <v>1.013</v>
      </c>
      <c r="D3480" s="51">
        <v>63.0</v>
      </c>
      <c r="E3480" s="52" t="s">
        <v>25</v>
      </c>
      <c r="F3480" s="52" t="s">
        <v>26</v>
      </c>
      <c r="G3480" s="53"/>
    </row>
    <row r="3481">
      <c r="A3481" s="49">
        <v>44549.46217907408</v>
      </c>
      <c r="B3481" s="50">
        <v>44549.5871503819</v>
      </c>
      <c r="C3481" s="51">
        <v>1.013</v>
      </c>
      <c r="D3481" s="51">
        <v>63.0</v>
      </c>
      <c r="E3481" s="52" t="s">
        <v>25</v>
      </c>
      <c r="F3481" s="52" t="s">
        <v>26</v>
      </c>
      <c r="G3481" s="53"/>
    </row>
    <row r="3482">
      <c r="A3482" s="49">
        <v>44549.47260241898</v>
      </c>
      <c r="B3482" s="50">
        <v>44549.5975723611</v>
      </c>
      <c r="C3482" s="51">
        <v>1.013</v>
      </c>
      <c r="D3482" s="51">
        <v>63.0</v>
      </c>
      <c r="E3482" s="52" t="s">
        <v>25</v>
      </c>
      <c r="F3482" s="52" t="s">
        <v>26</v>
      </c>
      <c r="G3482" s="53"/>
    </row>
    <row r="3483">
      <c r="A3483" s="49">
        <v>44549.48301946759</v>
      </c>
      <c r="B3483" s="50">
        <v>44549.6079946875</v>
      </c>
      <c r="C3483" s="51">
        <v>1.013</v>
      </c>
      <c r="D3483" s="51">
        <v>63.0</v>
      </c>
      <c r="E3483" s="52" t="s">
        <v>25</v>
      </c>
      <c r="F3483" s="52" t="s">
        <v>26</v>
      </c>
      <c r="G3483" s="53"/>
    </row>
    <row r="3484">
      <c r="A3484" s="49">
        <v>44549.493437627316</v>
      </c>
      <c r="B3484" s="50">
        <v>44549.6184161921</v>
      </c>
      <c r="C3484" s="51">
        <v>1.013</v>
      </c>
      <c r="D3484" s="51">
        <v>63.0</v>
      </c>
      <c r="E3484" s="52" t="s">
        <v>25</v>
      </c>
      <c r="F3484" s="52" t="s">
        <v>26</v>
      </c>
      <c r="G3484" s="53"/>
    </row>
    <row r="3485">
      <c r="A3485" s="49">
        <v>44549.50385706019</v>
      </c>
      <c r="B3485" s="50">
        <v>44549.6288374884</v>
      </c>
      <c r="C3485" s="51">
        <v>1.013</v>
      </c>
      <c r="D3485" s="51">
        <v>63.0</v>
      </c>
      <c r="E3485" s="52" t="s">
        <v>25</v>
      </c>
      <c r="F3485" s="52" t="s">
        <v>26</v>
      </c>
      <c r="G3485" s="53"/>
    </row>
    <row r="3486">
      <c r="A3486" s="49">
        <v>44549.514292858796</v>
      </c>
      <c r="B3486" s="50">
        <v>44549.6392586574</v>
      </c>
      <c r="C3486" s="51">
        <v>1.013</v>
      </c>
      <c r="D3486" s="51">
        <v>63.0</v>
      </c>
      <c r="E3486" s="52" t="s">
        <v>25</v>
      </c>
      <c r="F3486" s="52" t="s">
        <v>26</v>
      </c>
      <c r="G3486" s="53"/>
    </row>
    <row r="3487">
      <c r="A3487" s="49">
        <v>44549.52470982639</v>
      </c>
      <c r="B3487" s="50">
        <v>44549.6496793287</v>
      </c>
      <c r="C3487" s="51">
        <v>1.013</v>
      </c>
      <c r="D3487" s="51">
        <v>63.0</v>
      </c>
      <c r="E3487" s="52" t="s">
        <v>25</v>
      </c>
      <c r="F3487" s="52" t="s">
        <v>26</v>
      </c>
      <c r="G3487" s="53"/>
    </row>
    <row r="3488">
      <c r="A3488" s="49">
        <v>44549.535127951385</v>
      </c>
      <c r="B3488" s="50">
        <v>44549.6601001273</v>
      </c>
      <c r="C3488" s="51">
        <v>1.013</v>
      </c>
      <c r="D3488" s="51">
        <v>63.0</v>
      </c>
      <c r="E3488" s="52" t="s">
        <v>25</v>
      </c>
      <c r="F3488" s="52" t="s">
        <v>26</v>
      </c>
      <c r="G3488" s="53"/>
    </row>
    <row r="3489">
      <c r="A3489" s="49">
        <v>44549.54554599537</v>
      </c>
      <c r="B3489" s="50">
        <v>44549.6705198263</v>
      </c>
      <c r="C3489" s="51">
        <v>1.013</v>
      </c>
      <c r="D3489" s="51">
        <v>63.0</v>
      </c>
      <c r="E3489" s="52" t="s">
        <v>25</v>
      </c>
      <c r="F3489" s="52" t="s">
        <v>26</v>
      </c>
      <c r="G3489" s="53"/>
    </row>
    <row r="3490">
      <c r="A3490" s="49">
        <v>44549.55597197916</v>
      </c>
      <c r="B3490" s="50">
        <v>44549.6809401041</v>
      </c>
      <c r="C3490" s="51">
        <v>1.013</v>
      </c>
      <c r="D3490" s="51">
        <v>63.0</v>
      </c>
      <c r="E3490" s="52" t="s">
        <v>25</v>
      </c>
      <c r="F3490" s="52" t="s">
        <v>26</v>
      </c>
      <c r="G3490" s="53"/>
    </row>
    <row r="3491">
      <c r="A3491" s="49">
        <v>44549.56640119213</v>
      </c>
      <c r="B3491" s="50">
        <v>44549.691373206</v>
      </c>
      <c r="C3491" s="51">
        <v>1.013</v>
      </c>
      <c r="D3491" s="51">
        <v>63.0</v>
      </c>
      <c r="E3491" s="52" t="s">
        <v>25</v>
      </c>
      <c r="F3491" s="52" t="s">
        <v>26</v>
      </c>
      <c r="G3491" s="53"/>
    </row>
    <row r="3492">
      <c r="A3492" s="49">
        <v>44549.576821006944</v>
      </c>
      <c r="B3492" s="50">
        <v>44549.7017937615</v>
      </c>
      <c r="C3492" s="51">
        <v>1.013</v>
      </c>
      <c r="D3492" s="51">
        <v>63.0</v>
      </c>
      <c r="E3492" s="52" t="s">
        <v>25</v>
      </c>
      <c r="F3492" s="52" t="s">
        <v>26</v>
      </c>
      <c r="G3492" s="53"/>
    </row>
    <row r="3493">
      <c r="A3493" s="49">
        <v>44549.587250717595</v>
      </c>
      <c r="B3493" s="50">
        <v>44549.712227037</v>
      </c>
      <c r="C3493" s="51">
        <v>1.013</v>
      </c>
      <c r="D3493" s="51">
        <v>63.0</v>
      </c>
      <c r="E3493" s="52" t="s">
        <v>25</v>
      </c>
      <c r="F3493" s="52" t="s">
        <v>26</v>
      </c>
      <c r="G3493" s="53"/>
    </row>
    <row r="3494">
      <c r="A3494" s="49">
        <v>44549.59769047453</v>
      </c>
      <c r="B3494" s="50">
        <v>44549.7226598495</v>
      </c>
      <c r="C3494" s="51">
        <v>1.013</v>
      </c>
      <c r="D3494" s="51">
        <v>63.0</v>
      </c>
      <c r="E3494" s="52" t="s">
        <v>25</v>
      </c>
      <c r="F3494" s="52" t="s">
        <v>26</v>
      </c>
      <c r="G3494" s="53"/>
    </row>
    <row r="3495">
      <c r="A3495" s="49">
        <v>44549.60811099537</v>
      </c>
      <c r="B3495" s="50">
        <v>44549.7330929166</v>
      </c>
      <c r="C3495" s="51">
        <v>1.013</v>
      </c>
      <c r="D3495" s="51">
        <v>63.0</v>
      </c>
      <c r="E3495" s="52" t="s">
        <v>25</v>
      </c>
      <c r="F3495" s="52" t="s">
        <v>26</v>
      </c>
      <c r="G3495" s="53"/>
    </row>
    <row r="3496">
      <c r="A3496" s="49">
        <v>44549.61855221065</v>
      </c>
      <c r="B3496" s="50">
        <v>44549.7435237384</v>
      </c>
      <c r="C3496" s="51">
        <v>1.013</v>
      </c>
      <c r="D3496" s="51">
        <v>63.0</v>
      </c>
      <c r="E3496" s="52" t="s">
        <v>25</v>
      </c>
      <c r="F3496" s="52" t="s">
        <v>26</v>
      </c>
      <c r="G3496" s="53"/>
    </row>
    <row r="3497">
      <c r="A3497" s="49">
        <v>44549.62897690972</v>
      </c>
      <c r="B3497" s="50">
        <v>44549.7539465277</v>
      </c>
      <c r="C3497" s="51">
        <v>1.013</v>
      </c>
      <c r="D3497" s="51">
        <v>63.0</v>
      </c>
      <c r="E3497" s="52" t="s">
        <v>25</v>
      </c>
      <c r="F3497" s="52" t="s">
        <v>26</v>
      </c>
      <c r="G3497" s="53"/>
    </row>
    <row r="3498">
      <c r="A3498" s="49">
        <v>44549.639407546296</v>
      </c>
      <c r="B3498" s="50">
        <v>44549.764366493</v>
      </c>
      <c r="C3498" s="51">
        <v>1.013</v>
      </c>
      <c r="D3498" s="51">
        <v>63.0</v>
      </c>
      <c r="E3498" s="52" t="s">
        <v>25</v>
      </c>
      <c r="F3498" s="52" t="s">
        <v>26</v>
      </c>
      <c r="G3498" s="53"/>
    </row>
    <row r="3499">
      <c r="A3499" s="49">
        <v>44549.6498224074</v>
      </c>
      <c r="B3499" s="50">
        <v>44549.7747887499</v>
      </c>
      <c r="C3499" s="51">
        <v>1.013</v>
      </c>
      <c r="D3499" s="51">
        <v>63.0</v>
      </c>
      <c r="E3499" s="52" t="s">
        <v>25</v>
      </c>
      <c r="F3499" s="52" t="s">
        <v>26</v>
      </c>
      <c r="G3499" s="53"/>
    </row>
    <row r="3500">
      <c r="A3500" s="49">
        <v>44549.6602347338</v>
      </c>
      <c r="B3500" s="50">
        <v>44549.7852090393</v>
      </c>
      <c r="C3500" s="51">
        <v>1.013</v>
      </c>
      <c r="D3500" s="51">
        <v>63.0</v>
      </c>
      <c r="E3500" s="52" t="s">
        <v>25</v>
      </c>
      <c r="F3500" s="52" t="s">
        <v>26</v>
      </c>
      <c r="G3500" s="53"/>
    </row>
    <row r="3501">
      <c r="A3501" s="49">
        <v>44549.67065884259</v>
      </c>
      <c r="B3501" s="50">
        <v>44549.7956303587</v>
      </c>
      <c r="C3501" s="51">
        <v>1.013</v>
      </c>
      <c r="D3501" s="51">
        <v>63.0</v>
      </c>
      <c r="E3501" s="52" t="s">
        <v>25</v>
      </c>
      <c r="F3501" s="52" t="s">
        <v>26</v>
      </c>
      <c r="G3501" s="53"/>
    </row>
    <row r="3502">
      <c r="A3502" s="49">
        <v>44549.68111376157</v>
      </c>
      <c r="B3502" s="50">
        <v>44549.8060858796</v>
      </c>
      <c r="C3502" s="51">
        <v>1.013</v>
      </c>
      <c r="D3502" s="51">
        <v>63.0</v>
      </c>
      <c r="E3502" s="52" t="s">
        <v>25</v>
      </c>
      <c r="F3502" s="52" t="s">
        <v>26</v>
      </c>
      <c r="G3502" s="53"/>
    </row>
    <row r="3503">
      <c r="A3503" s="49">
        <v>44549.69153596065</v>
      </c>
      <c r="B3503" s="50">
        <v>44549.81650728</v>
      </c>
      <c r="C3503" s="51">
        <v>1.013</v>
      </c>
      <c r="D3503" s="51">
        <v>63.0</v>
      </c>
      <c r="E3503" s="52" t="s">
        <v>25</v>
      </c>
      <c r="F3503" s="52" t="s">
        <v>26</v>
      </c>
      <c r="G3503" s="53"/>
    </row>
    <row r="3504">
      <c r="A3504" s="49">
        <v>44549.701955717595</v>
      </c>
      <c r="B3504" s="50">
        <v>44549.8269291203</v>
      </c>
      <c r="C3504" s="51">
        <v>1.013</v>
      </c>
      <c r="D3504" s="51">
        <v>63.0</v>
      </c>
      <c r="E3504" s="52" t="s">
        <v>25</v>
      </c>
      <c r="F3504" s="52" t="s">
        <v>26</v>
      </c>
      <c r="G3504" s="53"/>
    </row>
    <row r="3505">
      <c r="A3505" s="49">
        <v>44549.71237811343</v>
      </c>
      <c r="B3505" s="50">
        <v>44549.8373504166</v>
      </c>
      <c r="C3505" s="51">
        <v>1.013</v>
      </c>
      <c r="D3505" s="51">
        <v>63.0</v>
      </c>
      <c r="E3505" s="52" t="s">
        <v>25</v>
      </c>
      <c r="F3505" s="52" t="s">
        <v>26</v>
      </c>
      <c r="G3505" s="53"/>
    </row>
    <row r="3506">
      <c r="A3506" s="49">
        <v>44549.72280229167</v>
      </c>
      <c r="B3506" s="50">
        <v>44549.8477692708</v>
      </c>
      <c r="C3506" s="51">
        <v>1.013</v>
      </c>
      <c r="D3506" s="51">
        <v>63.0</v>
      </c>
      <c r="E3506" s="52" t="s">
        <v>25</v>
      </c>
      <c r="F3506" s="52" t="s">
        <v>26</v>
      </c>
      <c r="G3506" s="53"/>
    </row>
    <row r="3507">
      <c r="A3507" s="49">
        <v>44549.73321746528</v>
      </c>
      <c r="B3507" s="50">
        <v>44549.8581913888</v>
      </c>
      <c r="C3507" s="51">
        <v>1.013</v>
      </c>
      <c r="D3507" s="51">
        <v>63.0</v>
      </c>
      <c r="E3507" s="52" t="s">
        <v>25</v>
      </c>
      <c r="F3507" s="52" t="s">
        <v>26</v>
      </c>
      <c r="G3507" s="53"/>
    </row>
    <row r="3508">
      <c r="A3508" s="49">
        <v>44549.74364702546</v>
      </c>
      <c r="B3508" s="50">
        <v>44549.8686123611</v>
      </c>
      <c r="C3508" s="51">
        <v>1.013</v>
      </c>
      <c r="D3508" s="51">
        <v>63.0</v>
      </c>
      <c r="E3508" s="52" t="s">
        <v>25</v>
      </c>
      <c r="F3508" s="52" t="s">
        <v>26</v>
      </c>
      <c r="G3508" s="53"/>
    </row>
    <row r="3509">
      <c r="A3509" s="49">
        <v>44549.75406288194</v>
      </c>
      <c r="B3509" s="50">
        <v>44549.879033206</v>
      </c>
      <c r="C3509" s="51">
        <v>1.013</v>
      </c>
      <c r="D3509" s="51">
        <v>63.0</v>
      </c>
      <c r="E3509" s="52" t="s">
        <v>25</v>
      </c>
      <c r="F3509" s="52" t="s">
        <v>26</v>
      </c>
      <c r="G3509" s="53"/>
    </row>
    <row r="3510">
      <c r="A3510" s="49">
        <v>44549.76448519676</v>
      </c>
      <c r="B3510" s="50">
        <v>44549.8894543402</v>
      </c>
      <c r="C3510" s="51">
        <v>1.013</v>
      </c>
      <c r="D3510" s="51">
        <v>63.0</v>
      </c>
      <c r="E3510" s="52" t="s">
        <v>25</v>
      </c>
      <c r="F3510" s="52" t="s">
        <v>26</v>
      </c>
      <c r="G3510" s="53"/>
    </row>
    <row r="3511">
      <c r="A3511" s="49">
        <v>44549.774894490736</v>
      </c>
      <c r="B3511" s="50">
        <v>44549.8998742013</v>
      </c>
      <c r="C3511" s="51">
        <v>1.013</v>
      </c>
      <c r="D3511" s="51">
        <v>63.0</v>
      </c>
      <c r="E3511" s="52" t="s">
        <v>25</v>
      </c>
      <c r="F3511" s="52" t="s">
        <v>26</v>
      </c>
      <c r="G3511" s="53"/>
    </row>
    <row r="3512">
      <c r="A3512" s="49">
        <v>44549.785316724534</v>
      </c>
      <c r="B3512" s="50">
        <v>44549.9102956134</v>
      </c>
      <c r="C3512" s="51">
        <v>1.013</v>
      </c>
      <c r="D3512" s="51">
        <v>63.0</v>
      </c>
      <c r="E3512" s="52" t="s">
        <v>25</v>
      </c>
      <c r="F3512" s="52" t="s">
        <v>26</v>
      </c>
      <c r="G3512" s="53"/>
    </row>
    <row r="3513">
      <c r="A3513" s="49">
        <v>44549.79574311343</v>
      </c>
      <c r="B3513" s="50">
        <v>44549.9207154976</v>
      </c>
      <c r="C3513" s="51">
        <v>1.013</v>
      </c>
      <c r="D3513" s="51">
        <v>63.0</v>
      </c>
      <c r="E3513" s="52" t="s">
        <v>25</v>
      </c>
      <c r="F3513" s="52" t="s">
        <v>26</v>
      </c>
      <c r="G3513" s="53"/>
    </row>
    <row r="3514">
      <c r="A3514" s="49">
        <v>44549.80617107639</v>
      </c>
      <c r="B3514" s="50">
        <v>44549.9311378009</v>
      </c>
      <c r="C3514" s="51">
        <v>1.013</v>
      </c>
      <c r="D3514" s="51">
        <v>63.0</v>
      </c>
      <c r="E3514" s="52" t="s">
        <v>25</v>
      </c>
      <c r="F3514" s="52" t="s">
        <v>26</v>
      </c>
      <c r="G3514" s="53"/>
    </row>
    <row r="3515">
      <c r="A3515" s="49">
        <v>44549.81657896991</v>
      </c>
      <c r="B3515" s="50">
        <v>44549.9415585879</v>
      </c>
      <c r="C3515" s="51">
        <v>1.013</v>
      </c>
      <c r="D3515" s="51">
        <v>63.0</v>
      </c>
      <c r="E3515" s="52" t="s">
        <v>25</v>
      </c>
      <c r="F3515" s="52" t="s">
        <v>26</v>
      </c>
      <c r="G3515" s="53"/>
    </row>
    <row r="3516">
      <c r="A3516" s="49">
        <v>44549.83743378472</v>
      </c>
      <c r="B3516" s="50">
        <v>44549.9623997453</v>
      </c>
      <c r="C3516" s="51">
        <v>1.013</v>
      </c>
      <c r="D3516" s="51">
        <v>63.0</v>
      </c>
      <c r="E3516" s="52" t="s">
        <v>25</v>
      </c>
      <c r="F3516" s="52" t="s">
        <v>26</v>
      </c>
      <c r="G3516" s="53"/>
    </row>
    <row r="3517">
      <c r="A3517" s="49">
        <v>44549.84785064815</v>
      </c>
      <c r="B3517" s="50">
        <v>44549.9728200347</v>
      </c>
      <c r="C3517" s="51">
        <v>1.013</v>
      </c>
      <c r="D3517" s="51">
        <v>63.0</v>
      </c>
      <c r="E3517" s="52" t="s">
        <v>25</v>
      </c>
      <c r="F3517" s="52" t="s">
        <v>26</v>
      </c>
      <c r="G3517" s="53"/>
    </row>
    <row r="3518">
      <c r="A3518" s="49">
        <v>44549.858271481484</v>
      </c>
      <c r="B3518" s="50">
        <v>44549.9832398726</v>
      </c>
      <c r="C3518" s="51">
        <v>1.013</v>
      </c>
      <c r="D3518" s="51">
        <v>63.0</v>
      </c>
      <c r="E3518" s="52" t="s">
        <v>25</v>
      </c>
      <c r="F3518" s="52" t="s">
        <v>26</v>
      </c>
      <c r="G3518" s="53"/>
    </row>
    <row r="3519">
      <c r="A3519" s="49">
        <v>44549.86869538194</v>
      </c>
      <c r="B3519" s="50">
        <v>44549.9936608449</v>
      </c>
      <c r="C3519" s="51">
        <v>1.013</v>
      </c>
      <c r="D3519" s="51">
        <v>63.0</v>
      </c>
      <c r="E3519" s="52" t="s">
        <v>25</v>
      </c>
      <c r="F3519" s="52" t="s">
        <v>26</v>
      </c>
      <c r="G3519" s="53"/>
    </row>
    <row r="3520">
      <c r="A3520" s="49">
        <v>44549.87912216435</v>
      </c>
      <c r="B3520" s="50">
        <v>44550.0040925925</v>
      </c>
      <c r="C3520" s="51">
        <v>1.013</v>
      </c>
      <c r="D3520" s="51">
        <v>63.0</v>
      </c>
      <c r="E3520" s="52" t="s">
        <v>25</v>
      </c>
      <c r="F3520" s="52" t="s">
        <v>26</v>
      </c>
      <c r="G3520" s="53"/>
    </row>
    <row r="3521">
      <c r="A3521" s="49">
        <v>44549.88955950231</v>
      </c>
      <c r="B3521" s="50">
        <v>44550.0145361689</v>
      </c>
      <c r="C3521" s="51">
        <v>1.013</v>
      </c>
      <c r="D3521" s="51">
        <v>63.0</v>
      </c>
      <c r="E3521" s="52" t="s">
        <v>25</v>
      </c>
      <c r="F3521" s="52" t="s">
        <v>26</v>
      </c>
      <c r="G3521" s="53"/>
    </row>
    <row r="3522">
      <c r="A3522" s="49">
        <v>44549.90000109954</v>
      </c>
      <c r="B3522" s="50">
        <v>44550.0249581018</v>
      </c>
      <c r="C3522" s="51">
        <v>1.013</v>
      </c>
      <c r="D3522" s="51">
        <v>63.0</v>
      </c>
      <c r="E3522" s="52" t="s">
        <v>25</v>
      </c>
      <c r="F3522" s="52" t="s">
        <v>26</v>
      </c>
      <c r="G3522" s="53"/>
    </row>
    <row r="3523">
      <c r="A3523" s="49">
        <v>44549.91041085648</v>
      </c>
      <c r="B3523" s="50">
        <v>44550.035379375</v>
      </c>
      <c r="C3523" s="51">
        <v>1.013</v>
      </c>
      <c r="D3523" s="51">
        <v>63.0</v>
      </c>
      <c r="E3523" s="52" t="s">
        <v>25</v>
      </c>
      <c r="F3523" s="52" t="s">
        <v>26</v>
      </c>
      <c r="G3523" s="53"/>
    </row>
    <row r="3524">
      <c r="A3524" s="49">
        <v>44549.920831944444</v>
      </c>
      <c r="B3524" s="50">
        <v>44550.0458025231</v>
      </c>
      <c r="C3524" s="51">
        <v>1.013</v>
      </c>
      <c r="D3524" s="51">
        <v>63.0</v>
      </c>
      <c r="E3524" s="52" t="s">
        <v>25</v>
      </c>
      <c r="F3524" s="52" t="s">
        <v>26</v>
      </c>
      <c r="G3524" s="53"/>
    </row>
    <row r="3525">
      <c r="A3525" s="49">
        <v>44549.93126063657</v>
      </c>
      <c r="B3525" s="50">
        <v>44550.0562244907</v>
      </c>
      <c r="C3525" s="51">
        <v>1.013</v>
      </c>
      <c r="D3525" s="51">
        <v>63.0</v>
      </c>
      <c r="E3525" s="52" t="s">
        <v>25</v>
      </c>
      <c r="F3525" s="52" t="s">
        <v>26</v>
      </c>
      <c r="G3525" s="53"/>
    </row>
    <row r="3526">
      <c r="A3526" s="49">
        <v>44549.941677546296</v>
      </c>
      <c r="B3526" s="50">
        <v>44550.0666456481</v>
      </c>
      <c r="C3526" s="51">
        <v>1.013</v>
      </c>
      <c r="D3526" s="51">
        <v>63.0</v>
      </c>
      <c r="E3526" s="52" t="s">
        <v>25</v>
      </c>
      <c r="F3526" s="52" t="s">
        <v>26</v>
      </c>
      <c r="G3526" s="53"/>
    </row>
    <row r="3527">
      <c r="A3527" s="49">
        <v>44549.952105613425</v>
      </c>
      <c r="B3527" s="50">
        <v>44550.0770770601</v>
      </c>
      <c r="C3527" s="51">
        <v>1.013</v>
      </c>
      <c r="D3527" s="51">
        <v>63.0</v>
      </c>
      <c r="E3527" s="52" t="s">
        <v>25</v>
      </c>
      <c r="F3527" s="52" t="s">
        <v>26</v>
      </c>
      <c r="G3527" s="53"/>
    </row>
    <row r="3528">
      <c r="A3528" s="49">
        <v>44549.9625284375</v>
      </c>
      <c r="B3528" s="50">
        <v>44550.0874995601</v>
      </c>
      <c r="C3528" s="51">
        <v>1.013</v>
      </c>
      <c r="D3528" s="51">
        <v>63.0</v>
      </c>
      <c r="E3528" s="52" t="s">
        <v>25</v>
      </c>
      <c r="F3528" s="52" t="s">
        <v>26</v>
      </c>
      <c r="G3528" s="53"/>
    </row>
    <row r="3529">
      <c r="A3529" s="49">
        <v>44549.972966064815</v>
      </c>
      <c r="B3529" s="50">
        <v>44550.097932824</v>
      </c>
      <c r="C3529" s="51">
        <v>1.013</v>
      </c>
      <c r="D3529" s="51">
        <v>63.0</v>
      </c>
      <c r="E3529" s="52" t="s">
        <v>25</v>
      </c>
      <c r="F3529" s="52" t="s">
        <v>26</v>
      </c>
      <c r="G3529" s="53"/>
    </row>
    <row r="3530">
      <c r="A3530" s="49">
        <v>44549.9833878125</v>
      </c>
      <c r="B3530" s="50">
        <v>44550.108354375</v>
      </c>
      <c r="C3530" s="51">
        <v>1.013</v>
      </c>
      <c r="D3530" s="51">
        <v>63.0</v>
      </c>
      <c r="E3530" s="52" t="s">
        <v>25</v>
      </c>
      <c r="F3530" s="52" t="s">
        <v>26</v>
      </c>
      <c r="G3530" s="53"/>
    </row>
    <row r="3531">
      <c r="A3531" s="49">
        <v>44549.99380427084</v>
      </c>
      <c r="B3531" s="50">
        <v>44550.1187762384</v>
      </c>
      <c r="C3531" s="51">
        <v>1.013</v>
      </c>
      <c r="D3531" s="51">
        <v>63.0</v>
      </c>
      <c r="E3531" s="52" t="s">
        <v>25</v>
      </c>
      <c r="F3531" s="52" t="s">
        <v>26</v>
      </c>
      <c r="G3531" s="53"/>
    </row>
    <row r="3532">
      <c r="A3532" s="49">
        <v>44550.00423252315</v>
      </c>
      <c r="B3532" s="50">
        <v>44550.1291979976</v>
      </c>
      <c r="C3532" s="51">
        <v>1.013</v>
      </c>
      <c r="D3532" s="51">
        <v>63.0</v>
      </c>
      <c r="E3532" s="52" t="s">
        <v>25</v>
      </c>
      <c r="F3532" s="52" t="s">
        <v>26</v>
      </c>
      <c r="G3532" s="53"/>
    </row>
    <row r="3533">
      <c r="A3533" s="49">
        <v>44550.01464864583</v>
      </c>
      <c r="B3533" s="50">
        <v>44550.1396180324</v>
      </c>
      <c r="C3533" s="51">
        <v>1.013</v>
      </c>
      <c r="D3533" s="51">
        <v>63.0</v>
      </c>
      <c r="E3533" s="52" t="s">
        <v>25</v>
      </c>
      <c r="F3533" s="52" t="s">
        <v>26</v>
      </c>
      <c r="G3533" s="53"/>
    </row>
    <row r="3534">
      <c r="A3534" s="49">
        <v>44550.02507480324</v>
      </c>
      <c r="B3534" s="50">
        <v>44550.1500376273</v>
      </c>
      <c r="C3534" s="51">
        <v>1.013</v>
      </c>
      <c r="D3534" s="51">
        <v>63.0</v>
      </c>
      <c r="E3534" s="52" t="s">
        <v>25</v>
      </c>
      <c r="F3534" s="52" t="s">
        <v>26</v>
      </c>
      <c r="G3534" s="53"/>
    </row>
    <row r="3535">
      <c r="A3535" s="49">
        <v>44550.03550993056</v>
      </c>
      <c r="B3535" s="50">
        <v>44550.1604700347</v>
      </c>
      <c r="C3535" s="51">
        <v>1.013</v>
      </c>
      <c r="D3535" s="51">
        <v>63.0</v>
      </c>
      <c r="E3535" s="52" t="s">
        <v>25</v>
      </c>
      <c r="F3535" s="52" t="s">
        <v>26</v>
      </c>
      <c r="G3535" s="53"/>
    </row>
    <row r="3536">
      <c r="A3536" s="49">
        <v>44550.04592267361</v>
      </c>
      <c r="B3536" s="50">
        <v>44550.1708890393</v>
      </c>
      <c r="C3536" s="51">
        <v>1.013</v>
      </c>
      <c r="D3536" s="51">
        <v>63.0</v>
      </c>
      <c r="E3536" s="52" t="s">
        <v>25</v>
      </c>
      <c r="F3536" s="52" t="s">
        <v>26</v>
      </c>
      <c r="G3536" s="53"/>
    </row>
    <row r="3537">
      <c r="A3537" s="49">
        <v>44550.056343159726</v>
      </c>
      <c r="B3537" s="50">
        <v>44550.1813123148</v>
      </c>
      <c r="C3537" s="51">
        <v>1.013</v>
      </c>
      <c r="D3537" s="51">
        <v>63.0</v>
      </c>
      <c r="E3537" s="52" t="s">
        <v>25</v>
      </c>
      <c r="F3537" s="52" t="s">
        <v>26</v>
      </c>
      <c r="G3537" s="53"/>
    </row>
    <row r="3538">
      <c r="A3538" s="49">
        <v>44550.06675993056</v>
      </c>
      <c r="B3538" s="50">
        <v>44550.1917316203</v>
      </c>
      <c r="C3538" s="51">
        <v>1.013</v>
      </c>
      <c r="D3538" s="51">
        <v>63.0</v>
      </c>
      <c r="E3538" s="52" t="s">
        <v>25</v>
      </c>
      <c r="F3538" s="52" t="s">
        <v>26</v>
      </c>
      <c r="G3538" s="53"/>
    </row>
    <row r="3539">
      <c r="A3539" s="49">
        <v>44550.07717940972</v>
      </c>
      <c r="B3539" s="50">
        <v>44550.2021515856</v>
      </c>
      <c r="C3539" s="51">
        <v>1.013</v>
      </c>
      <c r="D3539" s="51">
        <v>63.0</v>
      </c>
      <c r="E3539" s="52" t="s">
        <v>25</v>
      </c>
      <c r="F3539" s="52" t="s">
        <v>26</v>
      </c>
      <c r="G3539" s="53"/>
    </row>
    <row r="3540">
      <c r="A3540" s="49">
        <v>44550.087607152775</v>
      </c>
      <c r="B3540" s="50">
        <v>44550.2125722569</v>
      </c>
      <c r="C3540" s="51">
        <v>1.013</v>
      </c>
      <c r="D3540" s="51">
        <v>63.0</v>
      </c>
      <c r="E3540" s="52" t="s">
        <v>25</v>
      </c>
      <c r="F3540" s="52" t="s">
        <v>26</v>
      </c>
      <c r="G3540" s="53"/>
    </row>
    <row r="3541">
      <c r="A3541" s="49">
        <v>44550.098023425926</v>
      </c>
      <c r="B3541" s="50">
        <v>44550.2229926851</v>
      </c>
      <c r="C3541" s="51">
        <v>1.013</v>
      </c>
      <c r="D3541" s="51">
        <v>63.0</v>
      </c>
      <c r="E3541" s="52" t="s">
        <v>25</v>
      </c>
      <c r="F3541" s="52" t="s">
        <v>26</v>
      </c>
      <c r="G3541" s="53"/>
    </row>
    <row r="3542">
      <c r="A3542" s="49">
        <v>44550.10844827547</v>
      </c>
      <c r="B3542" s="50">
        <v>44550.2334131828</v>
      </c>
      <c r="C3542" s="51">
        <v>1.013</v>
      </c>
      <c r="D3542" s="51">
        <v>63.0</v>
      </c>
      <c r="E3542" s="52" t="s">
        <v>25</v>
      </c>
      <c r="F3542" s="52" t="s">
        <v>26</v>
      </c>
      <c r="G3542" s="53"/>
    </row>
    <row r="3543">
      <c r="A3543" s="49">
        <v>44550.11889431713</v>
      </c>
      <c r="B3543" s="50">
        <v>44550.2438367245</v>
      </c>
      <c r="C3543" s="51">
        <v>1.013</v>
      </c>
      <c r="D3543" s="51">
        <v>63.0</v>
      </c>
      <c r="E3543" s="52" t="s">
        <v>25</v>
      </c>
      <c r="F3543" s="52" t="s">
        <v>26</v>
      </c>
      <c r="G3543" s="53"/>
    </row>
    <row r="3544">
      <c r="A3544" s="49">
        <v>44550.12928635417</v>
      </c>
      <c r="B3544" s="50">
        <v>44550.2542588078</v>
      </c>
      <c r="C3544" s="51">
        <v>1.013</v>
      </c>
      <c r="D3544" s="51">
        <v>63.0</v>
      </c>
      <c r="E3544" s="52" t="s">
        <v>25</v>
      </c>
      <c r="F3544" s="52" t="s">
        <v>26</v>
      </c>
      <c r="G3544" s="53"/>
    </row>
    <row r="3545">
      <c r="A3545" s="49">
        <v>44550.13972803241</v>
      </c>
      <c r="B3545" s="50">
        <v>44550.2646922453</v>
      </c>
      <c r="C3545" s="51">
        <v>1.013</v>
      </c>
      <c r="D3545" s="51">
        <v>63.0</v>
      </c>
      <c r="E3545" s="52" t="s">
        <v>25</v>
      </c>
      <c r="F3545" s="52" t="s">
        <v>26</v>
      </c>
      <c r="G3545" s="53"/>
    </row>
    <row r="3546">
      <c r="A3546" s="49">
        <v>44550.150147465276</v>
      </c>
      <c r="B3546" s="50">
        <v>44550.2751134953</v>
      </c>
      <c r="C3546" s="51">
        <v>1.013</v>
      </c>
      <c r="D3546" s="51">
        <v>63.0</v>
      </c>
      <c r="E3546" s="52" t="s">
        <v>25</v>
      </c>
      <c r="F3546" s="52" t="s">
        <v>26</v>
      </c>
      <c r="G3546" s="53"/>
    </row>
    <row r="3547">
      <c r="A3547" s="49">
        <v>44550.160578298615</v>
      </c>
      <c r="B3547" s="50">
        <v>44550.2855459143</v>
      </c>
      <c r="C3547" s="51">
        <v>1.013</v>
      </c>
      <c r="D3547" s="51">
        <v>63.0</v>
      </c>
      <c r="E3547" s="52" t="s">
        <v>25</v>
      </c>
      <c r="F3547" s="52" t="s">
        <v>26</v>
      </c>
      <c r="G3547" s="53"/>
    </row>
    <row r="3548">
      <c r="A3548" s="49">
        <v>44550.17099303241</v>
      </c>
      <c r="B3548" s="50">
        <v>44550.2959661574</v>
      </c>
      <c r="C3548" s="51">
        <v>1.013</v>
      </c>
      <c r="D3548" s="51">
        <v>63.0</v>
      </c>
      <c r="E3548" s="52" t="s">
        <v>25</v>
      </c>
      <c r="F3548" s="52" t="s">
        <v>26</v>
      </c>
      <c r="G3548" s="53"/>
    </row>
    <row r="3549">
      <c r="A3549" s="49">
        <v>44550.18141050926</v>
      </c>
      <c r="B3549" s="50">
        <v>44550.3063865624</v>
      </c>
      <c r="C3549" s="51">
        <v>1.013</v>
      </c>
      <c r="D3549" s="51">
        <v>63.0</v>
      </c>
      <c r="E3549" s="52" t="s">
        <v>25</v>
      </c>
      <c r="F3549" s="52" t="s">
        <v>26</v>
      </c>
      <c r="G3549" s="53"/>
    </row>
    <row r="3550">
      <c r="A3550" s="49">
        <v>44550.19184263889</v>
      </c>
      <c r="B3550" s="50">
        <v>44550.3168078703</v>
      </c>
      <c r="C3550" s="51">
        <v>1.013</v>
      </c>
      <c r="D3550" s="51">
        <v>63.0</v>
      </c>
      <c r="E3550" s="52" t="s">
        <v>25</v>
      </c>
      <c r="F3550" s="52" t="s">
        <v>26</v>
      </c>
      <c r="G3550" s="53"/>
    </row>
    <row r="3551">
      <c r="A3551" s="49">
        <v>44550.20230056713</v>
      </c>
      <c r="B3551" s="50">
        <v>44550.3272433564</v>
      </c>
      <c r="C3551" s="51">
        <v>1.013</v>
      </c>
      <c r="D3551" s="51">
        <v>63.0</v>
      </c>
      <c r="E3551" s="52" t="s">
        <v>25</v>
      </c>
      <c r="F3551" s="52" t="s">
        <v>26</v>
      </c>
      <c r="G3551" s="53"/>
    </row>
    <row r="3552">
      <c r="A3552" s="49">
        <v>44550.21269400463</v>
      </c>
      <c r="B3552" s="50">
        <v>44550.3376636921</v>
      </c>
      <c r="C3552" s="51">
        <v>1.013</v>
      </c>
      <c r="D3552" s="51">
        <v>63.0</v>
      </c>
      <c r="E3552" s="52" t="s">
        <v>25</v>
      </c>
      <c r="F3552" s="52" t="s">
        <v>26</v>
      </c>
      <c r="G3552" s="53"/>
    </row>
    <row r="3553">
      <c r="A3553" s="49">
        <v>44550.223135057866</v>
      </c>
      <c r="B3553" s="50">
        <v>44550.3480848726</v>
      </c>
      <c r="C3553" s="51">
        <v>1.013</v>
      </c>
      <c r="D3553" s="51">
        <v>63.0</v>
      </c>
      <c r="E3553" s="52" t="s">
        <v>25</v>
      </c>
      <c r="F3553" s="52" t="s">
        <v>26</v>
      </c>
      <c r="G3553" s="53"/>
    </row>
    <row r="3554">
      <c r="A3554" s="49">
        <v>44550.233539629626</v>
      </c>
      <c r="B3554" s="50">
        <v>44550.3585068634</v>
      </c>
      <c r="C3554" s="51">
        <v>1.013</v>
      </c>
      <c r="D3554" s="51">
        <v>63.0</v>
      </c>
      <c r="E3554" s="52" t="s">
        <v>25</v>
      </c>
      <c r="F3554" s="52" t="s">
        <v>26</v>
      </c>
      <c r="G3554" s="53"/>
    </row>
    <row r="3555">
      <c r="A3555" s="49">
        <v>44550.24396627315</v>
      </c>
      <c r="B3555" s="50">
        <v>44550.3689270601</v>
      </c>
      <c r="C3555" s="51">
        <v>1.013</v>
      </c>
      <c r="D3555" s="51">
        <v>63.0</v>
      </c>
      <c r="E3555" s="52" t="s">
        <v>25</v>
      </c>
      <c r="F3555" s="52" t="s">
        <v>26</v>
      </c>
      <c r="G3555" s="53"/>
    </row>
    <row r="3556">
      <c r="A3556" s="49">
        <v>44550.254378067126</v>
      </c>
      <c r="B3556" s="50">
        <v>44550.3793477083</v>
      </c>
      <c r="C3556" s="51">
        <v>1.013</v>
      </c>
      <c r="D3556" s="51">
        <v>63.0</v>
      </c>
      <c r="E3556" s="52" t="s">
        <v>25</v>
      </c>
      <c r="F3556" s="52" t="s">
        <v>26</v>
      </c>
      <c r="G3556" s="53"/>
    </row>
    <row r="3557">
      <c r="A3557" s="49">
        <v>44550.264806527775</v>
      </c>
      <c r="B3557" s="50">
        <v>44550.3897806249</v>
      </c>
      <c r="C3557" s="51">
        <v>1.013</v>
      </c>
      <c r="D3557" s="51">
        <v>63.0</v>
      </c>
      <c r="E3557" s="52" t="s">
        <v>25</v>
      </c>
      <c r="F3557" s="52" t="s">
        <v>26</v>
      </c>
      <c r="G3557" s="53"/>
    </row>
    <row r="3558">
      <c r="A3558" s="49">
        <v>44550.27523615741</v>
      </c>
      <c r="B3558" s="50">
        <v>44550.400201956</v>
      </c>
      <c r="C3558" s="51">
        <v>1.013</v>
      </c>
      <c r="D3558" s="51">
        <v>63.0</v>
      </c>
      <c r="E3558" s="52" t="s">
        <v>25</v>
      </c>
      <c r="F3558" s="52" t="s">
        <v>26</v>
      </c>
      <c r="G3558" s="53"/>
    </row>
    <row r="3559">
      <c r="A3559" s="49">
        <v>44550.28566688657</v>
      </c>
      <c r="B3559" s="50">
        <v>44550.4106237731</v>
      </c>
      <c r="C3559" s="51">
        <v>1.013</v>
      </c>
      <c r="D3559" s="51">
        <v>63.0</v>
      </c>
      <c r="E3559" s="52" t="s">
        <v>25</v>
      </c>
      <c r="F3559" s="52" t="s">
        <v>26</v>
      </c>
      <c r="G3559" s="53"/>
    </row>
    <row r="3560">
      <c r="A3560" s="49">
        <v>44550.29607373843</v>
      </c>
      <c r="B3560" s="50">
        <v>44550.4210429398</v>
      </c>
      <c r="C3560" s="51">
        <v>1.013</v>
      </c>
      <c r="D3560" s="51">
        <v>63.0</v>
      </c>
      <c r="E3560" s="52" t="s">
        <v>25</v>
      </c>
      <c r="F3560" s="52" t="s">
        <v>26</v>
      </c>
      <c r="G3560" s="53"/>
    </row>
    <row r="3561">
      <c r="A3561" s="49">
        <v>44550.306492511576</v>
      </c>
      <c r="B3561" s="50">
        <v>44550.4314655786</v>
      </c>
      <c r="C3561" s="51">
        <v>1.013</v>
      </c>
      <c r="D3561" s="51">
        <v>63.0</v>
      </c>
      <c r="E3561" s="52" t="s">
        <v>25</v>
      </c>
      <c r="F3561" s="52" t="s">
        <v>26</v>
      </c>
      <c r="G3561" s="53"/>
    </row>
    <row r="3562">
      <c r="A3562" s="49">
        <v>44550.31692694445</v>
      </c>
      <c r="B3562" s="50">
        <v>44550.4418869907</v>
      </c>
      <c r="C3562" s="51">
        <v>1.013</v>
      </c>
      <c r="D3562" s="51">
        <v>63.0</v>
      </c>
      <c r="E3562" s="52" t="s">
        <v>25</v>
      </c>
      <c r="F3562" s="52" t="s">
        <v>26</v>
      </c>
      <c r="G3562" s="53"/>
    </row>
    <row r="3563">
      <c r="A3563" s="49">
        <v>44550.32734971065</v>
      </c>
      <c r="B3563" s="50">
        <v>44550.4523083449</v>
      </c>
      <c r="C3563" s="51">
        <v>1.013</v>
      </c>
      <c r="D3563" s="51">
        <v>63.0</v>
      </c>
      <c r="E3563" s="52" t="s">
        <v>25</v>
      </c>
      <c r="F3563" s="52" t="s">
        <v>26</v>
      </c>
      <c r="G3563" s="53"/>
    </row>
    <row r="3564">
      <c r="A3564" s="49">
        <v>44550.337762662035</v>
      </c>
      <c r="B3564" s="50">
        <v>44550.4627290509</v>
      </c>
      <c r="C3564" s="51">
        <v>1.013</v>
      </c>
      <c r="D3564" s="51">
        <v>63.0</v>
      </c>
      <c r="E3564" s="52" t="s">
        <v>25</v>
      </c>
      <c r="F3564" s="52" t="s">
        <v>26</v>
      </c>
      <c r="G3564" s="53"/>
    </row>
    <row r="3565">
      <c r="A3565" s="49">
        <v>44550.348179594905</v>
      </c>
      <c r="B3565" s="50">
        <v>44550.4731506018</v>
      </c>
      <c r="C3565" s="51">
        <v>1.013</v>
      </c>
      <c r="D3565" s="51">
        <v>63.0</v>
      </c>
      <c r="E3565" s="52" t="s">
        <v>25</v>
      </c>
      <c r="F3565" s="52" t="s">
        <v>26</v>
      </c>
      <c r="G3565" s="53"/>
    </row>
    <row r="3566">
      <c r="A3566" s="49">
        <v>44550.35859015046</v>
      </c>
      <c r="B3566" s="50">
        <v>44550.48357125</v>
      </c>
      <c r="C3566" s="51">
        <v>1.013</v>
      </c>
      <c r="D3566" s="51">
        <v>63.0</v>
      </c>
      <c r="E3566" s="52" t="s">
        <v>25</v>
      </c>
      <c r="F3566" s="52" t="s">
        <v>26</v>
      </c>
      <c r="G3566" s="53"/>
    </row>
    <row r="3567">
      <c r="A3567" s="49">
        <v>44550.36902297454</v>
      </c>
      <c r="B3567" s="50">
        <v>44550.4939898611</v>
      </c>
      <c r="C3567" s="51">
        <v>1.013</v>
      </c>
      <c r="D3567" s="51">
        <v>63.0</v>
      </c>
      <c r="E3567" s="52" t="s">
        <v>25</v>
      </c>
      <c r="F3567" s="52" t="s">
        <v>26</v>
      </c>
      <c r="G3567" s="53"/>
    </row>
    <row r="3568">
      <c r="A3568" s="49">
        <v>44550.37944520834</v>
      </c>
      <c r="B3568" s="50">
        <v>44550.5044097569</v>
      </c>
      <c r="C3568" s="51">
        <v>1.013</v>
      </c>
      <c r="D3568" s="51">
        <v>63.0</v>
      </c>
      <c r="E3568" s="52" t="s">
        <v>25</v>
      </c>
      <c r="F3568" s="52" t="s">
        <v>26</v>
      </c>
      <c r="G3568" s="53"/>
    </row>
    <row r="3569">
      <c r="A3569" s="49">
        <v>44550.389864756944</v>
      </c>
      <c r="B3569" s="50">
        <v>44550.5148305671</v>
      </c>
      <c r="C3569" s="51">
        <v>1.013</v>
      </c>
      <c r="D3569" s="51">
        <v>63.0</v>
      </c>
      <c r="E3569" s="52" t="s">
        <v>25</v>
      </c>
      <c r="F3569" s="52" t="s">
        <v>26</v>
      </c>
      <c r="G3569" s="53"/>
    </row>
    <row r="3570">
      <c r="A3570" s="49">
        <v>44550.400280671296</v>
      </c>
      <c r="B3570" s="50">
        <v>44550.5252506365</v>
      </c>
      <c r="C3570" s="51">
        <v>1.013</v>
      </c>
      <c r="D3570" s="51">
        <v>63.0</v>
      </c>
      <c r="E3570" s="52" t="s">
        <v>25</v>
      </c>
      <c r="F3570" s="52" t="s">
        <v>26</v>
      </c>
      <c r="G3570" s="53"/>
    </row>
    <row r="3571">
      <c r="A3571" s="49">
        <v>44550.41071546296</v>
      </c>
      <c r="B3571" s="50">
        <v>44550.5356720601</v>
      </c>
      <c r="C3571" s="51">
        <v>1.013</v>
      </c>
      <c r="D3571" s="51">
        <v>63.0</v>
      </c>
      <c r="E3571" s="52" t="s">
        <v>25</v>
      </c>
      <c r="F3571" s="52" t="s">
        <v>26</v>
      </c>
      <c r="G3571" s="53"/>
    </row>
    <row r="3572">
      <c r="A3572" s="49">
        <v>44550.42112185185</v>
      </c>
      <c r="B3572" s="50">
        <v>44550.5460947453</v>
      </c>
      <c r="C3572" s="51">
        <v>1.013</v>
      </c>
      <c r="D3572" s="51">
        <v>63.0</v>
      </c>
      <c r="E3572" s="52" t="s">
        <v>25</v>
      </c>
      <c r="F3572" s="52" t="s">
        <v>26</v>
      </c>
      <c r="G3572" s="53"/>
    </row>
    <row r="3573">
      <c r="A3573" s="49">
        <v>44550.43154505787</v>
      </c>
      <c r="B3573" s="50">
        <v>44550.556514537</v>
      </c>
      <c r="C3573" s="51">
        <v>1.013</v>
      </c>
      <c r="D3573" s="51">
        <v>63.0</v>
      </c>
      <c r="E3573" s="52" t="s">
        <v>25</v>
      </c>
      <c r="F3573" s="52" t="s">
        <v>26</v>
      </c>
      <c r="G3573" s="53"/>
    </row>
    <row r="3574">
      <c r="A3574" s="49">
        <v>44550.44196318287</v>
      </c>
      <c r="B3574" s="50">
        <v>44550.5669368865</v>
      </c>
      <c r="C3574" s="51">
        <v>1.013</v>
      </c>
      <c r="D3574" s="51">
        <v>63.0</v>
      </c>
      <c r="E3574" s="52" t="s">
        <v>25</v>
      </c>
      <c r="F3574" s="52" t="s">
        <v>26</v>
      </c>
      <c r="G3574" s="53"/>
    </row>
    <row r="3575">
      <c r="A3575" s="49">
        <v>44550.45238297454</v>
      </c>
      <c r="B3575" s="50">
        <v>44550.5773581134</v>
      </c>
      <c r="C3575" s="51">
        <v>1.013</v>
      </c>
      <c r="D3575" s="51">
        <v>63.0</v>
      </c>
      <c r="E3575" s="52" t="s">
        <v>25</v>
      </c>
      <c r="F3575" s="52" t="s">
        <v>26</v>
      </c>
      <c r="G3575" s="53"/>
    </row>
    <row r="3576">
      <c r="A3576" s="49">
        <v>44550.46281133102</v>
      </c>
      <c r="B3576" s="50">
        <v>44550.5877806018</v>
      </c>
      <c r="C3576" s="51">
        <v>1.013</v>
      </c>
      <c r="D3576" s="51">
        <v>63.0</v>
      </c>
      <c r="E3576" s="52" t="s">
        <v>25</v>
      </c>
      <c r="F3576" s="52" t="s">
        <v>26</v>
      </c>
      <c r="G3576" s="53"/>
    </row>
    <row r="3577">
      <c r="A3577" s="49">
        <v>44550.473236238424</v>
      </c>
      <c r="B3577" s="50">
        <v>44550.5982016435</v>
      </c>
      <c r="C3577" s="51">
        <v>1.013</v>
      </c>
      <c r="D3577" s="51">
        <v>63.0</v>
      </c>
      <c r="E3577" s="52" t="s">
        <v>25</v>
      </c>
      <c r="F3577" s="52" t="s">
        <v>26</v>
      </c>
      <c r="G3577" s="53"/>
    </row>
    <row r="3578">
      <c r="A3578" s="49">
        <v>44550.4836525</v>
      </c>
      <c r="B3578" s="50">
        <v>44550.6086253587</v>
      </c>
      <c r="C3578" s="51">
        <v>1.013</v>
      </c>
      <c r="D3578" s="51">
        <v>63.0</v>
      </c>
      <c r="E3578" s="52" t="s">
        <v>25</v>
      </c>
      <c r="F3578" s="52" t="s">
        <v>26</v>
      </c>
      <c r="G3578" s="53"/>
    </row>
    <row r="3579">
      <c r="A3579" s="49">
        <v>44550.49407579861</v>
      </c>
      <c r="B3579" s="50">
        <v>44550.6190451967</v>
      </c>
      <c r="C3579" s="51">
        <v>1.013</v>
      </c>
      <c r="D3579" s="51">
        <v>63.0</v>
      </c>
      <c r="E3579" s="52" t="s">
        <v>25</v>
      </c>
      <c r="F3579" s="52" t="s">
        <v>26</v>
      </c>
      <c r="G3579" s="53"/>
    </row>
    <row r="3580">
      <c r="A3580" s="49">
        <v>44550.50449361111</v>
      </c>
      <c r="B3580" s="50">
        <v>44550.6294676967</v>
      </c>
      <c r="C3580" s="51">
        <v>1.013</v>
      </c>
      <c r="D3580" s="51">
        <v>63.0</v>
      </c>
      <c r="E3580" s="52" t="s">
        <v>25</v>
      </c>
      <c r="F3580" s="52" t="s">
        <v>26</v>
      </c>
      <c r="G3580" s="53"/>
    </row>
    <row r="3581">
      <c r="A3581" s="49">
        <v>44550.5149325463</v>
      </c>
      <c r="B3581" s="50">
        <v>44550.639888449</v>
      </c>
      <c r="C3581" s="51">
        <v>1.013</v>
      </c>
      <c r="D3581" s="51">
        <v>63.0</v>
      </c>
      <c r="E3581" s="52" t="s">
        <v>25</v>
      </c>
      <c r="F3581" s="52" t="s">
        <v>26</v>
      </c>
      <c r="G3581" s="53"/>
    </row>
    <row r="3582">
      <c r="A3582" s="49">
        <v>44550.52536266204</v>
      </c>
      <c r="B3582" s="50">
        <v>44550.6503329513</v>
      </c>
      <c r="C3582" s="51">
        <v>1.012</v>
      </c>
      <c r="D3582" s="51">
        <v>63.0</v>
      </c>
      <c r="E3582" s="52" t="s">
        <v>25</v>
      </c>
      <c r="F3582" s="52" t="s">
        <v>26</v>
      </c>
      <c r="G3582" s="53"/>
    </row>
    <row r="3583">
      <c r="A3583" s="49">
        <v>44550.53577642361</v>
      </c>
      <c r="B3583" s="50">
        <v>44550.6607512152</v>
      </c>
      <c r="C3583" s="51">
        <v>1.013</v>
      </c>
      <c r="D3583" s="51">
        <v>63.0</v>
      </c>
      <c r="E3583" s="52" t="s">
        <v>25</v>
      </c>
      <c r="F3583" s="52" t="s">
        <v>26</v>
      </c>
      <c r="G3583" s="53"/>
    </row>
    <row r="3584">
      <c r="A3584" s="49">
        <v>44550.546201516205</v>
      </c>
      <c r="B3584" s="50">
        <v>44550.6711714583</v>
      </c>
      <c r="C3584" s="51">
        <v>1.013</v>
      </c>
      <c r="D3584" s="51">
        <v>63.0</v>
      </c>
      <c r="E3584" s="52" t="s">
        <v>25</v>
      </c>
      <c r="F3584" s="52" t="s">
        <v>26</v>
      </c>
      <c r="G3584" s="53"/>
    </row>
    <row r="3585">
      <c r="A3585" s="49">
        <v>44550.5566228588</v>
      </c>
      <c r="B3585" s="50">
        <v>44550.6815930092</v>
      </c>
      <c r="C3585" s="51">
        <v>1.012</v>
      </c>
      <c r="D3585" s="51">
        <v>63.0</v>
      </c>
      <c r="E3585" s="52" t="s">
        <v>25</v>
      </c>
      <c r="F3585" s="52" t="s">
        <v>26</v>
      </c>
      <c r="G3585" s="53"/>
    </row>
    <row r="3586">
      <c r="A3586" s="49">
        <v>44550.56706216435</v>
      </c>
      <c r="B3586" s="50">
        <v>44550.692027743</v>
      </c>
      <c r="C3586" s="51">
        <v>1.012</v>
      </c>
      <c r="D3586" s="51">
        <v>63.0</v>
      </c>
      <c r="E3586" s="52" t="s">
        <v>25</v>
      </c>
      <c r="F3586" s="52" t="s">
        <v>26</v>
      </c>
      <c r="G3586" s="53"/>
    </row>
    <row r="3587">
      <c r="A3587" s="49">
        <v>44550.5774790162</v>
      </c>
      <c r="B3587" s="50">
        <v>44550.7024492708</v>
      </c>
      <c r="C3587" s="51">
        <v>1.013</v>
      </c>
      <c r="D3587" s="51">
        <v>63.0</v>
      </c>
      <c r="E3587" s="52" t="s">
        <v>25</v>
      </c>
      <c r="F3587" s="52" t="s">
        <v>26</v>
      </c>
      <c r="G3587" s="53"/>
    </row>
    <row r="3588">
      <c r="A3588" s="49">
        <v>44550.58791598379</v>
      </c>
      <c r="B3588" s="50">
        <v>44550.7128836805</v>
      </c>
      <c r="C3588" s="51">
        <v>1.013</v>
      </c>
      <c r="D3588" s="51">
        <v>63.0</v>
      </c>
      <c r="E3588" s="52" t="s">
        <v>25</v>
      </c>
      <c r="F3588" s="52" t="s">
        <v>26</v>
      </c>
      <c r="G3588" s="53"/>
    </row>
    <row r="3589">
      <c r="A3589" s="49">
        <v>44550.59833741898</v>
      </c>
      <c r="B3589" s="50">
        <v>44550.7233052546</v>
      </c>
      <c r="C3589" s="51">
        <v>1.013</v>
      </c>
      <c r="D3589" s="51">
        <v>63.0</v>
      </c>
      <c r="E3589" s="52" t="s">
        <v>25</v>
      </c>
      <c r="F3589" s="52" t="s">
        <v>26</v>
      </c>
      <c r="G3589" s="53"/>
    </row>
    <row r="3590">
      <c r="A3590" s="49">
        <v>44550.60875601852</v>
      </c>
      <c r="B3590" s="50">
        <v>44550.733726412</v>
      </c>
      <c r="C3590" s="51">
        <v>1.013</v>
      </c>
      <c r="D3590" s="51">
        <v>63.0</v>
      </c>
      <c r="E3590" s="52" t="s">
        <v>25</v>
      </c>
      <c r="F3590" s="52" t="s">
        <v>26</v>
      </c>
      <c r="G3590" s="53"/>
    </row>
    <row r="3591">
      <c r="A3591" s="49">
        <v>44550.61917842593</v>
      </c>
      <c r="B3591" s="50">
        <v>44550.7441491782</v>
      </c>
      <c r="C3591" s="51">
        <v>1.013</v>
      </c>
      <c r="D3591" s="51">
        <v>63.0</v>
      </c>
      <c r="E3591" s="52" t="s">
        <v>25</v>
      </c>
      <c r="F3591" s="52" t="s">
        <v>26</v>
      </c>
      <c r="G3591" s="53"/>
    </row>
    <row r="3592">
      <c r="A3592" s="49">
        <v>44550.62959164352</v>
      </c>
      <c r="B3592" s="50">
        <v>44550.7545676273</v>
      </c>
      <c r="C3592" s="51">
        <v>1.013</v>
      </c>
      <c r="D3592" s="51">
        <v>63.0</v>
      </c>
      <c r="E3592" s="52" t="s">
        <v>25</v>
      </c>
      <c r="F3592" s="52" t="s">
        <v>26</v>
      </c>
      <c r="G3592" s="53"/>
    </row>
    <row r="3593">
      <c r="A3593" s="49">
        <v>44550.64001292824</v>
      </c>
      <c r="B3593" s="50">
        <v>44550.7649889351</v>
      </c>
      <c r="C3593" s="51">
        <v>1.013</v>
      </c>
      <c r="D3593" s="51">
        <v>63.0</v>
      </c>
      <c r="E3593" s="52" t="s">
        <v>25</v>
      </c>
      <c r="F3593" s="52" t="s">
        <v>26</v>
      </c>
      <c r="G3593" s="53"/>
    </row>
    <row r="3594">
      <c r="A3594" s="49">
        <v>44550.65044236111</v>
      </c>
      <c r="B3594" s="50">
        <v>44550.7754111805</v>
      </c>
      <c r="C3594" s="51">
        <v>1.013</v>
      </c>
      <c r="D3594" s="51">
        <v>63.0</v>
      </c>
      <c r="E3594" s="52" t="s">
        <v>25</v>
      </c>
      <c r="F3594" s="52" t="s">
        <v>26</v>
      </c>
      <c r="G3594" s="53"/>
    </row>
    <row r="3595">
      <c r="A3595" s="49">
        <v>44550.660877511575</v>
      </c>
      <c r="B3595" s="50">
        <v>44550.7858437962</v>
      </c>
      <c r="C3595" s="51">
        <v>1.013</v>
      </c>
      <c r="D3595" s="51">
        <v>63.0</v>
      </c>
      <c r="E3595" s="52" t="s">
        <v>25</v>
      </c>
      <c r="F3595" s="52" t="s">
        <v>26</v>
      </c>
      <c r="G3595" s="53"/>
    </row>
    <row r="3596">
      <c r="A3596" s="49">
        <v>44550.67129081018</v>
      </c>
      <c r="B3596" s="50">
        <v>44550.796266655</v>
      </c>
      <c r="C3596" s="51">
        <v>1.012</v>
      </c>
      <c r="D3596" s="51">
        <v>63.0</v>
      </c>
      <c r="E3596" s="52" t="s">
        <v>25</v>
      </c>
      <c r="F3596" s="52" t="s">
        <v>26</v>
      </c>
      <c r="G3596" s="53"/>
    </row>
    <row r="3597">
      <c r="A3597" s="49">
        <v>44550.68172075231</v>
      </c>
      <c r="B3597" s="50">
        <v>44550.8066880092</v>
      </c>
      <c r="C3597" s="51">
        <v>1.013</v>
      </c>
      <c r="D3597" s="51">
        <v>63.0</v>
      </c>
      <c r="E3597" s="52" t="s">
        <v>25</v>
      </c>
      <c r="F3597" s="52" t="s">
        <v>26</v>
      </c>
      <c r="G3597" s="53"/>
    </row>
    <row r="3598">
      <c r="A3598" s="49">
        <v>44550.692129641204</v>
      </c>
      <c r="B3598" s="50">
        <v>44550.8171090277</v>
      </c>
      <c r="C3598" s="51">
        <v>1.013</v>
      </c>
      <c r="D3598" s="51">
        <v>63.0</v>
      </c>
      <c r="E3598" s="52" t="s">
        <v>25</v>
      </c>
      <c r="F3598" s="52" t="s">
        <v>26</v>
      </c>
      <c r="G3598" s="53"/>
    </row>
    <row r="3599">
      <c r="A3599" s="49">
        <v>44550.70255908565</v>
      </c>
      <c r="B3599" s="50">
        <v>44550.8275314699</v>
      </c>
      <c r="C3599" s="51">
        <v>1.013</v>
      </c>
      <c r="D3599" s="51">
        <v>63.0</v>
      </c>
      <c r="E3599" s="52" t="s">
        <v>25</v>
      </c>
      <c r="F3599" s="52" t="s">
        <v>26</v>
      </c>
      <c r="G3599" s="53"/>
    </row>
    <row r="3600">
      <c r="A3600" s="49">
        <v>44550.712978020834</v>
      </c>
      <c r="B3600" s="50">
        <v>44550.8379540393</v>
      </c>
      <c r="C3600" s="51">
        <v>1.013</v>
      </c>
      <c r="D3600" s="51">
        <v>63.0</v>
      </c>
      <c r="E3600" s="52" t="s">
        <v>25</v>
      </c>
      <c r="F3600" s="52" t="s">
        <v>26</v>
      </c>
      <c r="G3600" s="53"/>
    </row>
    <row r="3601">
      <c r="A3601" s="49">
        <v>44550.72340453704</v>
      </c>
      <c r="B3601" s="50">
        <v>44550.84837603</v>
      </c>
      <c r="C3601" s="51">
        <v>1.012</v>
      </c>
      <c r="D3601" s="51">
        <v>63.0</v>
      </c>
      <c r="E3601" s="52" t="s">
        <v>25</v>
      </c>
      <c r="F3601" s="52" t="s">
        <v>26</v>
      </c>
      <c r="G3601" s="53"/>
    </row>
    <row r="3602">
      <c r="A3602" s="49">
        <v>44550.73382864583</v>
      </c>
      <c r="B3602" s="50">
        <v>44550.8587954745</v>
      </c>
      <c r="C3602" s="51">
        <v>1.013</v>
      </c>
      <c r="D3602" s="51">
        <v>63.0</v>
      </c>
      <c r="E3602" s="52" t="s">
        <v>25</v>
      </c>
      <c r="F3602" s="52" t="s">
        <v>26</v>
      </c>
      <c r="G3602" s="53"/>
    </row>
    <row r="3603">
      <c r="A3603" s="49">
        <v>44550.74425921297</v>
      </c>
      <c r="B3603" s="50">
        <v>44550.8692283217</v>
      </c>
      <c r="C3603" s="51">
        <v>1.012</v>
      </c>
      <c r="D3603" s="51">
        <v>63.0</v>
      </c>
      <c r="E3603" s="52" t="s">
        <v>25</v>
      </c>
      <c r="F3603" s="52" t="s">
        <v>26</v>
      </c>
      <c r="G3603" s="53"/>
    </row>
    <row r="3604">
      <c r="A3604" s="49">
        <v>44550.754678564816</v>
      </c>
      <c r="B3604" s="50">
        <v>44550.8796487847</v>
      </c>
      <c r="C3604" s="51">
        <v>1.012</v>
      </c>
      <c r="D3604" s="51">
        <v>63.0</v>
      </c>
      <c r="E3604" s="52" t="s">
        <v>25</v>
      </c>
      <c r="F3604" s="52" t="s">
        <v>26</v>
      </c>
      <c r="G3604" s="53"/>
    </row>
    <row r="3605">
      <c r="A3605" s="49">
        <v>44550.76509758102</v>
      </c>
      <c r="B3605" s="50">
        <v>44550.8900699305</v>
      </c>
      <c r="C3605" s="51">
        <v>1.013</v>
      </c>
      <c r="D3605" s="51">
        <v>63.0</v>
      </c>
      <c r="E3605" s="52" t="s">
        <v>25</v>
      </c>
      <c r="F3605" s="52" t="s">
        <v>26</v>
      </c>
      <c r="G3605" s="53"/>
    </row>
    <row r="3606">
      <c r="A3606" s="49">
        <v>44550.775517002316</v>
      </c>
      <c r="B3606" s="50">
        <v>44550.9004925925</v>
      </c>
      <c r="C3606" s="51">
        <v>1.012</v>
      </c>
      <c r="D3606" s="51">
        <v>63.0</v>
      </c>
      <c r="E3606" s="52" t="s">
        <v>25</v>
      </c>
      <c r="F3606" s="52" t="s">
        <v>26</v>
      </c>
      <c r="G3606" s="53"/>
    </row>
    <row r="3607">
      <c r="A3607" s="49">
        <v>44550.78596320601</v>
      </c>
      <c r="B3607" s="50">
        <v>44550.9109276157</v>
      </c>
      <c r="C3607" s="51">
        <v>1.013</v>
      </c>
      <c r="D3607" s="51">
        <v>63.0</v>
      </c>
      <c r="E3607" s="52" t="s">
        <v>25</v>
      </c>
      <c r="F3607" s="52" t="s">
        <v>26</v>
      </c>
      <c r="G3607" s="53"/>
    </row>
    <row r="3608">
      <c r="A3608" s="49">
        <v>44550.7963759375</v>
      </c>
      <c r="B3608" s="50">
        <v>44550.9213508912</v>
      </c>
      <c r="C3608" s="51">
        <v>1.012</v>
      </c>
      <c r="D3608" s="51">
        <v>63.0</v>
      </c>
      <c r="E3608" s="52" t="s">
        <v>25</v>
      </c>
      <c r="F3608" s="52" t="s">
        <v>26</v>
      </c>
      <c r="G3608" s="53"/>
    </row>
    <row r="3609">
      <c r="A3609" s="49">
        <v>44550.806799722224</v>
      </c>
      <c r="B3609" s="50">
        <v>44550.93177228</v>
      </c>
      <c r="C3609" s="51">
        <v>1.013</v>
      </c>
      <c r="D3609" s="51">
        <v>63.0</v>
      </c>
      <c r="E3609" s="52" t="s">
        <v>25</v>
      </c>
      <c r="F3609" s="52" t="s">
        <v>26</v>
      </c>
      <c r="G3609" s="53"/>
    </row>
    <row r="3610">
      <c r="A3610" s="49">
        <v>44550.817227928244</v>
      </c>
      <c r="B3610" s="50">
        <v>44550.942193912</v>
      </c>
      <c r="C3610" s="51">
        <v>1.012</v>
      </c>
      <c r="D3610" s="51">
        <v>63.0</v>
      </c>
      <c r="E3610" s="52" t="s">
        <v>25</v>
      </c>
      <c r="F3610" s="52" t="s">
        <v>26</v>
      </c>
      <c r="G3610" s="53"/>
    </row>
    <row r="3611">
      <c r="A3611" s="49">
        <v>44550.82764023148</v>
      </c>
      <c r="B3611" s="50">
        <v>44550.9526141666</v>
      </c>
      <c r="C3611" s="51">
        <v>1.012</v>
      </c>
      <c r="D3611" s="51">
        <v>63.0</v>
      </c>
      <c r="E3611" s="52" t="s">
        <v>25</v>
      </c>
      <c r="F3611" s="52" t="s">
        <v>26</v>
      </c>
      <c r="G3611" s="53"/>
    </row>
    <row r="3612">
      <c r="A3612" s="49">
        <v>44550.83807601852</v>
      </c>
      <c r="B3612" s="50">
        <v>44550.9630456944</v>
      </c>
      <c r="C3612" s="51">
        <v>1.013</v>
      </c>
      <c r="D3612" s="51">
        <v>63.0</v>
      </c>
      <c r="E3612" s="52" t="s">
        <v>25</v>
      </c>
      <c r="F3612" s="52" t="s">
        <v>26</v>
      </c>
      <c r="G3612" s="53"/>
    </row>
    <row r="3613">
      <c r="A3613" s="49">
        <v>44550.84849476852</v>
      </c>
      <c r="B3613" s="50">
        <v>44550.9734662731</v>
      </c>
      <c r="C3613" s="51">
        <v>1.013</v>
      </c>
      <c r="D3613" s="51">
        <v>62.0</v>
      </c>
      <c r="E3613" s="52" t="s">
        <v>25</v>
      </c>
      <c r="F3613" s="52" t="s">
        <v>26</v>
      </c>
      <c r="G3613" s="53"/>
    </row>
    <row r="3614">
      <c r="A3614" s="49">
        <v>44550.858919791666</v>
      </c>
      <c r="B3614" s="50">
        <v>44550.9838879629</v>
      </c>
      <c r="C3614" s="51">
        <v>1.012</v>
      </c>
      <c r="D3614" s="51">
        <v>63.0</v>
      </c>
      <c r="E3614" s="52" t="s">
        <v>25</v>
      </c>
      <c r="F3614" s="52" t="s">
        <v>26</v>
      </c>
      <c r="G3614" s="53"/>
    </row>
    <row r="3615">
      <c r="A3615" s="49">
        <v>44550.869337303244</v>
      </c>
      <c r="B3615" s="50">
        <v>44550.9943091087</v>
      </c>
      <c r="C3615" s="51">
        <v>1.012</v>
      </c>
      <c r="D3615" s="51">
        <v>63.0</v>
      </c>
      <c r="E3615" s="52" t="s">
        <v>25</v>
      </c>
      <c r="F3615" s="52" t="s">
        <v>26</v>
      </c>
      <c r="G3615" s="53"/>
    </row>
    <row r="3616">
      <c r="A3616" s="49">
        <v>44550.879752361114</v>
      </c>
      <c r="B3616" s="50">
        <v>44551.0047298958</v>
      </c>
      <c r="C3616" s="51">
        <v>1.012</v>
      </c>
      <c r="D3616" s="51">
        <v>63.0</v>
      </c>
      <c r="E3616" s="52" t="s">
        <v>25</v>
      </c>
      <c r="F3616" s="52" t="s">
        <v>26</v>
      </c>
      <c r="G3616" s="53"/>
    </row>
    <row r="3617">
      <c r="A3617" s="49">
        <v>44550.890185717595</v>
      </c>
      <c r="B3617" s="50">
        <v>44551.0151508796</v>
      </c>
      <c r="C3617" s="51">
        <v>1.012</v>
      </c>
      <c r="D3617" s="51">
        <v>63.0</v>
      </c>
      <c r="E3617" s="52" t="s">
        <v>25</v>
      </c>
      <c r="F3617" s="52" t="s">
        <v>26</v>
      </c>
      <c r="G3617" s="53"/>
    </row>
    <row r="3618">
      <c r="A3618" s="49">
        <v>44550.90060783565</v>
      </c>
      <c r="B3618" s="50">
        <v>44551.0255724768</v>
      </c>
      <c r="C3618" s="51">
        <v>1.012</v>
      </c>
      <c r="D3618" s="51">
        <v>63.0</v>
      </c>
      <c r="E3618" s="52" t="s">
        <v>25</v>
      </c>
      <c r="F3618" s="52" t="s">
        <v>26</v>
      </c>
      <c r="G3618" s="53"/>
    </row>
    <row r="3619">
      <c r="A3619" s="49">
        <v>44550.91102525463</v>
      </c>
      <c r="B3619" s="50">
        <v>44551.0359929745</v>
      </c>
      <c r="C3619" s="51">
        <v>1.013</v>
      </c>
      <c r="D3619" s="51">
        <v>62.0</v>
      </c>
      <c r="E3619" s="52" t="s">
        <v>25</v>
      </c>
      <c r="F3619" s="52" t="s">
        <v>26</v>
      </c>
      <c r="G3619" s="53"/>
    </row>
    <row r="3620">
      <c r="A3620" s="49">
        <v>44550.9214571412</v>
      </c>
      <c r="B3620" s="50">
        <v>44551.0464271064</v>
      </c>
      <c r="C3620" s="51">
        <v>1.012</v>
      </c>
      <c r="D3620" s="51">
        <v>62.0</v>
      </c>
      <c r="E3620" s="52" t="s">
        <v>25</v>
      </c>
      <c r="F3620" s="52" t="s">
        <v>26</v>
      </c>
      <c r="G3620" s="53"/>
    </row>
    <row r="3621">
      <c r="A3621" s="49">
        <v>44550.93187332176</v>
      </c>
      <c r="B3621" s="50">
        <v>44551.0568490509</v>
      </c>
      <c r="C3621" s="51">
        <v>1.012</v>
      </c>
      <c r="D3621" s="51">
        <v>62.0</v>
      </c>
      <c r="E3621" s="52" t="s">
        <v>25</v>
      </c>
      <c r="F3621" s="52" t="s">
        <v>26</v>
      </c>
      <c r="G3621" s="53"/>
    </row>
    <row r="3622">
      <c r="A3622" s="49">
        <v>44550.94231665509</v>
      </c>
      <c r="B3622" s="50">
        <v>44551.0672818171</v>
      </c>
      <c r="C3622" s="51">
        <v>1.012</v>
      </c>
      <c r="D3622" s="51">
        <v>62.0</v>
      </c>
      <c r="E3622" s="52" t="s">
        <v>25</v>
      </c>
      <c r="F3622" s="52" t="s">
        <v>26</v>
      </c>
      <c r="G3622" s="53"/>
    </row>
    <row r="3623">
      <c r="A3623" s="49">
        <v>44550.95273734954</v>
      </c>
      <c r="B3623" s="50">
        <v>44551.0777041203</v>
      </c>
      <c r="C3623" s="51">
        <v>1.013</v>
      </c>
      <c r="D3623" s="51">
        <v>62.0</v>
      </c>
      <c r="E3623" s="52" t="s">
        <v>25</v>
      </c>
      <c r="F3623" s="52" t="s">
        <v>26</v>
      </c>
      <c r="G3623" s="53"/>
    </row>
    <row r="3624">
      <c r="A3624" s="49">
        <v>44550.9631587037</v>
      </c>
      <c r="B3624" s="50">
        <v>44551.0881234722</v>
      </c>
      <c r="C3624" s="51">
        <v>1.012</v>
      </c>
      <c r="D3624" s="51">
        <v>62.0</v>
      </c>
      <c r="E3624" s="52" t="s">
        <v>25</v>
      </c>
      <c r="F3624" s="52" t="s">
        <v>26</v>
      </c>
      <c r="G3624" s="53"/>
    </row>
    <row r="3625">
      <c r="A3625" s="49">
        <v>44550.97356946759</v>
      </c>
      <c r="B3625" s="50">
        <v>44551.0985435648</v>
      </c>
      <c r="C3625" s="51">
        <v>1.012</v>
      </c>
      <c r="D3625" s="51">
        <v>62.0</v>
      </c>
      <c r="E3625" s="52" t="s">
        <v>25</v>
      </c>
      <c r="F3625" s="52" t="s">
        <v>26</v>
      </c>
      <c r="G3625" s="53"/>
    </row>
    <row r="3626">
      <c r="A3626" s="49">
        <v>44550.98398680556</v>
      </c>
      <c r="B3626" s="50">
        <v>44551.1089648032</v>
      </c>
      <c r="C3626" s="51">
        <v>1.012</v>
      </c>
      <c r="D3626" s="51">
        <v>62.0</v>
      </c>
      <c r="E3626" s="52" t="s">
        <v>25</v>
      </c>
      <c r="F3626" s="52" t="s">
        <v>26</v>
      </c>
      <c r="G3626" s="53"/>
    </row>
    <row r="3627">
      <c r="A3627" s="49">
        <v>44550.99442349537</v>
      </c>
      <c r="B3627" s="50">
        <v>44551.1193862268</v>
      </c>
      <c r="C3627" s="51">
        <v>1.012</v>
      </c>
      <c r="D3627" s="51">
        <v>62.0</v>
      </c>
      <c r="E3627" s="52" t="s">
        <v>25</v>
      </c>
      <c r="F3627" s="52" t="s">
        <v>26</v>
      </c>
      <c r="G3627" s="53"/>
    </row>
    <row r="3628">
      <c r="A3628" s="49">
        <v>44551.00484003472</v>
      </c>
      <c r="B3628" s="50">
        <v>44551.1298084374</v>
      </c>
      <c r="C3628" s="51">
        <v>1.012</v>
      </c>
      <c r="D3628" s="51">
        <v>62.0</v>
      </c>
      <c r="E3628" s="52" t="s">
        <v>25</v>
      </c>
      <c r="F3628" s="52" t="s">
        <v>26</v>
      </c>
      <c r="G3628" s="53"/>
    </row>
    <row r="3629">
      <c r="A3629" s="49">
        <v>44551.01527670139</v>
      </c>
      <c r="B3629" s="50">
        <v>44551.1402519097</v>
      </c>
      <c r="C3629" s="51">
        <v>1.012</v>
      </c>
      <c r="D3629" s="51">
        <v>62.0</v>
      </c>
      <c r="E3629" s="52" t="s">
        <v>25</v>
      </c>
      <c r="F3629" s="52" t="s">
        <v>26</v>
      </c>
      <c r="G3629" s="53"/>
    </row>
    <row r="3630">
      <c r="A3630" s="49">
        <v>44551.025699907404</v>
      </c>
      <c r="B3630" s="50">
        <v>44551.1506706018</v>
      </c>
      <c r="C3630" s="51">
        <v>1.012</v>
      </c>
      <c r="D3630" s="51">
        <v>62.0</v>
      </c>
      <c r="E3630" s="52" t="s">
        <v>25</v>
      </c>
      <c r="F3630" s="52" t="s">
        <v>26</v>
      </c>
      <c r="G3630" s="53"/>
    </row>
    <row r="3631">
      <c r="A3631" s="49">
        <v>44551.03612390046</v>
      </c>
      <c r="B3631" s="50">
        <v>44551.1610919444</v>
      </c>
      <c r="C3631" s="51">
        <v>1.012</v>
      </c>
      <c r="D3631" s="51">
        <v>62.0</v>
      </c>
      <c r="E3631" s="52" t="s">
        <v>25</v>
      </c>
      <c r="F3631" s="52" t="s">
        <v>26</v>
      </c>
      <c r="G3631" s="53"/>
    </row>
    <row r="3632">
      <c r="A3632" s="49">
        <v>44551.04655175926</v>
      </c>
      <c r="B3632" s="50">
        <v>44551.1715253356</v>
      </c>
      <c r="C3632" s="51">
        <v>1.013</v>
      </c>
      <c r="D3632" s="51">
        <v>62.0</v>
      </c>
      <c r="E3632" s="52" t="s">
        <v>25</v>
      </c>
      <c r="F3632" s="52" t="s">
        <v>26</v>
      </c>
      <c r="G3632" s="53"/>
    </row>
    <row r="3633">
      <c r="A3633" s="49">
        <v>44551.05697464121</v>
      </c>
      <c r="B3633" s="50">
        <v>44551.1819459953</v>
      </c>
      <c r="C3633" s="51">
        <v>1.012</v>
      </c>
      <c r="D3633" s="51">
        <v>62.0</v>
      </c>
      <c r="E3633" s="52" t="s">
        <v>25</v>
      </c>
      <c r="F3633" s="52" t="s">
        <v>26</v>
      </c>
      <c r="G3633" s="53"/>
    </row>
    <row r="3634">
      <c r="A3634" s="49">
        <v>44551.06740003472</v>
      </c>
      <c r="B3634" s="50">
        <v>44551.1923680439</v>
      </c>
      <c r="C3634" s="51">
        <v>1.012</v>
      </c>
      <c r="D3634" s="51">
        <v>62.0</v>
      </c>
      <c r="E3634" s="52" t="s">
        <v>25</v>
      </c>
      <c r="F3634" s="52" t="s">
        <v>26</v>
      </c>
      <c r="G3634" s="53"/>
    </row>
    <row r="3635">
      <c r="A3635" s="49">
        <v>44551.077816481484</v>
      </c>
      <c r="B3635" s="50">
        <v>44551.2027906365</v>
      </c>
      <c r="C3635" s="51">
        <v>1.012</v>
      </c>
      <c r="D3635" s="51">
        <v>62.0</v>
      </c>
      <c r="E3635" s="52" t="s">
        <v>25</v>
      </c>
      <c r="F3635" s="52" t="s">
        <v>26</v>
      </c>
      <c r="G3635" s="53"/>
    </row>
    <row r="3636">
      <c r="A3636" s="49">
        <v>44551.08824380787</v>
      </c>
      <c r="B3636" s="50">
        <v>44551.2132110648</v>
      </c>
      <c r="C3636" s="51">
        <v>1.012</v>
      </c>
      <c r="D3636" s="51">
        <v>62.0</v>
      </c>
      <c r="E3636" s="52" t="s">
        <v>25</v>
      </c>
      <c r="F3636" s="52" t="s">
        <v>26</v>
      </c>
      <c r="G3636" s="53"/>
    </row>
    <row r="3637">
      <c r="A3637" s="49">
        <v>44551.09866899306</v>
      </c>
      <c r="B3637" s="50">
        <v>44551.223632662</v>
      </c>
      <c r="C3637" s="51">
        <v>1.012</v>
      </c>
      <c r="D3637" s="51">
        <v>62.0</v>
      </c>
      <c r="E3637" s="52" t="s">
        <v>25</v>
      </c>
      <c r="F3637" s="52" t="s">
        <v>26</v>
      </c>
      <c r="G3637" s="53"/>
    </row>
    <row r="3638">
      <c r="A3638" s="49">
        <v>44551.109108749995</v>
      </c>
      <c r="B3638" s="50">
        <v>44551.2340778819</v>
      </c>
      <c r="C3638" s="51">
        <v>1.013</v>
      </c>
      <c r="D3638" s="51">
        <v>62.0</v>
      </c>
      <c r="E3638" s="52" t="s">
        <v>25</v>
      </c>
      <c r="F3638" s="52" t="s">
        <v>26</v>
      </c>
      <c r="G3638" s="53"/>
    </row>
    <row r="3639">
      <c r="A3639" s="49">
        <v>44551.11952586805</v>
      </c>
      <c r="B3639" s="50">
        <v>44551.2444992361</v>
      </c>
      <c r="C3639" s="51">
        <v>1.012</v>
      </c>
      <c r="D3639" s="51">
        <v>62.0</v>
      </c>
      <c r="E3639" s="52" t="s">
        <v>25</v>
      </c>
      <c r="F3639" s="52" t="s">
        <v>26</v>
      </c>
      <c r="G3639" s="53"/>
    </row>
    <row r="3640">
      <c r="A3640" s="49">
        <v>44551.129944224536</v>
      </c>
      <c r="B3640" s="50">
        <v>44551.2549186805</v>
      </c>
      <c r="C3640" s="51">
        <v>1.012</v>
      </c>
      <c r="D3640" s="51">
        <v>62.0</v>
      </c>
      <c r="E3640" s="52" t="s">
        <v>25</v>
      </c>
      <c r="F3640" s="52" t="s">
        <v>26</v>
      </c>
      <c r="G3640" s="53"/>
    </row>
    <row r="3641">
      <c r="A3641" s="49">
        <v>44551.140377627315</v>
      </c>
      <c r="B3641" s="50">
        <v>44551.2653395486</v>
      </c>
      <c r="C3641" s="51">
        <v>1.012</v>
      </c>
      <c r="D3641" s="51">
        <v>62.0</v>
      </c>
      <c r="E3641" s="52" t="s">
        <v>25</v>
      </c>
      <c r="F3641" s="52" t="s">
        <v>26</v>
      </c>
      <c r="G3641" s="53"/>
    </row>
    <row r="3642">
      <c r="A3642" s="49">
        <v>44551.15079671296</v>
      </c>
      <c r="B3642" s="50">
        <v>44551.2757603472</v>
      </c>
      <c r="C3642" s="51">
        <v>1.012</v>
      </c>
      <c r="D3642" s="51">
        <v>62.0</v>
      </c>
      <c r="E3642" s="52" t="s">
        <v>25</v>
      </c>
      <c r="F3642" s="52" t="s">
        <v>26</v>
      </c>
      <c r="G3642" s="53"/>
    </row>
    <row r="3643">
      <c r="A3643" s="49">
        <v>44551.16121332176</v>
      </c>
      <c r="B3643" s="50">
        <v>44551.2861830092</v>
      </c>
      <c r="C3643" s="51">
        <v>1.012</v>
      </c>
      <c r="D3643" s="51">
        <v>62.0</v>
      </c>
      <c r="E3643" s="52" t="s">
        <v>25</v>
      </c>
      <c r="F3643" s="52" t="s">
        <v>26</v>
      </c>
      <c r="G3643" s="53"/>
    </row>
    <row r="3644">
      <c r="A3644" s="49">
        <v>44551.17163542824</v>
      </c>
      <c r="B3644" s="50">
        <v>44551.2966050115</v>
      </c>
      <c r="C3644" s="51">
        <v>1.012</v>
      </c>
      <c r="D3644" s="51">
        <v>62.0</v>
      </c>
      <c r="E3644" s="52" t="s">
        <v>25</v>
      </c>
      <c r="F3644" s="52" t="s">
        <v>26</v>
      </c>
      <c r="G3644" s="53"/>
    </row>
    <row r="3645">
      <c r="A3645" s="49">
        <v>44551.182064293986</v>
      </c>
      <c r="B3645" s="50">
        <v>44551.3070387152</v>
      </c>
      <c r="C3645" s="51">
        <v>1.012</v>
      </c>
      <c r="D3645" s="51">
        <v>62.0</v>
      </c>
      <c r="E3645" s="52" t="s">
        <v>25</v>
      </c>
      <c r="F3645" s="52" t="s">
        <v>26</v>
      </c>
      <c r="G3645" s="53"/>
    </row>
    <row r="3646">
      <c r="A3646" s="49">
        <v>44551.19248952546</v>
      </c>
      <c r="B3646" s="50">
        <v>44551.3174596759</v>
      </c>
      <c r="C3646" s="51">
        <v>1.012</v>
      </c>
      <c r="D3646" s="51">
        <v>62.0</v>
      </c>
      <c r="E3646" s="52" t="s">
        <v>25</v>
      </c>
      <c r="F3646" s="52" t="s">
        <v>26</v>
      </c>
      <c r="G3646" s="53"/>
    </row>
    <row r="3647">
      <c r="A3647" s="49">
        <v>44551.20291097222</v>
      </c>
      <c r="B3647" s="50">
        <v>44551.3278794444</v>
      </c>
      <c r="C3647" s="51">
        <v>1.012</v>
      </c>
      <c r="D3647" s="51">
        <v>62.0</v>
      </c>
      <c r="E3647" s="52" t="s">
        <v>25</v>
      </c>
      <c r="F3647" s="52" t="s">
        <v>26</v>
      </c>
      <c r="G3647" s="53"/>
    </row>
    <row r="3648">
      <c r="A3648" s="49">
        <v>44551.213331446765</v>
      </c>
      <c r="B3648" s="50">
        <v>44551.3383010532</v>
      </c>
      <c r="C3648" s="51">
        <v>1.012</v>
      </c>
      <c r="D3648" s="51">
        <v>62.0</v>
      </c>
      <c r="E3648" s="52" t="s">
        <v>25</v>
      </c>
      <c r="F3648" s="52" t="s">
        <v>26</v>
      </c>
      <c r="G3648" s="53"/>
    </row>
    <row r="3649">
      <c r="A3649" s="49">
        <v>44551.22375172454</v>
      </c>
      <c r="B3649" s="50">
        <v>44551.3487217013</v>
      </c>
      <c r="C3649" s="51">
        <v>1.012</v>
      </c>
      <c r="D3649" s="51">
        <v>62.0</v>
      </c>
      <c r="E3649" s="52" t="s">
        <v>25</v>
      </c>
      <c r="F3649" s="52" t="s">
        <v>26</v>
      </c>
      <c r="G3649" s="53"/>
    </row>
    <row r="3650">
      <c r="A3650" s="49">
        <v>44551.23417539352</v>
      </c>
      <c r="B3650" s="50">
        <v>44551.3591440046</v>
      </c>
      <c r="C3650" s="51">
        <v>1.012</v>
      </c>
      <c r="D3650" s="51">
        <v>62.0</v>
      </c>
      <c r="E3650" s="52" t="s">
        <v>25</v>
      </c>
      <c r="F3650" s="52" t="s">
        <v>26</v>
      </c>
      <c r="G3650" s="53"/>
    </row>
    <row r="3651">
      <c r="A3651" s="49">
        <v>44551.24462896991</v>
      </c>
      <c r="B3651" s="50">
        <v>44551.3695982175</v>
      </c>
      <c r="C3651" s="51">
        <v>1.012</v>
      </c>
      <c r="D3651" s="51">
        <v>62.0</v>
      </c>
      <c r="E3651" s="52" t="s">
        <v>25</v>
      </c>
      <c r="F3651" s="52" t="s">
        <v>26</v>
      </c>
      <c r="G3651" s="53"/>
    </row>
    <row r="3652">
      <c r="A3652" s="49">
        <v>44551.255044432866</v>
      </c>
      <c r="B3652" s="50">
        <v>44551.3800210532</v>
      </c>
      <c r="C3652" s="51">
        <v>1.012</v>
      </c>
      <c r="D3652" s="51">
        <v>62.0</v>
      </c>
      <c r="E3652" s="52" t="s">
        <v>25</v>
      </c>
      <c r="F3652" s="52" t="s">
        <v>26</v>
      </c>
      <c r="G3652" s="53"/>
    </row>
    <row r="3653">
      <c r="A3653" s="49">
        <v>44551.26546496528</v>
      </c>
      <c r="B3653" s="50">
        <v>44551.3904406712</v>
      </c>
      <c r="C3653" s="51">
        <v>1.012</v>
      </c>
      <c r="D3653" s="51">
        <v>62.0</v>
      </c>
      <c r="E3653" s="52" t="s">
        <v>25</v>
      </c>
      <c r="F3653" s="52" t="s">
        <v>26</v>
      </c>
      <c r="G3653" s="53"/>
    </row>
    <row r="3654">
      <c r="A3654" s="49">
        <v>44551.2758945949</v>
      </c>
      <c r="B3654" s="50">
        <v>44551.4008629976</v>
      </c>
      <c r="C3654" s="51">
        <v>1.012</v>
      </c>
      <c r="D3654" s="51">
        <v>62.0</v>
      </c>
      <c r="E3654" s="52" t="s">
        <v>25</v>
      </c>
      <c r="F3654" s="52" t="s">
        <v>26</v>
      </c>
      <c r="G3654" s="53"/>
    </row>
    <row r="3655">
      <c r="A3655" s="49">
        <v>44551.286315000005</v>
      </c>
      <c r="B3655" s="50">
        <v>44551.4112844444</v>
      </c>
      <c r="C3655" s="51">
        <v>1.012</v>
      </c>
      <c r="D3655" s="51">
        <v>62.0</v>
      </c>
      <c r="E3655" s="52" t="s">
        <v>25</v>
      </c>
      <c r="F3655" s="52" t="s">
        <v>26</v>
      </c>
      <c r="G3655" s="53"/>
    </row>
    <row r="3656">
      <c r="A3656" s="49">
        <v>44551.296733738425</v>
      </c>
      <c r="B3656" s="50">
        <v>44551.4217040162</v>
      </c>
      <c r="C3656" s="51">
        <v>1.012</v>
      </c>
      <c r="D3656" s="51">
        <v>62.0</v>
      </c>
      <c r="E3656" s="52" t="s">
        <v>25</v>
      </c>
      <c r="F3656" s="52" t="s">
        <v>26</v>
      </c>
      <c r="G3656" s="53"/>
    </row>
    <row r="3657">
      <c r="A3657" s="49">
        <v>44551.3071537037</v>
      </c>
      <c r="B3657" s="50">
        <v>44551.4321251504</v>
      </c>
      <c r="C3657" s="51">
        <v>1.012</v>
      </c>
      <c r="D3657" s="51">
        <v>62.0</v>
      </c>
      <c r="E3657" s="52" t="s">
        <v>25</v>
      </c>
      <c r="F3657" s="52" t="s">
        <v>26</v>
      </c>
      <c r="G3657" s="53"/>
    </row>
    <row r="3658">
      <c r="A3658" s="49">
        <v>44551.317576608795</v>
      </c>
      <c r="B3658" s="50">
        <v>44551.4425459375</v>
      </c>
      <c r="C3658" s="51">
        <v>1.012</v>
      </c>
      <c r="D3658" s="51">
        <v>62.0</v>
      </c>
      <c r="E3658" s="52" t="s">
        <v>25</v>
      </c>
      <c r="F3658" s="52" t="s">
        <v>26</v>
      </c>
      <c r="G3658" s="53"/>
    </row>
    <row r="3659">
      <c r="A3659" s="49">
        <v>44551.32799453704</v>
      </c>
      <c r="B3659" s="50">
        <v>44551.4529670949</v>
      </c>
      <c r="C3659" s="51">
        <v>1.012</v>
      </c>
      <c r="D3659" s="51">
        <v>62.0</v>
      </c>
      <c r="E3659" s="52" t="s">
        <v>25</v>
      </c>
      <c r="F3659" s="52" t="s">
        <v>26</v>
      </c>
      <c r="G3659" s="53"/>
    </row>
    <row r="3660">
      <c r="A3660" s="49">
        <v>44551.33843525463</v>
      </c>
      <c r="B3660" s="50">
        <v>44551.4633997916</v>
      </c>
      <c r="C3660" s="51">
        <v>1.012</v>
      </c>
      <c r="D3660" s="51">
        <v>62.0</v>
      </c>
      <c r="E3660" s="52" t="s">
        <v>25</v>
      </c>
      <c r="F3660" s="52" t="s">
        <v>26</v>
      </c>
      <c r="G3660" s="53"/>
    </row>
    <row r="3661">
      <c r="A3661" s="49">
        <v>44551.348858530095</v>
      </c>
      <c r="B3661" s="50">
        <v>44551.473820868</v>
      </c>
      <c r="C3661" s="51">
        <v>1.012</v>
      </c>
      <c r="D3661" s="51">
        <v>62.0</v>
      </c>
      <c r="E3661" s="52" t="s">
        <v>25</v>
      </c>
      <c r="F3661" s="52" t="s">
        <v>26</v>
      </c>
      <c r="G3661" s="53"/>
    </row>
    <row r="3662">
      <c r="A3662" s="49">
        <v>44551.359297766205</v>
      </c>
      <c r="B3662" s="50">
        <v>44551.4842754861</v>
      </c>
      <c r="C3662" s="51">
        <v>1.012</v>
      </c>
      <c r="D3662" s="51">
        <v>62.0</v>
      </c>
      <c r="E3662" s="52" t="s">
        <v>25</v>
      </c>
      <c r="F3662" s="52" t="s">
        <v>26</v>
      </c>
      <c r="G3662" s="53"/>
    </row>
    <row r="3663">
      <c r="A3663" s="49">
        <v>44551.369725509256</v>
      </c>
      <c r="B3663" s="50">
        <v>44551.4946950694</v>
      </c>
      <c r="C3663" s="51">
        <v>1.012</v>
      </c>
      <c r="D3663" s="51">
        <v>62.0</v>
      </c>
      <c r="E3663" s="52" t="s">
        <v>25</v>
      </c>
      <c r="F3663" s="52" t="s">
        <v>26</v>
      </c>
      <c r="G3663" s="53"/>
    </row>
    <row r="3664">
      <c r="A3664" s="49">
        <v>44551.380142650465</v>
      </c>
      <c r="B3664" s="50">
        <v>44551.505113993</v>
      </c>
      <c r="C3664" s="51">
        <v>1.012</v>
      </c>
      <c r="D3664" s="51">
        <v>62.0</v>
      </c>
      <c r="E3664" s="52" t="s">
        <v>25</v>
      </c>
      <c r="F3664" s="52" t="s">
        <v>26</v>
      </c>
      <c r="G3664" s="53"/>
    </row>
    <row r="3665">
      <c r="A3665" s="49">
        <v>44551.390570821764</v>
      </c>
      <c r="B3665" s="50">
        <v>44551.5155353819</v>
      </c>
      <c r="C3665" s="51">
        <v>1.012</v>
      </c>
      <c r="D3665" s="51">
        <v>62.0</v>
      </c>
      <c r="E3665" s="52" t="s">
        <v>25</v>
      </c>
      <c r="F3665" s="52" t="s">
        <v>26</v>
      </c>
      <c r="G3665" s="53"/>
    </row>
    <row r="3666">
      <c r="A3666" s="49">
        <v>44551.40097915509</v>
      </c>
      <c r="B3666" s="50">
        <v>44551.5259558449</v>
      </c>
      <c r="C3666" s="51">
        <v>1.012</v>
      </c>
      <c r="D3666" s="51">
        <v>62.0</v>
      </c>
      <c r="E3666" s="52" t="s">
        <v>25</v>
      </c>
      <c r="F3666" s="52" t="s">
        <v>26</v>
      </c>
      <c r="G3666" s="53"/>
    </row>
    <row r="3667">
      <c r="A3667" s="49">
        <v>44551.41140092592</v>
      </c>
      <c r="B3667" s="50">
        <v>44551.5363764467</v>
      </c>
      <c r="C3667" s="51">
        <v>1.012</v>
      </c>
      <c r="D3667" s="51">
        <v>62.0</v>
      </c>
      <c r="E3667" s="52" t="s">
        <v>25</v>
      </c>
      <c r="F3667" s="52" t="s">
        <v>26</v>
      </c>
      <c r="G3667" s="53"/>
    </row>
    <row r="3668">
      <c r="A3668" s="49">
        <v>44551.421827847225</v>
      </c>
      <c r="B3668" s="50">
        <v>44551.5467951157</v>
      </c>
      <c r="C3668" s="51">
        <v>1.012</v>
      </c>
      <c r="D3668" s="51">
        <v>62.0</v>
      </c>
      <c r="E3668" s="52" t="s">
        <v>25</v>
      </c>
      <c r="F3668" s="52" t="s">
        <v>26</v>
      </c>
      <c r="G3668" s="53"/>
    </row>
    <row r="3669">
      <c r="A3669" s="49">
        <v>44551.43224920139</v>
      </c>
      <c r="B3669" s="50">
        <v>44551.5572164004</v>
      </c>
      <c r="C3669" s="51">
        <v>1.012</v>
      </c>
      <c r="D3669" s="51">
        <v>62.0</v>
      </c>
      <c r="E3669" s="52" t="s">
        <v>25</v>
      </c>
      <c r="F3669" s="52" t="s">
        <v>26</v>
      </c>
      <c r="G3669" s="53"/>
    </row>
    <row r="3670">
      <c r="A3670" s="49">
        <v>44551.44266246528</v>
      </c>
      <c r="B3670" s="50">
        <v>44551.5676373263</v>
      </c>
      <c r="C3670" s="51">
        <v>1.012</v>
      </c>
      <c r="D3670" s="51">
        <v>62.0</v>
      </c>
      <c r="E3670" s="52" t="s">
        <v>25</v>
      </c>
      <c r="F3670" s="52" t="s">
        <v>26</v>
      </c>
      <c r="G3670" s="53"/>
    </row>
    <row r="3671">
      <c r="A3671" s="49">
        <v>44551.45310474537</v>
      </c>
      <c r="B3671" s="50">
        <v>44551.5780711689</v>
      </c>
      <c r="C3671" s="51">
        <v>1.012</v>
      </c>
      <c r="D3671" s="51">
        <v>62.0</v>
      </c>
      <c r="E3671" s="52" t="s">
        <v>25</v>
      </c>
      <c r="F3671" s="52" t="s">
        <v>26</v>
      </c>
      <c r="G3671" s="53"/>
    </row>
    <row r="3672">
      <c r="A3672" s="49">
        <v>44551.4635212037</v>
      </c>
      <c r="B3672" s="50">
        <v>44551.5884931597</v>
      </c>
      <c r="C3672" s="51">
        <v>1.012</v>
      </c>
      <c r="D3672" s="51">
        <v>62.0</v>
      </c>
      <c r="E3672" s="52" t="s">
        <v>25</v>
      </c>
      <c r="F3672" s="52" t="s">
        <v>26</v>
      </c>
      <c r="G3672" s="53"/>
    </row>
    <row r="3673">
      <c r="A3673" s="49">
        <v>44551.47394527778</v>
      </c>
      <c r="B3673" s="50">
        <v>44551.5989137384</v>
      </c>
      <c r="C3673" s="51">
        <v>1.012</v>
      </c>
      <c r="D3673" s="51">
        <v>62.0</v>
      </c>
      <c r="E3673" s="52" t="s">
        <v>25</v>
      </c>
      <c r="F3673" s="52" t="s">
        <v>26</v>
      </c>
      <c r="G3673" s="53"/>
    </row>
    <row r="3674">
      <c r="A3674" s="49">
        <v>44551.48436306713</v>
      </c>
      <c r="B3674" s="50">
        <v>44551.6093357291</v>
      </c>
      <c r="C3674" s="51">
        <v>1.012</v>
      </c>
      <c r="D3674" s="51">
        <v>62.0</v>
      </c>
      <c r="E3674" s="52" t="s">
        <v>25</v>
      </c>
      <c r="F3674" s="52" t="s">
        <v>26</v>
      </c>
      <c r="G3674" s="53"/>
    </row>
    <row r="3675">
      <c r="A3675" s="49">
        <v>44551.4948134838</v>
      </c>
      <c r="B3675" s="50">
        <v>44551.6197792129</v>
      </c>
      <c r="C3675" s="51">
        <v>1.012</v>
      </c>
      <c r="D3675" s="51">
        <v>62.0</v>
      </c>
      <c r="E3675" s="52" t="s">
        <v>25</v>
      </c>
      <c r="F3675" s="52" t="s">
        <v>26</v>
      </c>
      <c r="G3675" s="53"/>
    </row>
    <row r="3676">
      <c r="A3676" s="49">
        <v>44551.505237488425</v>
      </c>
      <c r="B3676" s="50">
        <v>44551.6302025</v>
      </c>
      <c r="C3676" s="51">
        <v>1.012</v>
      </c>
      <c r="D3676" s="51">
        <v>62.0</v>
      </c>
      <c r="E3676" s="52" t="s">
        <v>25</v>
      </c>
      <c r="F3676" s="52" t="s">
        <v>26</v>
      </c>
      <c r="G3676" s="53"/>
    </row>
    <row r="3677">
      <c r="A3677" s="49">
        <v>44551.515654953706</v>
      </c>
      <c r="B3677" s="50">
        <v>44551.6406242592</v>
      </c>
      <c r="C3677" s="51">
        <v>1.012</v>
      </c>
      <c r="D3677" s="51">
        <v>62.0</v>
      </c>
      <c r="E3677" s="52" t="s">
        <v>25</v>
      </c>
      <c r="F3677" s="52" t="s">
        <v>26</v>
      </c>
      <c r="G3677" s="53"/>
    </row>
    <row r="3678">
      <c r="A3678" s="49">
        <v>44551.526067280094</v>
      </c>
      <c r="B3678" s="50">
        <v>44551.6510429282</v>
      </c>
      <c r="C3678" s="51">
        <v>1.012</v>
      </c>
      <c r="D3678" s="51">
        <v>62.0</v>
      </c>
      <c r="E3678" s="52" t="s">
        <v>25</v>
      </c>
      <c r="F3678" s="52" t="s">
        <v>26</v>
      </c>
      <c r="G3678" s="53"/>
    </row>
    <row r="3679">
      <c r="A3679" s="49">
        <v>44551.5365015162</v>
      </c>
      <c r="B3679" s="50">
        <v>44551.6614643402</v>
      </c>
      <c r="C3679" s="51">
        <v>1.012</v>
      </c>
      <c r="D3679" s="51">
        <v>62.0</v>
      </c>
      <c r="E3679" s="52" t="s">
        <v>25</v>
      </c>
      <c r="F3679" s="52" t="s">
        <v>26</v>
      </c>
      <c r="G3679" s="53"/>
    </row>
    <row r="3680">
      <c r="A3680" s="49">
        <v>44551.546915555555</v>
      </c>
      <c r="B3680" s="50">
        <v>44551.6718870138</v>
      </c>
      <c r="C3680" s="51">
        <v>1.012</v>
      </c>
      <c r="D3680" s="51">
        <v>62.0</v>
      </c>
      <c r="E3680" s="52" t="s">
        <v>25</v>
      </c>
      <c r="F3680" s="52" t="s">
        <v>26</v>
      </c>
      <c r="G3680" s="53"/>
    </row>
    <row r="3681">
      <c r="A3681" s="49">
        <v>44551.55736015046</v>
      </c>
      <c r="B3681" s="50">
        <v>44551.6823207291</v>
      </c>
      <c r="C3681" s="51">
        <v>1.012</v>
      </c>
      <c r="D3681" s="51">
        <v>62.0</v>
      </c>
      <c r="E3681" s="52" t="s">
        <v>25</v>
      </c>
      <c r="F3681" s="52" t="s">
        <v>26</v>
      </c>
      <c r="G3681" s="53"/>
    </row>
    <row r="3682">
      <c r="A3682" s="49">
        <v>44551.56776613426</v>
      </c>
      <c r="B3682" s="50">
        <v>44551.69274125</v>
      </c>
      <c r="C3682" s="51">
        <v>1.012</v>
      </c>
      <c r="D3682" s="51">
        <v>62.0</v>
      </c>
      <c r="E3682" s="52" t="s">
        <v>25</v>
      </c>
      <c r="F3682" s="52" t="s">
        <v>26</v>
      </c>
      <c r="G3682" s="53"/>
    </row>
    <row r="3683">
      <c r="A3683" s="49">
        <v>44551.57821703704</v>
      </c>
      <c r="B3683" s="50">
        <v>44551.7031742476</v>
      </c>
      <c r="C3683" s="51">
        <v>1.012</v>
      </c>
      <c r="D3683" s="51">
        <v>62.0</v>
      </c>
      <c r="E3683" s="52" t="s">
        <v>25</v>
      </c>
      <c r="F3683" s="52" t="s">
        <v>26</v>
      </c>
      <c r="G3683" s="53"/>
    </row>
    <row r="3684">
      <c r="A3684" s="49">
        <v>44551.58862702546</v>
      </c>
      <c r="B3684" s="50">
        <v>44551.7135935763</v>
      </c>
      <c r="C3684" s="51">
        <v>1.012</v>
      </c>
      <c r="D3684" s="51">
        <v>62.0</v>
      </c>
      <c r="E3684" s="52" t="s">
        <v>25</v>
      </c>
      <c r="F3684" s="52" t="s">
        <v>26</v>
      </c>
      <c r="G3684" s="53"/>
    </row>
    <row r="3685">
      <c r="A3685" s="49">
        <v>44551.59903681713</v>
      </c>
      <c r="B3685" s="50">
        <v>44551.7240130902</v>
      </c>
      <c r="C3685" s="51">
        <v>1.012</v>
      </c>
      <c r="D3685" s="51">
        <v>62.0</v>
      </c>
      <c r="E3685" s="52" t="s">
        <v>25</v>
      </c>
      <c r="F3685" s="52" t="s">
        <v>26</v>
      </c>
      <c r="G3685" s="53"/>
    </row>
    <row r="3686">
      <c r="A3686" s="49">
        <v>44551.609456377315</v>
      </c>
      <c r="B3686" s="50">
        <v>44551.7344341319</v>
      </c>
      <c r="C3686" s="51">
        <v>1.012</v>
      </c>
      <c r="D3686" s="51">
        <v>62.0</v>
      </c>
      <c r="E3686" s="52" t="s">
        <v>25</v>
      </c>
      <c r="F3686" s="52" t="s">
        <v>26</v>
      </c>
      <c r="G3686" s="53"/>
    </row>
    <row r="3687">
      <c r="A3687" s="49">
        <v>44551.619900590274</v>
      </c>
      <c r="B3687" s="50">
        <v>44551.7448770486</v>
      </c>
      <c r="C3687" s="51">
        <v>1.012</v>
      </c>
      <c r="D3687" s="51">
        <v>62.0</v>
      </c>
      <c r="E3687" s="52" t="s">
        <v>25</v>
      </c>
      <c r="F3687" s="52" t="s">
        <v>26</v>
      </c>
      <c r="G3687" s="53"/>
    </row>
    <row r="3688">
      <c r="A3688" s="49">
        <v>44551.63032420139</v>
      </c>
      <c r="B3688" s="50">
        <v>44551.7552986689</v>
      </c>
      <c r="C3688" s="51">
        <v>1.012</v>
      </c>
      <c r="D3688" s="51">
        <v>62.0</v>
      </c>
      <c r="E3688" s="52" t="s">
        <v>25</v>
      </c>
      <c r="F3688" s="52" t="s">
        <v>26</v>
      </c>
      <c r="G3688" s="53"/>
    </row>
    <row r="3689">
      <c r="A3689" s="49">
        <v>44551.64076354167</v>
      </c>
      <c r="B3689" s="50">
        <v>44551.7657307754</v>
      </c>
      <c r="C3689" s="51">
        <v>1.012</v>
      </c>
      <c r="D3689" s="51">
        <v>62.0</v>
      </c>
      <c r="E3689" s="52" t="s">
        <v>25</v>
      </c>
      <c r="F3689" s="52" t="s">
        <v>26</v>
      </c>
      <c r="G3689" s="53"/>
    </row>
    <row r="3690">
      <c r="A3690" s="49">
        <v>44551.651199444445</v>
      </c>
      <c r="B3690" s="50">
        <v>44551.7761626388</v>
      </c>
      <c r="C3690" s="51">
        <v>1.012</v>
      </c>
      <c r="D3690" s="51">
        <v>62.0</v>
      </c>
      <c r="E3690" s="52" t="s">
        <v>25</v>
      </c>
      <c r="F3690" s="52" t="s">
        <v>26</v>
      </c>
      <c r="G3690" s="53"/>
    </row>
    <row r="3691">
      <c r="A3691" s="49">
        <v>44551.66160936342</v>
      </c>
      <c r="B3691" s="50">
        <v>44551.7865836458</v>
      </c>
      <c r="C3691" s="51">
        <v>1.012</v>
      </c>
      <c r="D3691" s="51">
        <v>62.0</v>
      </c>
      <c r="E3691" s="52" t="s">
        <v>25</v>
      </c>
      <c r="F3691" s="52" t="s">
        <v>26</v>
      </c>
      <c r="G3691" s="53"/>
    </row>
    <row r="3692">
      <c r="A3692" s="49">
        <v>44551.672030127316</v>
      </c>
      <c r="B3692" s="50">
        <v>44551.7970049537</v>
      </c>
      <c r="C3692" s="51">
        <v>1.012</v>
      </c>
      <c r="D3692" s="51">
        <v>62.0</v>
      </c>
      <c r="E3692" s="52" t="s">
        <v>25</v>
      </c>
      <c r="F3692" s="52" t="s">
        <v>26</v>
      </c>
      <c r="G3692" s="53"/>
    </row>
    <row r="3693">
      <c r="A3693" s="49">
        <v>44551.68245018518</v>
      </c>
      <c r="B3693" s="50">
        <v>44551.8074255324</v>
      </c>
      <c r="C3693" s="51">
        <v>1.012</v>
      </c>
      <c r="D3693" s="51">
        <v>62.0</v>
      </c>
      <c r="E3693" s="52" t="s">
        <v>25</v>
      </c>
      <c r="F3693" s="52" t="s">
        <v>26</v>
      </c>
      <c r="G3693" s="53"/>
    </row>
    <row r="3694">
      <c r="A3694" s="49">
        <v>44551.69287791666</v>
      </c>
      <c r="B3694" s="50">
        <v>44551.8178463773</v>
      </c>
      <c r="C3694" s="51">
        <v>1.012</v>
      </c>
      <c r="D3694" s="51">
        <v>62.0</v>
      </c>
      <c r="E3694" s="52" t="s">
        <v>25</v>
      </c>
      <c r="F3694" s="52" t="s">
        <v>26</v>
      </c>
      <c r="G3694" s="53"/>
    </row>
    <row r="3695">
      <c r="A3695" s="49">
        <v>44551.70330278935</v>
      </c>
      <c r="B3695" s="50">
        <v>44551.8282651736</v>
      </c>
      <c r="C3695" s="51">
        <v>1.012</v>
      </c>
      <c r="D3695" s="51">
        <v>62.0</v>
      </c>
      <c r="E3695" s="52" t="s">
        <v>25</v>
      </c>
      <c r="F3695" s="52" t="s">
        <v>26</v>
      </c>
      <c r="G3695" s="53"/>
    </row>
    <row r="3696">
      <c r="A3696" s="49">
        <v>44551.71374636574</v>
      </c>
      <c r="B3696" s="50">
        <v>44551.83871125</v>
      </c>
      <c r="C3696" s="51">
        <v>1.012</v>
      </c>
      <c r="D3696" s="51">
        <v>62.0</v>
      </c>
      <c r="E3696" s="52" t="s">
        <v>25</v>
      </c>
      <c r="F3696" s="52" t="s">
        <v>26</v>
      </c>
      <c r="G3696" s="53"/>
    </row>
    <row r="3697">
      <c r="A3697" s="49">
        <v>44551.724163391205</v>
      </c>
      <c r="B3697" s="50">
        <v>44551.8491311574</v>
      </c>
      <c r="C3697" s="51">
        <v>1.012</v>
      </c>
      <c r="D3697" s="51">
        <v>62.0</v>
      </c>
      <c r="E3697" s="52" t="s">
        <v>25</v>
      </c>
      <c r="F3697" s="52" t="s">
        <v>26</v>
      </c>
      <c r="G3697" s="53"/>
    </row>
    <row r="3698">
      <c r="A3698" s="49">
        <v>44551.73458657408</v>
      </c>
      <c r="B3698" s="50">
        <v>44551.8595530787</v>
      </c>
      <c r="C3698" s="51">
        <v>1.012</v>
      </c>
      <c r="D3698" s="51">
        <v>62.0</v>
      </c>
      <c r="E3698" s="52" t="s">
        <v>25</v>
      </c>
      <c r="F3698" s="52" t="s">
        <v>26</v>
      </c>
      <c r="G3698" s="53"/>
    </row>
    <row r="3699">
      <c r="A3699" s="49">
        <v>44551.74499708333</v>
      </c>
      <c r="B3699" s="50">
        <v>44551.8699750231</v>
      </c>
      <c r="C3699" s="51">
        <v>1.012</v>
      </c>
      <c r="D3699" s="51">
        <v>62.0</v>
      </c>
      <c r="E3699" s="52" t="s">
        <v>25</v>
      </c>
      <c r="F3699" s="52" t="s">
        <v>26</v>
      </c>
      <c r="G3699" s="53"/>
    </row>
    <row r="3700">
      <c r="A3700" s="49">
        <v>44551.75542799769</v>
      </c>
      <c r="B3700" s="50">
        <v>44551.880395787</v>
      </c>
      <c r="C3700" s="51">
        <v>1.012</v>
      </c>
      <c r="D3700" s="51">
        <v>62.0</v>
      </c>
      <c r="E3700" s="52" t="s">
        <v>25</v>
      </c>
      <c r="F3700" s="52" t="s">
        <v>26</v>
      </c>
      <c r="G3700" s="53"/>
    </row>
    <row r="3701">
      <c r="A3701" s="49">
        <v>44551.765885659726</v>
      </c>
      <c r="B3701" s="50">
        <v>44551.8908501157</v>
      </c>
      <c r="C3701" s="51">
        <v>1.012</v>
      </c>
      <c r="D3701" s="51">
        <v>62.0</v>
      </c>
      <c r="E3701" s="52" t="s">
        <v>25</v>
      </c>
      <c r="F3701" s="52" t="s">
        <v>26</v>
      </c>
      <c r="G3701" s="53"/>
    </row>
    <row r="3702">
      <c r="A3702" s="49">
        <v>44551.77628972223</v>
      </c>
      <c r="B3702" s="50">
        <v>44551.9012692361</v>
      </c>
      <c r="C3702" s="51">
        <v>1.012</v>
      </c>
      <c r="D3702" s="51">
        <v>62.0</v>
      </c>
      <c r="E3702" s="52" t="s">
        <v>25</v>
      </c>
      <c r="F3702" s="52" t="s">
        <v>26</v>
      </c>
      <c r="G3702" s="53"/>
    </row>
    <row r="3703">
      <c r="A3703" s="49">
        <v>44551.78672023148</v>
      </c>
      <c r="B3703" s="50">
        <v>44551.9116906944</v>
      </c>
      <c r="C3703" s="51">
        <v>1.012</v>
      </c>
      <c r="D3703" s="51">
        <v>62.0</v>
      </c>
      <c r="E3703" s="52" t="s">
        <v>25</v>
      </c>
      <c r="F3703" s="52" t="s">
        <v>26</v>
      </c>
      <c r="G3703" s="53"/>
    </row>
    <row r="3704">
      <c r="A3704" s="49">
        <v>44551.79714548611</v>
      </c>
      <c r="B3704" s="50">
        <v>44551.9221114583</v>
      </c>
      <c r="C3704" s="51">
        <v>1.012</v>
      </c>
      <c r="D3704" s="51">
        <v>62.0</v>
      </c>
      <c r="E3704" s="52" t="s">
        <v>25</v>
      </c>
      <c r="F3704" s="52" t="s">
        <v>26</v>
      </c>
      <c r="G3704" s="53"/>
    </row>
    <row r="3705">
      <c r="A3705" s="49">
        <v>44551.807557395834</v>
      </c>
      <c r="B3705" s="50">
        <v>44551.93253375</v>
      </c>
      <c r="C3705" s="51">
        <v>1.012</v>
      </c>
      <c r="D3705" s="51">
        <v>62.0</v>
      </c>
      <c r="E3705" s="52" t="s">
        <v>25</v>
      </c>
      <c r="F3705" s="52" t="s">
        <v>26</v>
      </c>
      <c r="G3705" s="53"/>
    </row>
    <row r="3706">
      <c r="A3706" s="49">
        <v>44551.817983113426</v>
      </c>
      <c r="B3706" s="50">
        <v>44551.9429555787</v>
      </c>
      <c r="C3706" s="51">
        <v>1.012</v>
      </c>
      <c r="D3706" s="51">
        <v>62.0</v>
      </c>
      <c r="E3706" s="52" t="s">
        <v>25</v>
      </c>
      <c r="F3706" s="52" t="s">
        <v>26</v>
      </c>
      <c r="G3706" s="53"/>
    </row>
    <row r="3707">
      <c r="A3707" s="49">
        <v>44551.828420729165</v>
      </c>
      <c r="B3707" s="50">
        <v>44551.9533897685</v>
      </c>
      <c r="C3707" s="51">
        <v>1.012</v>
      </c>
      <c r="D3707" s="51">
        <v>62.0</v>
      </c>
      <c r="E3707" s="52" t="s">
        <v>25</v>
      </c>
      <c r="F3707" s="52" t="s">
        <v>26</v>
      </c>
      <c r="G3707" s="53"/>
    </row>
    <row r="3708">
      <c r="A3708" s="49">
        <v>44551.83885505787</v>
      </c>
      <c r="B3708" s="50">
        <v>44551.9638227662</v>
      </c>
      <c r="C3708" s="51">
        <v>1.012</v>
      </c>
      <c r="D3708" s="51">
        <v>62.0</v>
      </c>
      <c r="E3708" s="52" t="s">
        <v>25</v>
      </c>
      <c r="F3708" s="52" t="s">
        <v>26</v>
      </c>
      <c r="G3708" s="53"/>
    </row>
    <row r="3709">
      <c r="A3709" s="49">
        <v>44551.84928837963</v>
      </c>
      <c r="B3709" s="50">
        <v>44551.97424353</v>
      </c>
      <c r="C3709" s="51">
        <v>1.012</v>
      </c>
      <c r="D3709" s="51">
        <v>62.0</v>
      </c>
      <c r="E3709" s="52" t="s">
        <v>25</v>
      </c>
      <c r="F3709" s="52" t="s">
        <v>26</v>
      </c>
      <c r="G3709" s="53"/>
    </row>
    <row r="3710">
      <c r="A3710" s="49">
        <v>44551.859685</v>
      </c>
      <c r="B3710" s="50">
        <v>44551.9846631365</v>
      </c>
      <c r="C3710" s="51">
        <v>1.012</v>
      </c>
      <c r="D3710" s="51">
        <v>62.0</v>
      </c>
      <c r="E3710" s="52" t="s">
        <v>25</v>
      </c>
      <c r="F3710" s="52" t="s">
        <v>26</v>
      </c>
      <c r="G3710" s="53"/>
    </row>
    <row r="3711">
      <c r="A3711" s="49">
        <v>44551.870112627315</v>
      </c>
      <c r="B3711" s="50">
        <v>44551.9950875578</v>
      </c>
      <c r="C3711" s="51">
        <v>1.012</v>
      </c>
      <c r="D3711" s="51">
        <v>62.0</v>
      </c>
      <c r="E3711" s="52" t="s">
        <v>25</v>
      </c>
      <c r="F3711" s="52" t="s">
        <v>26</v>
      </c>
      <c r="G3711" s="53"/>
    </row>
    <row r="3712">
      <c r="A3712" s="49">
        <v>44551.88054873842</v>
      </c>
      <c r="B3712" s="50">
        <v>44552.0055098032</v>
      </c>
      <c r="C3712" s="51">
        <v>1.012</v>
      </c>
      <c r="D3712" s="51">
        <v>62.0</v>
      </c>
      <c r="E3712" s="52" t="s">
        <v>25</v>
      </c>
      <c r="F3712" s="52" t="s">
        <v>26</v>
      </c>
      <c r="G3712" s="53"/>
    </row>
    <row r="3713">
      <c r="A3713" s="49">
        <v>44551.89095328704</v>
      </c>
      <c r="B3713" s="50">
        <v>44552.015930243</v>
      </c>
      <c r="C3713" s="51">
        <v>1.012</v>
      </c>
      <c r="D3713" s="51">
        <v>62.0</v>
      </c>
      <c r="E3713" s="52" t="s">
        <v>25</v>
      </c>
      <c r="F3713" s="52" t="s">
        <v>26</v>
      </c>
      <c r="G3713" s="53"/>
    </row>
    <row r="3714">
      <c r="A3714" s="49">
        <v>44551.90139226852</v>
      </c>
      <c r="B3714" s="50">
        <v>44552.0263644328</v>
      </c>
      <c r="C3714" s="51">
        <v>1.012</v>
      </c>
      <c r="D3714" s="51">
        <v>62.0</v>
      </c>
      <c r="E3714" s="52" t="s">
        <v>25</v>
      </c>
      <c r="F3714" s="52" t="s">
        <v>26</v>
      </c>
      <c r="G3714" s="53"/>
    </row>
    <row r="3715">
      <c r="A3715" s="49">
        <v>44551.91181391204</v>
      </c>
      <c r="B3715" s="50">
        <v>44552.0367866203</v>
      </c>
      <c r="C3715" s="51">
        <v>1.012</v>
      </c>
      <c r="D3715" s="51">
        <v>62.0</v>
      </c>
      <c r="E3715" s="52" t="s">
        <v>25</v>
      </c>
      <c r="F3715" s="52" t="s">
        <v>26</v>
      </c>
      <c r="G3715" s="53"/>
    </row>
    <row r="3716">
      <c r="A3716" s="49">
        <v>44551.92223418981</v>
      </c>
      <c r="B3716" s="50">
        <v>44552.0472084375</v>
      </c>
      <c r="C3716" s="51">
        <v>1.012</v>
      </c>
      <c r="D3716" s="51">
        <v>62.0</v>
      </c>
      <c r="E3716" s="52" t="s">
        <v>25</v>
      </c>
      <c r="F3716" s="52" t="s">
        <v>26</v>
      </c>
      <c r="G3716" s="53"/>
    </row>
    <row r="3717">
      <c r="A3717" s="49">
        <v>44551.93266152778</v>
      </c>
      <c r="B3717" s="50">
        <v>44552.0576297337</v>
      </c>
      <c r="C3717" s="51">
        <v>1.012</v>
      </c>
      <c r="D3717" s="51">
        <v>62.0</v>
      </c>
      <c r="E3717" s="52" t="s">
        <v>25</v>
      </c>
      <c r="F3717" s="52" t="s">
        <v>26</v>
      </c>
      <c r="G3717" s="53"/>
    </row>
    <row r="3718">
      <c r="A3718" s="49">
        <v>44551.94308465278</v>
      </c>
      <c r="B3718" s="50">
        <v>44552.0680502777</v>
      </c>
      <c r="C3718" s="51">
        <v>1.012</v>
      </c>
      <c r="D3718" s="51">
        <v>62.0</v>
      </c>
      <c r="E3718" s="52" t="s">
        <v>25</v>
      </c>
      <c r="F3718" s="52" t="s">
        <v>26</v>
      </c>
      <c r="G3718" s="53"/>
    </row>
    <row r="3719">
      <c r="A3719" s="49">
        <v>44551.95350238426</v>
      </c>
      <c r="B3719" s="50">
        <v>44552.0784706481</v>
      </c>
      <c r="C3719" s="51">
        <v>1.012</v>
      </c>
      <c r="D3719" s="51">
        <v>62.0</v>
      </c>
      <c r="E3719" s="52" t="s">
        <v>25</v>
      </c>
      <c r="F3719" s="52" t="s">
        <v>26</v>
      </c>
      <c r="G3719" s="53"/>
    </row>
    <row r="3720">
      <c r="A3720" s="49">
        <v>44551.96392138889</v>
      </c>
      <c r="B3720" s="50">
        <v>44552.0888915277</v>
      </c>
      <c r="C3720" s="51">
        <v>1.012</v>
      </c>
      <c r="D3720" s="51">
        <v>62.0</v>
      </c>
      <c r="E3720" s="52" t="s">
        <v>25</v>
      </c>
      <c r="F3720" s="52" t="s">
        <v>26</v>
      </c>
      <c r="G3720" s="53"/>
    </row>
    <row r="3721">
      <c r="A3721" s="49">
        <v>44551.97434108796</v>
      </c>
      <c r="B3721" s="50">
        <v>44552.099312743</v>
      </c>
      <c r="C3721" s="51">
        <v>1.012</v>
      </c>
      <c r="D3721" s="51">
        <v>62.0</v>
      </c>
      <c r="E3721" s="52" t="s">
        <v>25</v>
      </c>
      <c r="F3721" s="52" t="s">
        <v>26</v>
      </c>
      <c r="G3721" s="53"/>
    </row>
    <row r="3722">
      <c r="A3722" s="49">
        <v>44551.98475754629</v>
      </c>
      <c r="B3722" s="50">
        <v>44552.1097340856</v>
      </c>
      <c r="C3722" s="51">
        <v>1.012</v>
      </c>
      <c r="D3722" s="51">
        <v>62.0</v>
      </c>
      <c r="E3722" s="52" t="s">
        <v>25</v>
      </c>
      <c r="F3722" s="52" t="s">
        <v>26</v>
      </c>
      <c r="G3722" s="53"/>
    </row>
    <row r="3723">
      <c r="A3723" s="49">
        <v>44551.99519398148</v>
      </c>
      <c r="B3723" s="50">
        <v>44552.1201557638</v>
      </c>
      <c r="C3723" s="51">
        <v>1.012</v>
      </c>
      <c r="D3723" s="51">
        <v>62.0</v>
      </c>
      <c r="E3723" s="52" t="s">
        <v>25</v>
      </c>
      <c r="F3723" s="52" t="s">
        <v>26</v>
      </c>
      <c r="G3723" s="53"/>
    </row>
    <row r="3724">
      <c r="A3724" s="49">
        <v>44552.00560871528</v>
      </c>
      <c r="B3724" s="50">
        <v>44552.1305765856</v>
      </c>
      <c r="C3724" s="51">
        <v>1.012</v>
      </c>
      <c r="D3724" s="51">
        <v>62.0</v>
      </c>
      <c r="E3724" s="52" t="s">
        <v>25</v>
      </c>
      <c r="F3724" s="52" t="s">
        <v>26</v>
      </c>
      <c r="G3724" s="53"/>
    </row>
    <row r="3725">
      <c r="A3725" s="49">
        <v>44552.016023020835</v>
      </c>
      <c r="B3725" s="50">
        <v>44552.1409980439</v>
      </c>
      <c r="C3725" s="51">
        <v>1.012</v>
      </c>
      <c r="D3725" s="51">
        <v>62.0</v>
      </c>
      <c r="E3725" s="52" t="s">
        <v>25</v>
      </c>
      <c r="F3725" s="52" t="s">
        <v>26</v>
      </c>
      <c r="G3725" s="53"/>
    </row>
    <row r="3726">
      <c r="A3726" s="49">
        <v>44552.02645670139</v>
      </c>
      <c r="B3726" s="50">
        <v>44552.1514317824</v>
      </c>
      <c r="C3726" s="51">
        <v>1.012</v>
      </c>
      <c r="D3726" s="51">
        <v>62.0</v>
      </c>
      <c r="E3726" s="52" t="s">
        <v>25</v>
      </c>
      <c r="F3726" s="52" t="s">
        <v>26</v>
      </c>
      <c r="G3726" s="53"/>
    </row>
    <row r="3727">
      <c r="A3727" s="49">
        <v>44552.03688789352</v>
      </c>
      <c r="B3727" s="50">
        <v>44552.1618546296</v>
      </c>
      <c r="C3727" s="51">
        <v>1.012</v>
      </c>
      <c r="D3727" s="51">
        <v>62.0</v>
      </c>
      <c r="E3727" s="52" t="s">
        <v>25</v>
      </c>
      <c r="F3727" s="52" t="s">
        <v>26</v>
      </c>
      <c r="G3727" s="53"/>
    </row>
    <row r="3728">
      <c r="A3728" s="49">
        <v>44552.04730719907</v>
      </c>
      <c r="B3728" s="50">
        <v>44552.1722756712</v>
      </c>
      <c r="C3728" s="51">
        <v>1.012</v>
      </c>
      <c r="D3728" s="51">
        <v>62.0</v>
      </c>
      <c r="E3728" s="52" t="s">
        <v>25</v>
      </c>
      <c r="F3728" s="52" t="s">
        <v>26</v>
      </c>
      <c r="G3728" s="53"/>
    </row>
    <row r="3729">
      <c r="A3729" s="49">
        <v>44552.05774024306</v>
      </c>
      <c r="B3729" s="50">
        <v>44552.182709618</v>
      </c>
      <c r="C3729" s="51">
        <v>1.012</v>
      </c>
      <c r="D3729" s="51">
        <v>62.0</v>
      </c>
      <c r="E3729" s="52" t="s">
        <v>25</v>
      </c>
      <c r="F3729" s="52" t="s">
        <v>26</v>
      </c>
      <c r="G3729" s="53"/>
    </row>
    <row r="3730">
      <c r="A3730" s="49">
        <v>44552.068159560185</v>
      </c>
      <c r="B3730" s="50">
        <v>44552.1931307407</v>
      </c>
      <c r="C3730" s="51">
        <v>1.012</v>
      </c>
      <c r="D3730" s="51">
        <v>62.0</v>
      </c>
      <c r="E3730" s="52" t="s">
        <v>25</v>
      </c>
      <c r="F3730" s="52" t="s">
        <v>26</v>
      </c>
      <c r="G3730" s="53"/>
    </row>
    <row r="3731">
      <c r="A3731" s="49">
        <v>44552.07858290509</v>
      </c>
      <c r="B3731" s="50">
        <v>44552.2035506597</v>
      </c>
      <c r="C3731" s="51">
        <v>1.012</v>
      </c>
      <c r="D3731" s="51">
        <v>62.0</v>
      </c>
      <c r="E3731" s="52" t="s">
        <v>25</v>
      </c>
      <c r="F3731" s="52" t="s">
        <v>26</v>
      </c>
      <c r="G3731" s="53"/>
    </row>
    <row r="3732">
      <c r="A3732" s="49">
        <v>44552.088998692125</v>
      </c>
      <c r="B3732" s="50">
        <v>44552.2139718055</v>
      </c>
      <c r="C3732" s="51">
        <v>1.012</v>
      </c>
      <c r="D3732" s="51">
        <v>62.0</v>
      </c>
      <c r="E3732" s="52" t="s">
        <v>25</v>
      </c>
      <c r="F3732" s="52" t="s">
        <v>26</v>
      </c>
      <c r="G3732" s="53"/>
    </row>
    <row r="3733">
      <c r="A3733" s="49">
        <v>44552.09943898148</v>
      </c>
      <c r="B3733" s="50">
        <v>44552.2244047222</v>
      </c>
      <c r="C3733" s="51">
        <v>1.012</v>
      </c>
      <c r="D3733" s="51">
        <v>62.0</v>
      </c>
      <c r="E3733" s="52" t="s">
        <v>25</v>
      </c>
      <c r="F3733" s="52" t="s">
        <v>26</v>
      </c>
      <c r="G3733" s="53"/>
    </row>
    <row r="3734">
      <c r="A3734" s="49">
        <v>44552.10986300926</v>
      </c>
      <c r="B3734" s="50">
        <v>44552.2348252777</v>
      </c>
      <c r="C3734" s="51">
        <v>1.012</v>
      </c>
      <c r="D3734" s="51">
        <v>62.0</v>
      </c>
      <c r="E3734" s="52" t="s">
        <v>25</v>
      </c>
      <c r="F3734" s="52" t="s">
        <v>26</v>
      </c>
      <c r="G3734" s="53"/>
    </row>
    <row r="3735">
      <c r="A3735" s="49">
        <v>44552.12027153935</v>
      </c>
      <c r="B3735" s="50">
        <v>44552.245245706</v>
      </c>
      <c r="C3735" s="51">
        <v>1.012</v>
      </c>
      <c r="D3735" s="51">
        <v>62.0</v>
      </c>
      <c r="E3735" s="52" t="s">
        <v>25</v>
      </c>
      <c r="F3735" s="52" t="s">
        <v>26</v>
      </c>
      <c r="G3735" s="53"/>
    </row>
    <row r="3736">
      <c r="A3736" s="49">
        <v>44552.130717002314</v>
      </c>
      <c r="B3736" s="50">
        <v>44552.2556666435</v>
      </c>
      <c r="C3736" s="51">
        <v>1.012</v>
      </c>
      <c r="D3736" s="51">
        <v>62.0</v>
      </c>
      <c r="E3736" s="52" t="s">
        <v>25</v>
      </c>
      <c r="F3736" s="52" t="s">
        <v>26</v>
      </c>
      <c r="G3736" s="53"/>
    </row>
    <row r="3737">
      <c r="A3737" s="49">
        <v>44552.14115577546</v>
      </c>
      <c r="B3737" s="50">
        <v>44552.2661229513</v>
      </c>
      <c r="C3737" s="51">
        <v>1.012</v>
      </c>
      <c r="D3737" s="51">
        <v>62.0</v>
      </c>
      <c r="E3737" s="52" t="s">
        <v>25</v>
      </c>
      <c r="F3737" s="52" t="s">
        <v>26</v>
      </c>
      <c r="G3737" s="53"/>
    </row>
    <row r="3738">
      <c r="A3738" s="49">
        <v>44552.151573483796</v>
      </c>
      <c r="B3738" s="50">
        <v>44552.2765422106</v>
      </c>
      <c r="C3738" s="51">
        <v>1.012</v>
      </c>
      <c r="D3738" s="51">
        <v>62.0</v>
      </c>
      <c r="E3738" s="52" t="s">
        <v>25</v>
      </c>
      <c r="F3738" s="52" t="s">
        <v>26</v>
      </c>
      <c r="G3738" s="53"/>
    </row>
    <row r="3739">
      <c r="A3739" s="49">
        <v>44552.16200865741</v>
      </c>
      <c r="B3739" s="50">
        <v>44552.286975162</v>
      </c>
      <c r="C3739" s="51">
        <v>1.012</v>
      </c>
      <c r="D3739" s="51">
        <v>62.0</v>
      </c>
      <c r="E3739" s="52" t="s">
        <v>25</v>
      </c>
      <c r="F3739" s="52" t="s">
        <v>26</v>
      </c>
      <c r="G3739" s="53"/>
    </row>
    <row r="3740">
      <c r="A3740" s="49">
        <v>44552.172427604164</v>
      </c>
      <c r="B3740" s="50">
        <v>44552.297396655</v>
      </c>
      <c r="C3740" s="51">
        <v>1.012</v>
      </c>
      <c r="D3740" s="51">
        <v>62.0</v>
      </c>
      <c r="E3740" s="52" t="s">
        <v>25</v>
      </c>
      <c r="F3740" s="52" t="s">
        <v>26</v>
      </c>
      <c r="G3740" s="53"/>
    </row>
    <row r="3741">
      <c r="A3741" s="49">
        <v>44552.182873784725</v>
      </c>
      <c r="B3741" s="50">
        <v>44552.3078401273</v>
      </c>
      <c r="C3741" s="51">
        <v>1.012</v>
      </c>
      <c r="D3741" s="51">
        <v>62.0</v>
      </c>
      <c r="E3741" s="52" t="s">
        <v>25</v>
      </c>
      <c r="F3741" s="52" t="s">
        <v>26</v>
      </c>
      <c r="G3741" s="53"/>
    </row>
    <row r="3742">
      <c r="A3742" s="49">
        <v>44552.193294780096</v>
      </c>
      <c r="B3742" s="50">
        <v>44552.3182620138</v>
      </c>
      <c r="C3742" s="51">
        <v>1.012</v>
      </c>
      <c r="D3742" s="51">
        <v>62.0</v>
      </c>
      <c r="E3742" s="52" t="s">
        <v>25</v>
      </c>
      <c r="F3742" s="52" t="s">
        <v>26</v>
      </c>
      <c r="G3742" s="53"/>
    </row>
    <row r="3743">
      <c r="A3743" s="49">
        <v>44552.20387232639</v>
      </c>
      <c r="B3743" s="50">
        <v>44552.328683449</v>
      </c>
      <c r="C3743" s="51">
        <v>1.012</v>
      </c>
      <c r="D3743" s="51">
        <v>62.0</v>
      </c>
      <c r="E3743" s="52" t="s">
        <v>25</v>
      </c>
      <c r="F3743" s="52" t="s">
        <v>26</v>
      </c>
      <c r="G3743" s="53"/>
    </row>
    <row r="3744">
      <c r="A3744" s="49">
        <v>44552.21414310185</v>
      </c>
      <c r="B3744" s="50">
        <v>44552.3391052893</v>
      </c>
      <c r="C3744" s="51">
        <v>1.012</v>
      </c>
      <c r="D3744" s="51">
        <v>62.0</v>
      </c>
      <c r="E3744" s="52" t="s">
        <v>25</v>
      </c>
      <c r="F3744" s="52" t="s">
        <v>26</v>
      </c>
      <c r="G3744" s="53"/>
    </row>
    <row r="3745">
      <c r="A3745" s="49">
        <v>44552.22455027778</v>
      </c>
      <c r="B3745" s="50">
        <v>44552.3495274884</v>
      </c>
      <c r="C3745" s="51">
        <v>1.012</v>
      </c>
      <c r="D3745" s="51">
        <v>62.0</v>
      </c>
      <c r="E3745" s="52" t="s">
        <v>25</v>
      </c>
      <c r="F3745" s="52" t="s">
        <v>26</v>
      </c>
      <c r="G3745" s="53"/>
    </row>
    <row r="3746">
      <c r="A3746" s="49">
        <v>44552.234979270834</v>
      </c>
      <c r="B3746" s="50">
        <v>44552.3599455902</v>
      </c>
      <c r="C3746" s="51">
        <v>1.012</v>
      </c>
      <c r="D3746" s="51">
        <v>62.0</v>
      </c>
      <c r="E3746" s="52" t="s">
        <v>25</v>
      </c>
      <c r="F3746" s="52" t="s">
        <v>26</v>
      </c>
      <c r="G3746" s="53"/>
    </row>
    <row r="3747">
      <c r="A3747" s="49">
        <v>44552.24542440972</v>
      </c>
      <c r="B3747" s="50">
        <v>44552.3703899189</v>
      </c>
      <c r="C3747" s="51">
        <v>1.012</v>
      </c>
      <c r="D3747" s="51">
        <v>62.0</v>
      </c>
      <c r="E3747" s="52" t="s">
        <v>25</v>
      </c>
      <c r="F3747" s="52" t="s">
        <v>26</v>
      </c>
      <c r="G3747" s="53"/>
    </row>
    <row r="3748">
      <c r="A3748" s="49">
        <v>44552.255837453704</v>
      </c>
      <c r="B3748" s="50">
        <v>44552.3808106365</v>
      </c>
      <c r="C3748" s="51">
        <v>1.012</v>
      </c>
      <c r="D3748" s="51">
        <v>62.0</v>
      </c>
      <c r="E3748" s="52" t="s">
        <v>25</v>
      </c>
      <c r="F3748" s="52" t="s">
        <v>26</v>
      </c>
      <c r="G3748" s="53"/>
    </row>
    <row r="3749">
      <c r="A3749" s="49">
        <v>44552.266257800926</v>
      </c>
      <c r="B3749" s="50">
        <v>44552.391231574</v>
      </c>
      <c r="C3749" s="51">
        <v>1.012</v>
      </c>
      <c r="D3749" s="51">
        <v>62.0</v>
      </c>
      <c r="E3749" s="52" t="s">
        <v>25</v>
      </c>
      <c r="F3749" s="52" t="s">
        <v>26</v>
      </c>
      <c r="G3749" s="53"/>
    </row>
    <row r="3750">
      <c r="A3750" s="49">
        <v>44552.27668891204</v>
      </c>
      <c r="B3750" s="50">
        <v>44552.4016503935</v>
      </c>
      <c r="C3750" s="51">
        <v>1.012</v>
      </c>
      <c r="D3750" s="51">
        <v>62.0</v>
      </c>
      <c r="E3750" s="52" t="s">
        <v>25</v>
      </c>
      <c r="F3750" s="52" t="s">
        <v>26</v>
      </c>
      <c r="G3750" s="53"/>
    </row>
    <row r="3751">
      <c r="A3751" s="49">
        <v>44552.28709679398</v>
      </c>
      <c r="B3751" s="50">
        <v>44552.4120726157</v>
      </c>
      <c r="C3751" s="51">
        <v>1.012</v>
      </c>
      <c r="D3751" s="51">
        <v>62.0</v>
      </c>
      <c r="E3751" s="52" t="s">
        <v>25</v>
      </c>
      <c r="F3751" s="52" t="s">
        <v>26</v>
      </c>
      <c r="G3751" s="53"/>
    </row>
    <row r="3752">
      <c r="A3752" s="49">
        <v>44552.29752983796</v>
      </c>
      <c r="B3752" s="50">
        <v>44552.4224942129</v>
      </c>
      <c r="C3752" s="51">
        <v>1.012</v>
      </c>
      <c r="D3752" s="51">
        <v>62.0</v>
      </c>
      <c r="E3752" s="52" t="s">
        <v>25</v>
      </c>
      <c r="F3752" s="52" t="s">
        <v>26</v>
      </c>
      <c r="G3752" s="53"/>
    </row>
    <row r="3753">
      <c r="A3753" s="49">
        <v>44552.30794165509</v>
      </c>
      <c r="B3753" s="50">
        <v>44552.4329169212</v>
      </c>
      <c r="C3753" s="51">
        <v>1.012</v>
      </c>
      <c r="D3753" s="51">
        <v>62.0</v>
      </c>
      <c r="E3753" s="52" t="s">
        <v>25</v>
      </c>
      <c r="F3753" s="52" t="s">
        <v>26</v>
      </c>
      <c r="G3753" s="53"/>
    </row>
    <row r="3754">
      <c r="A3754" s="49">
        <v>44552.31836887731</v>
      </c>
      <c r="B3754" s="50">
        <v>44552.443339456</v>
      </c>
      <c r="C3754" s="51">
        <v>1.012</v>
      </c>
      <c r="D3754" s="51">
        <v>62.0</v>
      </c>
      <c r="E3754" s="52" t="s">
        <v>25</v>
      </c>
      <c r="F3754" s="52" t="s">
        <v>26</v>
      </c>
      <c r="G3754" s="53"/>
    </row>
    <row r="3755">
      <c r="A3755" s="49">
        <v>44552.32879273148</v>
      </c>
      <c r="B3755" s="50">
        <v>44552.4537595023</v>
      </c>
      <c r="C3755" s="51">
        <v>1.012</v>
      </c>
      <c r="D3755" s="51">
        <v>62.0</v>
      </c>
      <c r="E3755" s="52" t="s">
        <v>25</v>
      </c>
      <c r="F3755" s="52" t="s">
        <v>26</v>
      </c>
      <c r="G3755" s="53"/>
    </row>
    <row r="3756">
      <c r="A3756" s="49">
        <v>44552.339207916666</v>
      </c>
      <c r="B3756" s="50">
        <v>44552.4641802314</v>
      </c>
      <c r="C3756" s="51">
        <v>1.012</v>
      </c>
      <c r="D3756" s="51">
        <v>62.0</v>
      </c>
      <c r="E3756" s="52" t="s">
        <v>25</v>
      </c>
      <c r="F3756" s="52" t="s">
        <v>26</v>
      </c>
      <c r="G3756" s="53"/>
    </row>
    <row r="3757">
      <c r="A3757" s="49">
        <v>44552.34963114583</v>
      </c>
      <c r="B3757" s="50">
        <v>44552.4745996875</v>
      </c>
      <c r="C3757" s="51">
        <v>1.012</v>
      </c>
      <c r="D3757" s="51">
        <v>62.0</v>
      </c>
      <c r="E3757" s="52" t="s">
        <v>25</v>
      </c>
      <c r="F3757" s="52" t="s">
        <v>26</v>
      </c>
      <c r="G3757" s="53"/>
    </row>
    <row r="3758">
      <c r="A3758" s="49">
        <v>44552.36004988426</v>
      </c>
      <c r="B3758" s="50">
        <v>44552.4850243402</v>
      </c>
      <c r="C3758" s="51">
        <v>1.012</v>
      </c>
      <c r="D3758" s="51">
        <v>62.0</v>
      </c>
      <c r="E3758" s="52" t="s">
        <v>25</v>
      </c>
      <c r="F3758" s="52" t="s">
        <v>26</v>
      </c>
      <c r="G3758" s="53"/>
    </row>
    <row r="3759">
      <c r="A3759" s="49">
        <v>44552.37048537037</v>
      </c>
      <c r="B3759" s="50">
        <v>44552.4954564004</v>
      </c>
      <c r="C3759" s="51">
        <v>1.012</v>
      </c>
      <c r="D3759" s="51">
        <v>62.0</v>
      </c>
      <c r="E3759" s="52" t="s">
        <v>25</v>
      </c>
      <c r="F3759" s="52" t="s">
        <v>26</v>
      </c>
      <c r="G3759" s="53"/>
    </row>
    <row r="3760">
      <c r="A3760" s="49">
        <v>44552.38090625</v>
      </c>
      <c r="B3760" s="50">
        <v>44552.5058773842</v>
      </c>
      <c r="C3760" s="51">
        <v>1.012</v>
      </c>
      <c r="D3760" s="51">
        <v>62.0</v>
      </c>
      <c r="E3760" s="52" t="s">
        <v>25</v>
      </c>
      <c r="F3760" s="52" t="s">
        <v>26</v>
      </c>
      <c r="G3760" s="53"/>
    </row>
    <row r="3761">
      <c r="A3761" s="49">
        <v>44552.39133459491</v>
      </c>
      <c r="B3761" s="50">
        <v>44552.5162975694</v>
      </c>
      <c r="C3761" s="51">
        <v>1.012</v>
      </c>
      <c r="D3761" s="51">
        <v>62.0</v>
      </c>
      <c r="E3761" s="52" t="s">
        <v>25</v>
      </c>
      <c r="F3761" s="52" t="s">
        <v>26</v>
      </c>
      <c r="G3761" s="53"/>
    </row>
    <row r="3762">
      <c r="A3762" s="49">
        <v>44552.401756736115</v>
      </c>
      <c r="B3762" s="50">
        <v>44552.5267194907</v>
      </c>
      <c r="C3762" s="51">
        <v>1.012</v>
      </c>
      <c r="D3762" s="51">
        <v>62.0</v>
      </c>
      <c r="E3762" s="52" t="s">
        <v>25</v>
      </c>
      <c r="F3762" s="52" t="s">
        <v>26</v>
      </c>
      <c r="G3762" s="53"/>
    </row>
    <row r="3763">
      <c r="A3763" s="49">
        <v>44552.41218591435</v>
      </c>
      <c r="B3763" s="50">
        <v>44552.537154375</v>
      </c>
      <c r="C3763" s="51">
        <v>1.012</v>
      </c>
      <c r="D3763" s="51">
        <v>62.0</v>
      </c>
      <c r="E3763" s="52" t="s">
        <v>25</v>
      </c>
      <c r="F3763" s="52" t="s">
        <v>26</v>
      </c>
      <c r="G3763" s="53"/>
    </row>
    <row r="3764">
      <c r="A3764" s="49">
        <v>44552.4226059375</v>
      </c>
      <c r="B3764" s="50">
        <v>44552.5475759259</v>
      </c>
      <c r="C3764" s="51">
        <v>1.012</v>
      </c>
      <c r="D3764" s="51">
        <v>62.0</v>
      </c>
      <c r="E3764" s="52" t="s">
        <v>25</v>
      </c>
      <c r="F3764" s="52" t="s">
        <v>26</v>
      </c>
      <c r="G3764" s="53"/>
    </row>
    <row r="3765">
      <c r="A3765" s="49">
        <v>44552.43303702546</v>
      </c>
      <c r="B3765" s="50">
        <v>44552.5579992824</v>
      </c>
      <c r="C3765" s="51">
        <v>1.011</v>
      </c>
      <c r="D3765" s="51">
        <v>62.0</v>
      </c>
      <c r="E3765" s="52" t="s">
        <v>25</v>
      </c>
      <c r="F3765" s="52" t="s">
        <v>26</v>
      </c>
      <c r="G3765" s="53"/>
    </row>
    <row r="3766">
      <c r="A3766" s="49">
        <v>44552.44347017361</v>
      </c>
      <c r="B3766" s="50">
        <v>44552.5684319444</v>
      </c>
      <c r="C3766" s="51">
        <v>1.011</v>
      </c>
      <c r="D3766" s="51">
        <v>62.0</v>
      </c>
      <c r="E3766" s="52" t="s">
        <v>25</v>
      </c>
      <c r="F3766" s="52" t="s">
        <v>26</v>
      </c>
      <c r="G3766" s="53"/>
    </row>
    <row r="3767">
      <c r="A3767" s="49">
        <v>44552.453893495374</v>
      </c>
      <c r="B3767" s="50">
        <v>44552.5788649074</v>
      </c>
      <c r="C3767" s="51">
        <v>1.012</v>
      </c>
      <c r="D3767" s="51">
        <v>62.0</v>
      </c>
      <c r="E3767" s="52" t="s">
        <v>25</v>
      </c>
      <c r="F3767" s="52" t="s">
        <v>26</v>
      </c>
      <c r="G3767" s="53"/>
    </row>
    <row r="3768">
      <c r="A3768" s="49">
        <v>44552.46432060185</v>
      </c>
      <c r="B3768" s="50">
        <v>44552.5892862847</v>
      </c>
      <c r="C3768" s="51">
        <v>1.012</v>
      </c>
      <c r="D3768" s="51">
        <v>62.0</v>
      </c>
      <c r="E3768" s="52" t="s">
        <v>25</v>
      </c>
      <c r="F3768" s="52" t="s">
        <v>26</v>
      </c>
      <c r="G3768" s="53"/>
    </row>
    <row r="3769">
      <c r="A3769" s="49">
        <v>44552.474751435184</v>
      </c>
      <c r="B3769" s="50">
        <v>44552.5997298958</v>
      </c>
      <c r="C3769" s="51">
        <v>1.012</v>
      </c>
      <c r="D3769" s="51">
        <v>62.0</v>
      </c>
      <c r="E3769" s="52" t="s">
        <v>25</v>
      </c>
      <c r="F3769" s="52" t="s">
        <v>26</v>
      </c>
      <c r="G3769" s="53"/>
    </row>
    <row r="3770">
      <c r="A3770" s="49">
        <v>44552.485189259256</v>
      </c>
      <c r="B3770" s="50">
        <v>44552.6101622685</v>
      </c>
      <c r="C3770" s="51">
        <v>1.012</v>
      </c>
      <c r="D3770" s="51">
        <v>62.0</v>
      </c>
      <c r="E3770" s="52" t="s">
        <v>25</v>
      </c>
      <c r="F3770" s="52" t="s">
        <v>26</v>
      </c>
      <c r="G3770" s="53"/>
    </row>
    <row r="3771">
      <c r="A3771" s="49">
        <v>44552.49565369213</v>
      </c>
      <c r="B3771" s="50">
        <v>44552.6205967939</v>
      </c>
      <c r="C3771" s="51">
        <v>1.011</v>
      </c>
      <c r="D3771" s="51">
        <v>62.0</v>
      </c>
      <c r="E3771" s="52" t="s">
        <v>25</v>
      </c>
      <c r="F3771" s="52" t="s">
        <v>26</v>
      </c>
      <c r="G3771" s="53"/>
    </row>
    <row r="3772">
      <c r="A3772" s="49">
        <v>44552.50605166667</v>
      </c>
      <c r="B3772" s="50">
        <v>44552.6310163773</v>
      </c>
      <c r="C3772" s="51">
        <v>1.011</v>
      </c>
      <c r="D3772" s="51">
        <v>62.0</v>
      </c>
      <c r="E3772" s="52" t="s">
        <v>25</v>
      </c>
      <c r="F3772" s="52" t="s">
        <v>26</v>
      </c>
      <c r="G3772" s="53"/>
    </row>
    <row r="3773">
      <c r="A3773" s="49">
        <v>44552.51647239583</v>
      </c>
      <c r="B3773" s="50">
        <v>44552.6414357986</v>
      </c>
      <c r="C3773" s="51">
        <v>1.012</v>
      </c>
      <c r="D3773" s="51">
        <v>62.0</v>
      </c>
      <c r="E3773" s="52" t="s">
        <v>25</v>
      </c>
      <c r="F3773" s="52" t="s">
        <v>26</v>
      </c>
      <c r="G3773" s="53"/>
    </row>
    <row r="3774">
      <c r="A3774" s="49">
        <v>44552.52689814815</v>
      </c>
      <c r="B3774" s="50">
        <v>44552.6518570717</v>
      </c>
      <c r="C3774" s="51">
        <v>1.012</v>
      </c>
      <c r="D3774" s="51">
        <v>62.0</v>
      </c>
      <c r="E3774" s="52" t="s">
        <v>25</v>
      </c>
      <c r="F3774" s="52" t="s">
        <v>26</v>
      </c>
      <c r="G3774" s="53"/>
    </row>
    <row r="3775">
      <c r="A3775" s="49">
        <v>44552.53734333333</v>
      </c>
      <c r="B3775" s="50">
        <v>44552.6623127661</v>
      </c>
      <c r="C3775" s="51">
        <v>1.012</v>
      </c>
      <c r="D3775" s="51">
        <v>62.0</v>
      </c>
      <c r="E3775" s="52" t="s">
        <v>25</v>
      </c>
      <c r="F3775" s="52" t="s">
        <v>26</v>
      </c>
      <c r="G3775" s="53"/>
    </row>
    <row r="3776">
      <c r="A3776" s="49">
        <v>44552.54775702546</v>
      </c>
      <c r="B3776" s="50">
        <v>44552.6727330787</v>
      </c>
      <c r="C3776" s="51">
        <v>1.012</v>
      </c>
      <c r="D3776" s="51">
        <v>62.0</v>
      </c>
      <c r="E3776" s="52" t="s">
        <v>25</v>
      </c>
      <c r="F3776" s="52" t="s">
        <v>26</v>
      </c>
      <c r="G3776" s="53"/>
    </row>
    <row r="3777">
      <c r="A3777" s="49">
        <v>44552.558181898145</v>
      </c>
      <c r="B3777" s="50">
        <v>44552.6831537615</v>
      </c>
      <c r="C3777" s="51">
        <v>1.012</v>
      </c>
      <c r="D3777" s="51">
        <v>62.0</v>
      </c>
      <c r="E3777" s="52" t="s">
        <v>25</v>
      </c>
      <c r="F3777" s="52" t="s">
        <v>26</v>
      </c>
      <c r="G3777" s="53"/>
    </row>
    <row r="3778">
      <c r="A3778" s="49">
        <v>44552.56860020834</v>
      </c>
      <c r="B3778" s="50">
        <v>44552.6935752199</v>
      </c>
      <c r="C3778" s="51">
        <v>1.012</v>
      </c>
      <c r="D3778" s="51">
        <v>62.0</v>
      </c>
      <c r="E3778" s="52" t="s">
        <v>25</v>
      </c>
      <c r="F3778" s="52" t="s">
        <v>26</v>
      </c>
      <c r="G3778" s="53"/>
    </row>
    <row r="3779">
      <c r="A3779" s="49">
        <v>44552.579031643516</v>
      </c>
      <c r="B3779" s="50">
        <v>44552.7039968055</v>
      </c>
      <c r="C3779" s="51">
        <v>1.012</v>
      </c>
      <c r="D3779" s="51">
        <v>62.0</v>
      </c>
      <c r="E3779" s="52" t="s">
        <v>25</v>
      </c>
      <c r="F3779" s="52" t="s">
        <v>26</v>
      </c>
      <c r="G3779" s="53"/>
    </row>
    <row r="3780">
      <c r="A3780" s="49">
        <v>44552.58947319444</v>
      </c>
      <c r="B3780" s="50">
        <v>44552.7144158449</v>
      </c>
      <c r="C3780" s="51">
        <v>1.012</v>
      </c>
      <c r="D3780" s="51">
        <v>62.0</v>
      </c>
      <c r="E3780" s="52" t="s">
        <v>25</v>
      </c>
      <c r="F3780" s="52" t="s">
        <v>26</v>
      </c>
      <c r="G3780" s="53"/>
    </row>
    <row r="3781">
      <c r="A3781" s="49">
        <v>44552.59988096065</v>
      </c>
      <c r="B3781" s="50">
        <v>44552.7248483796</v>
      </c>
      <c r="C3781" s="51">
        <v>1.011</v>
      </c>
      <c r="D3781" s="51">
        <v>62.0</v>
      </c>
      <c r="E3781" s="52" t="s">
        <v>25</v>
      </c>
      <c r="F3781" s="52" t="s">
        <v>26</v>
      </c>
      <c r="G3781" s="53"/>
    </row>
    <row r="3782">
      <c r="A3782" s="49">
        <v>44552.610298935186</v>
      </c>
      <c r="B3782" s="50">
        <v>44552.7352685069</v>
      </c>
      <c r="C3782" s="51">
        <v>1.012</v>
      </c>
      <c r="D3782" s="51">
        <v>62.0</v>
      </c>
      <c r="E3782" s="52" t="s">
        <v>25</v>
      </c>
      <c r="F3782" s="52" t="s">
        <v>26</v>
      </c>
      <c r="G3782" s="53"/>
    </row>
    <row r="3783">
      <c r="A3783" s="49">
        <v>44552.620721087966</v>
      </c>
      <c r="B3783" s="50">
        <v>44552.7456899768</v>
      </c>
      <c r="C3783" s="51">
        <v>1.012</v>
      </c>
      <c r="D3783" s="51">
        <v>62.0</v>
      </c>
      <c r="E3783" s="52" t="s">
        <v>25</v>
      </c>
      <c r="F3783" s="52" t="s">
        <v>26</v>
      </c>
      <c r="G3783" s="53"/>
    </row>
    <row r="3784">
      <c r="A3784" s="49">
        <v>44552.63114888889</v>
      </c>
      <c r="B3784" s="50">
        <v>44552.7561221064</v>
      </c>
      <c r="C3784" s="51">
        <v>1.012</v>
      </c>
      <c r="D3784" s="51">
        <v>62.0</v>
      </c>
      <c r="E3784" s="52" t="s">
        <v>25</v>
      </c>
      <c r="F3784" s="52" t="s">
        <v>26</v>
      </c>
      <c r="G3784" s="53"/>
    </row>
    <row r="3785">
      <c r="A3785" s="49">
        <v>44552.64158506945</v>
      </c>
      <c r="B3785" s="50">
        <v>44552.7665440046</v>
      </c>
      <c r="C3785" s="51">
        <v>1.012</v>
      </c>
      <c r="D3785" s="51">
        <v>62.0</v>
      </c>
      <c r="E3785" s="52" t="s">
        <v>25</v>
      </c>
      <c r="F3785" s="52" t="s">
        <v>26</v>
      </c>
      <c r="G3785" s="53"/>
    </row>
    <row r="3786">
      <c r="A3786" s="49">
        <v>44552.651988391204</v>
      </c>
      <c r="B3786" s="50">
        <v>44552.7769648148</v>
      </c>
      <c r="C3786" s="51">
        <v>1.012</v>
      </c>
      <c r="D3786" s="51">
        <v>62.0</v>
      </c>
      <c r="E3786" s="52" t="s">
        <v>25</v>
      </c>
      <c r="F3786" s="52" t="s">
        <v>26</v>
      </c>
      <c r="G3786" s="53"/>
    </row>
    <row r="3787">
      <c r="A3787" s="49">
        <v>44552.662413252314</v>
      </c>
      <c r="B3787" s="50">
        <v>44552.787385162</v>
      </c>
      <c r="C3787" s="51">
        <v>1.012</v>
      </c>
      <c r="D3787" s="51">
        <v>62.0</v>
      </c>
      <c r="E3787" s="52" t="s">
        <v>25</v>
      </c>
      <c r="F3787" s="52" t="s">
        <v>26</v>
      </c>
      <c r="G3787" s="53"/>
    </row>
    <row r="3788">
      <c r="A3788" s="49">
        <v>44552.672842037035</v>
      </c>
      <c r="B3788" s="50">
        <v>44552.7978078819</v>
      </c>
      <c r="C3788" s="51">
        <v>1.011</v>
      </c>
      <c r="D3788" s="51">
        <v>62.0</v>
      </c>
      <c r="E3788" s="52" t="s">
        <v>25</v>
      </c>
      <c r="F3788" s="52" t="s">
        <v>26</v>
      </c>
      <c r="G3788" s="53"/>
    </row>
    <row r="3789">
      <c r="A3789" s="49">
        <v>44552.68328737268</v>
      </c>
      <c r="B3789" s="50">
        <v>44552.8082517708</v>
      </c>
      <c r="C3789" s="51">
        <v>1.011</v>
      </c>
      <c r="D3789" s="51">
        <v>62.0</v>
      </c>
      <c r="E3789" s="52" t="s">
        <v>25</v>
      </c>
      <c r="F3789" s="52" t="s">
        <v>26</v>
      </c>
      <c r="G3789" s="53"/>
    </row>
    <row r="3790">
      <c r="A3790" s="49">
        <v>44552.69370693287</v>
      </c>
      <c r="B3790" s="50">
        <v>44552.8186841782</v>
      </c>
      <c r="C3790" s="51">
        <v>1.012</v>
      </c>
      <c r="D3790" s="51">
        <v>62.0</v>
      </c>
      <c r="E3790" s="52" t="s">
        <v>25</v>
      </c>
      <c r="F3790" s="52" t="s">
        <v>26</v>
      </c>
      <c r="G3790" s="53"/>
    </row>
    <row r="3791">
      <c r="A3791" s="49">
        <v>44552.70414052083</v>
      </c>
      <c r="B3791" s="50">
        <v>44552.8291042476</v>
      </c>
      <c r="C3791" s="51">
        <v>1.012</v>
      </c>
      <c r="D3791" s="51">
        <v>62.0</v>
      </c>
      <c r="E3791" s="52" t="s">
        <v>25</v>
      </c>
      <c r="F3791" s="52" t="s">
        <v>26</v>
      </c>
      <c r="G3791" s="53"/>
    </row>
    <row r="3792">
      <c r="A3792" s="49">
        <v>44552.71455924769</v>
      </c>
      <c r="B3792" s="50">
        <v>44552.839525868</v>
      </c>
      <c r="C3792" s="51">
        <v>1.011</v>
      </c>
      <c r="D3792" s="51">
        <v>62.0</v>
      </c>
      <c r="E3792" s="52" t="s">
        <v>25</v>
      </c>
      <c r="F3792" s="52" t="s">
        <v>26</v>
      </c>
      <c r="G3792" s="53"/>
    </row>
    <row r="3793">
      <c r="A3793" s="49">
        <v>44552.72498049769</v>
      </c>
      <c r="B3793" s="50">
        <v>44552.8499477777</v>
      </c>
      <c r="C3793" s="51">
        <v>1.011</v>
      </c>
      <c r="D3793" s="51">
        <v>62.0</v>
      </c>
      <c r="E3793" s="52" t="s">
        <v>25</v>
      </c>
      <c r="F3793" s="52" t="s">
        <v>26</v>
      </c>
      <c r="G3793" s="53"/>
    </row>
    <row r="3794">
      <c r="A3794" s="49">
        <v>44552.7354047338</v>
      </c>
      <c r="B3794" s="50">
        <v>44552.8603709953</v>
      </c>
      <c r="C3794" s="51">
        <v>1.011</v>
      </c>
      <c r="D3794" s="51">
        <v>62.0</v>
      </c>
      <c r="E3794" s="52" t="s">
        <v>25</v>
      </c>
      <c r="F3794" s="52" t="s">
        <v>26</v>
      </c>
      <c r="G3794" s="53"/>
    </row>
    <row r="3795">
      <c r="A3795" s="49">
        <v>44552.74586268519</v>
      </c>
      <c r="B3795" s="50">
        <v>44552.8708173263</v>
      </c>
      <c r="C3795" s="51">
        <v>1.012</v>
      </c>
      <c r="D3795" s="51">
        <v>62.0</v>
      </c>
      <c r="E3795" s="52" t="s">
        <v>25</v>
      </c>
      <c r="F3795" s="52" t="s">
        <v>26</v>
      </c>
      <c r="G3795" s="53"/>
    </row>
    <row r="3796">
      <c r="A3796" s="49">
        <v>44552.756274687505</v>
      </c>
      <c r="B3796" s="50">
        <v>44552.8812404282</v>
      </c>
      <c r="C3796" s="51">
        <v>1.012</v>
      </c>
      <c r="D3796" s="51">
        <v>62.0</v>
      </c>
      <c r="E3796" s="52" t="s">
        <v>25</v>
      </c>
      <c r="F3796" s="52" t="s">
        <v>26</v>
      </c>
      <c r="G3796" s="53"/>
    </row>
    <row r="3797">
      <c r="A3797" s="49">
        <v>44552.76670112269</v>
      </c>
      <c r="B3797" s="50">
        <v>44552.8916722569</v>
      </c>
      <c r="C3797" s="51">
        <v>1.011</v>
      </c>
      <c r="D3797" s="51">
        <v>62.0</v>
      </c>
      <c r="E3797" s="52" t="s">
        <v>25</v>
      </c>
      <c r="F3797" s="52" t="s">
        <v>26</v>
      </c>
      <c r="G3797" s="53"/>
    </row>
    <row r="3798">
      <c r="A3798" s="49">
        <v>44552.77713814814</v>
      </c>
      <c r="B3798" s="50">
        <v>44552.9021048611</v>
      </c>
      <c r="C3798" s="51">
        <v>1.011</v>
      </c>
      <c r="D3798" s="51">
        <v>62.0</v>
      </c>
      <c r="E3798" s="52" t="s">
        <v>25</v>
      </c>
      <c r="F3798" s="52" t="s">
        <v>26</v>
      </c>
      <c r="G3798" s="53"/>
    </row>
    <row r="3799">
      <c r="A3799" s="49">
        <v>44552.787555625</v>
      </c>
      <c r="B3799" s="50">
        <v>44552.9125245601</v>
      </c>
      <c r="C3799" s="51">
        <v>1.011</v>
      </c>
      <c r="D3799" s="51">
        <v>62.0</v>
      </c>
      <c r="E3799" s="52" t="s">
        <v>25</v>
      </c>
      <c r="F3799" s="52" t="s">
        <v>26</v>
      </c>
      <c r="G3799" s="53"/>
    </row>
    <row r="3800">
      <c r="A3800" s="49">
        <v>44552.797989768515</v>
      </c>
      <c r="B3800" s="50">
        <v>44552.922958206</v>
      </c>
      <c r="C3800" s="51">
        <v>1.011</v>
      </c>
      <c r="D3800" s="51">
        <v>62.0</v>
      </c>
      <c r="E3800" s="52" t="s">
        <v>25</v>
      </c>
      <c r="F3800" s="52" t="s">
        <v>26</v>
      </c>
      <c r="G3800" s="53"/>
    </row>
    <row r="3801">
      <c r="A3801" s="49">
        <v>44552.808404386575</v>
      </c>
      <c r="B3801" s="50">
        <v>44552.9333787268</v>
      </c>
      <c r="C3801" s="51">
        <v>1.011</v>
      </c>
      <c r="D3801" s="51">
        <v>62.0</v>
      </c>
      <c r="E3801" s="52" t="s">
        <v>25</v>
      </c>
      <c r="F3801" s="52" t="s">
        <v>26</v>
      </c>
      <c r="G3801" s="53"/>
    </row>
    <row r="3802">
      <c r="A3802" s="49">
        <v>44552.81883534722</v>
      </c>
      <c r="B3802" s="50">
        <v>44552.9437998611</v>
      </c>
      <c r="C3802" s="51">
        <v>1.011</v>
      </c>
      <c r="D3802" s="51">
        <v>62.0</v>
      </c>
      <c r="E3802" s="52" t="s">
        <v>25</v>
      </c>
      <c r="F3802" s="52" t="s">
        <v>26</v>
      </c>
      <c r="G3802" s="53"/>
    </row>
    <row r="3803">
      <c r="A3803" s="49">
        <v>44552.8292530787</v>
      </c>
      <c r="B3803" s="50">
        <v>44552.9542203819</v>
      </c>
      <c r="C3803" s="51">
        <v>1.012</v>
      </c>
      <c r="D3803" s="51">
        <v>62.0</v>
      </c>
      <c r="E3803" s="52" t="s">
        <v>25</v>
      </c>
      <c r="F3803" s="52" t="s">
        <v>26</v>
      </c>
      <c r="G3803" s="53"/>
    </row>
    <row r="3804">
      <c r="A3804" s="49">
        <v>44552.83967641204</v>
      </c>
      <c r="B3804" s="50">
        <v>44552.9646419444</v>
      </c>
      <c r="C3804" s="51">
        <v>1.011</v>
      </c>
      <c r="D3804" s="51">
        <v>62.0</v>
      </c>
      <c r="E3804" s="52" t="s">
        <v>25</v>
      </c>
      <c r="F3804" s="52" t="s">
        <v>26</v>
      </c>
      <c r="G3804" s="53"/>
    </row>
    <row r="3805">
      <c r="A3805" s="49">
        <v>44552.85009253472</v>
      </c>
      <c r="B3805" s="50">
        <v>44552.975063912</v>
      </c>
      <c r="C3805" s="51">
        <v>1.012</v>
      </c>
      <c r="D3805" s="51">
        <v>62.0</v>
      </c>
      <c r="E3805" s="52" t="s">
        <v>25</v>
      </c>
      <c r="F3805" s="52" t="s">
        <v>26</v>
      </c>
      <c r="G3805" s="53"/>
    </row>
    <row r="3806">
      <c r="A3806" s="49">
        <v>44552.86053273148</v>
      </c>
      <c r="B3806" s="50">
        <v>44552.9854987615</v>
      </c>
      <c r="C3806" s="51">
        <v>1.012</v>
      </c>
      <c r="D3806" s="51">
        <v>62.0</v>
      </c>
      <c r="E3806" s="52" t="s">
        <v>25</v>
      </c>
      <c r="F3806" s="52" t="s">
        <v>26</v>
      </c>
      <c r="G3806" s="53"/>
    </row>
    <row r="3807">
      <c r="A3807" s="49">
        <v>44552.870954467595</v>
      </c>
      <c r="B3807" s="50">
        <v>44552.9959196643</v>
      </c>
      <c r="C3807" s="51">
        <v>1.011</v>
      </c>
      <c r="D3807" s="51">
        <v>62.0</v>
      </c>
      <c r="E3807" s="52" t="s">
        <v>25</v>
      </c>
      <c r="F3807" s="52" t="s">
        <v>26</v>
      </c>
      <c r="G3807" s="53"/>
    </row>
    <row r="3808">
      <c r="A3808" s="49">
        <v>44552.8813971875</v>
      </c>
      <c r="B3808" s="50">
        <v>44553.0063648726</v>
      </c>
      <c r="C3808" s="51">
        <v>1.011</v>
      </c>
      <c r="D3808" s="51">
        <v>62.0</v>
      </c>
      <c r="E3808" s="52" t="s">
        <v>25</v>
      </c>
      <c r="F3808" s="52" t="s">
        <v>26</v>
      </c>
      <c r="G3808" s="53"/>
    </row>
    <row r="3809">
      <c r="A3809" s="49">
        <v>44552.89181916667</v>
      </c>
      <c r="B3809" s="50">
        <v>44553.0167878125</v>
      </c>
      <c r="C3809" s="51">
        <v>1.011</v>
      </c>
      <c r="D3809" s="51">
        <v>62.0</v>
      </c>
      <c r="E3809" s="52" t="s">
        <v>25</v>
      </c>
      <c r="F3809" s="52" t="s">
        <v>26</v>
      </c>
      <c r="G3809" s="53"/>
    </row>
    <row r="3810">
      <c r="A3810" s="49">
        <v>44552.90223284722</v>
      </c>
      <c r="B3810" s="50">
        <v>44553.0272104166</v>
      </c>
      <c r="C3810" s="51">
        <v>1.011</v>
      </c>
      <c r="D3810" s="51">
        <v>62.0</v>
      </c>
      <c r="E3810" s="52" t="s">
        <v>25</v>
      </c>
      <c r="F3810" s="52" t="s">
        <v>26</v>
      </c>
      <c r="G3810" s="53"/>
    </row>
    <row r="3811">
      <c r="A3811" s="49">
        <v>44552.9126583912</v>
      </c>
      <c r="B3811" s="50">
        <v>44553.0376318171</v>
      </c>
      <c r="C3811" s="51">
        <v>1.011</v>
      </c>
      <c r="D3811" s="51">
        <v>62.0</v>
      </c>
      <c r="E3811" s="52" t="s">
        <v>25</v>
      </c>
      <c r="F3811" s="52" t="s">
        <v>26</v>
      </c>
      <c r="G3811" s="53"/>
    </row>
    <row r="3812">
      <c r="A3812" s="49">
        <v>44552.923081643516</v>
      </c>
      <c r="B3812" s="50">
        <v>44553.0480531712</v>
      </c>
      <c r="C3812" s="51">
        <v>1.012</v>
      </c>
      <c r="D3812" s="51">
        <v>62.0</v>
      </c>
      <c r="E3812" s="52" t="s">
        <v>25</v>
      </c>
      <c r="F3812" s="52" t="s">
        <v>26</v>
      </c>
      <c r="G3812" s="53"/>
    </row>
    <row r="3813">
      <c r="A3813" s="49">
        <v>44552.9335005787</v>
      </c>
      <c r="B3813" s="50">
        <v>44553.0584732986</v>
      </c>
      <c r="C3813" s="51">
        <v>1.011</v>
      </c>
      <c r="D3813" s="51">
        <v>62.0</v>
      </c>
      <c r="E3813" s="52" t="s">
        <v>25</v>
      </c>
      <c r="F3813" s="52" t="s">
        <v>26</v>
      </c>
      <c r="G3813" s="53"/>
    </row>
    <row r="3814">
      <c r="A3814" s="49">
        <v>44552.94393555555</v>
      </c>
      <c r="B3814" s="50">
        <v>44553.0689063773</v>
      </c>
      <c r="C3814" s="51">
        <v>1.012</v>
      </c>
      <c r="D3814" s="51">
        <v>62.0</v>
      </c>
      <c r="E3814" s="52" t="s">
        <v>25</v>
      </c>
      <c r="F3814" s="52" t="s">
        <v>26</v>
      </c>
      <c r="G3814" s="53"/>
    </row>
    <row r="3815">
      <c r="A3815" s="49">
        <v>44552.954360104166</v>
      </c>
      <c r="B3815" s="50">
        <v>44553.0793259375</v>
      </c>
      <c r="C3815" s="51">
        <v>1.011</v>
      </c>
      <c r="D3815" s="51">
        <v>62.0</v>
      </c>
      <c r="E3815" s="52" t="s">
        <v>25</v>
      </c>
      <c r="F3815" s="52" t="s">
        <v>26</v>
      </c>
      <c r="G3815" s="53"/>
    </row>
    <row r="3816">
      <c r="A3816" s="49">
        <v>44552.964780925926</v>
      </c>
      <c r="B3816" s="50">
        <v>44553.0897479629</v>
      </c>
      <c r="C3816" s="51">
        <v>1.011</v>
      </c>
      <c r="D3816" s="51">
        <v>62.0</v>
      </c>
      <c r="E3816" s="52" t="s">
        <v>25</v>
      </c>
      <c r="F3816" s="52" t="s">
        <v>26</v>
      </c>
      <c r="G3816" s="53"/>
    </row>
    <row r="3817">
      <c r="A3817" s="49">
        <v>44552.97520199074</v>
      </c>
      <c r="B3817" s="50">
        <v>44553.100169074</v>
      </c>
      <c r="C3817" s="51">
        <v>1.011</v>
      </c>
      <c r="D3817" s="51">
        <v>62.0</v>
      </c>
      <c r="E3817" s="52" t="s">
        <v>25</v>
      </c>
      <c r="F3817" s="52" t="s">
        <v>26</v>
      </c>
      <c r="G3817" s="53"/>
    </row>
    <row r="3818">
      <c r="A3818" s="49">
        <v>44552.98562017361</v>
      </c>
      <c r="B3818" s="50">
        <v>44553.1105902083</v>
      </c>
      <c r="C3818" s="51">
        <v>1.011</v>
      </c>
      <c r="D3818" s="51">
        <v>62.0</v>
      </c>
      <c r="E3818" s="52" t="s">
        <v>25</v>
      </c>
      <c r="F3818" s="52" t="s">
        <v>26</v>
      </c>
      <c r="G3818" s="53"/>
    </row>
    <row r="3819">
      <c r="A3819" s="49">
        <v>44552.9960375</v>
      </c>
      <c r="B3819" s="50">
        <v>44553.12101103</v>
      </c>
      <c r="C3819" s="51">
        <v>1.011</v>
      </c>
      <c r="D3819" s="51">
        <v>62.0</v>
      </c>
      <c r="E3819" s="52" t="s">
        <v>25</v>
      </c>
      <c r="F3819" s="52" t="s">
        <v>26</v>
      </c>
      <c r="G3819" s="53"/>
    </row>
    <row r="3820">
      <c r="A3820" s="49">
        <v>44553.00645782407</v>
      </c>
      <c r="B3820" s="50">
        <v>44553.1314324999</v>
      </c>
      <c r="C3820" s="51">
        <v>1.011</v>
      </c>
      <c r="D3820" s="51">
        <v>62.0</v>
      </c>
      <c r="E3820" s="52" t="s">
        <v>25</v>
      </c>
      <c r="F3820" s="52" t="s">
        <v>26</v>
      </c>
      <c r="G3820" s="53"/>
    </row>
    <row r="3821">
      <c r="A3821" s="49">
        <v>44553.01689908565</v>
      </c>
      <c r="B3821" s="50">
        <v>44553.1418658564</v>
      </c>
      <c r="C3821" s="51">
        <v>1.011</v>
      </c>
      <c r="D3821" s="51">
        <v>62.0</v>
      </c>
      <c r="E3821" s="52" t="s">
        <v>25</v>
      </c>
      <c r="F3821" s="52" t="s">
        <v>26</v>
      </c>
      <c r="G3821" s="53"/>
    </row>
    <row r="3822">
      <c r="A3822" s="49">
        <v>44553.02732789352</v>
      </c>
      <c r="B3822" s="50">
        <v>44553.1522993055</v>
      </c>
      <c r="C3822" s="51">
        <v>1.011</v>
      </c>
      <c r="D3822" s="51">
        <v>62.0</v>
      </c>
      <c r="E3822" s="52" t="s">
        <v>25</v>
      </c>
      <c r="F3822" s="52" t="s">
        <v>26</v>
      </c>
      <c r="G3822" s="53"/>
    </row>
    <row r="3823">
      <c r="A3823" s="49">
        <v>44553.03775099537</v>
      </c>
      <c r="B3823" s="50">
        <v>44553.1627206944</v>
      </c>
      <c r="C3823" s="51">
        <v>1.011</v>
      </c>
      <c r="D3823" s="51">
        <v>62.0</v>
      </c>
      <c r="E3823" s="52" t="s">
        <v>25</v>
      </c>
      <c r="F3823" s="52" t="s">
        <v>26</v>
      </c>
      <c r="G3823" s="53"/>
    </row>
    <row r="3824">
      <c r="A3824" s="49">
        <v>44553.048187175926</v>
      </c>
      <c r="B3824" s="50">
        <v>44553.1731420254</v>
      </c>
      <c r="C3824" s="51">
        <v>1.011</v>
      </c>
      <c r="D3824" s="51">
        <v>62.0</v>
      </c>
      <c r="E3824" s="52" t="s">
        <v>25</v>
      </c>
      <c r="F3824" s="52" t="s">
        <v>26</v>
      </c>
      <c r="G3824" s="53"/>
    </row>
    <row r="3825">
      <c r="A3825" s="49">
        <v>44553.058589224536</v>
      </c>
      <c r="B3825" s="50">
        <v>44553.1835620949</v>
      </c>
      <c r="C3825" s="51">
        <v>1.011</v>
      </c>
      <c r="D3825" s="51">
        <v>62.0</v>
      </c>
      <c r="E3825" s="52" t="s">
        <v>25</v>
      </c>
      <c r="F3825" s="52" t="s">
        <v>26</v>
      </c>
      <c r="G3825" s="53"/>
    </row>
    <row r="3826">
      <c r="A3826" s="49">
        <v>44553.069007743055</v>
      </c>
      <c r="B3826" s="50">
        <v>44553.1939837847</v>
      </c>
      <c r="C3826" s="51">
        <v>1.011</v>
      </c>
      <c r="D3826" s="51">
        <v>62.0</v>
      </c>
      <c r="E3826" s="52" t="s">
        <v>25</v>
      </c>
      <c r="F3826" s="52" t="s">
        <v>26</v>
      </c>
      <c r="G3826" s="53"/>
    </row>
    <row r="3827">
      <c r="A3827" s="49">
        <v>44553.079426655095</v>
      </c>
      <c r="B3827" s="50">
        <v>44553.2044057754</v>
      </c>
      <c r="C3827" s="51">
        <v>1.011</v>
      </c>
      <c r="D3827" s="51">
        <v>62.0</v>
      </c>
      <c r="E3827" s="52" t="s">
        <v>25</v>
      </c>
      <c r="F3827" s="52" t="s">
        <v>26</v>
      </c>
      <c r="G3827" s="53"/>
    </row>
    <row r="3828">
      <c r="A3828" s="49">
        <v>44553.08985506944</v>
      </c>
      <c r="B3828" s="50">
        <v>44553.214827662</v>
      </c>
      <c r="C3828" s="51">
        <v>1.011</v>
      </c>
      <c r="D3828" s="51">
        <v>62.0</v>
      </c>
      <c r="E3828" s="52" t="s">
        <v>25</v>
      </c>
      <c r="F3828" s="52" t="s">
        <v>26</v>
      </c>
      <c r="G3828" s="53"/>
    </row>
    <row r="3829">
      <c r="A3829" s="49">
        <v>44553.10027848379</v>
      </c>
      <c r="B3829" s="50">
        <v>44553.2252473263</v>
      </c>
      <c r="C3829" s="51">
        <v>1.011</v>
      </c>
      <c r="D3829" s="51">
        <v>62.0</v>
      </c>
      <c r="E3829" s="52" t="s">
        <v>25</v>
      </c>
      <c r="F3829" s="52" t="s">
        <v>26</v>
      </c>
      <c r="G3829" s="53"/>
    </row>
    <row r="3830">
      <c r="A3830" s="49">
        <v>44553.110706064814</v>
      </c>
      <c r="B3830" s="50">
        <v>44553.2356681365</v>
      </c>
      <c r="C3830" s="51">
        <v>1.012</v>
      </c>
      <c r="D3830" s="51">
        <v>62.0</v>
      </c>
      <c r="E3830" s="52" t="s">
        <v>25</v>
      </c>
      <c r="F3830" s="52" t="s">
        <v>26</v>
      </c>
      <c r="G3830" s="53"/>
    </row>
    <row r="3831">
      <c r="A3831" s="49">
        <v>44553.12112232639</v>
      </c>
      <c r="B3831" s="50">
        <v>44553.2460895486</v>
      </c>
      <c r="C3831" s="51">
        <v>1.011</v>
      </c>
      <c r="D3831" s="51">
        <v>62.0</v>
      </c>
      <c r="E3831" s="52" t="s">
        <v>25</v>
      </c>
      <c r="F3831" s="52" t="s">
        <v>26</v>
      </c>
      <c r="G3831" s="53"/>
    </row>
    <row r="3832">
      <c r="A3832" s="49">
        <v>44553.131542627314</v>
      </c>
      <c r="B3832" s="50">
        <v>44553.2565117361</v>
      </c>
      <c r="C3832" s="51">
        <v>1.011</v>
      </c>
      <c r="D3832" s="51">
        <v>62.0</v>
      </c>
      <c r="E3832" s="52" t="s">
        <v>25</v>
      </c>
      <c r="F3832" s="52" t="s">
        <v>26</v>
      </c>
      <c r="G3832" s="53"/>
    </row>
    <row r="3833">
      <c r="A3833" s="49">
        <v>44553.14197019676</v>
      </c>
      <c r="B3833" s="50">
        <v>44553.2669319212</v>
      </c>
      <c r="C3833" s="51">
        <v>1.011</v>
      </c>
      <c r="D3833" s="51">
        <v>62.0</v>
      </c>
      <c r="E3833" s="52" t="s">
        <v>25</v>
      </c>
      <c r="F3833" s="52" t="s">
        <v>26</v>
      </c>
      <c r="G3833" s="53"/>
    </row>
    <row r="3834">
      <c r="A3834" s="49">
        <v>44553.15237858796</v>
      </c>
      <c r="B3834" s="50">
        <v>44553.2773533101</v>
      </c>
      <c r="C3834" s="51">
        <v>1.011</v>
      </c>
      <c r="D3834" s="51">
        <v>62.0</v>
      </c>
      <c r="E3834" s="52" t="s">
        <v>25</v>
      </c>
      <c r="F3834" s="52" t="s">
        <v>26</v>
      </c>
      <c r="G3834" s="53"/>
    </row>
    <row r="3835">
      <c r="A3835" s="49">
        <v>44553.16280603009</v>
      </c>
      <c r="B3835" s="50">
        <v>44553.2877747222</v>
      </c>
      <c r="C3835" s="51">
        <v>1.011</v>
      </c>
      <c r="D3835" s="51">
        <v>62.0</v>
      </c>
      <c r="E3835" s="52" t="s">
        <v>25</v>
      </c>
      <c r="F3835" s="52" t="s">
        <v>26</v>
      </c>
      <c r="G3835" s="53"/>
    </row>
    <row r="3836">
      <c r="A3836" s="49">
        <v>44553.17322123842</v>
      </c>
      <c r="B3836" s="50">
        <v>44553.2981958912</v>
      </c>
      <c r="C3836" s="51">
        <v>1.011</v>
      </c>
      <c r="D3836" s="51">
        <v>62.0</v>
      </c>
      <c r="E3836" s="52" t="s">
        <v>25</v>
      </c>
      <c r="F3836" s="52" t="s">
        <v>26</v>
      </c>
      <c r="G3836" s="53"/>
    </row>
    <row r="3837">
      <c r="A3837" s="49">
        <v>44553.18365136574</v>
      </c>
      <c r="B3837" s="50">
        <v>44553.3086175231</v>
      </c>
      <c r="C3837" s="51">
        <v>1.011</v>
      </c>
      <c r="D3837" s="51">
        <v>62.0</v>
      </c>
      <c r="E3837" s="52" t="s">
        <v>25</v>
      </c>
      <c r="F3837" s="52" t="s">
        <v>26</v>
      </c>
      <c r="G3837" s="53"/>
    </row>
    <row r="3838">
      <c r="A3838" s="49">
        <v>44553.19406405093</v>
      </c>
      <c r="B3838" s="50">
        <v>44553.3190371064</v>
      </c>
      <c r="C3838" s="51">
        <v>1.011</v>
      </c>
      <c r="D3838" s="51">
        <v>62.0</v>
      </c>
      <c r="E3838" s="52" t="s">
        <v>25</v>
      </c>
      <c r="F3838" s="52" t="s">
        <v>26</v>
      </c>
      <c r="G3838" s="53"/>
    </row>
    <row r="3839">
      <c r="A3839" s="49">
        <v>44553.2044918287</v>
      </c>
      <c r="B3839" s="50">
        <v>44553.3294568518</v>
      </c>
      <c r="C3839" s="51">
        <v>1.011</v>
      </c>
      <c r="D3839" s="51">
        <v>62.0</v>
      </c>
      <c r="E3839" s="52" t="s">
        <v>25</v>
      </c>
      <c r="F3839" s="52" t="s">
        <v>26</v>
      </c>
      <c r="G3839" s="53"/>
    </row>
    <row r="3840">
      <c r="A3840" s="49">
        <v>44553.214931828705</v>
      </c>
      <c r="B3840" s="50">
        <v>44553.3398893402</v>
      </c>
      <c r="C3840" s="51">
        <v>1.011</v>
      </c>
      <c r="D3840" s="51">
        <v>62.0</v>
      </c>
      <c r="E3840" s="52" t="s">
        <v>25</v>
      </c>
      <c r="F3840" s="52" t="s">
        <v>26</v>
      </c>
      <c r="G3840" s="53"/>
    </row>
    <row r="3841">
      <c r="A3841" s="49">
        <v>44553.22535658565</v>
      </c>
      <c r="B3841" s="50">
        <v>44553.3503099421</v>
      </c>
      <c r="C3841" s="51">
        <v>1.011</v>
      </c>
      <c r="D3841" s="51">
        <v>62.0</v>
      </c>
      <c r="E3841" s="52" t="s">
        <v>25</v>
      </c>
      <c r="F3841" s="52" t="s">
        <v>26</v>
      </c>
      <c r="G3841" s="53"/>
    </row>
    <row r="3842">
      <c r="A3842" s="49">
        <v>44553.23576471065</v>
      </c>
      <c r="B3842" s="50">
        <v>44553.3607317013</v>
      </c>
      <c r="C3842" s="51">
        <v>1.011</v>
      </c>
      <c r="D3842" s="51">
        <v>62.0</v>
      </c>
      <c r="E3842" s="52" t="s">
        <v>25</v>
      </c>
      <c r="F3842" s="52" t="s">
        <v>26</v>
      </c>
      <c r="G3842" s="53"/>
    </row>
    <row r="3843">
      <c r="A3843" s="49">
        <v>44553.246186516204</v>
      </c>
      <c r="B3843" s="50">
        <v>44553.3711518634</v>
      </c>
      <c r="C3843" s="51">
        <v>1.011</v>
      </c>
      <c r="D3843" s="51">
        <v>62.0</v>
      </c>
      <c r="E3843" s="52" t="s">
        <v>25</v>
      </c>
      <c r="F3843" s="52" t="s">
        <v>26</v>
      </c>
      <c r="G3843" s="53"/>
    </row>
    <row r="3844">
      <c r="A3844" s="49">
        <v>44553.25661494213</v>
      </c>
      <c r="B3844" s="50">
        <v>44553.3815834953</v>
      </c>
      <c r="C3844" s="51">
        <v>1.011</v>
      </c>
      <c r="D3844" s="51">
        <v>62.0</v>
      </c>
      <c r="E3844" s="52" t="s">
        <v>25</v>
      </c>
      <c r="F3844" s="52" t="s">
        <v>26</v>
      </c>
      <c r="G3844" s="53"/>
    </row>
    <row r="3845">
      <c r="A3845" s="49">
        <v>44553.267036018515</v>
      </c>
      <c r="B3845" s="50">
        <v>44553.3920057754</v>
      </c>
      <c r="C3845" s="51">
        <v>1.011</v>
      </c>
      <c r="D3845" s="51">
        <v>62.0</v>
      </c>
      <c r="E3845" s="52" t="s">
        <v>25</v>
      </c>
      <c r="F3845" s="52" t="s">
        <v>26</v>
      </c>
      <c r="G3845" s="53"/>
    </row>
    <row r="3846">
      <c r="A3846" s="49">
        <v>44553.27746349537</v>
      </c>
      <c r="B3846" s="50">
        <v>44553.4024264236</v>
      </c>
      <c r="C3846" s="51">
        <v>1.011</v>
      </c>
      <c r="D3846" s="51">
        <v>62.0</v>
      </c>
      <c r="E3846" s="52" t="s">
        <v>25</v>
      </c>
      <c r="F3846" s="52" t="s">
        <v>26</v>
      </c>
      <c r="G3846" s="53"/>
    </row>
    <row r="3847">
      <c r="A3847" s="49">
        <v>44553.28787459491</v>
      </c>
      <c r="B3847" s="50">
        <v>44553.4128470254</v>
      </c>
      <c r="C3847" s="51">
        <v>1.011</v>
      </c>
      <c r="D3847" s="51">
        <v>62.0</v>
      </c>
      <c r="E3847" s="52" t="s">
        <v>25</v>
      </c>
      <c r="F3847" s="52" t="s">
        <v>26</v>
      </c>
      <c r="G3847" s="53"/>
    </row>
    <row r="3848">
      <c r="A3848" s="49">
        <v>44553.298303958334</v>
      </c>
      <c r="B3848" s="50">
        <v>44553.4232680555</v>
      </c>
      <c r="C3848" s="51">
        <v>1.011</v>
      </c>
      <c r="D3848" s="51">
        <v>62.0</v>
      </c>
      <c r="E3848" s="52" t="s">
        <v>25</v>
      </c>
      <c r="F3848" s="52" t="s">
        <v>26</v>
      </c>
      <c r="G3848" s="53"/>
    </row>
    <row r="3849">
      <c r="A3849" s="49">
        <v>44553.30872291667</v>
      </c>
      <c r="B3849" s="50">
        <v>44553.4336888888</v>
      </c>
      <c r="C3849" s="51">
        <v>1.011</v>
      </c>
      <c r="D3849" s="51">
        <v>62.0</v>
      </c>
      <c r="E3849" s="52" t="s">
        <v>25</v>
      </c>
      <c r="F3849" s="52" t="s">
        <v>26</v>
      </c>
      <c r="G3849" s="53"/>
    </row>
    <row r="3850">
      <c r="A3850" s="49">
        <v>44553.31915510417</v>
      </c>
      <c r="B3850" s="50">
        <v>44553.4441089236</v>
      </c>
      <c r="C3850" s="51">
        <v>1.011</v>
      </c>
      <c r="D3850" s="51">
        <v>62.0</v>
      </c>
      <c r="E3850" s="52" t="s">
        <v>25</v>
      </c>
      <c r="F3850" s="52" t="s">
        <v>26</v>
      </c>
      <c r="G3850" s="53"/>
    </row>
    <row r="3851">
      <c r="A3851" s="49">
        <v>44553.329558020836</v>
      </c>
      <c r="B3851" s="50">
        <v>44553.4545299884</v>
      </c>
      <c r="C3851" s="51">
        <v>1.011</v>
      </c>
      <c r="D3851" s="51">
        <v>62.0</v>
      </c>
      <c r="E3851" s="52" t="s">
        <v>25</v>
      </c>
      <c r="F3851" s="52" t="s">
        <v>26</v>
      </c>
      <c r="G3851" s="53"/>
    </row>
    <row r="3852">
      <c r="A3852" s="49">
        <v>44553.339984398146</v>
      </c>
      <c r="B3852" s="50">
        <v>44553.4649514004</v>
      </c>
      <c r="C3852" s="51">
        <v>1.011</v>
      </c>
      <c r="D3852" s="51">
        <v>62.0</v>
      </c>
      <c r="E3852" s="52" t="s">
        <v>25</v>
      </c>
      <c r="F3852" s="52" t="s">
        <v>26</v>
      </c>
      <c r="G3852" s="53"/>
    </row>
    <row r="3853">
      <c r="A3853" s="49">
        <v>44553.35039680556</v>
      </c>
      <c r="B3853" s="50">
        <v>44553.4753708796</v>
      </c>
      <c r="C3853" s="51">
        <v>1.011</v>
      </c>
      <c r="D3853" s="51">
        <v>62.0</v>
      </c>
      <c r="E3853" s="52" t="s">
        <v>25</v>
      </c>
      <c r="F3853" s="52" t="s">
        <v>26</v>
      </c>
      <c r="G3853" s="53"/>
    </row>
    <row r="3854">
      <c r="A3854" s="49">
        <v>44553.3608159838</v>
      </c>
      <c r="B3854" s="50">
        <v>44553.4857922453</v>
      </c>
      <c r="C3854" s="51">
        <v>1.011</v>
      </c>
      <c r="D3854" s="51">
        <v>62.0</v>
      </c>
      <c r="E3854" s="52" t="s">
        <v>25</v>
      </c>
      <c r="F3854" s="52" t="s">
        <v>26</v>
      </c>
      <c r="G3854" s="53"/>
    </row>
    <row r="3855">
      <c r="A3855" s="49">
        <v>44553.37123883102</v>
      </c>
      <c r="B3855" s="50">
        <v>44553.4962139467</v>
      </c>
      <c r="C3855" s="51">
        <v>1.011</v>
      </c>
      <c r="D3855" s="51">
        <v>62.0</v>
      </c>
      <c r="E3855" s="52" t="s">
        <v>25</v>
      </c>
      <c r="F3855" s="52" t="s">
        <v>26</v>
      </c>
      <c r="G3855" s="53"/>
    </row>
    <row r="3856">
      <c r="A3856" s="49">
        <v>44553.38166758102</v>
      </c>
      <c r="B3856" s="50">
        <v>44553.5066324537</v>
      </c>
      <c r="C3856" s="51">
        <v>1.011</v>
      </c>
      <c r="D3856" s="51">
        <v>62.0</v>
      </c>
      <c r="E3856" s="52" t="s">
        <v>25</v>
      </c>
      <c r="F3856" s="52" t="s">
        <v>26</v>
      </c>
      <c r="G3856" s="53"/>
    </row>
    <row r="3857">
      <c r="A3857" s="49">
        <v>44553.39209013889</v>
      </c>
      <c r="B3857" s="50">
        <v>44553.5170532175</v>
      </c>
      <c r="C3857" s="51">
        <v>1.011</v>
      </c>
      <c r="D3857" s="51">
        <v>62.0</v>
      </c>
      <c r="E3857" s="52" t="s">
        <v>25</v>
      </c>
      <c r="F3857" s="52" t="s">
        <v>26</v>
      </c>
      <c r="G3857" s="53"/>
    </row>
    <row r="3858">
      <c r="A3858" s="49">
        <v>44553.402502592595</v>
      </c>
      <c r="B3858" s="50">
        <v>44553.5274737384</v>
      </c>
      <c r="C3858" s="51">
        <v>1.011</v>
      </c>
      <c r="D3858" s="51">
        <v>62.0</v>
      </c>
      <c r="E3858" s="52" t="s">
        <v>25</v>
      </c>
      <c r="F3858" s="52" t="s">
        <v>26</v>
      </c>
      <c r="G3858" s="53"/>
    </row>
    <row r="3859">
      <c r="A3859" s="49">
        <v>44553.412918761576</v>
      </c>
      <c r="B3859" s="50">
        <v>44553.537895162</v>
      </c>
      <c r="C3859" s="51">
        <v>1.011</v>
      </c>
      <c r="D3859" s="51">
        <v>62.0</v>
      </c>
      <c r="E3859" s="52" t="s">
        <v>25</v>
      </c>
      <c r="F3859" s="52" t="s">
        <v>26</v>
      </c>
      <c r="G3859" s="53"/>
    </row>
    <row r="3860">
      <c r="A3860" s="49">
        <v>44553.42336559028</v>
      </c>
      <c r="B3860" s="50">
        <v>44553.5483382291</v>
      </c>
      <c r="C3860" s="51">
        <v>1.011</v>
      </c>
      <c r="D3860" s="51">
        <v>62.0</v>
      </c>
      <c r="E3860" s="52" t="s">
        <v>25</v>
      </c>
      <c r="F3860" s="52" t="s">
        <v>26</v>
      </c>
      <c r="G3860" s="53"/>
    </row>
    <row r="3861">
      <c r="A3861" s="49">
        <v>44553.433791550924</v>
      </c>
      <c r="B3861" s="50">
        <v>44553.5587562963</v>
      </c>
      <c r="C3861" s="51">
        <v>1.011</v>
      </c>
      <c r="D3861" s="51">
        <v>62.0</v>
      </c>
      <c r="E3861" s="52" t="s">
        <v>25</v>
      </c>
      <c r="F3861" s="52" t="s">
        <v>26</v>
      </c>
      <c r="G3861" s="53"/>
    </row>
    <row r="3862">
      <c r="A3862" s="49">
        <v>44553.44421608796</v>
      </c>
      <c r="B3862" s="50">
        <v>44553.5691878472</v>
      </c>
      <c r="C3862" s="51">
        <v>1.011</v>
      </c>
      <c r="D3862" s="51">
        <v>62.0</v>
      </c>
      <c r="E3862" s="52" t="s">
        <v>25</v>
      </c>
      <c r="F3862" s="52" t="s">
        <v>26</v>
      </c>
      <c r="G3862" s="53"/>
    </row>
    <row r="3863">
      <c r="A3863" s="49">
        <v>44553.45467510416</v>
      </c>
      <c r="B3863" s="50">
        <v>44553.579632662</v>
      </c>
      <c r="C3863" s="51">
        <v>1.011</v>
      </c>
      <c r="D3863" s="51">
        <v>62.0</v>
      </c>
      <c r="E3863" s="52" t="s">
        <v>25</v>
      </c>
      <c r="F3863" s="52" t="s">
        <v>26</v>
      </c>
      <c r="G3863" s="53"/>
    </row>
    <row r="3864">
      <c r="A3864" s="49">
        <v>44553.46508918982</v>
      </c>
      <c r="B3864" s="50">
        <v>44553.5900540856</v>
      </c>
      <c r="C3864" s="51">
        <v>1.011</v>
      </c>
      <c r="D3864" s="51">
        <v>62.0</v>
      </c>
      <c r="E3864" s="52" t="s">
        <v>25</v>
      </c>
      <c r="F3864" s="52" t="s">
        <v>26</v>
      </c>
      <c r="G3864" s="53"/>
    </row>
    <row r="3865">
      <c r="A3865" s="49">
        <v>44553.475504270835</v>
      </c>
      <c r="B3865" s="50">
        <v>44553.6004742129</v>
      </c>
      <c r="C3865" s="51">
        <v>1.011</v>
      </c>
      <c r="D3865" s="51">
        <v>62.0</v>
      </c>
      <c r="E3865" s="52" t="s">
        <v>25</v>
      </c>
      <c r="F3865" s="52" t="s">
        <v>26</v>
      </c>
      <c r="G3865" s="53"/>
    </row>
    <row r="3866">
      <c r="A3866" s="49">
        <v>44553.48593401621</v>
      </c>
      <c r="B3866" s="50">
        <v>44553.6109063194</v>
      </c>
      <c r="C3866" s="51">
        <v>1.011</v>
      </c>
      <c r="D3866" s="51">
        <v>62.0</v>
      </c>
      <c r="E3866" s="52" t="s">
        <v>25</v>
      </c>
      <c r="F3866" s="52" t="s">
        <v>26</v>
      </c>
      <c r="G3866" s="53"/>
    </row>
    <row r="3867">
      <c r="A3867" s="49">
        <v>44553.49636128472</v>
      </c>
      <c r="B3867" s="50">
        <v>44553.6213266087</v>
      </c>
      <c r="C3867" s="51">
        <v>1.011</v>
      </c>
      <c r="D3867" s="51">
        <v>62.0</v>
      </c>
      <c r="E3867" s="52" t="s">
        <v>25</v>
      </c>
      <c r="F3867" s="52" t="s">
        <v>26</v>
      </c>
      <c r="G3867" s="53"/>
    </row>
    <row r="3868">
      <c r="A3868" s="49">
        <v>44553.50678265047</v>
      </c>
      <c r="B3868" s="50">
        <v>44553.6317478124</v>
      </c>
      <c r="C3868" s="51">
        <v>1.011</v>
      </c>
      <c r="D3868" s="51">
        <v>62.0</v>
      </c>
      <c r="E3868" s="52" t="s">
        <v>25</v>
      </c>
      <c r="F3868" s="52" t="s">
        <v>26</v>
      </c>
      <c r="G3868" s="53"/>
    </row>
    <row r="3869">
      <c r="A3869" s="49">
        <v>44553.517193900465</v>
      </c>
      <c r="B3869" s="50">
        <v>44553.6421673495</v>
      </c>
      <c r="C3869" s="51">
        <v>1.011</v>
      </c>
      <c r="D3869" s="51">
        <v>62.0</v>
      </c>
      <c r="E3869" s="52" t="s">
        <v>25</v>
      </c>
      <c r="F3869" s="52" t="s">
        <v>26</v>
      </c>
      <c r="G3869" s="53"/>
    </row>
    <row r="3870">
      <c r="A3870" s="49">
        <v>44553.527620821755</v>
      </c>
      <c r="B3870" s="50">
        <v>44553.6525881018</v>
      </c>
      <c r="C3870" s="51">
        <v>1.011</v>
      </c>
      <c r="D3870" s="51">
        <v>62.0</v>
      </c>
      <c r="E3870" s="52" t="s">
        <v>25</v>
      </c>
      <c r="F3870" s="52" t="s">
        <v>26</v>
      </c>
      <c r="G3870" s="53"/>
    </row>
    <row r="3871">
      <c r="A3871" s="49">
        <v>44553.53803693287</v>
      </c>
      <c r="B3871" s="50">
        <v>44553.6630103009</v>
      </c>
      <c r="C3871" s="51">
        <v>1.011</v>
      </c>
      <c r="D3871" s="51">
        <v>62.0</v>
      </c>
      <c r="E3871" s="52" t="s">
        <v>25</v>
      </c>
      <c r="F3871" s="52" t="s">
        <v>26</v>
      </c>
      <c r="G3871" s="53"/>
    </row>
    <row r="3872">
      <c r="A3872" s="49">
        <v>44553.54845782407</v>
      </c>
      <c r="B3872" s="50">
        <v>44553.6734315856</v>
      </c>
      <c r="C3872" s="51">
        <v>1.011</v>
      </c>
      <c r="D3872" s="51">
        <v>62.0</v>
      </c>
      <c r="E3872" s="52" t="s">
        <v>25</v>
      </c>
      <c r="F3872" s="52" t="s">
        <v>26</v>
      </c>
      <c r="G3872" s="53"/>
    </row>
    <row r="3873">
      <c r="A3873" s="49">
        <v>44553.55888667824</v>
      </c>
      <c r="B3873" s="50">
        <v>44553.6838529629</v>
      </c>
      <c r="C3873" s="51">
        <v>1.011</v>
      </c>
      <c r="D3873" s="51">
        <v>62.0</v>
      </c>
      <c r="E3873" s="52" t="s">
        <v>25</v>
      </c>
      <c r="F3873" s="52" t="s">
        <v>26</v>
      </c>
      <c r="G3873" s="53"/>
    </row>
    <row r="3874">
      <c r="A3874" s="49">
        <v>44553.56930430555</v>
      </c>
      <c r="B3874" s="50">
        <v>44553.6942726041</v>
      </c>
      <c r="C3874" s="51">
        <v>1.011</v>
      </c>
      <c r="D3874" s="51">
        <v>62.0</v>
      </c>
      <c r="E3874" s="52" t="s">
        <v>25</v>
      </c>
      <c r="F3874" s="52" t="s">
        <v>26</v>
      </c>
      <c r="G3874" s="53"/>
    </row>
    <row r="3875">
      <c r="A3875" s="49">
        <v>44553.579726296295</v>
      </c>
      <c r="B3875" s="50">
        <v>44553.7046925578</v>
      </c>
      <c r="C3875" s="51">
        <v>1.011</v>
      </c>
      <c r="D3875" s="51">
        <v>62.0</v>
      </c>
      <c r="E3875" s="52" t="s">
        <v>25</v>
      </c>
      <c r="F3875" s="52" t="s">
        <v>26</v>
      </c>
      <c r="G3875" s="53"/>
    </row>
    <row r="3876">
      <c r="A3876" s="49">
        <v>44553.59014375</v>
      </c>
      <c r="B3876" s="50">
        <v>44553.7151124305</v>
      </c>
      <c r="C3876" s="51">
        <v>1.011</v>
      </c>
      <c r="D3876" s="51">
        <v>62.0</v>
      </c>
      <c r="E3876" s="52" t="s">
        <v>25</v>
      </c>
      <c r="F3876" s="52" t="s">
        <v>26</v>
      </c>
      <c r="G3876" s="53"/>
    </row>
    <row r="3877">
      <c r="A3877" s="49">
        <v>44553.60056155093</v>
      </c>
      <c r="B3877" s="50">
        <v>44553.7255342592</v>
      </c>
      <c r="C3877" s="51">
        <v>1.011</v>
      </c>
      <c r="D3877" s="51">
        <v>62.0</v>
      </c>
      <c r="E3877" s="52" t="s">
        <v>25</v>
      </c>
      <c r="F3877" s="52" t="s">
        <v>26</v>
      </c>
      <c r="G3877" s="53"/>
    </row>
    <row r="3878">
      <c r="A3878" s="49">
        <v>44553.61099185185</v>
      </c>
      <c r="B3878" s="50">
        <v>44553.7359569328</v>
      </c>
      <c r="C3878" s="51">
        <v>1.011</v>
      </c>
      <c r="D3878" s="51">
        <v>62.0</v>
      </c>
      <c r="E3878" s="52" t="s">
        <v>25</v>
      </c>
      <c r="F3878" s="52" t="s">
        <v>26</v>
      </c>
      <c r="G3878" s="53"/>
    </row>
    <row r="3879">
      <c r="A3879" s="49">
        <v>44553.621422094904</v>
      </c>
      <c r="B3879" s="50">
        <v>44553.7463888425</v>
      </c>
      <c r="C3879" s="51">
        <v>1.011</v>
      </c>
      <c r="D3879" s="51">
        <v>62.0</v>
      </c>
      <c r="E3879" s="52" t="s">
        <v>25</v>
      </c>
      <c r="F3879" s="52" t="s">
        <v>26</v>
      </c>
      <c r="G3879" s="53"/>
    </row>
    <row r="3880">
      <c r="A3880" s="49">
        <v>44553.63184025463</v>
      </c>
      <c r="B3880" s="50">
        <v>44553.7568092476</v>
      </c>
      <c r="C3880" s="51">
        <v>1.011</v>
      </c>
      <c r="D3880" s="51">
        <v>62.0</v>
      </c>
      <c r="E3880" s="52" t="s">
        <v>25</v>
      </c>
      <c r="F3880" s="52" t="s">
        <v>26</v>
      </c>
      <c r="G3880" s="53"/>
    </row>
    <row r="3881">
      <c r="A3881" s="49">
        <v>44553.64226759259</v>
      </c>
      <c r="B3881" s="50">
        <v>44553.7672303009</v>
      </c>
      <c r="C3881" s="51">
        <v>1.011</v>
      </c>
      <c r="D3881" s="51">
        <v>62.0</v>
      </c>
      <c r="E3881" s="52" t="s">
        <v>25</v>
      </c>
      <c r="F3881" s="52" t="s">
        <v>26</v>
      </c>
      <c r="G3881" s="53"/>
    </row>
    <row r="3882">
      <c r="A3882" s="49">
        <v>44553.652707800924</v>
      </c>
      <c r="B3882" s="50">
        <v>44553.7776763078</v>
      </c>
      <c r="C3882" s="51">
        <v>1.011</v>
      </c>
      <c r="D3882" s="51">
        <v>62.0</v>
      </c>
      <c r="E3882" s="52" t="s">
        <v>25</v>
      </c>
      <c r="F3882" s="52" t="s">
        <v>26</v>
      </c>
      <c r="G3882" s="53"/>
    </row>
    <row r="3883">
      <c r="A3883" s="49">
        <v>44553.66312075232</v>
      </c>
      <c r="B3883" s="50">
        <v>44553.7880961689</v>
      </c>
      <c r="C3883" s="51">
        <v>1.011</v>
      </c>
      <c r="D3883" s="51">
        <v>62.0</v>
      </c>
      <c r="E3883" s="52" t="s">
        <v>25</v>
      </c>
      <c r="F3883" s="52" t="s">
        <v>26</v>
      </c>
      <c r="G3883" s="53"/>
    </row>
    <row r="3884">
      <c r="A3884" s="49">
        <v>44553.67354236111</v>
      </c>
      <c r="B3884" s="50">
        <v>44553.7985186111</v>
      </c>
      <c r="C3884" s="51">
        <v>1.011</v>
      </c>
      <c r="D3884" s="51">
        <v>62.0</v>
      </c>
      <c r="E3884" s="52" t="s">
        <v>25</v>
      </c>
      <c r="F3884" s="52" t="s">
        <v>26</v>
      </c>
      <c r="G3884" s="53"/>
    </row>
    <row r="3885">
      <c r="A3885" s="49">
        <v>44553.68397642361</v>
      </c>
      <c r="B3885" s="50">
        <v>44553.8089413657</v>
      </c>
      <c r="C3885" s="51">
        <v>1.011</v>
      </c>
      <c r="D3885" s="51">
        <v>62.0</v>
      </c>
      <c r="E3885" s="52" t="s">
        <v>25</v>
      </c>
      <c r="F3885" s="52" t="s">
        <v>26</v>
      </c>
      <c r="G3885" s="53"/>
    </row>
    <row r="3886">
      <c r="A3886" s="49">
        <v>44553.69438758102</v>
      </c>
      <c r="B3886" s="50">
        <v>44553.819361574</v>
      </c>
      <c r="C3886" s="51">
        <v>1.011</v>
      </c>
      <c r="D3886" s="51">
        <v>62.0</v>
      </c>
      <c r="E3886" s="52" t="s">
        <v>25</v>
      </c>
      <c r="F3886" s="52" t="s">
        <v>26</v>
      </c>
      <c r="G3886" s="53"/>
    </row>
    <row r="3887">
      <c r="A3887" s="49">
        <v>44553.704818067126</v>
      </c>
      <c r="B3887" s="50">
        <v>44553.8297830092</v>
      </c>
      <c r="C3887" s="51">
        <v>1.011</v>
      </c>
      <c r="D3887" s="51">
        <v>62.0</v>
      </c>
      <c r="E3887" s="52" t="s">
        <v>25</v>
      </c>
      <c r="F3887" s="52" t="s">
        <v>26</v>
      </c>
      <c r="G3887" s="53"/>
    </row>
    <row r="3888">
      <c r="A3888" s="49">
        <v>44553.71525109954</v>
      </c>
      <c r="B3888" s="50">
        <v>44553.8402156481</v>
      </c>
      <c r="C3888" s="51">
        <v>1.011</v>
      </c>
      <c r="D3888" s="51">
        <v>62.0</v>
      </c>
      <c r="E3888" s="52" t="s">
        <v>25</v>
      </c>
      <c r="F3888" s="52" t="s">
        <v>26</v>
      </c>
      <c r="G3888" s="53"/>
    </row>
    <row r="3889">
      <c r="A3889" s="49">
        <v>44553.72566571759</v>
      </c>
      <c r="B3889" s="50">
        <v>44553.8506388425</v>
      </c>
      <c r="C3889" s="51">
        <v>1.011</v>
      </c>
      <c r="D3889" s="51">
        <v>62.0</v>
      </c>
      <c r="E3889" s="52" t="s">
        <v>25</v>
      </c>
      <c r="F3889" s="52" t="s">
        <v>26</v>
      </c>
      <c r="G3889" s="53"/>
    </row>
    <row r="3890">
      <c r="A3890" s="49">
        <v>44553.73608996528</v>
      </c>
      <c r="B3890" s="50">
        <v>44553.8610599537</v>
      </c>
      <c r="C3890" s="51">
        <v>1.011</v>
      </c>
      <c r="D3890" s="51">
        <v>62.0</v>
      </c>
      <c r="E3890" s="52" t="s">
        <v>25</v>
      </c>
      <c r="F3890" s="52" t="s">
        <v>26</v>
      </c>
      <c r="G3890" s="53"/>
    </row>
    <row r="3891">
      <c r="A3891" s="49">
        <v>44553.7465130787</v>
      </c>
      <c r="B3891" s="50">
        <v>44553.8714819328</v>
      </c>
      <c r="C3891" s="51">
        <v>1.011</v>
      </c>
      <c r="D3891" s="51">
        <v>62.0</v>
      </c>
      <c r="E3891" s="52" t="s">
        <v>25</v>
      </c>
      <c r="F3891" s="52" t="s">
        <v>26</v>
      </c>
      <c r="G3891" s="53"/>
    </row>
    <row r="3892">
      <c r="A3892" s="49">
        <v>44553.7569343287</v>
      </c>
      <c r="B3892" s="50">
        <v>44553.8819017939</v>
      </c>
      <c r="C3892" s="51">
        <v>1.011</v>
      </c>
      <c r="D3892" s="51">
        <v>62.0</v>
      </c>
      <c r="E3892" s="52" t="s">
        <v>25</v>
      </c>
      <c r="F3892" s="52" t="s">
        <v>26</v>
      </c>
      <c r="G3892" s="53"/>
    </row>
    <row r="3893">
      <c r="A3893" s="49">
        <v>44553.76737746528</v>
      </c>
      <c r="B3893" s="50">
        <v>44553.892345162</v>
      </c>
      <c r="C3893" s="51">
        <v>1.011</v>
      </c>
      <c r="D3893" s="51">
        <v>62.0</v>
      </c>
      <c r="E3893" s="52" t="s">
        <v>25</v>
      </c>
      <c r="F3893" s="52" t="s">
        <v>26</v>
      </c>
      <c r="G3893" s="53"/>
    </row>
    <row r="3894">
      <c r="A3894" s="49">
        <v>44553.777812430555</v>
      </c>
      <c r="B3894" s="50">
        <v>44553.9027780208</v>
      </c>
      <c r="C3894" s="51">
        <v>1.011</v>
      </c>
      <c r="D3894" s="51">
        <v>62.0</v>
      </c>
      <c r="E3894" s="52" t="s">
        <v>25</v>
      </c>
      <c r="F3894" s="52" t="s">
        <v>26</v>
      </c>
      <c r="G3894" s="53"/>
    </row>
    <row r="3895">
      <c r="A3895" s="49">
        <v>44553.78822945602</v>
      </c>
      <c r="B3895" s="50">
        <v>44553.9132001273</v>
      </c>
      <c r="C3895" s="51">
        <v>1.011</v>
      </c>
      <c r="D3895" s="51">
        <v>62.0</v>
      </c>
      <c r="E3895" s="52" t="s">
        <v>25</v>
      </c>
      <c r="F3895" s="52" t="s">
        <v>26</v>
      </c>
      <c r="G3895" s="53"/>
    </row>
    <row r="3896">
      <c r="A3896" s="49">
        <v>44553.7986653125</v>
      </c>
      <c r="B3896" s="50">
        <v>44553.9236341435</v>
      </c>
      <c r="C3896" s="51">
        <v>1.011</v>
      </c>
      <c r="D3896" s="51">
        <v>62.0</v>
      </c>
      <c r="E3896" s="52" t="s">
        <v>25</v>
      </c>
      <c r="F3896" s="52" t="s">
        <v>26</v>
      </c>
      <c r="G3896" s="53"/>
    </row>
    <row r="3897">
      <c r="A3897" s="49">
        <v>44553.80908028936</v>
      </c>
      <c r="B3897" s="50">
        <v>44553.9340536342</v>
      </c>
      <c r="C3897" s="51">
        <v>1.011</v>
      </c>
      <c r="D3897" s="51">
        <v>62.0</v>
      </c>
      <c r="E3897" s="52" t="s">
        <v>25</v>
      </c>
      <c r="F3897" s="52" t="s">
        <v>26</v>
      </c>
      <c r="G3897" s="53"/>
    </row>
    <row r="3898">
      <c r="A3898" s="49">
        <v>44553.8195012963</v>
      </c>
      <c r="B3898" s="50">
        <v>44553.9444747569</v>
      </c>
      <c r="C3898" s="51">
        <v>1.011</v>
      </c>
      <c r="D3898" s="51">
        <v>62.0</v>
      </c>
      <c r="E3898" s="52" t="s">
        <v>25</v>
      </c>
      <c r="F3898" s="52" t="s">
        <v>26</v>
      </c>
      <c r="G3898" s="53"/>
    </row>
    <row r="3899">
      <c r="A3899" s="49">
        <v>44553.8299309375</v>
      </c>
      <c r="B3899" s="50">
        <v>44553.9548952893</v>
      </c>
      <c r="C3899" s="51">
        <v>1.011</v>
      </c>
      <c r="D3899" s="51">
        <v>62.0</v>
      </c>
      <c r="E3899" s="52" t="s">
        <v>25</v>
      </c>
      <c r="F3899" s="52" t="s">
        <v>26</v>
      </c>
      <c r="G3899" s="53"/>
    </row>
    <row r="3900">
      <c r="A3900" s="49">
        <v>44553.84036582176</v>
      </c>
      <c r="B3900" s="50">
        <v>44553.9653408449</v>
      </c>
      <c r="C3900" s="51">
        <v>1.011</v>
      </c>
      <c r="D3900" s="51">
        <v>62.0</v>
      </c>
      <c r="E3900" s="52" t="s">
        <v>25</v>
      </c>
      <c r="F3900" s="52" t="s">
        <v>26</v>
      </c>
      <c r="G3900" s="53"/>
    </row>
    <row r="3901">
      <c r="A3901" s="49">
        <v>44553.85079416666</v>
      </c>
      <c r="B3901" s="50">
        <v>44553.9757627662</v>
      </c>
      <c r="C3901" s="51">
        <v>1.011</v>
      </c>
      <c r="D3901" s="51">
        <v>62.0</v>
      </c>
      <c r="E3901" s="52" t="s">
        <v>25</v>
      </c>
      <c r="F3901" s="52" t="s">
        <v>26</v>
      </c>
      <c r="G3901" s="53"/>
    </row>
    <row r="3902">
      <c r="A3902" s="49">
        <v>44553.86121322917</v>
      </c>
      <c r="B3902" s="50">
        <v>44553.9861828588</v>
      </c>
      <c r="C3902" s="51">
        <v>1.011</v>
      </c>
      <c r="D3902" s="51">
        <v>62.0</v>
      </c>
      <c r="E3902" s="52" t="s">
        <v>25</v>
      </c>
      <c r="F3902" s="52" t="s">
        <v>26</v>
      </c>
      <c r="G3902" s="53"/>
    </row>
    <row r="3903">
      <c r="A3903" s="49">
        <v>44553.87162962963</v>
      </c>
      <c r="B3903" s="50">
        <v>44553.9966055324</v>
      </c>
      <c r="C3903" s="51">
        <v>1.011</v>
      </c>
      <c r="D3903" s="51">
        <v>62.0</v>
      </c>
      <c r="E3903" s="52" t="s">
        <v>25</v>
      </c>
      <c r="F3903" s="52" t="s">
        <v>26</v>
      </c>
      <c r="G3903" s="53"/>
    </row>
    <row r="3904">
      <c r="A3904" s="49">
        <v>44553.882049085645</v>
      </c>
      <c r="B3904" s="50">
        <v>44554.0070258101</v>
      </c>
      <c r="C3904" s="51">
        <v>1.011</v>
      </c>
      <c r="D3904" s="51">
        <v>62.0</v>
      </c>
      <c r="E3904" s="52" t="s">
        <v>25</v>
      </c>
      <c r="F3904" s="52" t="s">
        <v>26</v>
      </c>
      <c r="G3904" s="53"/>
    </row>
    <row r="3905">
      <c r="A3905" s="49">
        <v>44553.89248541667</v>
      </c>
      <c r="B3905" s="50">
        <v>44554.0174462499</v>
      </c>
      <c r="C3905" s="51">
        <v>1.011</v>
      </c>
      <c r="D3905" s="51">
        <v>62.0</v>
      </c>
      <c r="E3905" s="52" t="s">
        <v>25</v>
      </c>
      <c r="F3905" s="52" t="s">
        <v>26</v>
      </c>
      <c r="G3905" s="53"/>
    </row>
    <row r="3906">
      <c r="A3906" s="49">
        <v>44553.902924884256</v>
      </c>
      <c r="B3906" s="50">
        <v>44554.0278916666</v>
      </c>
      <c r="C3906" s="51">
        <v>1.011</v>
      </c>
      <c r="D3906" s="51">
        <v>62.0</v>
      </c>
      <c r="E3906" s="52" t="s">
        <v>25</v>
      </c>
      <c r="F3906" s="52" t="s">
        <v>26</v>
      </c>
      <c r="G3906" s="53"/>
    </row>
    <row r="3907">
      <c r="A3907" s="49">
        <v>44553.91335318287</v>
      </c>
      <c r="B3907" s="50">
        <v>44554.0383241435</v>
      </c>
      <c r="C3907" s="51">
        <v>1.011</v>
      </c>
      <c r="D3907" s="51">
        <v>62.0</v>
      </c>
      <c r="E3907" s="52" t="s">
        <v>25</v>
      </c>
      <c r="F3907" s="52" t="s">
        <v>26</v>
      </c>
      <c r="G3907" s="53"/>
    </row>
    <row r="3908">
      <c r="A3908" s="49">
        <v>44553.92377390046</v>
      </c>
      <c r="B3908" s="50">
        <v>44554.0487459722</v>
      </c>
      <c r="C3908" s="51">
        <v>1.011</v>
      </c>
      <c r="D3908" s="51">
        <v>62.0</v>
      </c>
      <c r="E3908" s="52" t="s">
        <v>25</v>
      </c>
      <c r="F3908" s="52" t="s">
        <v>26</v>
      </c>
      <c r="G3908" s="53"/>
    </row>
    <row r="3909">
      <c r="A3909" s="49">
        <v>44553.93419533565</v>
      </c>
      <c r="B3909" s="50">
        <v>44554.0591668287</v>
      </c>
      <c r="C3909" s="51">
        <v>1.011</v>
      </c>
      <c r="D3909" s="51">
        <v>62.0</v>
      </c>
      <c r="E3909" s="52" t="s">
        <v>25</v>
      </c>
      <c r="F3909" s="52" t="s">
        <v>26</v>
      </c>
      <c r="G3909" s="53"/>
    </row>
    <row r="3910">
      <c r="A3910" s="49">
        <v>44553.94461236111</v>
      </c>
      <c r="B3910" s="50">
        <v>44554.0695874999</v>
      </c>
      <c r="C3910" s="51">
        <v>1.011</v>
      </c>
      <c r="D3910" s="51">
        <v>62.0</v>
      </c>
      <c r="E3910" s="52" t="s">
        <v>25</v>
      </c>
      <c r="F3910" s="52" t="s">
        <v>26</v>
      </c>
      <c r="G3910" s="53"/>
    </row>
    <row r="3911">
      <c r="A3911" s="49">
        <v>44553.95503203703</v>
      </c>
      <c r="B3911" s="50">
        <v>44554.0800088657</v>
      </c>
      <c r="C3911" s="51">
        <v>1.011</v>
      </c>
      <c r="D3911" s="51">
        <v>62.0</v>
      </c>
      <c r="E3911" s="52" t="s">
        <v>25</v>
      </c>
      <c r="F3911" s="52" t="s">
        <v>26</v>
      </c>
      <c r="G3911" s="53"/>
    </row>
    <row r="3912">
      <c r="A3912" s="49">
        <v>44553.965477210644</v>
      </c>
      <c r="B3912" s="50">
        <v>44554.0904427083</v>
      </c>
      <c r="C3912" s="51">
        <v>1.011</v>
      </c>
      <c r="D3912" s="51">
        <v>61.0</v>
      </c>
      <c r="E3912" s="52" t="s">
        <v>25</v>
      </c>
      <c r="F3912" s="52" t="s">
        <v>26</v>
      </c>
      <c r="G3912" s="53"/>
    </row>
    <row r="3913">
      <c r="A3913" s="49">
        <v>44553.97589833333</v>
      </c>
      <c r="B3913" s="50">
        <v>44554.1008742129</v>
      </c>
      <c r="C3913" s="51">
        <v>1.011</v>
      </c>
      <c r="D3913" s="51">
        <v>62.0</v>
      </c>
      <c r="E3913" s="52" t="s">
        <v>25</v>
      </c>
      <c r="F3913" s="52" t="s">
        <v>26</v>
      </c>
      <c r="G3913" s="53"/>
    </row>
    <row r="3914">
      <c r="A3914" s="49">
        <v>44553.986337870374</v>
      </c>
      <c r="B3914" s="50">
        <v>44554.111306331</v>
      </c>
      <c r="C3914" s="51">
        <v>1.011</v>
      </c>
      <c r="D3914" s="51">
        <v>62.0</v>
      </c>
      <c r="E3914" s="52" t="s">
        <v>25</v>
      </c>
      <c r="F3914" s="52" t="s">
        <v>26</v>
      </c>
      <c r="G3914" s="53"/>
    </row>
    <row r="3915">
      <c r="A3915" s="49">
        <v>44553.99674836805</v>
      </c>
      <c r="B3915" s="50">
        <v>44554.1217267824</v>
      </c>
      <c r="C3915" s="51">
        <v>1.011</v>
      </c>
      <c r="D3915" s="51">
        <v>62.0</v>
      </c>
      <c r="E3915" s="52" t="s">
        <v>25</v>
      </c>
      <c r="F3915" s="52" t="s">
        <v>26</v>
      </c>
      <c r="G3915" s="53"/>
    </row>
    <row r="3916">
      <c r="A3916" s="49">
        <v>44554.00718168981</v>
      </c>
      <c r="B3916" s="50">
        <v>44554.1321484259</v>
      </c>
      <c r="C3916" s="51">
        <v>1.011</v>
      </c>
      <c r="D3916" s="51">
        <v>62.0</v>
      </c>
      <c r="E3916" s="52" t="s">
        <v>25</v>
      </c>
      <c r="F3916" s="52" t="s">
        <v>26</v>
      </c>
      <c r="G3916" s="53"/>
    </row>
    <row r="3917">
      <c r="A3917" s="49">
        <v>44554.01760177083</v>
      </c>
      <c r="B3917" s="50">
        <v>44554.1425692824</v>
      </c>
      <c r="C3917" s="51">
        <v>1.011</v>
      </c>
      <c r="D3917" s="51">
        <v>61.0</v>
      </c>
      <c r="E3917" s="52" t="s">
        <v>25</v>
      </c>
      <c r="F3917" s="52" t="s">
        <v>26</v>
      </c>
      <c r="G3917" s="53"/>
    </row>
    <row r="3918">
      <c r="A3918" s="49">
        <v>44554.028023900464</v>
      </c>
      <c r="B3918" s="50">
        <v>44554.152989375</v>
      </c>
      <c r="C3918" s="51">
        <v>1.011</v>
      </c>
      <c r="D3918" s="51">
        <v>62.0</v>
      </c>
      <c r="E3918" s="52" t="s">
        <v>25</v>
      </c>
      <c r="F3918" s="52" t="s">
        <v>26</v>
      </c>
      <c r="G3918" s="53"/>
    </row>
    <row r="3919">
      <c r="A3919" s="49">
        <v>44554.03843864583</v>
      </c>
      <c r="B3919" s="50">
        <v>44554.1634103009</v>
      </c>
      <c r="C3919" s="51">
        <v>1.011</v>
      </c>
      <c r="D3919" s="51">
        <v>61.0</v>
      </c>
      <c r="E3919" s="52" t="s">
        <v>25</v>
      </c>
      <c r="F3919" s="52" t="s">
        <v>26</v>
      </c>
      <c r="G3919" s="53"/>
    </row>
    <row r="3920">
      <c r="A3920" s="49">
        <v>44554.04886971065</v>
      </c>
      <c r="B3920" s="50">
        <v>44554.1738425694</v>
      </c>
      <c r="C3920" s="51">
        <v>1.011</v>
      </c>
      <c r="D3920" s="51">
        <v>62.0</v>
      </c>
      <c r="E3920" s="52" t="s">
        <v>25</v>
      </c>
      <c r="F3920" s="52" t="s">
        <v>26</v>
      </c>
      <c r="G3920" s="53"/>
    </row>
    <row r="3921">
      <c r="A3921" s="49">
        <v>44554.05928760416</v>
      </c>
      <c r="B3921" s="50">
        <v>44554.1842641551</v>
      </c>
      <c r="C3921" s="51">
        <v>1.011</v>
      </c>
      <c r="D3921" s="51">
        <v>61.0</v>
      </c>
      <c r="E3921" s="52" t="s">
        <v>25</v>
      </c>
      <c r="F3921" s="52" t="s">
        <v>26</v>
      </c>
      <c r="G3921" s="53"/>
    </row>
    <row r="3922">
      <c r="A3922" s="49">
        <v>44554.069719189814</v>
      </c>
      <c r="B3922" s="50">
        <v>44554.1946848148</v>
      </c>
      <c r="C3922" s="51">
        <v>1.011</v>
      </c>
      <c r="D3922" s="51">
        <v>62.0</v>
      </c>
      <c r="E3922" s="52" t="s">
        <v>25</v>
      </c>
      <c r="F3922" s="52" t="s">
        <v>26</v>
      </c>
      <c r="G3922" s="53"/>
    </row>
    <row r="3923">
      <c r="A3923" s="49">
        <v>44554.080135625</v>
      </c>
      <c r="B3923" s="50">
        <v>44554.2051063078</v>
      </c>
      <c r="C3923" s="51">
        <v>1.011</v>
      </c>
      <c r="D3923" s="51">
        <v>62.0</v>
      </c>
      <c r="E3923" s="52" t="s">
        <v>25</v>
      </c>
      <c r="F3923" s="52" t="s">
        <v>26</v>
      </c>
      <c r="G3923" s="53"/>
    </row>
    <row r="3924">
      <c r="A3924" s="49">
        <v>44554.09055121528</v>
      </c>
      <c r="B3924" s="50">
        <v>44554.2155265393</v>
      </c>
      <c r="C3924" s="51">
        <v>1.011</v>
      </c>
      <c r="D3924" s="51">
        <v>62.0</v>
      </c>
      <c r="E3924" s="52" t="s">
        <v>25</v>
      </c>
      <c r="F3924" s="52" t="s">
        <v>26</v>
      </c>
      <c r="G3924" s="53"/>
    </row>
    <row r="3925">
      <c r="A3925" s="49">
        <v>44554.100980393516</v>
      </c>
      <c r="B3925" s="50">
        <v>44554.2259495601</v>
      </c>
      <c r="C3925" s="51">
        <v>1.011</v>
      </c>
      <c r="D3925" s="51">
        <v>62.0</v>
      </c>
      <c r="E3925" s="52" t="s">
        <v>25</v>
      </c>
      <c r="F3925" s="52" t="s">
        <v>26</v>
      </c>
      <c r="G3925" s="53"/>
    </row>
    <row r="3926">
      <c r="A3926" s="49">
        <v>44554.11140259259</v>
      </c>
      <c r="B3926" s="50">
        <v>44554.2363707523</v>
      </c>
      <c r="C3926" s="51">
        <v>1.011</v>
      </c>
      <c r="D3926" s="51">
        <v>63.0</v>
      </c>
      <c r="E3926" s="52" t="s">
        <v>25</v>
      </c>
      <c r="F3926" s="52" t="s">
        <v>26</v>
      </c>
      <c r="G3926" s="53"/>
    </row>
    <row r="3927">
      <c r="A3927" s="49">
        <v>44554.121817060186</v>
      </c>
      <c r="B3927" s="50">
        <v>44554.2467909375</v>
      </c>
      <c r="C3927" s="51">
        <v>1.011</v>
      </c>
      <c r="D3927" s="51">
        <v>63.0</v>
      </c>
      <c r="E3927" s="52" t="s">
        <v>25</v>
      </c>
      <c r="F3927" s="52" t="s">
        <v>26</v>
      </c>
      <c r="G3927" s="53"/>
    </row>
    <row r="3928">
      <c r="A3928" s="49">
        <v>44554.13223363426</v>
      </c>
      <c r="B3928" s="50">
        <v>44554.2572115162</v>
      </c>
      <c r="C3928" s="51">
        <v>1.011</v>
      </c>
      <c r="D3928" s="51">
        <v>64.0</v>
      </c>
      <c r="E3928" s="52" t="s">
        <v>25</v>
      </c>
      <c r="F3928" s="52" t="s">
        <v>26</v>
      </c>
      <c r="G3928" s="53"/>
    </row>
    <row r="3929">
      <c r="A3929" s="49">
        <v>44554.14266550926</v>
      </c>
      <c r="B3929" s="50">
        <v>44554.2676333449</v>
      </c>
      <c r="C3929" s="51">
        <v>1.01</v>
      </c>
      <c r="D3929" s="51">
        <v>64.0</v>
      </c>
      <c r="E3929" s="52" t="s">
        <v>25</v>
      </c>
      <c r="F3929" s="52" t="s">
        <v>26</v>
      </c>
      <c r="G3929" s="53"/>
    </row>
    <row r="3930">
      <c r="A3930" s="49">
        <v>44554.15308236111</v>
      </c>
      <c r="B3930" s="50">
        <v>44554.278055787</v>
      </c>
      <c r="C3930" s="51">
        <v>1.01</v>
      </c>
      <c r="D3930" s="51">
        <v>64.0</v>
      </c>
      <c r="E3930" s="52" t="s">
        <v>25</v>
      </c>
      <c r="F3930" s="52" t="s">
        <v>26</v>
      </c>
      <c r="G3930" s="53"/>
    </row>
    <row r="3931">
      <c r="A3931" s="49">
        <v>44554.16349716435</v>
      </c>
      <c r="B3931" s="50">
        <v>44554.2884761226</v>
      </c>
      <c r="C3931" s="51">
        <v>1.01</v>
      </c>
      <c r="D3931" s="51">
        <v>65.0</v>
      </c>
      <c r="E3931" s="52" t="s">
        <v>25</v>
      </c>
      <c r="F3931" s="52" t="s">
        <v>26</v>
      </c>
      <c r="G3931" s="53"/>
    </row>
    <row r="3932">
      <c r="A3932" s="49">
        <v>44554.173926944444</v>
      </c>
      <c r="B3932" s="50">
        <v>44554.2988969791</v>
      </c>
      <c r="C3932" s="51">
        <v>1.01</v>
      </c>
      <c r="D3932" s="51">
        <v>65.0</v>
      </c>
      <c r="E3932" s="52" t="s">
        <v>25</v>
      </c>
      <c r="F3932" s="52" t="s">
        <v>26</v>
      </c>
      <c r="G3932" s="53"/>
    </row>
    <row r="3933">
      <c r="A3933" s="49">
        <v>44554.184351041666</v>
      </c>
      <c r="B3933" s="50">
        <v>44554.3093177777</v>
      </c>
      <c r="C3933" s="51">
        <v>1.01</v>
      </c>
      <c r="D3933" s="51">
        <v>66.0</v>
      </c>
      <c r="E3933" s="52" t="s">
        <v>25</v>
      </c>
      <c r="F3933" s="52" t="s">
        <v>26</v>
      </c>
      <c r="G3933" s="53"/>
    </row>
    <row r="3934">
      <c r="A3934" s="49">
        <v>44554.19476165509</v>
      </c>
      <c r="B3934" s="50">
        <v>44554.3197393055</v>
      </c>
      <c r="C3934" s="51">
        <v>1.01</v>
      </c>
      <c r="D3934" s="51">
        <v>66.0</v>
      </c>
      <c r="E3934" s="52" t="s">
        <v>25</v>
      </c>
      <c r="F3934" s="52" t="s">
        <v>26</v>
      </c>
      <c r="G3934" s="53"/>
    </row>
    <row r="3935">
      <c r="A3935" s="49">
        <v>44554.205195625</v>
      </c>
      <c r="B3935" s="50">
        <v>44554.3301596527</v>
      </c>
      <c r="C3935" s="51">
        <v>1.01</v>
      </c>
      <c r="D3935" s="51">
        <v>67.0</v>
      </c>
      <c r="E3935" s="52" t="s">
        <v>25</v>
      </c>
      <c r="F3935" s="52" t="s">
        <v>26</v>
      </c>
      <c r="G3935" s="53"/>
    </row>
    <row r="3936">
      <c r="A3936" s="49">
        <v>44554.215611493055</v>
      </c>
      <c r="B3936" s="50">
        <v>44554.3405823842</v>
      </c>
      <c r="C3936" s="51">
        <v>1.01</v>
      </c>
      <c r="D3936" s="51">
        <v>67.0</v>
      </c>
      <c r="E3936" s="52" t="s">
        <v>25</v>
      </c>
      <c r="F3936" s="52" t="s">
        <v>26</v>
      </c>
      <c r="G3936" s="53"/>
    </row>
    <row r="3937">
      <c r="A3937" s="49">
        <v>44554.226057569445</v>
      </c>
      <c r="B3937" s="50">
        <v>44554.3510279166</v>
      </c>
      <c r="C3937" s="51">
        <v>1.01</v>
      </c>
      <c r="D3937" s="51">
        <v>67.0</v>
      </c>
      <c r="E3937" s="52" t="s">
        <v>25</v>
      </c>
      <c r="F3937" s="52" t="s">
        <v>26</v>
      </c>
      <c r="G3937" s="53"/>
    </row>
    <row r="3938">
      <c r="A3938" s="49">
        <v>44554.236474942125</v>
      </c>
      <c r="B3938" s="50">
        <v>44554.361447118</v>
      </c>
      <c r="C3938" s="51">
        <v>1.01</v>
      </c>
      <c r="D3938" s="51">
        <v>68.0</v>
      </c>
      <c r="E3938" s="52" t="s">
        <v>25</v>
      </c>
      <c r="F3938" s="52" t="s">
        <v>26</v>
      </c>
      <c r="G3938" s="53"/>
    </row>
    <row r="3939">
      <c r="A3939" s="49">
        <v>44554.24689357639</v>
      </c>
      <c r="B3939" s="50">
        <v>44554.3718673842</v>
      </c>
      <c r="C3939" s="51">
        <v>1.01</v>
      </c>
      <c r="D3939" s="51">
        <v>68.0</v>
      </c>
      <c r="E3939" s="52" t="s">
        <v>25</v>
      </c>
      <c r="F3939" s="52" t="s">
        <v>26</v>
      </c>
      <c r="G3939" s="53"/>
    </row>
    <row r="3940">
      <c r="A3940" s="49">
        <v>44554.25732583333</v>
      </c>
      <c r="B3940" s="50">
        <v>44554.3822996412</v>
      </c>
      <c r="C3940" s="51">
        <v>1.01</v>
      </c>
      <c r="D3940" s="51">
        <v>68.0</v>
      </c>
      <c r="E3940" s="52" t="s">
        <v>25</v>
      </c>
      <c r="F3940" s="52" t="s">
        <v>26</v>
      </c>
      <c r="G3940" s="53"/>
    </row>
    <row r="3941">
      <c r="A3941" s="49">
        <v>44554.26774538195</v>
      </c>
      <c r="B3941" s="50">
        <v>44554.3927216203</v>
      </c>
      <c r="C3941" s="51">
        <v>1.01</v>
      </c>
      <c r="D3941" s="51">
        <v>68.0</v>
      </c>
      <c r="E3941" s="52" t="s">
        <v>25</v>
      </c>
      <c r="F3941" s="52" t="s">
        <v>26</v>
      </c>
      <c r="G3941" s="53"/>
    </row>
    <row r="3942">
      <c r="A3942" s="49">
        <v>44554.2781727199</v>
      </c>
      <c r="B3942" s="50">
        <v>44554.4031420717</v>
      </c>
      <c r="C3942" s="51">
        <v>1.01</v>
      </c>
      <c r="D3942" s="51">
        <v>68.0</v>
      </c>
      <c r="E3942" s="52" t="s">
        <v>25</v>
      </c>
      <c r="F3942" s="52" t="s">
        <v>26</v>
      </c>
      <c r="G3942" s="53"/>
    </row>
    <row r="3943">
      <c r="A3943" s="49">
        <v>44554.288593923615</v>
      </c>
      <c r="B3943" s="50">
        <v>44554.413562824</v>
      </c>
      <c r="C3943" s="51">
        <v>1.01</v>
      </c>
      <c r="D3943" s="51">
        <v>68.0</v>
      </c>
      <c r="E3943" s="52" t="s">
        <v>25</v>
      </c>
      <c r="F3943" s="52" t="s">
        <v>26</v>
      </c>
      <c r="G3943" s="53"/>
    </row>
    <row r="3944">
      <c r="A3944" s="49">
        <v>44554.299028611116</v>
      </c>
      <c r="B3944" s="50">
        <v>44554.4239955439</v>
      </c>
      <c r="C3944" s="51">
        <v>1.01</v>
      </c>
      <c r="D3944" s="51">
        <v>68.0</v>
      </c>
      <c r="E3944" s="52" t="s">
        <v>25</v>
      </c>
      <c r="F3944" s="52" t="s">
        <v>26</v>
      </c>
      <c r="G3944" s="53"/>
    </row>
    <row r="3945">
      <c r="A3945" s="49">
        <v>44554.30945181713</v>
      </c>
      <c r="B3945" s="50">
        <v>44554.434415706</v>
      </c>
      <c r="C3945" s="51">
        <v>1.01</v>
      </c>
      <c r="D3945" s="51">
        <v>67.0</v>
      </c>
      <c r="E3945" s="52" t="s">
        <v>25</v>
      </c>
      <c r="F3945" s="52" t="s">
        <v>26</v>
      </c>
      <c r="G3945" s="53"/>
    </row>
    <row r="3946">
      <c r="A3946" s="49">
        <v>44554.3198750463</v>
      </c>
      <c r="B3946" s="50">
        <v>44554.4448466898</v>
      </c>
      <c r="C3946" s="51">
        <v>1.01</v>
      </c>
      <c r="D3946" s="51">
        <v>67.0</v>
      </c>
      <c r="E3946" s="52" t="s">
        <v>25</v>
      </c>
      <c r="F3946" s="52" t="s">
        <v>26</v>
      </c>
      <c r="G3946" s="53"/>
    </row>
    <row r="3947">
      <c r="A3947" s="49">
        <v>44554.33029478009</v>
      </c>
      <c r="B3947" s="50">
        <v>44554.4552661805</v>
      </c>
      <c r="C3947" s="51">
        <v>1.01</v>
      </c>
      <c r="D3947" s="51">
        <v>67.0</v>
      </c>
      <c r="E3947" s="52" t="s">
        <v>25</v>
      </c>
      <c r="F3947" s="52" t="s">
        <v>26</v>
      </c>
      <c r="G3947" s="53"/>
    </row>
    <row r="3948">
      <c r="A3948" s="49">
        <v>44554.340715011575</v>
      </c>
      <c r="B3948" s="50">
        <v>44554.4656888541</v>
      </c>
      <c r="C3948" s="51">
        <v>1.01</v>
      </c>
      <c r="D3948" s="51">
        <v>67.0</v>
      </c>
      <c r="E3948" s="52" t="s">
        <v>25</v>
      </c>
      <c r="F3948" s="52" t="s">
        <v>26</v>
      </c>
      <c r="G3948" s="53"/>
    </row>
    <row r="3949">
      <c r="A3949" s="49">
        <v>44554.35113388889</v>
      </c>
      <c r="B3949" s="50">
        <v>44554.4761114814</v>
      </c>
      <c r="C3949" s="51">
        <v>1.01</v>
      </c>
      <c r="D3949" s="51">
        <v>67.0</v>
      </c>
      <c r="E3949" s="52" t="s">
        <v>25</v>
      </c>
      <c r="F3949" s="52" t="s">
        <v>26</v>
      </c>
      <c r="G3949" s="53"/>
    </row>
    <row r="3950">
      <c r="A3950" s="49">
        <v>44554.36156841435</v>
      </c>
      <c r="B3950" s="50">
        <v>44554.4865331944</v>
      </c>
      <c r="C3950" s="51">
        <v>1.01</v>
      </c>
      <c r="D3950" s="51">
        <v>67.0</v>
      </c>
      <c r="E3950" s="52" t="s">
        <v>25</v>
      </c>
      <c r="F3950" s="52" t="s">
        <v>26</v>
      </c>
      <c r="G3950" s="53"/>
    </row>
    <row r="3951">
      <c r="A3951" s="49">
        <v>44554.37198618056</v>
      </c>
      <c r="B3951" s="50">
        <v>44554.496953993</v>
      </c>
      <c r="C3951" s="51">
        <v>1.01</v>
      </c>
      <c r="D3951" s="51">
        <v>67.0</v>
      </c>
      <c r="E3951" s="52" t="s">
        <v>25</v>
      </c>
      <c r="F3951" s="52" t="s">
        <v>26</v>
      </c>
      <c r="G3951" s="53"/>
    </row>
    <row r="3952">
      <c r="A3952" s="49">
        <v>44554.38240421296</v>
      </c>
      <c r="B3952" s="50">
        <v>44554.5073755902</v>
      </c>
      <c r="C3952" s="51">
        <v>1.01</v>
      </c>
      <c r="D3952" s="51">
        <v>67.0</v>
      </c>
      <c r="E3952" s="52" t="s">
        <v>25</v>
      </c>
      <c r="F3952" s="52" t="s">
        <v>26</v>
      </c>
      <c r="G3952" s="53"/>
    </row>
    <row r="3953">
      <c r="A3953" s="49">
        <v>44554.392821574074</v>
      </c>
      <c r="B3953" s="50">
        <v>44554.5177960648</v>
      </c>
      <c r="C3953" s="51">
        <v>1.01</v>
      </c>
      <c r="D3953" s="51">
        <v>67.0</v>
      </c>
      <c r="E3953" s="52" t="s">
        <v>25</v>
      </c>
      <c r="F3953" s="52" t="s">
        <v>26</v>
      </c>
      <c r="G3953" s="53"/>
    </row>
    <row r="3954">
      <c r="A3954" s="49">
        <v>44554.403242326385</v>
      </c>
      <c r="B3954" s="50">
        <v>44554.5282165393</v>
      </c>
      <c r="C3954" s="51">
        <v>1.01</v>
      </c>
      <c r="D3954" s="51">
        <v>67.0</v>
      </c>
      <c r="E3954" s="52" t="s">
        <v>25</v>
      </c>
      <c r="F3954" s="52" t="s">
        <v>26</v>
      </c>
      <c r="G3954" s="53"/>
    </row>
    <row r="3955">
      <c r="A3955" s="49">
        <v>44554.41367700232</v>
      </c>
      <c r="B3955" s="50">
        <v>44554.5386486689</v>
      </c>
      <c r="C3955" s="51">
        <v>1.01</v>
      </c>
      <c r="D3955" s="51">
        <v>67.0</v>
      </c>
      <c r="E3955" s="52" t="s">
        <v>25</v>
      </c>
      <c r="F3955" s="52" t="s">
        <v>26</v>
      </c>
      <c r="G3955" s="53"/>
    </row>
    <row r="3956">
      <c r="A3956" s="49">
        <v>44554.42409033565</v>
      </c>
      <c r="B3956" s="50">
        <v>44554.5490696875</v>
      </c>
      <c r="C3956" s="51">
        <v>1.01</v>
      </c>
      <c r="D3956" s="51">
        <v>67.0</v>
      </c>
      <c r="E3956" s="52" t="s">
        <v>25</v>
      </c>
      <c r="F3956" s="52" t="s">
        <v>26</v>
      </c>
      <c r="G3956" s="53"/>
    </row>
    <row r="3957">
      <c r="A3957" s="49">
        <v>44554.43451146991</v>
      </c>
      <c r="B3957" s="50">
        <v>44554.5594902314</v>
      </c>
      <c r="C3957" s="51">
        <v>1.01</v>
      </c>
      <c r="D3957" s="51">
        <v>67.0</v>
      </c>
      <c r="E3957" s="52" t="s">
        <v>25</v>
      </c>
      <c r="F3957" s="52" t="s">
        <v>26</v>
      </c>
      <c r="G3957" s="53"/>
    </row>
    <row r="3958">
      <c r="A3958" s="49">
        <v>44554.44494342593</v>
      </c>
      <c r="B3958" s="50">
        <v>44554.5699113773</v>
      </c>
      <c r="C3958" s="51">
        <v>1.01</v>
      </c>
      <c r="D3958" s="51">
        <v>67.0</v>
      </c>
      <c r="E3958" s="52" t="s">
        <v>25</v>
      </c>
      <c r="F3958" s="52" t="s">
        <v>26</v>
      </c>
      <c r="G3958" s="53"/>
    </row>
    <row r="3959">
      <c r="A3959" s="49">
        <v>44554.4553627662</v>
      </c>
      <c r="B3959" s="50">
        <v>44554.580331655</v>
      </c>
      <c r="C3959" s="51">
        <v>1.01</v>
      </c>
      <c r="D3959" s="51">
        <v>67.0</v>
      </c>
      <c r="E3959" s="52" t="s">
        <v>25</v>
      </c>
      <c r="F3959" s="52" t="s">
        <v>26</v>
      </c>
      <c r="G3959" s="53"/>
    </row>
    <row r="3960">
      <c r="A3960" s="49">
        <v>44554.46578932871</v>
      </c>
      <c r="B3960" s="50">
        <v>44554.5907539699</v>
      </c>
      <c r="C3960" s="51">
        <v>1.01</v>
      </c>
      <c r="D3960" s="51">
        <v>67.0</v>
      </c>
      <c r="E3960" s="52" t="s">
        <v>25</v>
      </c>
      <c r="F3960" s="52" t="s">
        <v>26</v>
      </c>
      <c r="G3960" s="53"/>
    </row>
    <row r="3961">
      <c r="A3961" s="49">
        <v>44554.47620604167</v>
      </c>
      <c r="B3961" s="50">
        <v>44554.6011738657</v>
      </c>
      <c r="C3961" s="51">
        <v>1.01</v>
      </c>
      <c r="D3961" s="51">
        <v>67.0</v>
      </c>
      <c r="E3961" s="52" t="s">
        <v>25</v>
      </c>
      <c r="F3961" s="52" t="s">
        <v>26</v>
      </c>
      <c r="G3961" s="53"/>
    </row>
    <row r="3962">
      <c r="A3962" s="49">
        <v>44554.48664400463</v>
      </c>
      <c r="B3962" s="50">
        <v>44554.6116185879</v>
      </c>
      <c r="C3962" s="51">
        <v>1.01</v>
      </c>
      <c r="D3962" s="51">
        <v>67.0</v>
      </c>
      <c r="E3962" s="52" t="s">
        <v>25</v>
      </c>
      <c r="F3962" s="52" t="s">
        <v>26</v>
      </c>
      <c r="G3962" s="53"/>
    </row>
    <row r="3963">
      <c r="A3963" s="49">
        <v>44554.49708035879</v>
      </c>
      <c r="B3963" s="50">
        <v>44554.6220517592</v>
      </c>
      <c r="C3963" s="51">
        <v>1.01</v>
      </c>
      <c r="D3963" s="51">
        <v>67.0</v>
      </c>
      <c r="E3963" s="52" t="s">
        <v>25</v>
      </c>
      <c r="F3963" s="52" t="s">
        <v>26</v>
      </c>
      <c r="G3963" s="53"/>
    </row>
    <row r="3964">
      <c r="A3964" s="49">
        <v>44554.507500127314</v>
      </c>
      <c r="B3964" s="50">
        <v>44554.6324736921</v>
      </c>
      <c r="C3964" s="51">
        <v>1.01</v>
      </c>
      <c r="D3964" s="51">
        <v>67.0</v>
      </c>
      <c r="E3964" s="52" t="s">
        <v>25</v>
      </c>
      <c r="F3964" s="52" t="s">
        <v>26</v>
      </c>
      <c r="G3964" s="53"/>
    </row>
    <row r="3965">
      <c r="A3965" s="49">
        <v>44554.51792059028</v>
      </c>
      <c r="B3965" s="50">
        <v>44554.6428956134</v>
      </c>
      <c r="C3965" s="51">
        <v>1.01</v>
      </c>
      <c r="D3965" s="51">
        <v>67.0</v>
      </c>
      <c r="E3965" s="52" t="s">
        <v>25</v>
      </c>
      <c r="F3965" s="52" t="s">
        <v>26</v>
      </c>
      <c r="G3965" s="53"/>
    </row>
    <row r="3966">
      <c r="A3966" s="49">
        <v>44554.5283541088</v>
      </c>
      <c r="B3966" s="50">
        <v>44554.6533287615</v>
      </c>
      <c r="C3966" s="51">
        <v>1.01</v>
      </c>
      <c r="D3966" s="51">
        <v>67.0</v>
      </c>
      <c r="E3966" s="52" t="s">
        <v>25</v>
      </c>
      <c r="F3966" s="52" t="s">
        <v>26</v>
      </c>
      <c r="G3966" s="53"/>
    </row>
    <row r="3967">
      <c r="A3967" s="49">
        <v>44554.53878616898</v>
      </c>
      <c r="B3967" s="50">
        <v>44554.6637505092</v>
      </c>
      <c r="C3967" s="51">
        <v>1.01</v>
      </c>
      <c r="D3967" s="51">
        <v>67.0</v>
      </c>
      <c r="E3967" s="52" t="s">
        <v>25</v>
      </c>
      <c r="F3967" s="52" t="s">
        <v>26</v>
      </c>
      <c r="G3967" s="53"/>
    </row>
    <row r="3968">
      <c r="A3968" s="49">
        <v>44554.54921012731</v>
      </c>
      <c r="B3968" s="50">
        <v>44554.6741814467</v>
      </c>
      <c r="C3968" s="51">
        <v>1.01</v>
      </c>
      <c r="D3968" s="51">
        <v>67.0</v>
      </c>
      <c r="E3968" s="52" t="s">
        <v>25</v>
      </c>
      <c r="F3968" s="52" t="s">
        <v>26</v>
      </c>
      <c r="G3968" s="53"/>
    </row>
    <row r="3969">
      <c r="A3969" s="49">
        <v>44554.559631979166</v>
      </c>
      <c r="B3969" s="50">
        <v>44554.6846019328</v>
      </c>
      <c r="C3969" s="51">
        <v>1.01</v>
      </c>
      <c r="D3969" s="51">
        <v>67.0</v>
      </c>
      <c r="E3969" s="52" t="s">
        <v>25</v>
      </c>
      <c r="F3969" s="52" t="s">
        <v>26</v>
      </c>
      <c r="G3969" s="53"/>
    </row>
    <row r="3970">
      <c r="A3970" s="49">
        <v>44554.570057164354</v>
      </c>
      <c r="B3970" s="50">
        <v>44554.6950235879</v>
      </c>
      <c r="C3970" s="51">
        <v>1.01</v>
      </c>
      <c r="D3970" s="51">
        <v>67.0</v>
      </c>
      <c r="E3970" s="52" t="s">
        <v>25</v>
      </c>
      <c r="F3970" s="52" t="s">
        <v>26</v>
      </c>
      <c r="G3970" s="53"/>
    </row>
    <row r="3971">
      <c r="A3971" s="49">
        <v>44554.58047498843</v>
      </c>
      <c r="B3971" s="50">
        <v>44554.7054454513</v>
      </c>
      <c r="C3971" s="51">
        <v>1.01</v>
      </c>
      <c r="D3971" s="51">
        <v>67.0</v>
      </c>
      <c r="E3971" s="52" t="s">
        <v>25</v>
      </c>
      <c r="F3971" s="52" t="s">
        <v>26</v>
      </c>
      <c r="G3971" s="53"/>
    </row>
    <row r="3972">
      <c r="A3972" s="49">
        <v>44554.59091033565</v>
      </c>
      <c r="B3972" s="50">
        <v>44554.7158795023</v>
      </c>
      <c r="C3972" s="51">
        <v>1.01</v>
      </c>
      <c r="D3972" s="51">
        <v>67.0</v>
      </c>
      <c r="E3972" s="52" t="s">
        <v>25</v>
      </c>
      <c r="F3972" s="52" t="s">
        <v>26</v>
      </c>
      <c r="G3972" s="53"/>
    </row>
    <row r="3973">
      <c r="A3973" s="49">
        <v>44554.60133153935</v>
      </c>
      <c r="B3973" s="50">
        <v>44554.7263026157</v>
      </c>
      <c r="C3973" s="51">
        <v>1.01</v>
      </c>
      <c r="D3973" s="51">
        <v>67.0</v>
      </c>
      <c r="E3973" s="52" t="s">
        <v>25</v>
      </c>
      <c r="F3973" s="52" t="s">
        <v>26</v>
      </c>
      <c r="G3973" s="53"/>
    </row>
    <row r="3974">
      <c r="A3974" s="49">
        <v>44554.611757199076</v>
      </c>
      <c r="B3974" s="50">
        <v>44554.7367223611</v>
      </c>
      <c r="C3974" s="51">
        <v>1.01</v>
      </c>
      <c r="D3974" s="51">
        <v>67.0</v>
      </c>
      <c r="E3974" s="52" t="s">
        <v>25</v>
      </c>
      <c r="F3974" s="52" t="s">
        <v>26</v>
      </c>
      <c r="G3974" s="53"/>
    </row>
    <row r="3975">
      <c r="A3975" s="49">
        <v>44554.622171689814</v>
      </c>
      <c r="B3975" s="50">
        <v>44554.747141574</v>
      </c>
      <c r="C3975" s="51">
        <v>1.01</v>
      </c>
      <c r="D3975" s="51">
        <v>67.0</v>
      </c>
      <c r="E3975" s="52" t="s">
        <v>25</v>
      </c>
      <c r="F3975" s="52" t="s">
        <v>26</v>
      </c>
      <c r="G3975" s="53"/>
    </row>
    <row r="3976">
      <c r="A3976" s="49">
        <v>44554.63259796296</v>
      </c>
      <c r="B3976" s="50">
        <v>44554.7575713078</v>
      </c>
      <c r="C3976" s="51">
        <v>1.01</v>
      </c>
      <c r="D3976" s="51">
        <v>67.0</v>
      </c>
      <c r="E3976" s="52" t="s">
        <v>25</v>
      </c>
      <c r="F3976" s="52" t="s">
        <v>26</v>
      </c>
      <c r="G3976" s="53"/>
    </row>
    <row r="3977">
      <c r="A3977" s="49">
        <v>44554.643021909724</v>
      </c>
      <c r="B3977" s="50">
        <v>44554.7679909606</v>
      </c>
      <c r="C3977" s="51">
        <v>1.01</v>
      </c>
      <c r="D3977" s="51">
        <v>67.0</v>
      </c>
      <c r="E3977" s="52" t="s">
        <v>25</v>
      </c>
      <c r="F3977" s="52" t="s">
        <v>26</v>
      </c>
      <c r="G3977" s="53"/>
    </row>
    <row r="3978">
      <c r="A3978" s="49">
        <v>44554.653464097224</v>
      </c>
      <c r="B3978" s="50">
        <v>44554.7784371874</v>
      </c>
      <c r="C3978" s="51">
        <v>1.01</v>
      </c>
      <c r="D3978" s="51">
        <v>67.0</v>
      </c>
      <c r="E3978" s="52" t="s">
        <v>25</v>
      </c>
      <c r="F3978" s="52" t="s">
        <v>26</v>
      </c>
      <c r="G3978" s="53"/>
    </row>
    <row r="3979">
      <c r="A3979" s="49">
        <v>44554.6638891551</v>
      </c>
      <c r="B3979" s="50">
        <v>44554.788857905</v>
      </c>
      <c r="C3979" s="51">
        <v>1.01</v>
      </c>
      <c r="D3979" s="51">
        <v>67.0</v>
      </c>
      <c r="E3979" s="52" t="s">
        <v>25</v>
      </c>
      <c r="F3979" s="52" t="s">
        <v>26</v>
      </c>
      <c r="G3979" s="53"/>
    </row>
    <row r="3980">
      <c r="A3980" s="49">
        <v>44554.67430734954</v>
      </c>
      <c r="B3980" s="50">
        <v>44554.7992781712</v>
      </c>
      <c r="C3980" s="51">
        <v>1.01</v>
      </c>
      <c r="D3980" s="51">
        <v>67.0</v>
      </c>
      <c r="E3980" s="52" t="s">
        <v>25</v>
      </c>
      <c r="F3980" s="52" t="s">
        <v>26</v>
      </c>
      <c r="G3980" s="53"/>
    </row>
    <row r="3981">
      <c r="A3981" s="49">
        <v>44554.6847177662</v>
      </c>
      <c r="B3981" s="50">
        <v>44554.8096982175</v>
      </c>
      <c r="C3981" s="51">
        <v>1.01</v>
      </c>
      <c r="D3981" s="51">
        <v>67.0</v>
      </c>
      <c r="E3981" s="52" t="s">
        <v>25</v>
      </c>
      <c r="F3981" s="52" t="s">
        <v>26</v>
      </c>
      <c r="G3981" s="53"/>
    </row>
    <row r="3982">
      <c r="A3982" s="49">
        <v>44554.69514762731</v>
      </c>
      <c r="B3982" s="50">
        <v>44554.8201192361</v>
      </c>
      <c r="C3982" s="51">
        <v>1.01</v>
      </c>
      <c r="D3982" s="51">
        <v>67.0</v>
      </c>
      <c r="E3982" s="52" t="s">
        <v>25</v>
      </c>
      <c r="F3982" s="52" t="s">
        <v>26</v>
      </c>
      <c r="G3982" s="53"/>
    </row>
    <row r="3983">
      <c r="A3983" s="49">
        <v>44554.705568391204</v>
      </c>
      <c r="B3983" s="50">
        <v>44554.8305405324</v>
      </c>
      <c r="C3983" s="51">
        <v>1.01</v>
      </c>
      <c r="D3983" s="51">
        <v>67.0</v>
      </c>
      <c r="E3983" s="52" t="s">
        <v>25</v>
      </c>
      <c r="F3983" s="52" t="s">
        <v>26</v>
      </c>
      <c r="G3983" s="53"/>
    </row>
    <row r="3984">
      <c r="A3984" s="49">
        <v>44554.71600269676</v>
      </c>
      <c r="B3984" s="50">
        <v>44554.8409727546</v>
      </c>
      <c r="C3984" s="51">
        <v>1.01</v>
      </c>
      <c r="D3984" s="51">
        <v>67.0</v>
      </c>
      <c r="E3984" s="52" t="s">
        <v>25</v>
      </c>
      <c r="F3984" s="52" t="s">
        <v>26</v>
      </c>
      <c r="G3984" s="53"/>
    </row>
    <row r="3985">
      <c r="A3985" s="49">
        <v>44554.72641887731</v>
      </c>
      <c r="B3985" s="50">
        <v>44554.8513948495</v>
      </c>
      <c r="C3985" s="51">
        <v>1.01</v>
      </c>
      <c r="D3985" s="51">
        <v>67.0</v>
      </c>
      <c r="E3985" s="52" t="s">
        <v>25</v>
      </c>
      <c r="F3985" s="52" t="s">
        <v>26</v>
      </c>
      <c r="G3985" s="53"/>
    </row>
    <row r="3986">
      <c r="A3986" s="49">
        <v>44554.7368405787</v>
      </c>
      <c r="B3986" s="50">
        <v>44554.8618173148</v>
      </c>
      <c r="C3986" s="51">
        <v>1.01</v>
      </c>
      <c r="D3986" s="51">
        <v>67.0</v>
      </c>
      <c r="E3986" s="52" t="s">
        <v>25</v>
      </c>
      <c r="F3986" s="52" t="s">
        <v>26</v>
      </c>
      <c r="G3986" s="53"/>
    </row>
    <row r="3987">
      <c r="A3987" s="49">
        <v>44554.74726244213</v>
      </c>
      <c r="B3987" s="50">
        <v>44554.8722383564</v>
      </c>
      <c r="C3987" s="51">
        <v>1.01</v>
      </c>
      <c r="D3987" s="51">
        <v>66.0</v>
      </c>
      <c r="E3987" s="52" t="s">
        <v>25</v>
      </c>
      <c r="F3987" s="52" t="s">
        <v>26</v>
      </c>
      <c r="G3987" s="53"/>
    </row>
    <row r="3988">
      <c r="A3988" s="49">
        <v>44554.757690300925</v>
      </c>
      <c r="B3988" s="50">
        <v>44554.8826585185</v>
      </c>
      <c r="C3988" s="51">
        <v>1.01</v>
      </c>
      <c r="D3988" s="51">
        <v>66.0</v>
      </c>
      <c r="E3988" s="52" t="s">
        <v>25</v>
      </c>
      <c r="F3988" s="52" t="s">
        <v>26</v>
      </c>
      <c r="G3988" s="53"/>
    </row>
    <row r="3989">
      <c r="A3989" s="49">
        <v>44554.76811739583</v>
      </c>
      <c r="B3989" s="50">
        <v>44554.8930791435</v>
      </c>
      <c r="C3989" s="51">
        <v>1.01</v>
      </c>
      <c r="D3989" s="51">
        <v>66.0</v>
      </c>
      <c r="E3989" s="52" t="s">
        <v>25</v>
      </c>
      <c r="F3989" s="52" t="s">
        <v>26</v>
      </c>
      <c r="G3989" s="53"/>
    </row>
    <row r="3990">
      <c r="A3990" s="49">
        <v>44554.77852678241</v>
      </c>
      <c r="B3990" s="50">
        <v>44554.9034973958</v>
      </c>
      <c r="C3990" s="51">
        <v>1.01</v>
      </c>
      <c r="D3990" s="51">
        <v>66.0</v>
      </c>
      <c r="E3990" s="52" t="s">
        <v>25</v>
      </c>
      <c r="F3990" s="52" t="s">
        <v>26</v>
      </c>
      <c r="G3990" s="53"/>
    </row>
    <row r="3991">
      <c r="A3991" s="49">
        <v>44554.78894642361</v>
      </c>
      <c r="B3991" s="50">
        <v>44554.9139206944</v>
      </c>
      <c r="C3991" s="51">
        <v>1.01</v>
      </c>
      <c r="D3991" s="51">
        <v>66.0</v>
      </c>
      <c r="E3991" s="52" t="s">
        <v>25</v>
      </c>
      <c r="F3991" s="52" t="s">
        <v>26</v>
      </c>
      <c r="G3991" s="53"/>
    </row>
    <row r="3992">
      <c r="A3992" s="49">
        <v>44554.79937299769</v>
      </c>
      <c r="B3992" s="50">
        <v>44554.9243542013</v>
      </c>
      <c r="C3992" s="51">
        <v>1.01</v>
      </c>
      <c r="D3992" s="51">
        <v>66.0</v>
      </c>
      <c r="E3992" s="52" t="s">
        <v>25</v>
      </c>
      <c r="F3992" s="52" t="s">
        <v>26</v>
      </c>
      <c r="G3992" s="53"/>
    </row>
    <row r="3993">
      <c r="A3993" s="49">
        <v>44554.809806192134</v>
      </c>
      <c r="B3993" s="50">
        <v>44554.9347740972</v>
      </c>
      <c r="C3993" s="51">
        <v>1.01</v>
      </c>
      <c r="D3993" s="51">
        <v>66.0</v>
      </c>
      <c r="E3993" s="52" t="s">
        <v>25</v>
      </c>
      <c r="F3993" s="52" t="s">
        <v>26</v>
      </c>
      <c r="G3993" s="53"/>
    </row>
    <row r="3994">
      <c r="A3994" s="49">
        <v>44554.82022826389</v>
      </c>
      <c r="B3994" s="50">
        <v>44554.9451947453</v>
      </c>
      <c r="C3994" s="51">
        <v>1.01</v>
      </c>
      <c r="D3994" s="51">
        <v>66.0</v>
      </c>
      <c r="E3994" s="52" t="s">
        <v>25</v>
      </c>
      <c r="F3994" s="52" t="s">
        <v>26</v>
      </c>
      <c r="G3994" s="53"/>
    </row>
    <row r="3995">
      <c r="A3995" s="49">
        <v>44554.83064849537</v>
      </c>
      <c r="B3995" s="50">
        <v>44554.955615706</v>
      </c>
      <c r="C3995" s="51">
        <v>1.01</v>
      </c>
      <c r="D3995" s="51">
        <v>66.0</v>
      </c>
      <c r="E3995" s="52" t="s">
        <v>25</v>
      </c>
      <c r="F3995" s="52" t="s">
        <v>26</v>
      </c>
      <c r="G3995" s="53"/>
    </row>
    <row r="3996">
      <c r="A3996" s="49">
        <v>44554.841062430554</v>
      </c>
      <c r="B3996" s="50">
        <v>44554.9660361689</v>
      </c>
      <c r="C3996" s="51">
        <v>1.01</v>
      </c>
      <c r="D3996" s="51">
        <v>66.0</v>
      </c>
      <c r="E3996" s="52" t="s">
        <v>25</v>
      </c>
      <c r="F3996" s="52" t="s">
        <v>26</v>
      </c>
      <c r="G3996" s="53"/>
    </row>
    <row r="3997">
      <c r="A3997" s="49">
        <v>44554.85149353009</v>
      </c>
      <c r="B3997" s="50">
        <v>44554.9764699421</v>
      </c>
      <c r="C3997" s="51">
        <v>1.01</v>
      </c>
      <c r="D3997" s="51">
        <v>66.0</v>
      </c>
      <c r="E3997" s="52" t="s">
        <v>25</v>
      </c>
      <c r="F3997" s="52" t="s">
        <v>26</v>
      </c>
      <c r="G3997" s="53"/>
    </row>
    <row r="3998">
      <c r="A3998" s="49">
        <v>44554.861923819444</v>
      </c>
      <c r="B3998" s="50">
        <v>44554.9868919097</v>
      </c>
      <c r="C3998" s="51">
        <v>1.01</v>
      </c>
      <c r="D3998" s="51">
        <v>66.0</v>
      </c>
      <c r="E3998" s="52" t="s">
        <v>25</v>
      </c>
      <c r="F3998" s="52" t="s">
        <v>26</v>
      </c>
      <c r="G3998" s="53"/>
    </row>
    <row r="3999">
      <c r="A3999" s="49">
        <v>44554.87234326389</v>
      </c>
      <c r="B3999" s="50">
        <v>44554.9973119675</v>
      </c>
      <c r="C3999" s="51">
        <v>1.01</v>
      </c>
      <c r="D3999" s="51">
        <v>66.0</v>
      </c>
      <c r="E3999" s="52" t="s">
        <v>25</v>
      </c>
      <c r="F3999" s="52" t="s">
        <v>26</v>
      </c>
      <c r="G3999" s="53"/>
    </row>
    <row r="4000">
      <c r="A4000" s="49">
        <v>44554.882759687505</v>
      </c>
      <c r="B4000" s="50">
        <v>44555.007732743</v>
      </c>
      <c r="C4000" s="51">
        <v>1.01</v>
      </c>
      <c r="D4000" s="51">
        <v>66.0</v>
      </c>
      <c r="E4000" s="52" t="s">
        <v>25</v>
      </c>
      <c r="F4000" s="52" t="s">
        <v>26</v>
      </c>
      <c r="G4000" s="53"/>
    </row>
    <row r="4001">
      <c r="A4001" s="49">
        <v>44554.89318180556</v>
      </c>
      <c r="B4001" s="50">
        <v>44555.0181537384</v>
      </c>
      <c r="C4001" s="51">
        <v>1.01</v>
      </c>
      <c r="D4001" s="51">
        <v>66.0</v>
      </c>
      <c r="E4001" s="52" t="s">
        <v>25</v>
      </c>
      <c r="F4001" s="52" t="s">
        <v>26</v>
      </c>
      <c r="G4001" s="53"/>
    </row>
    <row r="4002">
      <c r="A4002" s="49">
        <v>44554.90360449074</v>
      </c>
      <c r="B4002" s="50">
        <v>44555.0285736226</v>
      </c>
      <c r="C4002" s="51">
        <v>1.01</v>
      </c>
      <c r="D4002" s="51">
        <v>66.0</v>
      </c>
      <c r="E4002" s="52" t="s">
        <v>25</v>
      </c>
      <c r="F4002" s="52" t="s">
        <v>26</v>
      </c>
      <c r="G4002" s="53"/>
    </row>
    <row r="4003">
      <c r="A4003" s="49">
        <v>44554.91402099537</v>
      </c>
      <c r="B4003" s="50">
        <v>44555.0389950231</v>
      </c>
      <c r="C4003" s="51">
        <v>1.01</v>
      </c>
      <c r="D4003" s="51">
        <v>66.0</v>
      </c>
      <c r="E4003" s="52" t="s">
        <v>25</v>
      </c>
      <c r="F4003" s="52" t="s">
        <v>26</v>
      </c>
      <c r="G4003" s="53"/>
    </row>
    <row r="4004">
      <c r="A4004" s="49">
        <v>44554.92445875</v>
      </c>
      <c r="B4004" s="50">
        <v>44555.0494269444</v>
      </c>
      <c r="C4004" s="51">
        <v>1.01</v>
      </c>
      <c r="D4004" s="51">
        <v>66.0</v>
      </c>
      <c r="E4004" s="52" t="s">
        <v>25</v>
      </c>
      <c r="F4004" s="52" t="s">
        <v>26</v>
      </c>
      <c r="G4004" s="53"/>
    </row>
    <row r="4005">
      <c r="A4005" s="49">
        <v>44554.93490635417</v>
      </c>
      <c r="B4005" s="50">
        <v>44555.0598724537</v>
      </c>
      <c r="C4005" s="51">
        <v>1.01</v>
      </c>
      <c r="D4005" s="51">
        <v>66.0</v>
      </c>
      <c r="E4005" s="52" t="s">
        <v>25</v>
      </c>
      <c r="F4005" s="52" t="s">
        <v>26</v>
      </c>
      <c r="G4005" s="53"/>
    </row>
    <row r="4006">
      <c r="A4006" s="49">
        <v>44554.9453280787</v>
      </c>
      <c r="B4006" s="50">
        <v>44555.0702939004</v>
      </c>
      <c r="C4006" s="51">
        <v>1.01</v>
      </c>
      <c r="D4006" s="51">
        <v>66.0</v>
      </c>
      <c r="E4006" s="52" t="s">
        <v>25</v>
      </c>
      <c r="F4006" s="52" t="s">
        <v>26</v>
      </c>
      <c r="G4006" s="53"/>
    </row>
    <row r="4007">
      <c r="A4007" s="49">
        <v>44554.95573886574</v>
      </c>
      <c r="B4007" s="50">
        <v>44555.0807138657</v>
      </c>
      <c r="C4007" s="51">
        <v>1.01</v>
      </c>
      <c r="D4007" s="51">
        <v>66.0</v>
      </c>
      <c r="E4007" s="52" t="s">
        <v>25</v>
      </c>
      <c r="F4007" s="52" t="s">
        <v>26</v>
      </c>
      <c r="G4007" s="53"/>
    </row>
    <row r="4008">
      <c r="A4008" s="49">
        <v>44554.96616278935</v>
      </c>
      <c r="B4008" s="50">
        <v>44555.0911359374</v>
      </c>
      <c r="C4008" s="51">
        <v>1.01</v>
      </c>
      <c r="D4008" s="51">
        <v>66.0</v>
      </c>
      <c r="E4008" s="52" t="s">
        <v>25</v>
      </c>
      <c r="F4008" s="52" t="s">
        <v>26</v>
      </c>
      <c r="G4008" s="53"/>
    </row>
    <row r="4009">
      <c r="A4009" s="49">
        <v>44554.97658686343</v>
      </c>
      <c r="B4009" s="50">
        <v>44555.1015559027</v>
      </c>
      <c r="C4009" s="51">
        <v>1.01</v>
      </c>
      <c r="D4009" s="51">
        <v>66.0</v>
      </c>
      <c r="E4009" s="52" t="s">
        <v>25</v>
      </c>
      <c r="F4009" s="52" t="s">
        <v>26</v>
      </c>
      <c r="G4009" s="53"/>
    </row>
    <row r="4010">
      <c r="A4010" s="49">
        <v>44554.987007523145</v>
      </c>
      <c r="B4010" s="50">
        <v>44555.1119778009</v>
      </c>
      <c r="C4010" s="51">
        <v>1.01</v>
      </c>
      <c r="D4010" s="51">
        <v>66.0</v>
      </c>
      <c r="E4010" s="52" t="s">
        <v>25</v>
      </c>
      <c r="F4010" s="52" t="s">
        <v>26</v>
      </c>
      <c r="G4010" s="53"/>
    </row>
    <row r="4011">
      <c r="A4011" s="49">
        <v>44554.99743525463</v>
      </c>
      <c r="B4011" s="50">
        <v>44555.1223999421</v>
      </c>
      <c r="C4011" s="51">
        <v>1.01</v>
      </c>
      <c r="D4011" s="51">
        <v>66.0</v>
      </c>
      <c r="E4011" s="52" t="s">
        <v>25</v>
      </c>
      <c r="F4011" s="52" t="s">
        <v>26</v>
      </c>
      <c r="G4011" s="53"/>
    </row>
    <row r="4012">
      <c r="A4012" s="49">
        <v>44555.00785877315</v>
      </c>
      <c r="B4012" s="50">
        <v>44555.1328193981</v>
      </c>
      <c r="C4012" s="51">
        <v>1.01</v>
      </c>
      <c r="D4012" s="51">
        <v>66.0</v>
      </c>
      <c r="E4012" s="52" t="s">
        <v>25</v>
      </c>
      <c r="F4012" s="52" t="s">
        <v>26</v>
      </c>
      <c r="G4012" s="53"/>
    </row>
    <row r="4013">
      <c r="A4013" s="49">
        <v>44555.01829346065</v>
      </c>
      <c r="B4013" s="50">
        <v>44555.1432641435</v>
      </c>
      <c r="C4013" s="51">
        <v>1.01</v>
      </c>
      <c r="D4013" s="51">
        <v>66.0</v>
      </c>
      <c r="E4013" s="52" t="s">
        <v>25</v>
      </c>
      <c r="F4013" s="52" t="s">
        <v>26</v>
      </c>
      <c r="G4013" s="53"/>
    </row>
    <row r="4014">
      <c r="A4014" s="49">
        <v>44555.0287212963</v>
      </c>
      <c r="B4014" s="50">
        <v>44555.1536975347</v>
      </c>
      <c r="C4014" s="51">
        <v>1.01</v>
      </c>
      <c r="D4014" s="51">
        <v>66.0</v>
      </c>
      <c r="E4014" s="52" t="s">
        <v>25</v>
      </c>
      <c r="F4014" s="52" t="s">
        <v>26</v>
      </c>
      <c r="G4014" s="53"/>
    </row>
    <row r="4015">
      <c r="A4015" s="49">
        <v>44555.03914101852</v>
      </c>
      <c r="B4015" s="50">
        <v>44555.1641180787</v>
      </c>
      <c r="C4015" s="51">
        <v>1.01</v>
      </c>
      <c r="D4015" s="51">
        <v>66.0</v>
      </c>
      <c r="E4015" s="52" t="s">
        <v>25</v>
      </c>
      <c r="F4015" s="52" t="s">
        <v>26</v>
      </c>
      <c r="G4015" s="53"/>
    </row>
    <row r="4016">
      <c r="A4016" s="49">
        <v>44555.04955833333</v>
      </c>
      <c r="B4016" s="50">
        <v>44555.1745390046</v>
      </c>
      <c r="C4016" s="51">
        <v>1.01</v>
      </c>
      <c r="D4016" s="51">
        <v>66.0</v>
      </c>
      <c r="E4016" s="52" t="s">
        <v>25</v>
      </c>
      <c r="F4016" s="52" t="s">
        <v>26</v>
      </c>
      <c r="G4016" s="53"/>
    </row>
    <row r="4017">
      <c r="A4017" s="49">
        <v>44555.05999553241</v>
      </c>
      <c r="B4017" s="50">
        <v>44555.1849607754</v>
      </c>
      <c r="C4017" s="51">
        <v>1.01</v>
      </c>
      <c r="D4017" s="51">
        <v>66.0</v>
      </c>
      <c r="E4017" s="52" t="s">
        <v>25</v>
      </c>
      <c r="F4017" s="52" t="s">
        <v>26</v>
      </c>
      <c r="G4017" s="53"/>
    </row>
    <row r="4018">
      <c r="A4018" s="49">
        <v>44555.07041238426</v>
      </c>
      <c r="B4018" s="50">
        <v>44555.1953807291</v>
      </c>
      <c r="C4018" s="51">
        <v>1.01</v>
      </c>
      <c r="D4018" s="51">
        <v>66.0</v>
      </c>
      <c r="E4018" s="52" t="s">
        <v>25</v>
      </c>
      <c r="F4018" s="52" t="s">
        <v>26</v>
      </c>
      <c r="G4018" s="53"/>
    </row>
    <row r="4019">
      <c r="A4019" s="49">
        <v>44555.080830590276</v>
      </c>
      <c r="B4019" s="50">
        <v>44555.2058028819</v>
      </c>
      <c r="C4019" s="51">
        <v>1.01</v>
      </c>
      <c r="D4019" s="51">
        <v>66.0</v>
      </c>
      <c r="E4019" s="52" t="s">
        <v>25</v>
      </c>
      <c r="F4019" s="52" t="s">
        <v>26</v>
      </c>
      <c r="G4019" s="53"/>
    </row>
    <row r="4020">
      <c r="A4020" s="49">
        <v>44555.091246365744</v>
      </c>
      <c r="B4020" s="50">
        <v>44555.2162240856</v>
      </c>
      <c r="C4020" s="51">
        <v>1.01</v>
      </c>
      <c r="D4020" s="51">
        <v>66.0</v>
      </c>
      <c r="E4020" s="52" t="s">
        <v>25</v>
      </c>
      <c r="F4020" s="52" t="s">
        <v>26</v>
      </c>
      <c r="G4020" s="53"/>
    </row>
    <row r="4021">
      <c r="A4021" s="49">
        <v>44555.10167513889</v>
      </c>
      <c r="B4021" s="50">
        <v>44555.2266460185</v>
      </c>
      <c r="C4021" s="51">
        <v>1.01</v>
      </c>
      <c r="D4021" s="51">
        <v>66.0</v>
      </c>
      <c r="E4021" s="52" t="s">
        <v>25</v>
      </c>
      <c r="F4021" s="52" t="s">
        <v>26</v>
      </c>
      <c r="G4021" s="53"/>
    </row>
    <row r="4022">
      <c r="A4022" s="49">
        <v>44555.11210005787</v>
      </c>
      <c r="B4022" s="50">
        <v>44555.2370662847</v>
      </c>
      <c r="C4022" s="51">
        <v>1.01</v>
      </c>
      <c r="D4022" s="51">
        <v>66.0</v>
      </c>
      <c r="E4022" s="52" t="s">
        <v>25</v>
      </c>
      <c r="F4022" s="52" t="s">
        <v>26</v>
      </c>
      <c r="G4022" s="53"/>
    </row>
    <row r="4023">
      <c r="A4023" s="49">
        <v>44555.122520219906</v>
      </c>
      <c r="B4023" s="50">
        <v>44555.2474867592</v>
      </c>
      <c r="C4023" s="51">
        <v>1.01</v>
      </c>
      <c r="D4023" s="51">
        <v>66.0</v>
      </c>
      <c r="E4023" s="52" t="s">
        <v>25</v>
      </c>
      <c r="F4023" s="52" t="s">
        <v>26</v>
      </c>
      <c r="G4023" s="53"/>
    </row>
    <row r="4024">
      <c r="A4024" s="49">
        <v>44555.132933506946</v>
      </c>
      <c r="B4024" s="50">
        <v>44555.2579070138</v>
      </c>
      <c r="C4024" s="51">
        <v>1.009</v>
      </c>
      <c r="D4024" s="51">
        <v>66.0</v>
      </c>
      <c r="E4024" s="52" t="s">
        <v>25</v>
      </c>
      <c r="F4024" s="52" t="s">
        <v>26</v>
      </c>
      <c r="G4024" s="53"/>
    </row>
    <row r="4025">
      <c r="A4025" s="49">
        <v>44555.143367083336</v>
      </c>
      <c r="B4025" s="50">
        <v>44555.2683412384</v>
      </c>
      <c r="C4025" s="51">
        <v>1.01</v>
      </c>
      <c r="D4025" s="51">
        <v>66.0</v>
      </c>
      <c r="E4025" s="52" t="s">
        <v>25</v>
      </c>
      <c r="F4025" s="52" t="s">
        <v>26</v>
      </c>
      <c r="G4025" s="53"/>
    </row>
    <row r="4026">
      <c r="A4026" s="49">
        <v>44555.15382280093</v>
      </c>
      <c r="B4026" s="50">
        <v>44555.2787640624</v>
      </c>
      <c r="C4026" s="51">
        <v>1.01</v>
      </c>
      <c r="D4026" s="51">
        <v>66.0</v>
      </c>
      <c r="E4026" s="52" t="s">
        <v>25</v>
      </c>
      <c r="F4026" s="52" t="s">
        <v>26</v>
      </c>
      <c r="G4026" s="53"/>
    </row>
    <row r="4027">
      <c r="A4027" s="49">
        <v>44555.164253518524</v>
      </c>
      <c r="B4027" s="50">
        <v>44555.2891869675</v>
      </c>
      <c r="C4027" s="51">
        <v>1.01</v>
      </c>
      <c r="D4027" s="51">
        <v>66.0</v>
      </c>
      <c r="E4027" s="52" t="s">
        <v>25</v>
      </c>
      <c r="F4027" s="52" t="s">
        <v>26</v>
      </c>
      <c r="G4027" s="53"/>
    </row>
    <row r="4028">
      <c r="A4028" s="49">
        <v>44555.17467674769</v>
      </c>
      <c r="B4028" s="50">
        <v>44555.2996092129</v>
      </c>
      <c r="C4028" s="51">
        <v>1.01</v>
      </c>
      <c r="D4028" s="51">
        <v>65.0</v>
      </c>
      <c r="E4028" s="52" t="s">
        <v>25</v>
      </c>
      <c r="F4028" s="52" t="s">
        <v>26</v>
      </c>
      <c r="G4028" s="53"/>
    </row>
    <row r="4029">
      <c r="A4029" s="49">
        <v>44555.18510398148</v>
      </c>
      <c r="B4029" s="50">
        <v>44555.3100290393</v>
      </c>
      <c r="C4029" s="51">
        <v>1.01</v>
      </c>
      <c r="D4029" s="51">
        <v>65.0</v>
      </c>
      <c r="E4029" s="52" t="s">
        <v>25</v>
      </c>
      <c r="F4029" s="52" t="s">
        <v>26</v>
      </c>
      <c r="G4029" s="53"/>
    </row>
    <row r="4030">
      <c r="A4030" s="49">
        <v>44555.19547003473</v>
      </c>
      <c r="B4030" s="50">
        <v>44555.3204485763</v>
      </c>
      <c r="C4030" s="51">
        <v>1.01</v>
      </c>
      <c r="D4030" s="51">
        <v>65.0</v>
      </c>
      <c r="E4030" s="52" t="s">
        <v>25</v>
      </c>
      <c r="F4030" s="52" t="s">
        <v>26</v>
      </c>
      <c r="G4030" s="53"/>
    </row>
    <row r="4031">
      <c r="A4031" s="49">
        <v>44555.205900393514</v>
      </c>
      <c r="B4031" s="50">
        <v>44555.330870324</v>
      </c>
      <c r="C4031" s="51">
        <v>1.01</v>
      </c>
      <c r="D4031" s="51">
        <v>65.0</v>
      </c>
      <c r="E4031" s="52" t="s">
        <v>25</v>
      </c>
      <c r="F4031" s="52" t="s">
        <v>26</v>
      </c>
      <c r="G4031" s="53"/>
    </row>
    <row r="4032">
      <c r="A4032" s="49">
        <v>44555.21633755787</v>
      </c>
      <c r="B4032" s="50">
        <v>44555.3413046759</v>
      </c>
      <c r="C4032" s="51">
        <v>1.01</v>
      </c>
      <c r="D4032" s="51">
        <v>66.0</v>
      </c>
      <c r="E4032" s="52" t="s">
        <v>25</v>
      </c>
      <c r="F4032" s="52" t="s">
        <v>26</v>
      </c>
      <c r="G4032" s="53"/>
    </row>
    <row r="4033">
      <c r="A4033" s="49">
        <v>44555.22674945602</v>
      </c>
      <c r="B4033" s="50">
        <v>44555.3517269907</v>
      </c>
      <c r="C4033" s="51">
        <v>1.01</v>
      </c>
      <c r="D4033" s="51">
        <v>65.0</v>
      </c>
      <c r="E4033" s="52" t="s">
        <v>25</v>
      </c>
      <c r="F4033" s="52" t="s">
        <v>26</v>
      </c>
      <c r="G4033" s="53"/>
    </row>
    <row r="4034">
      <c r="A4034" s="49">
        <v>44555.237188750005</v>
      </c>
      <c r="B4034" s="50">
        <v>44555.362157199</v>
      </c>
      <c r="C4034" s="51">
        <v>1.009</v>
      </c>
      <c r="D4034" s="51">
        <v>65.0</v>
      </c>
      <c r="E4034" s="52" t="s">
        <v>25</v>
      </c>
      <c r="F4034" s="52" t="s">
        <v>26</v>
      </c>
      <c r="G4034" s="53"/>
    </row>
    <row r="4035">
      <c r="A4035" s="49">
        <v>44555.24760483796</v>
      </c>
      <c r="B4035" s="50">
        <v>44555.3725764351</v>
      </c>
      <c r="C4035" s="51">
        <v>1.009</v>
      </c>
      <c r="D4035" s="51">
        <v>65.0</v>
      </c>
      <c r="E4035" s="52" t="s">
        <v>25</v>
      </c>
      <c r="F4035" s="52" t="s">
        <v>26</v>
      </c>
      <c r="G4035" s="53"/>
    </row>
    <row r="4036">
      <c r="A4036" s="49">
        <v>44555.25803471065</v>
      </c>
      <c r="B4036" s="50">
        <v>44555.3830114351</v>
      </c>
      <c r="C4036" s="51">
        <v>1.01</v>
      </c>
      <c r="D4036" s="51">
        <v>65.0</v>
      </c>
      <c r="E4036" s="52" t="s">
        <v>25</v>
      </c>
      <c r="F4036" s="52" t="s">
        <v>26</v>
      </c>
      <c r="G4036" s="53"/>
    </row>
    <row r="4037">
      <c r="A4037" s="49">
        <v>44555.268450972224</v>
      </c>
      <c r="B4037" s="50">
        <v>44555.3934302314</v>
      </c>
      <c r="C4037" s="51">
        <v>1.009</v>
      </c>
      <c r="D4037" s="51">
        <v>65.0</v>
      </c>
      <c r="E4037" s="52" t="s">
        <v>25</v>
      </c>
      <c r="F4037" s="52" t="s">
        <v>26</v>
      </c>
      <c r="G4037" s="53"/>
    </row>
    <row r="4038">
      <c r="A4038" s="49">
        <v>44555.278884618056</v>
      </c>
      <c r="B4038" s="50">
        <v>44555.4038520486</v>
      </c>
      <c r="C4038" s="51">
        <v>1.009</v>
      </c>
      <c r="D4038" s="51">
        <v>65.0</v>
      </c>
      <c r="E4038" s="52" t="s">
        <v>25</v>
      </c>
      <c r="F4038" s="52" t="s">
        <v>26</v>
      </c>
      <c r="G4038" s="53"/>
    </row>
    <row r="4039">
      <c r="A4039" s="49">
        <v>44555.28930153935</v>
      </c>
      <c r="B4039" s="50">
        <v>44555.4142721064</v>
      </c>
      <c r="C4039" s="51">
        <v>1.01</v>
      </c>
      <c r="D4039" s="51">
        <v>65.0</v>
      </c>
      <c r="E4039" s="52" t="s">
        <v>25</v>
      </c>
      <c r="F4039" s="52" t="s">
        <v>26</v>
      </c>
      <c r="G4039" s="53"/>
    </row>
    <row r="4040">
      <c r="A4040" s="49">
        <v>44555.29975333333</v>
      </c>
      <c r="B4040" s="50">
        <v>44555.4247174537</v>
      </c>
      <c r="C4040" s="51">
        <v>1.009</v>
      </c>
      <c r="D4040" s="51">
        <v>65.0</v>
      </c>
      <c r="E4040" s="52" t="s">
        <v>25</v>
      </c>
      <c r="F4040" s="52" t="s">
        <v>26</v>
      </c>
      <c r="G4040" s="53"/>
    </row>
    <row r="4041">
      <c r="A4041" s="49">
        <v>44555.31016171296</v>
      </c>
      <c r="B4041" s="50">
        <v>44555.4351365509</v>
      </c>
      <c r="C4041" s="51">
        <v>1.01</v>
      </c>
      <c r="D4041" s="51">
        <v>65.0</v>
      </c>
      <c r="E4041" s="52" t="s">
        <v>25</v>
      </c>
      <c r="F4041" s="52" t="s">
        <v>26</v>
      </c>
      <c r="G4041" s="53"/>
    </row>
    <row r="4042">
      <c r="A4042" s="49">
        <v>44555.32060380787</v>
      </c>
      <c r="B4042" s="50">
        <v>44555.4455695023</v>
      </c>
      <c r="C4042" s="51">
        <v>1.009</v>
      </c>
      <c r="D4042" s="51">
        <v>65.0</v>
      </c>
      <c r="E4042" s="52" t="s">
        <v>25</v>
      </c>
      <c r="F4042" s="52" t="s">
        <v>26</v>
      </c>
      <c r="G4042" s="53"/>
    </row>
    <row r="4043">
      <c r="A4043" s="49">
        <v>44555.33102212963</v>
      </c>
      <c r="B4043" s="50">
        <v>44555.4559915277</v>
      </c>
      <c r="C4043" s="51">
        <v>1.01</v>
      </c>
      <c r="D4043" s="51">
        <v>65.0</v>
      </c>
      <c r="E4043" s="52" t="s">
        <v>25</v>
      </c>
      <c r="F4043" s="52" t="s">
        <v>26</v>
      </c>
      <c r="G4043" s="53"/>
    </row>
    <row r="4044">
      <c r="A4044" s="49">
        <v>44555.341434375005</v>
      </c>
      <c r="B4044" s="50">
        <v>44555.4664130439</v>
      </c>
      <c r="C4044" s="51">
        <v>1.009</v>
      </c>
      <c r="D4044" s="51">
        <v>65.0</v>
      </c>
      <c r="E4044" s="52" t="s">
        <v>25</v>
      </c>
      <c r="F4044" s="52" t="s">
        <v>26</v>
      </c>
      <c r="G4044" s="53"/>
    </row>
    <row r="4045">
      <c r="A4045" s="49">
        <v>44555.3518574537</v>
      </c>
      <c r="B4045" s="50">
        <v>44555.476832581</v>
      </c>
      <c r="C4045" s="51">
        <v>1.01</v>
      </c>
      <c r="D4045" s="51">
        <v>65.0</v>
      </c>
      <c r="E4045" s="52" t="s">
        <v>25</v>
      </c>
      <c r="F4045" s="52" t="s">
        <v>26</v>
      </c>
      <c r="G4045" s="53"/>
    </row>
    <row r="4046">
      <c r="A4046" s="49">
        <v>44555.36229362269</v>
      </c>
      <c r="B4046" s="50">
        <v>44555.4872662037</v>
      </c>
      <c r="C4046" s="51">
        <v>1.01</v>
      </c>
      <c r="D4046" s="51">
        <v>65.0</v>
      </c>
      <c r="E4046" s="52" t="s">
        <v>25</v>
      </c>
      <c r="F4046" s="52" t="s">
        <v>26</v>
      </c>
      <c r="G4046" s="53"/>
    </row>
    <row r="4047">
      <c r="A4047" s="49">
        <v>44555.37270824074</v>
      </c>
      <c r="B4047" s="50">
        <v>44555.4976862268</v>
      </c>
      <c r="C4047" s="51">
        <v>1.01</v>
      </c>
      <c r="D4047" s="51">
        <v>65.0</v>
      </c>
      <c r="E4047" s="52" t="s">
        <v>25</v>
      </c>
      <c r="F4047" s="52" t="s">
        <v>26</v>
      </c>
      <c r="G4047" s="53"/>
    </row>
    <row r="4048">
      <c r="A4048" s="49">
        <v>44555.38317202547</v>
      </c>
      <c r="B4048" s="50">
        <v>44555.5081315162</v>
      </c>
      <c r="C4048" s="51">
        <v>1.01</v>
      </c>
      <c r="D4048" s="51">
        <v>65.0</v>
      </c>
      <c r="E4048" s="52" t="s">
        <v>25</v>
      </c>
      <c r="F4048" s="52" t="s">
        <v>26</v>
      </c>
      <c r="G4048" s="53"/>
    </row>
    <row r="4049">
      <c r="A4049" s="49">
        <v>44555.39359482639</v>
      </c>
      <c r="B4049" s="50">
        <v>44555.5185640624</v>
      </c>
      <c r="C4049" s="51">
        <v>1.01</v>
      </c>
      <c r="D4049" s="51">
        <v>65.0</v>
      </c>
      <c r="E4049" s="52" t="s">
        <v>25</v>
      </c>
      <c r="F4049" s="52" t="s">
        <v>26</v>
      </c>
      <c r="G4049" s="53"/>
    </row>
    <row r="4050">
      <c r="A4050" s="49">
        <v>44555.40402855324</v>
      </c>
      <c r="B4050" s="50">
        <v>44555.5289958333</v>
      </c>
      <c r="C4050" s="51">
        <v>1.01</v>
      </c>
      <c r="D4050" s="51">
        <v>65.0</v>
      </c>
      <c r="E4050" s="52" t="s">
        <v>25</v>
      </c>
      <c r="F4050" s="52" t="s">
        <v>26</v>
      </c>
      <c r="G4050" s="53"/>
    </row>
    <row r="4051">
      <c r="A4051" s="49">
        <v>44555.41444652778</v>
      </c>
      <c r="B4051" s="50">
        <v>44555.5394151967</v>
      </c>
      <c r="C4051" s="51">
        <v>1.01</v>
      </c>
      <c r="D4051" s="51">
        <v>65.0</v>
      </c>
      <c r="E4051" s="52" t="s">
        <v>25</v>
      </c>
      <c r="F4051" s="52" t="s">
        <v>26</v>
      </c>
      <c r="G4051" s="53"/>
    </row>
    <row r="4052">
      <c r="A4052" s="49">
        <v>44555.424879178245</v>
      </c>
      <c r="B4052" s="50">
        <v>44555.5498469213</v>
      </c>
      <c r="C4052" s="51">
        <v>1.01</v>
      </c>
      <c r="D4052" s="51">
        <v>65.0</v>
      </c>
      <c r="E4052" s="52" t="s">
        <v>25</v>
      </c>
      <c r="F4052" s="52" t="s">
        <v>26</v>
      </c>
      <c r="G4052" s="53"/>
    </row>
    <row r="4053">
      <c r="A4053" s="49">
        <v>44555.43530641204</v>
      </c>
      <c r="B4053" s="50">
        <v>44555.5602792592</v>
      </c>
      <c r="C4053" s="51">
        <v>1.01</v>
      </c>
      <c r="D4053" s="51">
        <v>65.0</v>
      </c>
      <c r="E4053" s="52" t="s">
        <v>25</v>
      </c>
      <c r="F4053" s="52" t="s">
        <v>26</v>
      </c>
      <c r="G4053" s="53"/>
    </row>
    <row r="4054">
      <c r="A4054" s="49">
        <v>44555.44572506944</v>
      </c>
      <c r="B4054" s="50">
        <v>44555.5707021412</v>
      </c>
      <c r="C4054" s="51">
        <v>1.01</v>
      </c>
      <c r="D4054" s="51">
        <v>65.0</v>
      </c>
      <c r="E4054" s="52" t="s">
        <v>25</v>
      </c>
      <c r="F4054" s="52" t="s">
        <v>26</v>
      </c>
      <c r="G4054" s="53"/>
    </row>
    <row r="4055">
      <c r="A4055" s="49">
        <v>44555.45615457176</v>
      </c>
      <c r="B4055" s="50">
        <v>44555.5811248611</v>
      </c>
      <c r="C4055" s="51">
        <v>1.009</v>
      </c>
      <c r="D4055" s="51">
        <v>65.0</v>
      </c>
      <c r="E4055" s="52" t="s">
        <v>25</v>
      </c>
      <c r="F4055" s="52" t="s">
        <v>26</v>
      </c>
      <c r="G4055" s="53"/>
    </row>
    <row r="4056">
      <c r="A4056" s="49">
        <v>44555.466577349536</v>
      </c>
      <c r="B4056" s="50">
        <v>44555.5915467245</v>
      </c>
      <c r="C4056" s="51">
        <v>1.01</v>
      </c>
      <c r="D4056" s="51">
        <v>65.0</v>
      </c>
      <c r="E4056" s="52" t="s">
        <v>25</v>
      </c>
      <c r="F4056" s="52" t="s">
        <v>26</v>
      </c>
      <c r="G4056" s="53"/>
    </row>
    <row r="4057">
      <c r="A4057" s="49">
        <v>44555.47701854167</v>
      </c>
      <c r="B4057" s="50">
        <v>44555.6019913888</v>
      </c>
      <c r="C4057" s="51">
        <v>1.01</v>
      </c>
      <c r="D4057" s="51">
        <v>65.0</v>
      </c>
      <c r="E4057" s="52" t="s">
        <v>25</v>
      </c>
      <c r="F4057" s="52" t="s">
        <v>26</v>
      </c>
      <c r="G4057" s="53"/>
    </row>
    <row r="4058">
      <c r="A4058" s="49">
        <v>44555.48744303241</v>
      </c>
      <c r="B4058" s="50">
        <v>44555.6124137152</v>
      </c>
      <c r="C4058" s="51">
        <v>1.01</v>
      </c>
      <c r="D4058" s="51">
        <v>65.0</v>
      </c>
      <c r="E4058" s="52" t="s">
        <v>25</v>
      </c>
      <c r="F4058" s="52" t="s">
        <v>26</v>
      </c>
      <c r="G4058" s="53"/>
    </row>
    <row r="4059">
      <c r="A4059" s="49">
        <v>44555.49786020833</v>
      </c>
      <c r="B4059" s="50">
        <v>44555.6228353009</v>
      </c>
      <c r="C4059" s="51">
        <v>1.01</v>
      </c>
      <c r="D4059" s="51">
        <v>65.0</v>
      </c>
      <c r="E4059" s="52" t="s">
        <v>25</v>
      </c>
      <c r="F4059" s="52" t="s">
        <v>26</v>
      </c>
      <c r="G4059" s="53"/>
    </row>
    <row r="4060">
      <c r="A4060" s="49">
        <v>44555.50828983796</v>
      </c>
      <c r="B4060" s="50">
        <v>44555.6332557175</v>
      </c>
      <c r="C4060" s="51">
        <v>1.009</v>
      </c>
      <c r="D4060" s="51">
        <v>65.0</v>
      </c>
      <c r="E4060" s="52" t="s">
        <v>25</v>
      </c>
      <c r="F4060" s="52" t="s">
        <v>26</v>
      </c>
      <c r="G4060" s="53"/>
    </row>
    <row r="4061">
      <c r="A4061" s="49">
        <v>44555.51871108796</v>
      </c>
      <c r="B4061" s="50">
        <v>44555.6436877314</v>
      </c>
      <c r="C4061" s="51">
        <v>1.01</v>
      </c>
      <c r="D4061" s="51">
        <v>65.0</v>
      </c>
      <c r="E4061" s="52" t="s">
        <v>25</v>
      </c>
      <c r="F4061" s="52" t="s">
        <v>26</v>
      </c>
      <c r="G4061" s="53"/>
    </row>
    <row r="4062">
      <c r="A4062" s="49">
        <v>44555.529153587966</v>
      </c>
      <c r="B4062" s="50">
        <v>44555.6541204976</v>
      </c>
      <c r="C4062" s="51">
        <v>1.009</v>
      </c>
      <c r="D4062" s="51">
        <v>65.0</v>
      </c>
      <c r="E4062" s="52" t="s">
        <v>25</v>
      </c>
      <c r="F4062" s="52" t="s">
        <v>26</v>
      </c>
      <c r="G4062" s="53"/>
    </row>
    <row r="4063">
      <c r="A4063" s="49">
        <v>44555.53957216435</v>
      </c>
      <c r="B4063" s="50">
        <v>44555.6645411805</v>
      </c>
      <c r="C4063" s="51">
        <v>1.009</v>
      </c>
      <c r="D4063" s="51">
        <v>65.0</v>
      </c>
      <c r="E4063" s="52" t="s">
        <v>25</v>
      </c>
      <c r="F4063" s="52" t="s">
        <v>26</v>
      </c>
      <c r="G4063" s="53"/>
    </row>
    <row r="4064">
      <c r="A4064" s="49">
        <v>44555.54999701389</v>
      </c>
      <c r="B4064" s="50">
        <v>44555.6749614467</v>
      </c>
      <c r="C4064" s="51">
        <v>1.01</v>
      </c>
      <c r="D4064" s="51">
        <v>65.0</v>
      </c>
      <c r="E4064" s="52" t="s">
        <v>25</v>
      </c>
      <c r="F4064" s="52" t="s">
        <v>26</v>
      </c>
      <c r="G4064" s="53"/>
    </row>
    <row r="4065">
      <c r="A4065" s="49">
        <v>44555.56040614583</v>
      </c>
      <c r="B4065" s="50">
        <v>44555.6853823263</v>
      </c>
      <c r="C4065" s="51">
        <v>1.009</v>
      </c>
      <c r="D4065" s="51">
        <v>65.0</v>
      </c>
      <c r="E4065" s="52" t="s">
        <v>25</v>
      </c>
      <c r="F4065" s="52" t="s">
        <v>26</v>
      </c>
      <c r="G4065" s="53"/>
    </row>
    <row r="4066">
      <c r="A4066" s="49">
        <v>44555.57084454861</v>
      </c>
      <c r="B4066" s="50">
        <v>44555.6958154513</v>
      </c>
      <c r="C4066" s="51">
        <v>1.009</v>
      </c>
      <c r="D4066" s="51">
        <v>65.0</v>
      </c>
      <c r="E4066" s="52" t="s">
        <v>25</v>
      </c>
      <c r="F4066" s="52" t="s">
        <v>26</v>
      </c>
      <c r="G4066" s="53"/>
    </row>
    <row r="4067">
      <c r="A4067" s="49">
        <v>44555.58127815972</v>
      </c>
      <c r="B4067" s="50">
        <v>44555.7062478703</v>
      </c>
      <c r="C4067" s="51">
        <v>1.009</v>
      </c>
      <c r="D4067" s="51">
        <v>65.0</v>
      </c>
      <c r="E4067" s="52" t="s">
        <v>25</v>
      </c>
      <c r="F4067" s="52" t="s">
        <v>26</v>
      </c>
      <c r="G4067" s="53"/>
    </row>
    <row r="4068">
      <c r="A4068" s="49">
        <v>44555.591714305556</v>
      </c>
      <c r="B4068" s="50">
        <v>44555.7166781944</v>
      </c>
      <c r="C4068" s="51">
        <v>1.009</v>
      </c>
      <c r="D4068" s="51">
        <v>65.0</v>
      </c>
      <c r="E4068" s="52" t="s">
        <v>25</v>
      </c>
      <c r="F4068" s="52" t="s">
        <v>26</v>
      </c>
      <c r="G4068" s="53"/>
    </row>
    <row r="4069">
      <c r="A4069" s="49">
        <v>44555.60214396991</v>
      </c>
      <c r="B4069" s="50">
        <v>44555.7271123726</v>
      </c>
      <c r="C4069" s="51">
        <v>1.009</v>
      </c>
      <c r="D4069" s="51">
        <v>65.0</v>
      </c>
      <c r="E4069" s="52" t="s">
        <v>25</v>
      </c>
      <c r="F4069" s="52" t="s">
        <v>26</v>
      </c>
      <c r="G4069" s="53"/>
    </row>
    <row r="4070">
      <c r="A4070" s="49">
        <v>44555.612579513894</v>
      </c>
      <c r="B4070" s="50">
        <v>44555.7375466898</v>
      </c>
      <c r="C4070" s="51">
        <v>1.009</v>
      </c>
      <c r="D4070" s="51">
        <v>65.0</v>
      </c>
      <c r="E4070" s="52" t="s">
        <v>25</v>
      </c>
      <c r="F4070" s="52" t="s">
        <v>26</v>
      </c>
      <c r="G4070" s="53"/>
    </row>
    <row r="4071">
      <c r="A4071" s="49">
        <v>44555.622990937496</v>
      </c>
      <c r="B4071" s="50">
        <v>44555.7479692361</v>
      </c>
      <c r="C4071" s="51">
        <v>1.009</v>
      </c>
      <c r="D4071" s="51">
        <v>65.0</v>
      </c>
      <c r="E4071" s="52" t="s">
        <v>25</v>
      </c>
      <c r="F4071" s="52" t="s">
        <v>26</v>
      </c>
      <c r="G4071" s="53"/>
    </row>
    <row r="4072">
      <c r="A4072" s="49">
        <v>44555.63342333333</v>
      </c>
      <c r="B4072" s="50">
        <v>44555.7583915509</v>
      </c>
      <c r="C4072" s="51">
        <v>1.009</v>
      </c>
      <c r="D4072" s="51">
        <v>65.0</v>
      </c>
      <c r="E4072" s="52" t="s">
        <v>25</v>
      </c>
      <c r="F4072" s="52" t="s">
        <v>26</v>
      </c>
      <c r="G4072" s="53"/>
    </row>
    <row r="4073">
      <c r="A4073" s="49">
        <v>44555.64384371528</v>
      </c>
      <c r="B4073" s="50">
        <v>44555.7688126388</v>
      </c>
      <c r="C4073" s="51">
        <v>1.01</v>
      </c>
      <c r="D4073" s="51">
        <v>65.0</v>
      </c>
      <c r="E4073" s="52" t="s">
        <v>25</v>
      </c>
      <c r="F4073" s="52" t="s">
        <v>26</v>
      </c>
      <c r="G4073" s="53"/>
    </row>
    <row r="4074">
      <c r="A4074" s="49">
        <v>44555.6542744676</v>
      </c>
      <c r="B4074" s="50">
        <v>44555.7792450231</v>
      </c>
      <c r="C4074" s="51">
        <v>1.01</v>
      </c>
      <c r="D4074" s="51">
        <v>65.0</v>
      </c>
      <c r="E4074" s="52" t="s">
        <v>25</v>
      </c>
      <c r="F4074" s="52" t="s">
        <v>26</v>
      </c>
      <c r="G4074" s="53"/>
    </row>
    <row r="4075">
      <c r="A4075" s="49">
        <v>44555.66470743055</v>
      </c>
      <c r="B4075" s="50">
        <v>44555.7896653819</v>
      </c>
      <c r="C4075" s="51">
        <v>1.009</v>
      </c>
      <c r="D4075" s="51">
        <v>65.0</v>
      </c>
      <c r="E4075" s="52" t="s">
        <v>25</v>
      </c>
      <c r="F4075" s="52" t="s">
        <v>26</v>
      </c>
      <c r="G4075" s="53"/>
    </row>
    <row r="4076">
      <c r="A4076" s="49">
        <v>44555.67511409722</v>
      </c>
      <c r="B4076" s="50">
        <v>44555.800085</v>
      </c>
      <c r="C4076" s="51">
        <v>1.009</v>
      </c>
      <c r="D4076" s="51">
        <v>65.0</v>
      </c>
      <c r="E4076" s="52" t="s">
        <v>25</v>
      </c>
      <c r="F4076" s="52" t="s">
        <v>26</v>
      </c>
      <c r="G4076" s="53"/>
    </row>
    <row r="4077">
      <c r="A4077" s="49">
        <v>44555.68553537037</v>
      </c>
      <c r="B4077" s="50">
        <v>44555.8105055092</v>
      </c>
      <c r="C4077" s="51">
        <v>1.009</v>
      </c>
      <c r="D4077" s="51">
        <v>65.0</v>
      </c>
      <c r="E4077" s="52" t="s">
        <v>25</v>
      </c>
      <c r="F4077" s="52" t="s">
        <v>26</v>
      </c>
      <c r="G4077" s="53"/>
    </row>
    <row r="4078">
      <c r="A4078" s="49">
        <v>44555.695956944444</v>
      </c>
      <c r="B4078" s="50">
        <v>44555.8209253587</v>
      </c>
      <c r="C4078" s="51">
        <v>1.01</v>
      </c>
      <c r="D4078" s="51">
        <v>65.0</v>
      </c>
      <c r="E4078" s="52" t="s">
        <v>25</v>
      </c>
      <c r="F4078" s="52" t="s">
        <v>26</v>
      </c>
      <c r="G4078" s="53"/>
    </row>
    <row r="4079">
      <c r="A4079" s="49">
        <v>44555.70637646991</v>
      </c>
      <c r="B4079" s="50">
        <v>44555.8313462268</v>
      </c>
      <c r="C4079" s="51">
        <v>1.009</v>
      </c>
      <c r="D4079" s="51">
        <v>65.0</v>
      </c>
      <c r="E4079" s="52" t="s">
        <v>25</v>
      </c>
      <c r="F4079" s="52" t="s">
        <v>26</v>
      </c>
      <c r="G4079" s="53"/>
    </row>
    <row r="4080">
      <c r="A4080" s="49">
        <v>44555.71679579861</v>
      </c>
      <c r="B4080" s="50">
        <v>44555.8417683449</v>
      </c>
      <c r="C4080" s="51">
        <v>1.009</v>
      </c>
      <c r="D4080" s="51">
        <v>65.0</v>
      </c>
      <c r="E4080" s="52" t="s">
        <v>25</v>
      </c>
      <c r="F4080" s="52" t="s">
        <v>26</v>
      </c>
      <c r="G4080" s="53"/>
    </row>
    <row r="4081">
      <c r="A4081" s="49">
        <v>44555.72721511574</v>
      </c>
      <c r="B4081" s="50">
        <v>44555.852189074</v>
      </c>
      <c r="C4081" s="51">
        <v>1.009</v>
      </c>
      <c r="D4081" s="51">
        <v>65.0</v>
      </c>
      <c r="E4081" s="52" t="s">
        <v>25</v>
      </c>
      <c r="F4081" s="52" t="s">
        <v>26</v>
      </c>
      <c r="G4081" s="53"/>
    </row>
    <row r="4082">
      <c r="A4082" s="49">
        <v>44555.7376478588</v>
      </c>
      <c r="B4082" s="50">
        <v>44555.8626220717</v>
      </c>
      <c r="C4082" s="51">
        <v>1.009</v>
      </c>
      <c r="D4082" s="51">
        <v>65.0</v>
      </c>
      <c r="E4082" s="52" t="s">
        <v>25</v>
      </c>
      <c r="F4082" s="52" t="s">
        <v>26</v>
      </c>
      <c r="G4082" s="53"/>
    </row>
    <row r="4083">
      <c r="A4083" s="49">
        <v>44555.74807782407</v>
      </c>
      <c r="B4083" s="50">
        <v>44555.8730442245</v>
      </c>
      <c r="C4083" s="51">
        <v>1.009</v>
      </c>
      <c r="D4083" s="51">
        <v>65.0</v>
      </c>
      <c r="E4083" s="52" t="s">
        <v>25</v>
      </c>
      <c r="F4083" s="52" t="s">
        <v>26</v>
      </c>
      <c r="G4083" s="53"/>
    </row>
    <row r="4084">
      <c r="A4084" s="49">
        <v>44555.75849748842</v>
      </c>
      <c r="B4084" s="50">
        <v>44555.8834645486</v>
      </c>
      <c r="C4084" s="51">
        <v>1.009</v>
      </c>
      <c r="D4084" s="51">
        <v>65.0</v>
      </c>
      <c r="E4084" s="52" t="s">
        <v>25</v>
      </c>
      <c r="F4084" s="52" t="s">
        <v>26</v>
      </c>
      <c r="G4084" s="53"/>
    </row>
    <row r="4085">
      <c r="A4085" s="49">
        <v>44555.76892667824</v>
      </c>
      <c r="B4085" s="50">
        <v>44555.8938975694</v>
      </c>
      <c r="C4085" s="51">
        <v>1.009</v>
      </c>
      <c r="D4085" s="51">
        <v>65.0</v>
      </c>
      <c r="E4085" s="52" t="s">
        <v>25</v>
      </c>
      <c r="F4085" s="52" t="s">
        <v>26</v>
      </c>
      <c r="G4085" s="53"/>
    </row>
    <row r="4086">
      <c r="A4086" s="49">
        <v>44555.7793474537</v>
      </c>
      <c r="B4086" s="50">
        <v>44555.9043180787</v>
      </c>
      <c r="C4086" s="51">
        <v>1.009</v>
      </c>
      <c r="D4086" s="51">
        <v>65.0</v>
      </c>
      <c r="E4086" s="52" t="s">
        <v>25</v>
      </c>
      <c r="F4086" s="52" t="s">
        <v>26</v>
      </c>
      <c r="G4086" s="53"/>
    </row>
    <row r="4087">
      <c r="A4087" s="49">
        <v>44555.789773993056</v>
      </c>
      <c r="B4087" s="50">
        <v>44555.9147406365</v>
      </c>
      <c r="C4087" s="51">
        <v>1.01</v>
      </c>
      <c r="D4087" s="51">
        <v>65.0</v>
      </c>
      <c r="E4087" s="52" t="s">
        <v>25</v>
      </c>
      <c r="F4087" s="52" t="s">
        <v>26</v>
      </c>
      <c r="G4087" s="53"/>
    </row>
    <row r="4088">
      <c r="A4088" s="49">
        <v>44555.80019418981</v>
      </c>
      <c r="B4088" s="50">
        <v>44555.9251621412</v>
      </c>
      <c r="C4088" s="51">
        <v>1.009</v>
      </c>
      <c r="D4088" s="51">
        <v>65.0</v>
      </c>
      <c r="E4088" s="52" t="s">
        <v>25</v>
      </c>
      <c r="F4088" s="52" t="s">
        <v>26</v>
      </c>
      <c r="G4088" s="53"/>
    </row>
    <row r="4089">
      <c r="A4089" s="49">
        <v>44555.81061163194</v>
      </c>
      <c r="B4089" s="50">
        <v>44555.9355829629</v>
      </c>
      <c r="C4089" s="51">
        <v>1.009</v>
      </c>
      <c r="D4089" s="51">
        <v>65.0</v>
      </c>
      <c r="E4089" s="52" t="s">
        <v>25</v>
      </c>
      <c r="F4089" s="52" t="s">
        <v>26</v>
      </c>
      <c r="G4089" s="53"/>
    </row>
    <row r="4090">
      <c r="A4090" s="49">
        <v>44555.82103577546</v>
      </c>
      <c r="B4090" s="50">
        <v>44555.946005868</v>
      </c>
      <c r="C4090" s="51">
        <v>1.009</v>
      </c>
      <c r="D4090" s="51">
        <v>65.0</v>
      </c>
      <c r="E4090" s="52" t="s">
        <v>25</v>
      </c>
      <c r="F4090" s="52" t="s">
        <v>26</v>
      </c>
      <c r="G4090" s="53"/>
    </row>
    <row r="4091">
      <c r="A4091" s="49">
        <v>44555.83145840278</v>
      </c>
      <c r="B4091" s="50">
        <v>44555.9564264583</v>
      </c>
      <c r="C4091" s="51">
        <v>1.009</v>
      </c>
      <c r="D4091" s="51">
        <v>65.0</v>
      </c>
      <c r="E4091" s="52" t="s">
        <v>25</v>
      </c>
      <c r="F4091" s="52" t="s">
        <v>26</v>
      </c>
      <c r="G4091" s="53"/>
    </row>
    <row r="4092">
      <c r="A4092" s="49">
        <v>44555.8418947801</v>
      </c>
      <c r="B4092" s="50">
        <v>44555.9668598495</v>
      </c>
      <c r="C4092" s="51">
        <v>1.009</v>
      </c>
      <c r="D4092" s="51">
        <v>65.0</v>
      </c>
      <c r="E4092" s="52" t="s">
        <v>25</v>
      </c>
      <c r="F4092" s="52" t="s">
        <v>26</v>
      </c>
      <c r="G4092" s="53"/>
    </row>
    <row r="4093">
      <c r="A4093" s="49">
        <v>44555.85230943287</v>
      </c>
      <c r="B4093" s="50">
        <v>44555.9772822453</v>
      </c>
      <c r="C4093" s="51">
        <v>1.009</v>
      </c>
      <c r="D4093" s="51">
        <v>65.0</v>
      </c>
      <c r="E4093" s="52" t="s">
        <v>25</v>
      </c>
      <c r="F4093" s="52" t="s">
        <v>26</v>
      </c>
      <c r="G4093" s="53"/>
    </row>
    <row r="4094">
      <c r="A4094" s="49">
        <v>44555.862730821755</v>
      </c>
      <c r="B4094" s="50">
        <v>44555.9877057523</v>
      </c>
      <c r="C4094" s="51">
        <v>1.009</v>
      </c>
      <c r="D4094" s="51">
        <v>65.0</v>
      </c>
      <c r="E4094" s="52" t="s">
        <v>25</v>
      </c>
      <c r="F4094" s="52" t="s">
        <v>26</v>
      </c>
      <c r="G4094" s="53"/>
    </row>
    <row r="4095">
      <c r="A4095" s="49">
        <v>44555.87315050926</v>
      </c>
      <c r="B4095" s="50">
        <v>44555.9981271064</v>
      </c>
      <c r="C4095" s="51">
        <v>1.009</v>
      </c>
      <c r="D4095" s="51">
        <v>65.0</v>
      </c>
      <c r="E4095" s="52" t="s">
        <v>25</v>
      </c>
      <c r="F4095" s="52" t="s">
        <v>26</v>
      </c>
      <c r="G4095" s="53"/>
    </row>
    <row r="4096">
      <c r="A4096" s="49">
        <v>44555.88357052083</v>
      </c>
      <c r="B4096" s="50">
        <v>44556.0085472916</v>
      </c>
      <c r="C4096" s="51">
        <v>1.009</v>
      </c>
      <c r="D4096" s="51">
        <v>65.0</v>
      </c>
      <c r="E4096" s="52" t="s">
        <v>25</v>
      </c>
      <c r="F4096" s="52" t="s">
        <v>26</v>
      </c>
      <c r="G4096" s="53"/>
    </row>
    <row r="4097">
      <c r="A4097" s="49">
        <v>44555.894006296294</v>
      </c>
      <c r="B4097" s="50">
        <v>44556.0189794328</v>
      </c>
      <c r="C4097" s="51">
        <v>1.009</v>
      </c>
      <c r="D4097" s="51">
        <v>64.0</v>
      </c>
      <c r="E4097" s="52" t="s">
        <v>25</v>
      </c>
      <c r="F4097" s="52" t="s">
        <v>26</v>
      </c>
      <c r="G4097" s="53"/>
    </row>
    <row r="4098">
      <c r="A4098" s="49">
        <v>44555.904431145835</v>
      </c>
      <c r="B4098" s="50">
        <v>44556.029398368</v>
      </c>
      <c r="C4098" s="51">
        <v>1.009</v>
      </c>
      <c r="D4098" s="51">
        <v>65.0</v>
      </c>
      <c r="E4098" s="52" t="s">
        <v>25</v>
      </c>
      <c r="F4098" s="52" t="s">
        <v>26</v>
      </c>
      <c r="G4098" s="53"/>
    </row>
    <row r="4099">
      <c r="A4099" s="49">
        <v>44555.91486082176</v>
      </c>
      <c r="B4099" s="50">
        <v>44556.0398304398</v>
      </c>
      <c r="C4099" s="51">
        <v>1.01</v>
      </c>
      <c r="D4099" s="51">
        <v>65.0</v>
      </c>
      <c r="E4099" s="52" t="s">
        <v>25</v>
      </c>
      <c r="F4099" s="52" t="s">
        <v>26</v>
      </c>
      <c r="G4099" s="53"/>
    </row>
    <row r="4100">
      <c r="A4100" s="49">
        <v>44555.9252809375</v>
      </c>
      <c r="B4100" s="50">
        <v>44556.0502514004</v>
      </c>
      <c r="C4100" s="51">
        <v>1.009</v>
      </c>
      <c r="D4100" s="51">
        <v>65.0</v>
      </c>
      <c r="E4100" s="52" t="s">
        <v>25</v>
      </c>
      <c r="F4100" s="52" t="s">
        <v>26</v>
      </c>
      <c r="G4100" s="53"/>
    </row>
    <row r="4101">
      <c r="A4101" s="49">
        <v>44555.93570565972</v>
      </c>
      <c r="B4101" s="50">
        <v>44556.0606719444</v>
      </c>
      <c r="C4101" s="51">
        <v>1.009</v>
      </c>
      <c r="D4101" s="51">
        <v>65.0</v>
      </c>
      <c r="E4101" s="52" t="s">
        <v>25</v>
      </c>
      <c r="F4101" s="52" t="s">
        <v>26</v>
      </c>
      <c r="G4101" s="53"/>
    </row>
    <row r="4102">
      <c r="A4102" s="49">
        <v>44555.94612487269</v>
      </c>
      <c r="B4102" s="50">
        <v>44556.0710935532</v>
      </c>
      <c r="C4102" s="51">
        <v>1.009</v>
      </c>
      <c r="D4102" s="51">
        <v>64.0</v>
      </c>
      <c r="E4102" s="52" t="s">
        <v>25</v>
      </c>
      <c r="F4102" s="52" t="s">
        <v>26</v>
      </c>
      <c r="G4102" s="53"/>
    </row>
    <row r="4103">
      <c r="A4103" s="49">
        <v>44555.95654372685</v>
      </c>
      <c r="B4103" s="50">
        <v>44556.0815148611</v>
      </c>
      <c r="C4103" s="51">
        <v>1.009</v>
      </c>
      <c r="D4103" s="51">
        <v>64.0</v>
      </c>
      <c r="E4103" s="52" t="s">
        <v>25</v>
      </c>
      <c r="F4103" s="52" t="s">
        <v>26</v>
      </c>
      <c r="G4103" s="53"/>
    </row>
    <row r="4104">
      <c r="A4104" s="49">
        <v>44555.9669628125</v>
      </c>
      <c r="B4104" s="50">
        <v>44556.0919381944</v>
      </c>
      <c r="C4104" s="51">
        <v>1.009</v>
      </c>
      <c r="D4104" s="51">
        <v>64.0</v>
      </c>
      <c r="E4104" s="52" t="s">
        <v>25</v>
      </c>
      <c r="F4104" s="52" t="s">
        <v>26</v>
      </c>
      <c r="G4104" s="53"/>
    </row>
    <row r="4105">
      <c r="A4105" s="49">
        <v>44555.97739017361</v>
      </c>
      <c r="B4105" s="50">
        <v>44556.1023593287</v>
      </c>
      <c r="C4105" s="51">
        <v>1.009</v>
      </c>
      <c r="D4105" s="51">
        <v>64.0</v>
      </c>
      <c r="E4105" s="52" t="s">
        <v>25</v>
      </c>
      <c r="F4105" s="52" t="s">
        <v>26</v>
      </c>
      <c r="G4105" s="53"/>
    </row>
    <row r="4106">
      <c r="A4106" s="49">
        <v>44555.987812060186</v>
      </c>
      <c r="B4106" s="50">
        <v>44556.1127786342</v>
      </c>
      <c r="C4106" s="51">
        <v>1.009</v>
      </c>
      <c r="D4106" s="51">
        <v>64.0</v>
      </c>
      <c r="E4106" s="52" t="s">
        <v>25</v>
      </c>
      <c r="F4106" s="52" t="s">
        <v>26</v>
      </c>
      <c r="G4106" s="53"/>
    </row>
    <row r="4107">
      <c r="A4107" s="49">
        <v>44555.99823142361</v>
      </c>
      <c r="B4107" s="50">
        <v>44556.1232017476</v>
      </c>
      <c r="C4107" s="51">
        <v>1.009</v>
      </c>
      <c r="D4107" s="51">
        <v>64.0</v>
      </c>
      <c r="E4107" s="52" t="s">
        <v>25</v>
      </c>
      <c r="F4107" s="52" t="s">
        <v>26</v>
      </c>
      <c r="G4107" s="53"/>
    </row>
    <row r="4108">
      <c r="A4108" s="49">
        <v>44556.008658067134</v>
      </c>
      <c r="B4108" s="50">
        <v>44556.1336243055</v>
      </c>
      <c r="C4108" s="51">
        <v>1.009</v>
      </c>
      <c r="D4108" s="51">
        <v>64.0</v>
      </c>
      <c r="E4108" s="52" t="s">
        <v>25</v>
      </c>
      <c r="F4108" s="52" t="s">
        <v>26</v>
      </c>
      <c r="G4108" s="53"/>
    </row>
    <row r="4109">
      <c r="A4109" s="49">
        <v>44556.0190697338</v>
      </c>
      <c r="B4109" s="50">
        <v>44556.144046331</v>
      </c>
      <c r="C4109" s="51">
        <v>1.009</v>
      </c>
      <c r="D4109" s="51">
        <v>64.0</v>
      </c>
      <c r="E4109" s="52" t="s">
        <v>25</v>
      </c>
      <c r="F4109" s="52" t="s">
        <v>26</v>
      </c>
      <c r="G4109" s="53"/>
    </row>
    <row r="4110">
      <c r="A4110" s="49">
        <v>44556.02949320602</v>
      </c>
      <c r="B4110" s="50">
        <v>44556.1544668171</v>
      </c>
      <c r="C4110" s="51">
        <v>1.009</v>
      </c>
      <c r="D4110" s="51">
        <v>64.0</v>
      </c>
      <c r="E4110" s="52" t="s">
        <v>25</v>
      </c>
      <c r="F4110" s="52" t="s">
        <v>26</v>
      </c>
      <c r="G4110" s="53"/>
    </row>
    <row r="4111">
      <c r="A4111" s="49">
        <v>44556.039916458336</v>
      </c>
      <c r="B4111" s="50">
        <v>44556.1648891435</v>
      </c>
      <c r="C4111" s="51">
        <v>1.009</v>
      </c>
      <c r="D4111" s="51">
        <v>64.0</v>
      </c>
      <c r="E4111" s="52" t="s">
        <v>25</v>
      </c>
      <c r="F4111" s="52" t="s">
        <v>26</v>
      </c>
      <c r="G4111" s="53"/>
    </row>
    <row r="4112">
      <c r="A4112" s="49">
        <v>44556.05033770834</v>
      </c>
      <c r="B4112" s="50">
        <v>44556.1753100925</v>
      </c>
      <c r="C4112" s="51">
        <v>1.009</v>
      </c>
      <c r="D4112" s="51">
        <v>64.0</v>
      </c>
      <c r="E4112" s="52" t="s">
        <v>25</v>
      </c>
      <c r="F4112" s="52" t="s">
        <v>26</v>
      </c>
      <c r="G4112" s="53"/>
    </row>
    <row r="4113">
      <c r="A4113" s="49">
        <v>44556.060763217596</v>
      </c>
      <c r="B4113" s="50">
        <v>44556.1857326504</v>
      </c>
      <c r="C4113" s="51">
        <v>1.009</v>
      </c>
      <c r="D4113" s="51">
        <v>64.0</v>
      </c>
      <c r="E4113" s="52" t="s">
        <v>25</v>
      </c>
      <c r="F4113" s="52" t="s">
        <v>26</v>
      </c>
      <c r="G4113" s="53"/>
    </row>
    <row r="4114">
      <c r="A4114" s="49">
        <v>44556.07117880787</v>
      </c>
      <c r="B4114" s="50">
        <v>44556.1961537384</v>
      </c>
      <c r="C4114" s="51">
        <v>1.009</v>
      </c>
      <c r="D4114" s="51">
        <v>64.0</v>
      </c>
      <c r="E4114" s="52" t="s">
        <v>25</v>
      </c>
      <c r="F4114" s="52" t="s">
        <v>26</v>
      </c>
      <c r="G4114" s="53"/>
    </row>
    <row r="4115">
      <c r="A4115" s="49">
        <v>44556.081614780094</v>
      </c>
      <c r="B4115" s="50">
        <v>44556.2065869444</v>
      </c>
      <c r="C4115" s="51">
        <v>1.009</v>
      </c>
      <c r="D4115" s="51">
        <v>64.0</v>
      </c>
      <c r="E4115" s="52" t="s">
        <v>25</v>
      </c>
      <c r="F4115" s="52" t="s">
        <v>26</v>
      </c>
      <c r="G4115" s="53"/>
    </row>
    <row r="4116">
      <c r="A4116" s="49">
        <v>44556.09204684028</v>
      </c>
      <c r="B4116" s="50">
        <v>44556.2170192245</v>
      </c>
      <c r="C4116" s="51">
        <v>1.009</v>
      </c>
      <c r="D4116" s="51">
        <v>64.0</v>
      </c>
      <c r="E4116" s="52" t="s">
        <v>25</v>
      </c>
      <c r="F4116" s="52" t="s">
        <v>26</v>
      </c>
      <c r="G4116" s="53"/>
    </row>
    <row r="4117">
      <c r="A4117" s="49">
        <v>44556.102461180555</v>
      </c>
      <c r="B4117" s="50">
        <v>44556.2274400694</v>
      </c>
      <c r="C4117" s="51">
        <v>1.009</v>
      </c>
      <c r="D4117" s="51">
        <v>64.0</v>
      </c>
      <c r="E4117" s="52" t="s">
        <v>25</v>
      </c>
      <c r="F4117" s="52" t="s">
        <v>26</v>
      </c>
      <c r="G4117" s="53"/>
    </row>
    <row r="4118">
      <c r="A4118" s="49">
        <v>44556.11289609954</v>
      </c>
      <c r="B4118" s="50">
        <v>44556.2378752546</v>
      </c>
      <c r="C4118" s="51">
        <v>1.009</v>
      </c>
      <c r="D4118" s="51">
        <v>64.0</v>
      </c>
      <c r="E4118" s="52" t="s">
        <v>25</v>
      </c>
      <c r="F4118" s="52" t="s">
        <v>26</v>
      </c>
      <c r="G4118" s="53"/>
    </row>
    <row r="4119">
      <c r="A4119" s="49">
        <v>44556.12332358796</v>
      </c>
      <c r="B4119" s="50">
        <v>44556.2482955671</v>
      </c>
      <c r="C4119" s="51">
        <v>1.009</v>
      </c>
      <c r="D4119" s="51">
        <v>64.0</v>
      </c>
      <c r="E4119" s="52" t="s">
        <v>25</v>
      </c>
      <c r="F4119" s="52" t="s">
        <v>26</v>
      </c>
      <c r="G4119" s="53"/>
    </row>
    <row r="4120">
      <c r="A4120" s="49">
        <v>44556.133741365746</v>
      </c>
      <c r="B4120" s="50">
        <v>44556.2587175925</v>
      </c>
      <c r="C4120" s="51">
        <v>1.009</v>
      </c>
      <c r="D4120" s="51">
        <v>64.0</v>
      </c>
      <c r="E4120" s="52" t="s">
        <v>25</v>
      </c>
      <c r="F4120" s="52" t="s">
        <v>26</v>
      </c>
      <c r="G4120" s="53"/>
    </row>
    <row r="4121">
      <c r="A4121" s="49">
        <v>44556.14418063658</v>
      </c>
      <c r="B4121" s="50">
        <v>44556.2691501504</v>
      </c>
      <c r="C4121" s="51">
        <v>1.009</v>
      </c>
      <c r="D4121" s="51">
        <v>64.0</v>
      </c>
      <c r="E4121" s="52" t="s">
        <v>25</v>
      </c>
      <c r="F4121" s="52" t="s">
        <v>26</v>
      </c>
      <c r="G4121" s="53"/>
    </row>
    <row r="4122">
      <c r="A4122" s="49">
        <v>44556.15461755787</v>
      </c>
      <c r="B4122" s="50">
        <v>44556.2795931944</v>
      </c>
      <c r="C4122" s="51">
        <v>1.009</v>
      </c>
      <c r="D4122" s="51">
        <v>64.0</v>
      </c>
      <c r="E4122" s="52" t="s">
        <v>25</v>
      </c>
      <c r="F4122" s="52" t="s">
        <v>26</v>
      </c>
      <c r="G4122" s="53"/>
    </row>
    <row r="4123">
      <c r="A4123" s="49">
        <v>44556.165042430555</v>
      </c>
      <c r="B4123" s="50">
        <v>44556.2900138194</v>
      </c>
      <c r="C4123" s="51">
        <v>1.009</v>
      </c>
      <c r="D4123" s="51">
        <v>64.0</v>
      </c>
      <c r="E4123" s="52" t="s">
        <v>25</v>
      </c>
      <c r="F4123" s="52" t="s">
        <v>26</v>
      </c>
      <c r="G4123" s="53"/>
    </row>
    <row r="4124">
      <c r="A4124" s="49">
        <v>44556.17546550926</v>
      </c>
      <c r="B4124" s="50">
        <v>44556.3004361574</v>
      </c>
      <c r="C4124" s="51">
        <v>1.009</v>
      </c>
      <c r="D4124" s="51">
        <v>64.0</v>
      </c>
      <c r="E4124" s="52" t="s">
        <v>25</v>
      </c>
      <c r="F4124" s="52" t="s">
        <v>26</v>
      </c>
      <c r="G4124" s="53"/>
    </row>
    <row r="4125">
      <c r="A4125" s="49">
        <v>44556.18587730324</v>
      </c>
      <c r="B4125" s="50">
        <v>44556.3108564004</v>
      </c>
      <c r="C4125" s="51">
        <v>1.009</v>
      </c>
      <c r="D4125" s="51">
        <v>64.0</v>
      </c>
      <c r="E4125" s="52" t="s">
        <v>25</v>
      </c>
      <c r="F4125" s="52" t="s">
        <v>26</v>
      </c>
      <c r="G4125" s="53"/>
    </row>
    <row r="4126">
      <c r="A4126" s="49">
        <v>44556.19630791667</v>
      </c>
      <c r="B4126" s="50">
        <v>44556.3212781134</v>
      </c>
      <c r="C4126" s="51">
        <v>1.009</v>
      </c>
      <c r="D4126" s="51">
        <v>64.0</v>
      </c>
      <c r="E4126" s="52" t="s">
        <v>25</v>
      </c>
      <c r="F4126" s="52" t="s">
        <v>26</v>
      </c>
      <c r="G4126" s="53"/>
    </row>
    <row r="4127">
      <c r="A4127" s="49">
        <v>44556.2067280787</v>
      </c>
      <c r="B4127" s="50">
        <v>44556.3317011342</v>
      </c>
      <c r="C4127" s="51">
        <v>1.009</v>
      </c>
      <c r="D4127" s="51">
        <v>64.0</v>
      </c>
      <c r="E4127" s="52" t="s">
        <v>25</v>
      </c>
      <c r="F4127" s="52" t="s">
        <v>26</v>
      </c>
      <c r="G4127" s="53"/>
    </row>
    <row r="4128">
      <c r="A4128" s="49">
        <v>44556.21715306713</v>
      </c>
      <c r="B4128" s="50">
        <v>44556.3421208796</v>
      </c>
      <c r="C4128" s="51">
        <v>1.009</v>
      </c>
      <c r="D4128" s="51">
        <v>64.0</v>
      </c>
      <c r="E4128" s="52" t="s">
        <v>25</v>
      </c>
      <c r="F4128" s="52" t="s">
        <v>26</v>
      </c>
      <c r="G4128" s="53"/>
    </row>
    <row r="4129">
      <c r="A4129" s="49">
        <v>44556.227568981485</v>
      </c>
      <c r="B4129" s="50">
        <v>44556.3525418402</v>
      </c>
      <c r="C4129" s="51">
        <v>1.009</v>
      </c>
      <c r="D4129" s="51">
        <v>64.0</v>
      </c>
      <c r="E4129" s="52" t="s">
        <v>25</v>
      </c>
      <c r="F4129" s="52" t="s">
        <v>26</v>
      </c>
      <c r="G4129" s="53"/>
    </row>
    <row r="4130">
      <c r="A4130" s="49">
        <v>44556.237988865745</v>
      </c>
      <c r="B4130" s="50">
        <v>44556.3629635879</v>
      </c>
      <c r="C4130" s="51">
        <v>1.009</v>
      </c>
      <c r="D4130" s="51">
        <v>64.0</v>
      </c>
      <c r="E4130" s="52" t="s">
        <v>25</v>
      </c>
      <c r="F4130" s="52" t="s">
        <v>26</v>
      </c>
      <c r="G4130" s="53"/>
    </row>
    <row r="4131">
      <c r="A4131" s="49">
        <v>44556.2484133449</v>
      </c>
      <c r="B4131" s="50">
        <v>44556.3733843634</v>
      </c>
      <c r="C4131" s="51">
        <v>1.009</v>
      </c>
      <c r="D4131" s="51">
        <v>64.0</v>
      </c>
      <c r="E4131" s="52" t="s">
        <v>25</v>
      </c>
      <c r="F4131" s="52" t="s">
        <v>26</v>
      </c>
      <c r="G4131" s="53"/>
    </row>
    <row r="4132">
      <c r="A4132" s="49">
        <v>44556.25883291667</v>
      </c>
      <c r="B4132" s="50">
        <v>44556.3838060069</v>
      </c>
      <c r="C4132" s="51">
        <v>1.009</v>
      </c>
      <c r="D4132" s="51">
        <v>64.0</v>
      </c>
      <c r="E4132" s="52" t="s">
        <v>25</v>
      </c>
      <c r="F4132" s="52" t="s">
        <v>26</v>
      </c>
      <c r="G4132" s="53"/>
    </row>
    <row r="4133">
      <c r="A4133" s="49">
        <v>44556.26925831019</v>
      </c>
      <c r="B4133" s="50">
        <v>44556.3942294907</v>
      </c>
      <c r="C4133" s="51">
        <v>1.009</v>
      </c>
      <c r="D4133" s="51">
        <v>64.0</v>
      </c>
      <c r="E4133" s="52" t="s">
        <v>25</v>
      </c>
      <c r="F4133" s="52" t="s">
        <v>26</v>
      </c>
      <c r="G4133" s="53"/>
    </row>
    <row r="4134">
      <c r="A4134" s="49">
        <v>44556.279684803245</v>
      </c>
      <c r="B4134" s="50">
        <v>44556.4046498726</v>
      </c>
      <c r="C4134" s="51">
        <v>1.009</v>
      </c>
      <c r="D4134" s="51">
        <v>64.0</v>
      </c>
      <c r="E4134" s="52" t="s">
        <v>25</v>
      </c>
      <c r="F4134" s="52" t="s">
        <v>26</v>
      </c>
      <c r="G4134" s="53"/>
    </row>
    <row r="4135">
      <c r="A4135" s="49">
        <v>44556.290105277774</v>
      </c>
      <c r="B4135" s="50">
        <v>44556.4150702199</v>
      </c>
      <c r="C4135" s="51">
        <v>1.009</v>
      </c>
      <c r="D4135" s="51">
        <v>64.0</v>
      </c>
      <c r="E4135" s="52" t="s">
        <v>25</v>
      </c>
      <c r="F4135" s="52" t="s">
        <v>26</v>
      </c>
      <c r="G4135" s="53"/>
    </row>
    <row r="4136">
      <c r="A4136" s="49">
        <v>44556.30052518519</v>
      </c>
      <c r="B4136" s="50">
        <v>44556.425490868</v>
      </c>
      <c r="C4136" s="51">
        <v>1.009</v>
      </c>
      <c r="D4136" s="51">
        <v>64.0</v>
      </c>
      <c r="E4136" s="52" t="s">
        <v>25</v>
      </c>
      <c r="F4136" s="52" t="s">
        <v>26</v>
      </c>
      <c r="G4136" s="53"/>
    </row>
    <row r="4137">
      <c r="A4137" s="49">
        <v>44556.31094953704</v>
      </c>
      <c r="B4137" s="50">
        <v>44556.4359104282</v>
      </c>
      <c r="C4137" s="51">
        <v>1.009</v>
      </c>
      <c r="D4137" s="51">
        <v>64.0</v>
      </c>
      <c r="E4137" s="52" t="s">
        <v>25</v>
      </c>
      <c r="F4137" s="52" t="s">
        <v>26</v>
      </c>
      <c r="G4137" s="53"/>
    </row>
    <row r="4138">
      <c r="A4138" s="49">
        <v>44556.321367743054</v>
      </c>
      <c r="B4138" s="50">
        <v>44556.4463306481</v>
      </c>
      <c r="C4138" s="51">
        <v>1.009</v>
      </c>
      <c r="D4138" s="51">
        <v>64.0</v>
      </c>
      <c r="E4138" s="52" t="s">
        <v>25</v>
      </c>
      <c r="F4138" s="52" t="s">
        <v>26</v>
      </c>
      <c r="G4138" s="53"/>
    </row>
    <row r="4139">
      <c r="A4139" s="49">
        <v>44556.331786180555</v>
      </c>
      <c r="B4139" s="50">
        <v>44556.4567540162</v>
      </c>
      <c r="C4139" s="51">
        <v>1.009</v>
      </c>
      <c r="D4139" s="51">
        <v>64.0</v>
      </c>
      <c r="E4139" s="52" t="s">
        <v>25</v>
      </c>
      <c r="F4139" s="52" t="s">
        <v>26</v>
      </c>
      <c r="G4139" s="53"/>
    </row>
    <row r="4140">
      <c r="A4140" s="49">
        <v>44556.34220971065</v>
      </c>
      <c r="B4140" s="50">
        <v>44556.4671754745</v>
      </c>
      <c r="C4140" s="51">
        <v>1.009</v>
      </c>
      <c r="D4140" s="51">
        <v>64.0</v>
      </c>
      <c r="E4140" s="52" t="s">
        <v>25</v>
      </c>
      <c r="F4140" s="52" t="s">
        <v>26</v>
      </c>
      <c r="G4140" s="53"/>
    </row>
    <row r="4141">
      <c r="A4141" s="49">
        <v>44556.352645555555</v>
      </c>
      <c r="B4141" s="50">
        <v>44556.47760875</v>
      </c>
      <c r="C4141" s="51">
        <v>1.009</v>
      </c>
      <c r="D4141" s="51">
        <v>64.0</v>
      </c>
      <c r="E4141" s="52" t="s">
        <v>25</v>
      </c>
      <c r="F4141" s="52" t="s">
        <v>26</v>
      </c>
      <c r="G4141" s="53"/>
    </row>
    <row r="4142">
      <c r="A4142" s="49">
        <v>44556.36305609954</v>
      </c>
      <c r="B4142" s="50">
        <v>44556.4880298379</v>
      </c>
      <c r="C4142" s="51">
        <v>1.009</v>
      </c>
      <c r="D4142" s="51">
        <v>64.0</v>
      </c>
      <c r="E4142" s="52" t="s">
        <v>25</v>
      </c>
      <c r="F4142" s="52" t="s">
        <v>26</v>
      </c>
      <c r="G4142" s="53"/>
    </row>
    <row r="4143">
      <c r="A4143" s="49">
        <v>44556.37348288194</v>
      </c>
      <c r="B4143" s="50">
        <v>44556.4984509837</v>
      </c>
      <c r="C4143" s="51">
        <v>1.009</v>
      </c>
      <c r="D4143" s="51">
        <v>64.0</v>
      </c>
      <c r="E4143" s="52" t="s">
        <v>25</v>
      </c>
      <c r="F4143" s="52" t="s">
        <v>26</v>
      </c>
      <c r="G4143" s="53"/>
    </row>
    <row r="4144">
      <c r="A4144" s="49">
        <v>44556.38391418981</v>
      </c>
      <c r="B4144" s="50">
        <v>44556.5088719907</v>
      </c>
      <c r="C4144" s="51">
        <v>1.009</v>
      </c>
      <c r="D4144" s="51">
        <v>64.0</v>
      </c>
      <c r="E4144" s="52" t="s">
        <v>25</v>
      </c>
      <c r="F4144" s="52" t="s">
        <v>26</v>
      </c>
      <c r="G4144" s="53"/>
    </row>
    <row r="4145">
      <c r="A4145" s="49">
        <v>44556.3943703125</v>
      </c>
      <c r="B4145" s="50">
        <v>44556.5192921064</v>
      </c>
      <c r="C4145" s="51">
        <v>1.009</v>
      </c>
      <c r="D4145" s="51">
        <v>64.0</v>
      </c>
      <c r="E4145" s="52" t="s">
        <v>25</v>
      </c>
      <c r="F4145" s="52" t="s">
        <v>26</v>
      </c>
      <c r="G4145" s="53"/>
    </row>
    <row r="4146">
      <c r="A4146" s="49">
        <v>44556.404748229164</v>
      </c>
      <c r="B4146" s="50">
        <v>44556.5297125115</v>
      </c>
      <c r="C4146" s="51">
        <v>1.009</v>
      </c>
      <c r="D4146" s="51">
        <v>64.0</v>
      </c>
      <c r="E4146" s="52" t="s">
        <v>25</v>
      </c>
      <c r="F4146" s="52" t="s">
        <v>26</v>
      </c>
      <c r="G4146" s="53"/>
    </row>
    <row r="4147">
      <c r="A4147" s="49">
        <v>44556.41516582176</v>
      </c>
      <c r="B4147" s="50">
        <v>44556.5401340972</v>
      </c>
      <c r="C4147" s="51">
        <v>1.009</v>
      </c>
      <c r="D4147" s="51">
        <v>64.0</v>
      </c>
      <c r="E4147" s="52" t="s">
        <v>25</v>
      </c>
      <c r="F4147" s="52" t="s">
        <v>26</v>
      </c>
      <c r="G4147" s="53"/>
    </row>
    <row r="4148">
      <c r="A4148" s="49">
        <v>44556.42560398148</v>
      </c>
      <c r="B4148" s="50">
        <v>44556.5505677893</v>
      </c>
      <c r="C4148" s="51">
        <v>1.009</v>
      </c>
      <c r="D4148" s="51">
        <v>64.0</v>
      </c>
      <c r="E4148" s="52" t="s">
        <v>25</v>
      </c>
      <c r="F4148" s="52" t="s">
        <v>26</v>
      </c>
      <c r="G4148" s="53"/>
    </row>
    <row r="4149">
      <c r="A4149" s="49">
        <v>44556.43602306713</v>
      </c>
      <c r="B4149" s="50">
        <v>44556.5609977314</v>
      </c>
      <c r="C4149" s="51">
        <v>1.009</v>
      </c>
      <c r="D4149" s="51">
        <v>64.0</v>
      </c>
      <c r="E4149" s="52" t="s">
        <v>25</v>
      </c>
      <c r="F4149" s="52" t="s">
        <v>26</v>
      </c>
      <c r="G4149" s="53"/>
    </row>
    <row r="4150">
      <c r="A4150" s="49">
        <v>44556.446466469904</v>
      </c>
      <c r="B4150" s="50">
        <v>44556.5714430671</v>
      </c>
      <c r="C4150" s="51">
        <v>1.009</v>
      </c>
      <c r="D4150" s="51">
        <v>64.0</v>
      </c>
      <c r="E4150" s="52" t="s">
        <v>25</v>
      </c>
      <c r="F4150" s="52" t="s">
        <v>26</v>
      </c>
      <c r="G4150" s="53"/>
    </row>
    <row r="4151">
      <c r="A4151" s="49">
        <v>44556.45689783565</v>
      </c>
      <c r="B4151" s="50">
        <v>44556.5818661458</v>
      </c>
      <c r="C4151" s="51">
        <v>1.009</v>
      </c>
      <c r="D4151" s="51">
        <v>64.0</v>
      </c>
      <c r="E4151" s="52" t="s">
        <v>25</v>
      </c>
      <c r="F4151" s="52" t="s">
        <v>26</v>
      </c>
      <c r="G4151" s="53"/>
    </row>
    <row r="4152">
      <c r="A4152" s="49">
        <v>44556.46734128472</v>
      </c>
      <c r="B4152" s="50">
        <v>44556.5922863078</v>
      </c>
      <c r="C4152" s="51">
        <v>1.009</v>
      </c>
      <c r="D4152" s="51">
        <v>64.0</v>
      </c>
      <c r="E4152" s="52" t="s">
        <v>25</v>
      </c>
      <c r="F4152" s="52" t="s">
        <v>26</v>
      </c>
      <c r="G4152" s="53"/>
    </row>
    <row r="4153">
      <c r="A4153" s="49">
        <v>44556.47773859954</v>
      </c>
      <c r="B4153" s="50">
        <v>44556.6027072338</v>
      </c>
      <c r="C4153" s="51">
        <v>1.009</v>
      </c>
      <c r="D4153" s="51">
        <v>64.0</v>
      </c>
      <c r="E4153" s="52" t="s">
        <v>25</v>
      </c>
      <c r="F4153" s="52" t="s">
        <v>26</v>
      </c>
      <c r="G4153" s="53"/>
    </row>
    <row r="4154">
      <c r="A4154" s="49">
        <v>44556.48815824074</v>
      </c>
      <c r="B4154" s="50">
        <v>44556.6131294675</v>
      </c>
      <c r="C4154" s="51">
        <v>1.009</v>
      </c>
      <c r="D4154" s="51">
        <v>64.0</v>
      </c>
      <c r="E4154" s="52" t="s">
        <v>25</v>
      </c>
      <c r="F4154" s="52" t="s">
        <v>26</v>
      </c>
      <c r="G4154" s="53"/>
    </row>
    <row r="4155">
      <c r="A4155" s="49">
        <v>44556.49858127315</v>
      </c>
      <c r="B4155" s="50">
        <v>44556.6235508796</v>
      </c>
      <c r="C4155" s="51">
        <v>1.009</v>
      </c>
      <c r="D4155" s="51">
        <v>64.0</v>
      </c>
      <c r="E4155" s="52" t="s">
        <v>25</v>
      </c>
      <c r="F4155" s="52" t="s">
        <v>26</v>
      </c>
      <c r="G4155" s="53"/>
    </row>
    <row r="4156">
      <c r="A4156" s="49">
        <v>44556.50899695602</v>
      </c>
      <c r="B4156" s="50">
        <v>44556.6339718055</v>
      </c>
      <c r="C4156" s="51">
        <v>1.009</v>
      </c>
      <c r="D4156" s="51">
        <v>64.0</v>
      </c>
      <c r="E4156" s="52" t="s">
        <v>25</v>
      </c>
      <c r="F4156" s="52" t="s">
        <v>26</v>
      </c>
      <c r="G4156" s="53"/>
    </row>
    <row r="4157">
      <c r="A4157" s="49">
        <v>44556.51941837963</v>
      </c>
      <c r="B4157" s="50">
        <v>44556.6443925347</v>
      </c>
      <c r="C4157" s="51">
        <v>1.009</v>
      </c>
      <c r="D4157" s="51">
        <v>64.0</v>
      </c>
      <c r="E4157" s="52" t="s">
        <v>25</v>
      </c>
      <c r="F4157" s="52" t="s">
        <v>26</v>
      </c>
      <c r="G4157" s="53"/>
    </row>
    <row r="4158">
      <c r="A4158" s="49">
        <v>44556.52984200232</v>
      </c>
      <c r="B4158" s="50">
        <v>44556.6548143402</v>
      </c>
      <c r="C4158" s="51">
        <v>1.009</v>
      </c>
      <c r="D4158" s="51">
        <v>64.0</v>
      </c>
      <c r="E4158" s="52" t="s">
        <v>25</v>
      </c>
      <c r="F4158" s="52" t="s">
        <v>26</v>
      </c>
      <c r="G4158" s="53"/>
    </row>
    <row r="4159">
      <c r="A4159" s="49">
        <v>44556.54027096065</v>
      </c>
      <c r="B4159" s="50">
        <v>44556.665235706</v>
      </c>
      <c r="C4159" s="51">
        <v>1.009</v>
      </c>
      <c r="D4159" s="51">
        <v>64.0</v>
      </c>
      <c r="E4159" s="52" t="s">
        <v>25</v>
      </c>
      <c r="F4159" s="52" t="s">
        <v>26</v>
      </c>
      <c r="G4159" s="53"/>
    </row>
    <row r="4160">
      <c r="A4160" s="49">
        <v>44556.55072157407</v>
      </c>
      <c r="B4160" s="50">
        <v>44556.6756911111</v>
      </c>
      <c r="C4160" s="51">
        <v>1.009</v>
      </c>
      <c r="D4160" s="51">
        <v>64.0</v>
      </c>
      <c r="E4160" s="52" t="s">
        <v>25</v>
      </c>
      <c r="F4160" s="52" t="s">
        <v>26</v>
      </c>
      <c r="G4160" s="53"/>
    </row>
    <row r="4161">
      <c r="A4161" s="49">
        <v>44556.56113987269</v>
      </c>
      <c r="B4161" s="50">
        <v>44556.6861111458</v>
      </c>
      <c r="C4161" s="51">
        <v>1.009</v>
      </c>
      <c r="D4161" s="51">
        <v>64.0</v>
      </c>
      <c r="E4161" s="52" t="s">
        <v>25</v>
      </c>
      <c r="F4161" s="52" t="s">
        <v>26</v>
      </c>
      <c r="G4161" s="53"/>
    </row>
    <row r="4162">
      <c r="A4162" s="49">
        <v>44556.571559675926</v>
      </c>
      <c r="B4162" s="50">
        <v>44556.6965320023</v>
      </c>
      <c r="C4162" s="51">
        <v>1.009</v>
      </c>
      <c r="D4162" s="51">
        <v>64.0</v>
      </c>
      <c r="E4162" s="52" t="s">
        <v>25</v>
      </c>
      <c r="F4162" s="52" t="s">
        <v>26</v>
      </c>
      <c r="G4162" s="53"/>
    </row>
    <row r="4163">
      <c r="A4163" s="49">
        <v>44556.58198471065</v>
      </c>
      <c r="B4163" s="50">
        <v>44556.7069539814</v>
      </c>
      <c r="C4163" s="51">
        <v>1.009</v>
      </c>
      <c r="D4163" s="51">
        <v>64.0</v>
      </c>
      <c r="E4163" s="52" t="s">
        <v>25</v>
      </c>
      <c r="F4163" s="52" t="s">
        <v>26</v>
      </c>
      <c r="G4163" s="53"/>
    </row>
    <row r="4164">
      <c r="A4164" s="49">
        <v>44556.59240504629</v>
      </c>
      <c r="B4164" s="50">
        <v>44556.7173748842</v>
      </c>
      <c r="C4164" s="51">
        <v>1.009</v>
      </c>
      <c r="D4164" s="51">
        <v>64.0</v>
      </c>
      <c r="E4164" s="52" t="s">
        <v>25</v>
      </c>
      <c r="F4164" s="52" t="s">
        <v>26</v>
      </c>
      <c r="G4164" s="53"/>
    </row>
    <row r="4165">
      <c r="A4165" s="49">
        <v>44556.60282857639</v>
      </c>
      <c r="B4165" s="50">
        <v>44556.7277959027</v>
      </c>
      <c r="C4165" s="51">
        <v>1.009</v>
      </c>
      <c r="D4165" s="51">
        <v>64.0</v>
      </c>
      <c r="E4165" s="52" t="s">
        <v>25</v>
      </c>
      <c r="F4165" s="52" t="s">
        <v>26</v>
      </c>
      <c r="G4165" s="53"/>
    </row>
    <row r="4166">
      <c r="A4166" s="49">
        <v>44556.613248634254</v>
      </c>
      <c r="B4166" s="50">
        <v>44556.7382165162</v>
      </c>
      <c r="C4166" s="51">
        <v>1.009</v>
      </c>
      <c r="D4166" s="51">
        <v>64.0</v>
      </c>
      <c r="E4166" s="52" t="s">
        <v>25</v>
      </c>
      <c r="F4166" s="52" t="s">
        <v>26</v>
      </c>
      <c r="G4166" s="53"/>
    </row>
    <row r="4167">
      <c r="A4167" s="49">
        <v>44556.62370969907</v>
      </c>
      <c r="B4167" s="50">
        <v>44556.7486717476</v>
      </c>
      <c r="C4167" s="51">
        <v>1.009</v>
      </c>
      <c r="D4167" s="51">
        <v>64.0</v>
      </c>
      <c r="E4167" s="52" t="s">
        <v>25</v>
      </c>
      <c r="F4167" s="52" t="s">
        <v>26</v>
      </c>
      <c r="G4167" s="53"/>
    </row>
    <row r="4168">
      <c r="A4168" s="49">
        <v>44556.63411670139</v>
      </c>
      <c r="B4168" s="50">
        <v>44556.7590911342</v>
      </c>
      <c r="C4168" s="51">
        <v>1.009</v>
      </c>
      <c r="D4168" s="51">
        <v>64.0</v>
      </c>
      <c r="E4168" s="52" t="s">
        <v>25</v>
      </c>
      <c r="F4168" s="52" t="s">
        <v>26</v>
      </c>
      <c r="G4168" s="53"/>
    </row>
    <row r="4169">
      <c r="A4169" s="49">
        <v>44556.644541539354</v>
      </c>
      <c r="B4169" s="50">
        <v>44556.7695124537</v>
      </c>
      <c r="C4169" s="51">
        <v>1.009</v>
      </c>
      <c r="D4169" s="51">
        <v>64.0</v>
      </c>
      <c r="E4169" s="52" t="s">
        <v>25</v>
      </c>
      <c r="F4169" s="52" t="s">
        <v>26</v>
      </c>
      <c r="G4169" s="53"/>
    </row>
    <row r="4170">
      <c r="A4170" s="49">
        <v>44556.654966898146</v>
      </c>
      <c r="B4170" s="50">
        <v>44556.7799354629</v>
      </c>
      <c r="C4170" s="51">
        <v>1.009</v>
      </c>
      <c r="D4170" s="51">
        <v>64.0</v>
      </c>
      <c r="E4170" s="52" t="s">
        <v>25</v>
      </c>
      <c r="F4170" s="52" t="s">
        <v>26</v>
      </c>
      <c r="G4170" s="53"/>
    </row>
    <row r="4171">
      <c r="A4171" s="49">
        <v>44556.66538380787</v>
      </c>
      <c r="B4171" s="50">
        <v>44556.7903573611</v>
      </c>
      <c r="C4171" s="51">
        <v>1.009</v>
      </c>
      <c r="D4171" s="51">
        <v>64.0</v>
      </c>
      <c r="E4171" s="52" t="s">
        <v>25</v>
      </c>
      <c r="F4171" s="52" t="s">
        <v>26</v>
      </c>
      <c r="G4171" s="53"/>
    </row>
    <row r="4172">
      <c r="A4172" s="49">
        <v>44556.67581138889</v>
      </c>
      <c r="B4172" s="50">
        <v>44556.8007788773</v>
      </c>
      <c r="C4172" s="51">
        <v>1.009</v>
      </c>
      <c r="D4172" s="51">
        <v>64.0</v>
      </c>
      <c r="E4172" s="52" t="s">
        <v>25</v>
      </c>
      <c r="F4172" s="52" t="s">
        <v>26</v>
      </c>
      <c r="G4172" s="53"/>
    </row>
    <row r="4173">
      <c r="A4173" s="49">
        <v>44556.6862337037</v>
      </c>
      <c r="B4173" s="50">
        <v>44556.8111985648</v>
      </c>
      <c r="C4173" s="51">
        <v>1.009</v>
      </c>
      <c r="D4173" s="51">
        <v>64.0</v>
      </c>
      <c r="E4173" s="52" t="s">
        <v>25</v>
      </c>
      <c r="F4173" s="52" t="s">
        <v>26</v>
      </c>
      <c r="G4173" s="53"/>
    </row>
    <row r="4174">
      <c r="A4174" s="49">
        <v>44556.69664461806</v>
      </c>
      <c r="B4174" s="50">
        <v>44556.8216194444</v>
      </c>
      <c r="C4174" s="51">
        <v>1.009</v>
      </c>
      <c r="D4174" s="51">
        <v>64.0</v>
      </c>
      <c r="E4174" s="52" t="s">
        <v>25</v>
      </c>
      <c r="F4174" s="52" t="s">
        <v>26</v>
      </c>
      <c r="G4174" s="53"/>
    </row>
    <row r="4175">
      <c r="A4175" s="49">
        <v>44556.70709401621</v>
      </c>
      <c r="B4175" s="50">
        <v>44556.8320645601</v>
      </c>
      <c r="C4175" s="51">
        <v>1.009</v>
      </c>
      <c r="D4175" s="51">
        <v>64.0</v>
      </c>
      <c r="E4175" s="52" t="s">
        <v>25</v>
      </c>
      <c r="F4175" s="52" t="s">
        <v>26</v>
      </c>
      <c r="G4175" s="53"/>
    </row>
    <row r="4176">
      <c r="A4176" s="49">
        <v>44556.71753325232</v>
      </c>
      <c r="B4176" s="50">
        <v>44556.8424983912</v>
      </c>
      <c r="C4176" s="51">
        <v>1.009</v>
      </c>
      <c r="D4176" s="51">
        <v>64.0</v>
      </c>
      <c r="E4176" s="52" t="s">
        <v>25</v>
      </c>
      <c r="F4176" s="52" t="s">
        <v>26</v>
      </c>
      <c r="G4176" s="53"/>
    </row>
    <row r="4177">
      <c r="A4177" s="49">
        <v>44556.72795674768</v>
      </c>
      <c r="B4177" s="50">
        <v>44556.8529210185</v>
      </c>
      <c r="C4177" s="51">
        <v>1.009</v>
      </c>
      <c r="D4177" s="51">
        <v>64.0</v>
      </c>
      <c r="E4177" s="52" t="s">
        <v>25</v>
      </c>
      <c r="F4177" s="52" t="s">
        <v>26</v>
      </c>
      <c r="G4177" s="53"/>
    </row>
    <row r="4178">
      <c r="A4178" s="49">
        <v>44556.73837997685</v>
      </c>
      <c r="B4178" s="50">
        <v>44556.8633516087</v>
      </c>
      <c r="C4178" s="51">
        <v>1.009</v>
      </c>
      <c r="D4178" s="51">
        <v>64.0</v>
      </c>
      <c r="E4178" s="52" t="s">
        <v>25</v>
      </c>
      <c r="F4178" s="52" t="s">
        <v>26</v>
      </c>
      <c r="G4178" s="53"/>
    </row>
    <row r="4179">
      <c r="A4179" s="49">
        <v>44556.748808634264</v>
      </c>
      <c r="B4179" s="50">
        <v>44556.8737737615</v>
      </c>
      <c r="C4179" s="51">
        <v>1.009</v>
      </c>
      <c r="D4179" s="51">
        <v>64.0</v>
      </c>
      <c r="E4179" s="52" t="s">
        <v>25</v>
      </c>
      <c r="F4179" s="52" t="s">
        <v>26</v>
      </c>
      <c r="G4179" s="53"/>
    </row>
    <row r="4180">
      <c r="A4180" s="49">
        <v>44556.759255428246</v>
      </c>
      <c r="B4180" s="50">
        <v>44556.8842298958</v>
      </c>
      <c r="C4180" s="51">
        <v>1.009</v>
      </c>
      <c r="D4180" s="51">
        <v>64.0</v>
      </c>
      <c r="E4180" s="52" t="s">
        <v>25</v>
      </c>
      <c r="F4180" s="52" t="s">
        <v>26</v>
      </c>
      <c r="G4180" s="53"/>
    </row>
    <row r="4181">
      <c r="A4181" s="49">
        <v>44556.76967886574</v>
      </c>
      <c r="B4181" s="50">
        <v>44556.8946506828</v>
      </c>
      <c r="C4181" s="51">
        <v>1.009</v>
      </c>
      <c r="D4181" s="51">
        <v>64.0</v>
      </c>
      <c r="E4181" s="52" t="s">
        <v>25</v>
      </c>
      <c r="F4181" s="52" t="s">
        <v>26</v>
      </c>
      <c r="G4181" s="53"/>
    </row>
    <row r="4182">
      <c r="A4182" s="49">
        <v>44556.78010616898</v>
      </c>
      <c r="B4182" s="50">
        <v>44556.9050737152</v>
      </c>
      <c r="C4182" s="51">
        <v>1.009</v>
      </c>
      <c r="D4182" s="51">
        <v>64.0</v>
      </c>
      <c r="E4182" s="52" t="s">
        <v>25</v>
      </c>
      <c r="F4182" s="52" t="s">
        <v>26</v>
      </c>
      <c r="G4182" s="53"/>
    </row>
    <row r="4183">
      <c r="A4183" s="49">
        <v>44556.79052490741</v>
      </c>
      <c r="B4183" s="50">
        <v>44556.9154935416</v>
      </c>
      <c r="C4183" s="51">
        <v>1.009</v>
      </c>
      <c r="D4183" s="51">
        <v>64.0</v>
      </c>
      <c r="E4183" s="52" t="s">
        <v>25</v>
      </c>
      <c r="F4183" s="52" t="s">
        <v>26</v>
      </c>
      <c r="G4183" s="53"/>
    </row>
    <row r="4184">
      <c r="A4184" s="49">
        <v>44556.80094592593</v>
      </c>
      <c r="B4184" s="50">
        <v>44556.9259148148</v>
      </c>
      <c r="C4184" s="51">
        <v>1.009</v>
      </c>
      <c r="D4184" s="51">
        <v>64.0</v>
      </c>
      <c r="E4184" s="52" t="s">
        <v>25</v>
      </c>
      <c r="F4184" s="52" t="s">
        <v>26</v>
      </c>
      <c r="G4184" s="53"/>
    </row>
    <row r="4185">
      <c r="A4185" s="49">
        <v>44556.8113662963</v>
      </c>
      <c r="B4185" s="50">
        <v>44556.9363366435</v>
      </c>
      <c r="C4185" s="51">
        <v>1.009</v>
      </c>
      <c r="D4185" s="51">
        <v>64.0</v>
      </c>
      <c r="E4185" s="52" t="s">
        <v>25</v>
      </c>
      <c r="F4185" s="52" t="s">
        <v>26</v>
      </c>
      <c r="G4185" s="53"/>
    </row>
    <row r="4186">
      <c r="A4186" s="49">
        <v>44556.821793379626</v>
      </c>
      <c r="B4186" s="50">
        <v>44556.9467562268</v>
      </c>
      <c r="C4186" s="51">
        <v>1.009</v>
      </c>
      <c r="D4186" s="51">
        <v>64.0</v>
      </c>
      <c r="E4186" s="52" t="s">
        <v>25</v>
      </c>
      <c r="F4186" s="52" t="s">
        <v>26</v>
      </c>
      <c r="G4186" s="53"/>
    </row>
    <row r="4187">
      <c r="A4187" s="49">
        <v>44556.83221581018</v>
      </c>
      <c r="B4187" s="50">
        <v>44556.95718</v>
      </c>
      <c r="C4187" s="51">
        <v>1.009</v>
      </c>
      <c r="D4187" s="51">
        <v>64.0</v>
      </c>
      <c r="E4187" s="52" t="s">
        <v>25</v>
      </c>
      <c r="F4187" s="52" t="s">
        <v>26</v>
      </c>
      <c r="G4187" s="53"/>
    </row>
    <row r="4188">
      <c r="A4188" s="49">
        <v>44556.842647453705</v>
      </c>
      <c r="B4188" s="50">
        <v>44556.9676126736</v>
      </c>
      <c r="C4188" s="51">
        <v>1.009</v>
      </c>
      <c r="D4188" s="51">
        <v>64.0</v>
      </c>
      <c r="E4188" s="52" t="s">
        <v>25</v>
      </c>
      <c r="F4188" s="52" t="s">
        <v>26</v>
      </c>
      <c r="G4188" s="53"/>
    </row>
    <row r="4189">
      <c r="A4189" s="49">
        <v>44556.853068888886</v>
      </c>
      <c r="B4189" s="50">
        <v>44556.9780342592</v>
      </c>
      <c r="C4189" s="51">
        <v>1.009</v>
      </c>
      <c r="D4189" s="51">
        <v>64.0</v>
      </c>
      <c r="E4189" s="52" t="s">
        <v>25</v>
      </c>
      <c r="F4189" s="52" t="s">
        <v>26</v>
      </c>
      <c r="G4189" s="53"/>
    </row>
    <row r="4190">
      <c r="A4190" s="49">
        <v>44556.86348347222</v>
      </c>
      <c r="B4190" s="50">
        <v>44556.9884546412</v>
      </c>
      <c r="C4190" s="51">
        <v>1.009</v>
      </c>
      <c r="D4190" s="51">
        <v>64.0</v>
      </c>
      <c r="E4190" s="52" t="s">
        <v>25</v>
      </c>
      <c r="F4190" s="52" t="s">
        <v>26</v>
      </c>
      <c r="G4190" s="53"/>
    </row>
    <row r="4191">
      <c r="A4191" s="49">
        <v>44556.87392061343</v>
      </c>
      <c r="B4191" s="50">
        <v>44556.9988869097</v>
      </c>
      <c r="C4191" s="51">
        <v>1.009</v>
      </c>
      <c r="D4191" s="51">
        <v>64.0</v>
      </c>
      <c r="E4191" s="52" t="s">
        <v>25</v>
      </c>
      <c r="F4191" s="52" t="s">
        <v>26</v>
      </c>
      <c r="G4191" s="53"/>
    </row>
    <row r="4192">
      <c r="A4192" s="49">
        <v>44556.88469189814</v>
      </c>
      <c r="B4192" s="50">
        <v>44557.0093073263</v>
      </c>
      <c r="C4192" s="51">
        <v>1.009</v>
      </c>
      <c r="D4192" s="51">
        <v>64.0</v>
      </c>
      <c r="E4192" s="52" t="s">
        <v>25</v>
      </c>
      <c r="F4192" s="52" t="s">
        <v>26</v>
      </c>
      <c r="G4192" s="53"/>
    </row>
    <row r="4193">
      <c r="A4193" s="49">
        <v>44556.894758483795</v>
      </c>
      <c r="B4193" s="50">
        <v>44557.0197281597</v>
      </c>
      <c r="C4193" s="51">
        <v>1.009</v>
      </c>
      <c r="D4193" s="51">
        <v>64.0</v>
      </c>
      <c r="E4193" s="52" t="s">
        <v>25</v>
      </c>
      <c r="F4193" s="52" t="s">
        <v>26</v>
      </c>
      <c r="G4193" s="53"/>
    </row>
    <row r="4194">
      <c r="A4194" s="49">
        <v>44556.90517719908</v>
      </c>
      <c r="B4194" s="50">
        <v>44557.0301481712</v>
      </c>
      <c r="C4194" s="51">
        <v>1.009</v>
      </c>
      <c r="D4194" s="51">
        <v>64.0</v>
      </c>
      <c r="E4194" s="52" t="s">
        <v>25</v>
      </c>
      <c r="F4194" s="52" t="s">
        <v>26</v>
      </c>
      <c r="G4194" s="53"/>
    </row>
    <row r="4195">
      <c r="A4195" s="49">
        <v>44556.91561576389</v>
      </c>
      <c r="B4195" s="50">
        <v>44557.0405691782</v>
      </c>
      <c r="C4195" s="51">
        <v>1.009</v>
      </c>
      <c r="D4195" s="51">
        <v>64.0</v>
      </c>
      <c r="E4195" s="52" t="s">
        <v>25</v>
      </c>
      <c r="F4195" s="52" t="s">
        <v>26</v>
      </c>
      <c r="G4195" s="53"/>
    </row>
    <row r="4196">
      <c r="A4196" s="49">
        <v>44556.92602908565</v>
      </c>
      <c r="B4196" s="50">
        <v>44557.0509999652</v>
      </c>
      <c r="C4196" s="51">
        <v>1.009</v>
      </c>
      <c r="D4196" s="51">
        <v>64.0</v>
      </c>
      <c r="E4196" s="52" t="s">
        <v>25</v>
      </c>
      <c r="F4196" s="52" t="s">
        <v>26</v>
      </c>
      <c r="G4196" s="53"/>
    </row>
    <row r="4197">
      <c r="A4197" s="49">
        <v>44556.93645504629</v>
      </c>
      <c r="B4197" s="50">
        <v>44557.0614211574</v>
      </c>
      <c r="C4197" s="51">
        <v>1.009</v>
      </c>
      <c r="D4197" s="51">
        <v>64.0</v>
      </c>
      <c r="E4197" s="52" t="s">
        <v>25</v>
      </c>
      <c r="F4197" s="52" t="s">
        <v>26</v>
      </c>
      <c r="G4197" s="53"/>
    </row>
    <row r="4198">
      <c r="A4198" s="49">
        <v>44556.94687434028</v>
      </c>
      <c r="B4198" s="50">
        <v>44557.0718409606</v>
      </c>
      <c r="C4198" s="51">
        <v>1.009</v>
      </c>
      <c r="D4198" s="51">
        <v>64.0</v>
      </c>
      <c r="E4198" s="52" t="s">
        <v>25</v>
      </c>
      <c r="F4198" s="52" t="s">
        <v>26</v>
      </c>
      <c r="G4198" s="53"/>
    </row>
    <row r="4199">
      <c r="A4199" s="49">
        <v>44556.95755313657</v>
      </c>
      <c r="B4199" s="50">
        <v>44557.0822624074</v>
      </c>
      <c r="C4199" s="51">
        <v>1.009</v>
      </c>
      <c r="D4199" s="51">
        <v>64.0</v>
      </c>
      <c r="E4199" s="52" t="s">
        <v>25</v>
      </c>
      <c r="F4199" s="52" t="s">
        <v>26</v>
      </c>
      <c r="G4199" s="53"/>
    </row>
    <row r="4200">
      <c r="A4200" s="49">
        <v>44556.967714328704</v>
      </c>
      <c r="B4200" s="50">
        <v>44557.0926828587</v>
      </c>
      <c r="C4200" s="51">
        <v>1.009</v>
      </c>
      <c r="D4200" s="51">
        <v>64.0</v>
      </c>
      <c r="E4200" s="52" t="s">
        <v>25</v>
      </c>
      <c r="F4200" s="52" t="s">
        <v>26</v>
      </c>
      <c r="G4200" s="53"/>
    </row>
    <row r="4201">
      <c r="A4201" s="49">
        <v>44556.97813300926</v>
      </c>
      <c r="B4201" s="50">
        <v>44557.1031029976</v>
      </c>
      <c r="C4201" s="51">
        <v>1.009</v>
      </c>
      <c r="D4201" s="51">
        <v>64.0</v>
      </c>
      <c r="E4201" s="52" t="s">
        <v>25</v>
      </c>
      <c r="F4201" s="52" t="s">
        <v>26</v>
      </c>
      <c r="G4201" s="53"/>
    </row>
    <row r="4202">
      <c r="A4202" s="49">
        <v>44556.988550787035</v>
      </c>
      <c r="B4202" s="50">
        <v>44557.1135228009</v>
      </c>
      <c r="C4202" s="51">
        <v>1.009</v>
      </c>
      <c r="D4202" s="51">
        <v>64.0</v>
      </c>
      <c r="E4202" s="52" t="s">
        <v>25</v>
      </c>
      <c r="F4202" s="52" t="s">
        <v>26</v>
      </c>
      <c r="G4202" s="53"/>
    </row>
    <row r="4203">
      <c r="A4203" s="49">
        <v>44556.99898584491</v>
      </c>
      <c r="B4203" s="50">
        <v>44557.1239554861</v>
      </c>
      <c r="C4203" s="51">
        <v>1.009</v>
      </c>
      <c r="D4203" s="51">
        <v>64.0</v>
      </c>
      <c r="E4203" s="52" t="s">
        <v>25</v>
      </c>
      <c r="F4203" s="52" t="s">
        <v>26</v>
      </c>
      <c r="G4203" s="53"/>
    </row>
    <row r="4204">
      <c r="A4204" s="49">
        <v>44557.00940892361</v>
      </c>
      <c r="B4204" s="50">
        <v>44557.1343780092</v>
      </c>
      <c r="C4204" s="51">
        <v>1.009</v>
      </c>
      <c r="D4204" s="51">
        <v>64.0</v>
      </c>
      <c r="E4204" s="52" t="s">
        <v>25</v>
      </c>
      <c r="F4204" s="52" t="s">
        <v>26</v>
      </c>
      <c r="G4204" s="53"/>
    </row>
    <row r="4205">
      <c r="A4205" s="49">
        <v>44557.01982765047</v>
      </c>
      <c r="B4205" s="50">
        <v>44557.1447994444</v>
      </c>
      <c r="C4205" s="51">
        <v>1.009</v>
      </c>
      <c r="D4205" s="51">
        <v>64.0</v>
      </c>
      <c r="E4205" s="52" t="s">
        <v>25</v>
      </c>
      <c r="F4205" s="52" t="s">
        <v>26</v>
      </c>
      <c r="G4205" s="53"/>
    </row>
    <row r="4206">
      <c r="A4206" s="49">
        <v>44557.030246608796</v>
      </c>
      <c r="B4206" s="50">
        <v>44557.1552217592</v>
      </c>
      <c r="C4206" s="51">
        <v>1.009</v>
      </c>
      <c r="D4206" s="51">
        <v>64.0</v>
      </c>
      <c r="E4206" s="52" t="s">
        <v>25</v>
      </c>
      <c r="F4206" s="52" t="s">
        <v>26</v>
      </c>
      <c r="G4206" s="53"/>
    </row>
    <row r="4207">
      <c r="A4207" s="49">
        <v>44557.04067958333</v>
      </c>
      <c r="B4207" s="50">
        <v>44557.1656444675</v>
      </c>
      <c r="C4207" s="51">
        <v>1.009</v>
      </c>
      <c r="D4207" s="51">
        <v>64.0</v>
      </c>
      <c r="E4207" s="52" t="s">
        <v>25</v>
      </c>
      <c r="F4207" s="52" t="s">
        <v>26</v>
      </c>
      <c r="G4207" s="53"/>
    </row>
    <row r="4208">
      <c r="A4208" s="49">
        <v>44557.05110355324</v>
      </c>
      <c r="B4208" s="50">
        <v>44557.176066875</v>
      </c>
      <c r="C4208" s="51">
        <v>1.009</v>
      </c>
      <c r="D4208" s="51">
        <v>63.0</v>
      </c>
      <c r="E4208" s="52" t="s">
        <v>25</v>
      </c>
      <c r="F4208" s="52" t="s">
        <v>26</v>
      </c>
      <c r="G4208" s="53"/>
    </row>
    <row r="4209">
      <c r="A4209" s="49">
        <v>44557.0615131713</v>
      </c>
      <c r="B4209" s="50">
        <v>44557.1864880902</v>
      </c>
      <c r="C4209" s="51">
        <v>1.009</v>
      </c>
      <c r="D4209" s="51">
        <v>63.0</v>
      </c>
      <c r="E4209" s="52" t="s">
        <v>25</v>
      </c>
      <c r="F4209" s="52" t="s">
        <v>26</v>
      </c>
      <c r="G4209" s="53"/>
    </row>
    <row r="4210">
      <c r="A4210" s="49">
        <v>44557.07194814815</v>
      </c>
      <c r="B4210" s="50">
        <v>44557.1969206134</v>
      </c>
      <c r="C4210" s="51">
        <v>1.009</v>
      </c>
      <c r="D4210" s="51">
        <v>63.0</v>
      </c>
      <c r="E4210" s="52" t="s">
        <v>25</v>
      </c>
      <c r="F4210" s="52" t="s">
        <v>26</v>
      </c>
      <c r="G4210" s="53"/>
    </row>
    <row r="4211">
      <c r="A4211" s="49">
        <v>44557.08238494213</v>
      </c>
      <c r="B4211" s="50">
        <v>44557.2073542592</v>
      </c>
      <c r="C4211" s="51">
        <v>1.009</v>
      </c>
      <c r="D4211" s="51">
        <v>63.0</v>
      </c>
      <c r="E4211" s="52" t="s">
        <v>25</v>
      </c>
      <c r="F4211" s="52" t="s">
        <v>26</v>
      </c>
      <c r="G4211" s="53"/>
    </row>
    <row r="4212">
      <c r="A4212" s="49">
        <v>44557.092812372684</v>
      </c>
      <c r="B4212" s="50">
        <v>44557.2177758911</v>
      </c>
      <c r="C4212" s="51">
        <v>1.009</v>
      </c>
      <c r="D4212" s="51">
        <v>63.0</v>
      </c>
      <c r="E4212" s="52" t="s">
        <v>25</v>
      </c>
      <c r="F4212" s="52" t="s">
        <v>26</v>
      </c>
      <c r="G4212" s="53"/>
    </row>
    <row r="4213">
      <c r="A4213" s="49">
        <v>44557.10322685185</v>
      </c>
      <c r="B4213" s="50">
        <v>44557.2281967939</v>
      </c>
      <c r="C4213" s="51">
        <v>1.009</v>
      </c>
      <c r="D4213" s="51">
        <v>63.0</v>
      </c>
      <c r="E4213" s="52" t="s">
        <v>25</v>
      </c>
      <c r="F4213" s="52" t="s">
        <v>26</v>
      </c>
      <c r="G4213" s="53"/>
    </row>
    <row r="4214">
      <c r="A4214" s="49">
        <v>44557.113662731485</v>
      </c>
      <c r="B4214" s="50">
        <v>44557.238631412</v>
      </c>
      <c r="C4214" s="51">
        <v>1.009</v>
      </c>
      <c r="D4214" s="51">
        <v>63.0</v>
      </c>
      <c r="E4214" s="52" t="s">
        <v>25</v>
      </c>
      <c r="F4214" s="52" t="s">
        <v>26</v>
      </c>
      <c r="G4214" s="53"/>
    </row>
    <row r="4215">
      <c r="A4215" s="49">
        <v>44557.124083125</v>
      </c>
      <c r="B4215" s="50">
        <v>44557.2490526736</v>
      </c>
      <c r="C4215" s="51">
        <v>1.009</v>
      </c>
      <c r="D4215" s="51">
        <v>63.0</v>
      </c>
      <c r="E4215" s="52" t="s">
        <v>25</v>
      </c>
      <c r="F4215" s="52" t="s">
        <v>26</v>
      </c>
      <c r="G4215" s="53"/>
    </row>
    <row r="4216">
      <c r="A4216" s="49">
        <v>44557.134507731476</v>
      </c>
      <c r="B4216" s="50">
        <v>44557.2594826736</v>
      </c>
      <c r="C4216" s="51">
        <v>1.009</v>
      </c>
      <c r="D4216" s="51">
        <v>63.0</v>
      </c>
      <c r="E4216" s="52" t="s">
        <v>25</v>
      </c>
      <c r="F4216" s="52" t="s">
        <v>26</v>
      </c>
      <c r="G4216" s="53"/>
    </row>
    <row r="4217">
      <c r="A4217" s="49">
        <v>44557.14493203704</v>
      </c>
      <c r="B4217" s="50">
        <v>44557.2699025231</v>
      </c>
      <c r="C4217" s="51">
        <v>1.009</v>
      </c>
      <c r="D4217" s="51">
        <v>63.0</v>
      </c>
      <c r="E4217" s="52" t="s">
        <v>25</v>
      </c>
      <c r="F4217" s="52" t="s">
        <v>26</v>
      </c>
      <c r="G4217" s="53"/>
    </row>
    <row r="4218">
      <c r="A4218" s="49">
        <v>44557.15536318287</v>
      </c>
      <c r="B4218" s="50">
        <v>44557.2803349189</v>
      </c>
      <c r="C4218" s="51">
        <v>1.009</v>
      </c>
      <c r="D4218" s="51">
        <v>63.0</v>
      </c>
      <c r="E4218" s="52" t="s">
        <v>25</v>
      </c>
      <c r="F4218" s="52" t="s">
        <v>26</v>
      </c>
      <c r="G4218" s="53"/>
    </row>
    <row r="4219">
      <c r="A4219" s="49">
        <v>44557.1657934838</v>
      </c>
      <c r="B4219" s="50">
        <v>44557.2907558101</v>
      </c>
      <c r="C4219" s="51">
        <v>1.009</v>
      </c>
      <c r="D4219" s="51">
        <v>63.0</v>
      </c>
      <c r="E4219" s="52" t="s">
        <v>25</v>
      </c>
      <c r="F4219" s="52" t="s">
        <v>26</v>
      </c>
      <c r="G4219" s="53"/>
    </row>
    <row r="4220">
      <c r="A4220" s="49">
        <v>44557.176211087964</v>
      </c>
      <c r="B4220" s="50">
        <v>44557.3011763425</v>
      </c>
      <c r="C4220" s="51">
        <v>1.009</v>
      </c>
      <c r="D4220" s="51">
        <v>63.0</v>
      </c>
      <c r="E4220" s="52" t="s">
        <v>25</v>
      </c>
      <c r="F4220" s="52" t="s">
        <v>26</v>
      </c>
      <c r="G4220" s="53"/>
    </row>
    <row r="4221">
      <c r="A4221" s="49">
        <v>44557.18663225694</v>
      </c>
      <c r="B4221" s="50">
        <v>44557.3115984374</v>
      </c>
      <c r="C4221" s="51">
        <v>1.009</v>
      </c>
      <c r="D4221" s="51">
        <v>63.0</v>
      </c>
      <c r="E4221" s="52" t="s">
        <v>25</v>
      </c>
      <c r="F4221" s="52" t="s">
        <v>26</v>
      </c>
      <c r="G4221" s="53"/>
    </row>
    <row r="4222">
      <c r="A4222" s="49">
        <v>44557.1970565625</v>
      </c>
      <c r="B4222" s="50">
        <v>44557.3220205671</v>
      </c>
      <c r="C4222" s="51">
        <v>1.009</v>
      </c>
      <c r="D4222" s="51">
        <v>63.0</v>
      </c>
      <c r="E4222" s="52" t="s">
        <v>25</v>
      </c>
      <c r="F4222" s="52" t="s">
        <v>26</v>
      </c>
      <c r="G4222" s="53"/>
    </row>
    <row r="4223">
      <c r="A4223" s="49">
        <v>44557.20749394676</v>
      </c>
      <c r="B4223" s="50">
        <v>44557.3324530671</v>
      </c>
      <c r="C4223" s="51">
        <v>1.009</v>
      </c>
      <c r="D4223" s="51">
        <v>63.0</v>
      </c>
      <c r="E4223" s="52" t="s">
        <v>25</v>
      </c>
      <c r="F4223" s="52" t="s">
        <v>26</v>
      </c>
      <c r="G4223" s="53"/>
    </row>
    <row r="4224">
      <c r="A4224" s="49">
        <v>44557.21794421296</v>
      </c>
      <c r="B4224" s="50">
        <v>44557.3429000231</v>
      </c>
      <c r="C4224" s="51">
        <v>1.009</v>
      </c>
      <c r="D4224" s="51">
        <v>63.0</v>
      </c>
      <c r="E4224" s="52" t="s">
        <v>25</v>
      </c>
      <c r="F4224" s="52" t="s">
        <v>26</v>
      </c>
      <c r="G4224" s="53"/>
    </row>
    <row r="4225">
      <c r="A4225" s="49">
        <v>44557.228367187505</v>
      </c>
      <c r="B4225" s="50">
        <v>44557.3533314351</v>
      </c>
      <c r="C4225" s="51">
        <v>1.009</v>
      </c>
      <c r="D4225" s="51">
        <v>63.0</v>
      </c>
      <c r="E4225" s="52" t="s">
        <v>25</v>
      </c>
      <c r="F4225" s="52" t="s">
        <v>26</v>
      </c>
      <c r="G4225" s="53"/>
    </row>
    <row r="4226">
      <c r="A4226" s="49">
        <v>44557.23877871528</v>
      </c>
      <c r="B4226" s="50">
        <v>44557.3637529861</v>
      </c>
      <c r="C4226" s="51">
        <v>1.009</v>
      </c>
      <c r="D4226" s="51">
        <v>63.0</v>
      </c>
      <c r="E4226" s="52" t="s">
        <v>25</v>
      </c>
      <c r="F4226" s="52" t="s">
        <v>26</v>
      </c>
      <c r="G4226" s="53"/>
    </row>
    <row r="4227">
      <c r="A4227" s="49">
        <v>44557.24920762732</v>
      </c>
      <c r="B4227" s="50">
        <v>44557.3741729398</v>
      </c>
      <c r="C4227" s="51">
        <v>1.009</v>
      </c>
      <c r="D4227" s="51">
        <v>63.0</v>
      </c>
      <c r="E4227" s="52" t="s">
        <v>25</v>
      </c>
      <c r="F4227" s="52" t="s">
        <v>26</v>
      </c>
      <c r="G4227" s="53"/>
    </row>
    <row r="4228">
      <c r="A4228" s="49">
        <v>44557.25963003472</v>
      </c>
      <c r="B4228" s="50">
        <v>44557.3845933564</v>
      </c>
      <c r="C4228" s="51">
        <v>1.009</v>
      </c>
      <c r="D4228" s="51">
        <v>63.0</v>
      </c>
      <c r="E4228" s="52" t="s">
        <v>25</v>
      </c>
      <c r="F4228" s="52" t="s">
        <v>26</v>
      </c>
      <c r="G4228" s="53"/>
    </row>
    <row r="4229">
      <c r="A4229" s="49">
        <v>44557.2700490162</v>
      </c>
      <c r="B4229" s="50">
        <v>44557.3950159259</v>
      </c>
      <c r="C4229" s="51">
        <v>1.009</v>
      </c>
      <c r="D4229" s="51">
        <v>63.0</v>
      </c>
      <c r="E4229" s="52" t="s">
        <v>25</v>
      </c>
      <c r="F4229" s="52" t="s">
        <v>26</v>
      </c>
      <c r="G4229" s="53"/>
    </row>
    <row r="4230">
      <c r="A4230" s="49">
        <v>44557.280475127314</v>
      </c>
      <c r="B4230" s="50">
        <v>44557.4054377893</v>
      </c>
      <c r="C4230" s="51">
        <v>1.009</v>
      </c>
      <c r="D4230" s="51">
        <v>63.0</v>
      </c>
      <c r="E4230" s="52" t="s">
        <v>25</v>
      </c>
      <c r="F4230" s="52" t="s">
        <v>26</v>
      </c>
      <c r="G4230" s="53"/>
    </row>
    <row r="4231">
      <c r="A4231" s="49">
        <v>44557.290889247684</v>
      </c>
      <c r="B4231" s="50">
        <v>44557.4158582986</v>
      </c>
      <c r="C4231" s="51">
        <v>1.009</v>
      </c>
      <c r="D4231" s="51">
        <v>63.0</v>
      </c>
      <c r="E4231" s="52" t="s">
        <v>25</v>
      </c>
      <c r="F4231" s="52" t="s">
        <v>26</v>
      </c>
      <c r="G4231" s="53"/>
    </row>
    <row r="4232">
      <c r="A4232" s="49">
        <v>44557.30131887732</v>
      </c>
      <c r="B4232" s="50">
        <v>44557.4262784374</v>
      </c>
      <c r="C4232" s="51">
        <v>1.009</v>
      </c>
      <c r="D4232" s="51">
        <v>63.0</v>
      </c>
      <c r="E4232" s="52" t="s">
        <v>25</v>
      </c>
      <c r="F4232" s="52" t="s">
        <v>26</v>
      </c>
      <c r="G4232" s="53"/>
    </row>
    <row r="4233">
      <c r="A4233" s="49">
        <v>44557.3117464699</v>
      </c>
      <c r="B4233" s="50">
        <v>44557.4367235185</v>
      </c>
      <c r="C4233" s="51">
        <v>1.009</v>
      </c>
      <c r="D4233" s="51">
        <v>63.0</v>
      </c>
      <c r="E4233" s="52" t="s">
        <v>25</v>
      </c>
      <c r="F4233" s="52" t="s">
        <v>26</v>
      </c>
      <c r="G4233" s="53"/>
    </row>
    <row r="4234">
      <c r="A4234" s="49">
        <v>44557.32217017361</v>
      </c>
      <c r="B4234" s="50">
        <v>44557.4471435879</v>
      </c>
      <c r="C4234" s="51">
        <v>1.009</v>
      </c>
      <c r="D4234" s="51">
        <v>63.0</v>
      </c>
      <c r="E4234" s="52" t="s">
        <v>25</v>
      </c>
      <c r="F4234" s="52" t="s">
        <v>26</v>
      </c>
      <c r="G4234" s="53"/>
    </row>
    <row r="4235">
      <c r="A4235" s="49">
        <v>44557.332594224536</v>
      </c>
      <c r="B4235" s="50">
        <v>44557.4575644213</v>
      </c>
      <c r="C4235" s="51">
        <v>1.009</v>
      </c>
      <c r="D4235" s="51">
        <v>63.0</v>
      </c>
      <c r="E4235" s="52" t="s">
        <v>25</v>
      </c>
      <c r="F4235" s="52" t="s">
        <v>26</v>
      </c>
      <c r="G4235" s="53"/>
    </row>
    <row r="4236">
      <c r="A4236" s="49">
        <v>44557.34304140046</v>
      </c>
      <c r="B4236" s="50">
        <v>44557.4680079398</v>
      </c>
      <c r="C4236" s="51">
        <v>1.009</v>
      </c>
      <c r="D4236" s="51">
        <v>63.0</v>
      </c>
      <c r="E4236" s="52" t="s">
        <v>25</v>
      </c>
      <c r="F4236" s="52" t="s">
        <v>26</v>
      </c>
      <c r="G4236" s="53"/>
    </row>
    <row r="4237">
      <c r="A4237" s="49">
        <v>44557.35345491898</v>
      </c>
      <c r="B4237" s="50">
        <v>44557.478427743</v>
      </c>
      <c r="C4237" s="51">
        <v>1.009</v>
      </c>
      <c r="D4237" s="51">
        <v>63.0</v>
      </c>
      <c r="E4237" s="52" t="s">
        <v>25</v>
      </c>
      <c r="F4237" s="52" t="s">
        <v>26</v>
      </c>
      <c r="G4237" s="53"/>
    </row>
    <row r="4238">
      <c r="A4238" s="49">
        <v>44557.36387980324</v>
      </c>
      <c r="B4238" s="50">
        <v>44557.4888481597</v>
      </c>
      <c r="C4238" s="51">
        <v>1.009</v>
      </c>
      <c r="D4238" s="51">
        <v>63.0</v>
      </c>
      <c r="E4238" s="52" t="s">
        <v>25</v>
      </c>
      <c r="F4238" s="52" t="s">
        <v>26</v>
      </c>
      <c r="G4238" s="53"/>
    </row>
    <row r="4239">
      <c r="A4239" s="49">
        <v>44557.37430386574</v>
      </c>
      <c r="B4239" s="50">
        <v>44557.4992692824</v>
      </c>
      <c r="C4239" s="51">
        <v>1.009</v>
      </c>
      <c r="D4239" s="51">
        <v>63.0</v>
      </c>
      <c r="E4239" s="52" t="s">
        <v>25</v>
      </c>
      <c r="F4239" s="52" t="s">
        <v>26</v>
      </c>
      <c r="G4239" s="53"/>
    </row>
    <row r="4240">
      <c r="A4240" s="49">
        <v>44557.384725474534</v>
      </c>
      <c r="B4240" s="50">
        <v>44557.5096886226</v>
      </c>
      <c r="C4240" s="51">
        <v>1.009</v>
      </c>
      <c r="D4240" s="51">
        <v>63.0</v>
      </c>
      <c r="E4240" s="52" t="s">
        <v>25</v>
      </c>
      <c r="F4240" s="52" t="s">
        <v>26</v>
      </c>
      <c r="G4240" s="53"/>
    </row>
    <row r="4241">
      <c r="A4241" s="49">
        <v>44557.395142511574</v>
      </c>
      <c r="B4241" s="50">
        <v>44557.5201093055</v>
      </c>
      <c r="C4241" s="51">
        <v>1.009</v>
      </c>
      <c r="D4241" s="51">
        <v>63.0</v>
      </c>
      <c r="E4241" s="52" t="s">
        <v>25</v>
      </c>
      <c r="F4241" s="52" t="s">
        <v>26</v>
      </c>
      <c r="G4241" s="53"/>
    </row>
    <row r="4242">
      <c r="A4242" s="49">
        <v>44557.40556646991</v>
      </c>
      <c r="B4242" s="50">
        <v>44557.530528287</v>
      </c>
      <c r="C4242" s="51">
        <v>1.009</v>
      </c>
      <c r="D4242" s="51">
        <v>63.0</v>
      </c>
      <c r="E4242" s="52" t="s">
        <v>25</v>
      </c>
      <c r="F4242" s="52" t="s">
        <v>26</v>
      </c>
      <c r="G4242" s="53"/>
    </row>
    <row r="4243">
      <c r="A4243" s="49">
        <v>44557.415982314815</v>
      </c>
      <c r="B4243" s="50">
        <v>44557.5409480208</v>
      </c>
      <c r="C4243" s="51">
        <v>1.009</v>
      </c>
      <c r="D4243" s="51">
        <v>63.0</v>
      </c>
      <c r="E4243" s="52" t="s">
        <v>25</v>
      </c>
      <c r="F4243" s="52" t="s">
        <v>26</v>
      </c>
      <c r="G4243" s="53"/>
    </row>
    <row r="4244">
      <c r="A4244" s="49">
        <v>44557.42641008102</v>
      </c>
      <c r="B4244" s="50">
        <v>44557.5513700463</v>
      </c>
      <c r="C4244" s="51">
        <v>1.009</v>
      </c>
      <c r="D4244" s="51">
        <v>63.0</v>
      </c>
      <c r="E4244" s="52" t="s">
        <v>25</v>
      </c>
      <c r="F4244" s="52" t="s">
        <v>26</v>
      </c>
      <c r="G4244" s="53"/>
    </row>
    <row r="4245">
      <c r="A4245" s="49">
        <v>44557.43682872685</v>
      </c>
      <c r="B4245" s="50">
        <v>44557.5618007291</v>
      </c>
      <c r="C4245" s="51">
        <v>1.009</v>
      </c>
      <c r="D4245" s="51">
        <v>63.0</v>
      </c>
      <c r="E4245" s="52" t="s">
        <v>25</v>
      </c>
      <c r="F4245" s="52" t="s">
        <v>26</v>
      </c>
      <c r="G4245" s="53"/>
    </row>
    <row r="4246">
      <c r="A4246" s="49">
        <v>44557.44727746528</v>
      </c>
      <c r="B4246" s="50">
        <v>44557.5722443055</v>
      </c>
      <c r="C4246" s="51">
        <v>1.009</v>
      </c>
      <c r="D4246" s="51">
        <v>63.0</v>
      </c>
      <c r="E4246" s="52" t="s">
        <v>25</v>
      </c>
      <c r="F4246" s="52" t="s">
        <v>26</v>
      </c>
      <c r="G4246" s="53"/>
    </row>
    <row r="4247">
      <c r="A4247" s="49">
        <v>44557.45769902778</v>
      </c>
      <c r="B4247" s="50">
        <v>44557.582666412</v>
      </c>
      <c r="C4247" s="51">
        <v>1.009</v>
      </c>
      <c r="D4247" s="51">
        <v>63.0</v>
      </c>
      <c r="E4247" s="52" t="s">
        <v>25</v>
      </c>
      <c r="F4247" s="52" t="s">
        <v>26</v>
      </c>
      <c r="G4247" s="53"/>
    </row>
    <row r="4248">
      <c r="A4248" s="49">
        <v>44557.46814496528</v>
      </c>
      <c r="B4248" s="50">
        <v>44557.5931118981</v>
      </c>
      <c r="C4248" s="51">
        <v>1.009</v>
      </c>
      <c r="D4248" s="51">
        <v>63.0</v>
      </c>
      <c r="E4248" s="52" t="s">
        <v>25</v>
      </c>
      <c r="F4248" s="52" t="s">
        <v>26</v>
      </c>
      <c r="G4248" s="53"/>
    </row>
    <row r="4249">
      <c r="A4249" s="49">
        <v>44557.478567349535</v>
      </c>
      <c r="B4249" s="50">
        <v>44557.6035332754</v>
      </c>
      <c r="C4249" s="51">
        <v>1.009</v>
      </c>
      <c r="D4249" s="51">
        <v>63.0</v>
      </c>
      <c r="E4249" s="52" t="s">
        <v>25</v>
      </c>
      <c r="F4249" s="52" t="s">
        <v>26</v>
      </c>
      <c r="G4249" s="53"/>
    </row>
    <row r="4250">
      <c r="A4250" s="49">
        <v>44557.48899484954</v>
      </c>
      <c r="B4250" s="50">
        <v>44557.6139659722</v>
      </c>
      <c r="C4250" s="51">
        <v>1.009</v>
      </c>
      <c r="D4250" s="51">
        <v>63.0</v>
      </c>
      <c r="E4250" s="52" t="s">
        <v>25</v>
      </c>
      <c r="F4250" s="52" t="s">
        <v>26</v>
      </c>
      <c r="G4250" s="53"/>
    </row>
    <row r="4251">
      <c r="A4251" s="49">
        <v>44557.4994237037</v>
      </c>
      <c r="B4251" s="50">
        <v>44557.6243860301</v>
      </c>
      <c r="C4251" s="51">
        <v>1.009</v>
      </c>
      <c r="D4251" s="51">
        <v>63.0</v>
      </c>
      <c r="E4251" s="52" t="s">
        <v>25</v>
      </c>
      <c r="F4251" s="52" t="s">
        <v>26</v>
      </c>
      <c r="G4251" s="53"/>
    </row>
    <row r="4252">
      <c r="A4252" s="49">
        <v>44557.50983565972</v>
      </c>
      <c r="B4252" s="50">
        <v>44557.6348083564</v>
      </c>
      <c r="C4252" s="51">
        <v>1.009</v>
      </c>
      <c r="D4252" s="51">
        <v>63.0</v>
      </c>
      <c r="E4252" s="52" t="s">
        <v>25</v>
      </c>
      <c r="F4252" s="52" t="s">
        <v>26</v>
      </c>
      <c r="G4252" s="53"/>
    </row>
    <row r="4253">
      <c r="A4253" s="49">
        <v>44557.52025783565</v>
      </c>
      <c r="B4253" s="50">
        <v>44557.6452283796</v>
      </c>
      <c r="C4253" s="51">
        <v>1.009</v>
      </c>
      <c r="D4253" s="51">
        <v>63.0</v>
      </c>
      <c r="E4253" s="52" t="s">
        <v>25</v>
      </c>
      <c r="F4253" s="52" t="s">
        <v>26</v>
      </c>
      <c r="G4253" s="53"/>
    </row>
    <row r="4254">
      <c r="A4254" s="49">
        <v>44557.530677048606</v>
      </c>
      <c r="B4254" s="50">
        <v>44557.6556504861</v>
      </c>
      <c r="C4254" s="51">
        <v>1.009</v>
      </c>
      <c r="D4254" s="51">
        <v>63.0</v>
      </c>
      <c r="E4254" s="52" t="s">
        <v>25</v>
      </c>
      <c r="F4254" s="52" t="s">
        <v>26</v>
      </c>
      <c r="G4254" s="53"/>
    </row>
    <row r="4255">
      <c r="A4255" s="49">
        <v>44557.54110480324</v>
      </c>
      <c r="B4255" s="50">
        <v>44557.6660713657</v>
      </c>
      <c r="C4255" s="51">
        <v>1.009</v>
      </c>
      <c r="D4255" s="51">
        <v>63.0</v>
      </c>
      <c r="E4255" s="52" t="s">
        <v>25</v>
      </c>
      <c r="F4255" s="52" t="s">
        <v>26</v>
      </c>
      <c r="G4255" s="53"/>
    </row>
    <row r="4256">
      <c r="A4256" s="49">
        <v>44557.55152896991</v>
      </c>
      <c r="B4256" s="50">
        <v>44557.676493449</v>
      </c>
      <c r="C4256" s="51">
        <v>1.009</v>
      </c>
      <c r="D4256" s="51">
        <v>63.0</v>
      </c>
      <c r="E4256" s="52" t="s">
        <v>25</v>
      </c>
      <c r="F4256" s="52" t="s">
        <v>26</v>
      </c>
      <c r="G4256" s="53"/>
    </row>
    <row r="4257">
      <c r="A4257" s="49">
        <v>44557.561939652776</v>
      </c>
      <c r="B4257" s="50">
        <v>44557.686914699</v>
      </c>
      <c r="C4257" s="51">
        <v>1.009</v>
      </c>
      <c r="D4257" s="51">
        <v>63.0</v>
      </c>
      <c r="E4257" s="52" t="s">
        <v>25</v>
      </c>
      <c r="F4257" s="52" t="s">
        <v>26</v>
      </c>
      <c r="G4257" s="53"/>
    </row>
    <row r="4258">
      <c r="A4258" s="49">
        <v>44557.57235991898</v>
      </c>
      <c r="B4258" s="50">
        <v>44557.6973352893</v>
      </c>
      <c r="C4258" s="51">
        <v>1.009</v>
      </c>
      <c r="D4258" s="51">
        <v>63.0</v>
      </c>
      <c r="E4258" s="52" t="s">
        <v>25</v>
      </c>
      <c r="F4258" s="52" t="s">
        <v>26</v>
      </c>
      <c r="G4258" s="53"/>
    </row>
    <row r="4259">
      <c r="A4259" s="49">
        <v>44557.58277952546</v>
      </c>
      <c r="B4259" s="50">
        <v>44557.7077560648</v>
      </c>
      <c r="C4259" s="51">
        <v>1.008</v>
      </c>
      <c r="D4259" s="51">
        <v>63.0</v>
      </c>
      <c r="E4259" s="52" t="s">
        <v>25</v>
      </c>
      <c r="F4259" s="52" t="s">
        <v>26</v>
      </c>
      <c r="G4259" s="53"/>
    </row>
    <row r="4260">
      <c r="A4260" s="49">
        <v>44557.59320341435</v>
      </c>
      <c r="B4260" s="50">
        <v>44557.7181770949</v>
      </c>
      <c r="C4260" s="51">
        <v>1.009</v>
      </c>
      <c r="D4260" s="51">
        <v>63.0</v>
      </c>
      <c r="E4260" s="52" t="s">
        <v>25</v>
      </c>
      <c r="F4260" s="52" t="s">
        <v>26</v>
      </c>
      <c r="G4260" s="53"/>
    </row>
    <row r="4261">
      <c r="A4261" s="49">
        <v>44557.60362096065</v>
      </c>
      <c r="B4261" s="50">
        <v>44557.7285966319</v>
      </c>
      <c r="C4261" s="51">
        <v>1.009</v>
      </c>
      <c r="D4261" s="51">
        <v>63.0</v>
      </c>
      <c r="E4261" s="52" t="s">
        <v>25</v>
      </c>
      <c r="F4261" s="52" t="s">
        <v>26</v>
      </c>
      <c r="G4261" s="53"/>
    </row>
    <row r="4262">
      <c r="A4262" s="49">
        <v>44557.61404832176</v>
      </c>
      <c r="B4262" s="50">
        <v>44557.7390168981</v>
      </c>
      <c r="C4262" s="51">
        <v>1.009</v>
      </c>
      <c r="D4262" s="51">
        <v>63.0</v>
      </c>
      <c r="E4262" s="52" t="s">
        <v>25</v>
      </c>
      <c r="F4262" s="52" t="s">
        <v>26</v>
      </c>
      <c r="G4262" s="53"/>
    </row>
    <row r="4263">
      <c r="A4263" s="49">
        <v>44557.62446553241</v>
      </c>
      <c r="B4263" s="50">
        <v>44557.749437118</v>
      </c>
      <c r="C4263" s="51">
        <v>1.009</v>
      </c>
      <c r="D4263" s="51">
        <v>63.0</v>
      </c>
      <c r="E4263" s="52" t="s">
        <v>25</v>
      </c>
      <c r="F4263" s="52" t="s">
        <v>26</v>
      </c>
      <c r="G4263" s="53"/>
    </row>
    <row r="4264">
      <c r="A4264" s="49">
        <v>44557.63489429398</v>
      </c>
      <c r="B4264" s="50">
        <v>44557.7598579513</v>
      </c>
      <c r="C4264" s="51">
        <v>1.009</v>
      </c>
      <c r="D4264" s="51">
        <v>63.0</v>
      </c>
      <c r="E4264" s="52" t="s">
        <v>25</v>
      </c>
      <c r="F4264" s="52" t="s">
        <v>26</v>
      </c>
      <c r="G4264" s="53"/>
    </row>
    <row r="4265">
      <c r="A4265" s="49">
        <v>44557.645313587964</v>
      </c>
      <c r="B4265" s="50">
        <v>44557.7702789236</v>
      </c>
      <c r="C4265" s="51">
        <v>1.009</v>
      </c>
      <c r="D4265" s="51">
        <v>63.0</v>
      </c>
      <c r="E4265" s="52" t="s">
        <v>25</v>
      </c>
      <c r="F4265" s="52" t="s">
        <v>26</v>
      </c>
      <c r="G4265" s="53"/>
    </row>
    <row r="4266">
      <c r="A4266" s="49">
        <v>44557.65572952546</v>
      </c>
      <c r="B4266" s="50">
        <v>44557.7807003472</v>
      </c>
      <c r="C4266" s="51">
        <v>1.009</v>
      </c>
      <c r="D4266" s="51">
        <v>63.0</v>
      </c>
      <c r="E4266" s="52" t="s">
        <v>25</v>
      </c>
      <c r="F4266" s="52" t="s">
        <v>26</v>
      </c>
      <c r="G4266" s="53"/>
    </row>
    <row r="4267">
      <c r="A4267" s="49">
        <v>44557.66615747685</v>
      </c>
      <c r="B4267" s="50">
        <v>44557.7911228124</v>
      </c>
      <c r="C4267" s="51">
        <v>1.009</v>
      </c>
      <c r="D4267" s="51">
        <v>63.0</v>
      </c>
      <c r="E4267" s="52" t="s">
        <v>25</v>
      </c>
      <c r="F4267" s="52" t="s">
        <v>26</v>
      </c>
      <c r="G4267" s="53"/>
    </row>
    <row r="4268">
      <c r="A4268" s="49">
        <v>44557.67657944444</v>
      </c>
      <c r="B4268" s="50">
        <v>44557.8015463425</v>
      </c>
      <c r="C4268" s="51">
        <v>1.009</v>
      </c>
      <c r="D4268" s="51">
        <v>63.0</v>
      </c>
      <c r="E4268" s="52" t="s">
        <v>25</v>
      </c>
      <c r="F4268" s="52" t="s">
        <v>26</v>
      </c>
      <c r="G4268" s="53"/>
    </row>
    <row r="4269">
      <c r="A4269" s="49">
        <v>44557.68699861111</v>
      </c>
      <c r="B4269" s="50">
        <v>44557.8119679166</v>
      </c>
      <c r="C4269" s="51">
        <v>1.009</v>
      </c>
      <c r="D4269" s="51">
        <v>63.0</v>
      </c>
      <c r="E4269" s="52" t="s">
        <v>25</v>
      </c>
      <c r="F4269" s="52" t="s">
        <v>26</v>
      </c>
      <c r="G4269" s="53"/>
    </row>
    <row r="4270">
      <c r="A4270" s="49">
        <v>44557.69741517361</v>
      </c>
      <c r="B4270" s="50">
        <v>44557.8223893055</v>
      </c>
      <c r="C4270" s="51">
        <v>1.009</v>
      </c>
      <c r="D4270" s="51">
        <v>63.0</v>
      </c>
      <c r="E4270" s="52" t="s">
        <v>25</v>
      </c>
      <c r="F4270" s="52" t="s">
        <v>26</v>
      </c>
      <c r="G4270" s="53"/>
    </row>
    <row r="4271">
      <c r="A4271" s="49">
        <v>44557.70784127315</v>
      </c>
      <c r="B4271" s="50">
        <v>44557.8328093749</v>
      </c>
      <c r="C4271" s="51">
        <v>1.009</v>
      </c>
      <c r="D4271" s="51">
        <v>63.0</v>
      </c>
      <c r="E4271" s="52" t="s">
        <v>25</v>
      </c>
      <c r="F4271" s="52" t="s">
        <v>26</v>
      </c>
      <c r="G4271" s="53"/>
    </row>
    <row r="4272">
      <c r="A4272" s="49">
        <v>44557.71825634259</v>
      </c>
      <c r="B4272" s="50">
        <v>44557.8432306713</v>
      </c>
      <c r="C4272" s="51">
        <v>1.009</v>
      </c>
      <c r="D4272" s="51">
        <v>63.0</v>
      </c>
      <c r="E4272" s="52" t="s">
        <v>25</v>
      </c>
      <c r="F4272" s="52" t="s">
        <v>26</v>
      </c>
      <c r="G4272" s="53"/>
    </row>
    <row r="4273">
      <c r="A4273" s="49">
        <v>44557.72868168981</v>
      </c>
      <c r="B4273" s="50">
        <v>44557.8536517361</v>
      </c>
      <c r="C4273" s="51">
        <v>1.009</v>
      </c>
      <c r="D4273" s="51">
        <v>63.0</v>
      </c>
      <c r="E4273" s="52" t="s">
        <v>25</v>
      </c>
      <c r="F4273" s="52" t="s">
        <v>26</v>
      </c>
      <c r="G4273" s="53"/>
    </row>
    <row r="4274">
      <c r="A4274" s="49">
        <v>44557.73909945602</v>
      </c>
      <c r="B4274" s="50">
        <v>44557.8640719097</v>
      </c>
      <c r="C4274" s="51">
        <v>1.009</v>
      </c>
      <c r="D4274" s="51">
        <v>63.0</v>
      </c>
      <c r="E4274" s="52" t="s">
        <v>25</v>
      </c>
      <c r="F4274" s="52" t="s">
        <v>26</v>
      </c>
      <c r="G4274" s="53"/>
    </row>
    <row r="4275">
      <c r="A4275" s="49">
        <v>44557.74953583333</v>
      </c>
      <c r="B4275" s="50">
        <v>44557.8745041898</v>
      </c>
      <c r="C4275" s="51">
        <v>1.009</v>
      </c>
      <c r="D4275" s="51">
        <v>63.0</v>
      </c>
      <c r="E4275" s="52" t="s">
        <v>25</v>
      </c>
      <c r="F4275" s="52" t="s">
        <v>26</v>
      </c>
      <c r="G4275" s="53"/>
    </row>
    <row r="4276">
      <c r="A4276" s="49">
        <v>44557.75995702547</v>
      </c>
      <c r="B4276" s="50">
        <v>44557.8849259143</v>
      </c>
      <c r="C4276" s="51">
        <v>1.009</v>
      </c>
      <c r="D4276" s="51">
        <v>63.0</v>
      </c>
      <c r="E4276" s="52" t="s">
        <v>25</v>
      </c>
      <c r="F4276" s="52" t="s">
        <v>26</v>
      </c>
      <c r="G4276" s="53"/>
    </row>
    <row r="4277">
      <c r="A4277" s="49">
        <v>44557.77037583334</v>
      </c>
      <c r="B4277" s="50">
        <v>44557.8953474189</v>
      </c>
      <c r="C4277" s="51">
        <v>1.009</v>
      </c>
      <c r="D4277" s="51">
        <v>63.0</v>
      </c>
      <c r="E4277" s="52" t="s">
        <v>25</v>
      </c>
      <c r="F4277" s="52" t="s">
        <v>26</v>
      </c>
      <c r="G4277" s="53"/>
    </row>
    <row r="4278">
      <c r="A4278" s="49">
        <v>44557.78079604167</v>
      </c>
      <c r="B4278" s="50">
        <v>44557.905767824</v>
      </c>
      <c r="C4278" s="51">
        <v>1.009</v>
      </c>
      <c r="D4278" s="51">
        <v>63.0</v>
      </c>
      <c r="E4278" s="52" t="s">
        <v>25</v>
      </c>
      <c r="F4278" s="52" t="s">
        <v>26</v>
      </c>
      <c r="G4278" s="53"/>
    </row>
    <row r="4279">
      <c r="A4279" s="49">
        <v>44557.79123973379</v>
      </c>
      <c r="B4279" s="50">
        <v>44557.9162106713</v>
      </c>
      <c r="C4279" s="51">
        <v>1.009</v>
      </c>
      <c r="D4279" s="51">
        <v>63.0</v>
      </c>
      <c r="E4279" s="52" t="s">
        <v>25</v>
      </c>
      <c r="F4279" s="52" t="s">
        <v>26</v>
      </c>
      <c r="G4279" s="53"/>
    </row>
    <row r="4280">
      <c r="A4280" s="49">
        <v>44557.80167105324</v>
      </c>
      <c r="B4280" s="50">
        <v>44557.9266430439</v>
      </c>
      <c r="C4280" s="51">
        <v>1.009</v>
      </c>
      <c r="D4280" s="51">
        <v>63.0</v>
      </c>
      <c r="E4280" s="52" t="s">
        <v>25</v>
      </c>
      <c r="F4280" s="52" t="s">
        <v>26</v>
      </c>
      <c r="G4280" s="53"/>
    </row>
    <row r="4281">
      <c r="A4281" s="49">
        <v>44557.81209258102</v>
      </c>
      <c r="B4281" s="50">
        <v>44557.9370644907</v>
      </c>
      <c r="C4281" s="51">
        <v>1.009</v>
      </c>
      <c r="D4281" s="51">
        <v>63.0</v>
      </c>
      <c r="E4281" s="52" t="s">
        <v>25</v>
      </c>
      <c r="F4281" s="52" t="s">
        <v>26</v>
      </c>
      <c r="G4281" s="53"/>
    </row>
    <row r="4282">
      <c r="A4282" s="49">
        <v>44557.822525509255</v>
      </c>
      <c r="B4282" s="50">
        <v>44557.947496655</v>
      </c>
      <c r="C4282" s="51">
        <v>1.009</v>
      </c>
      <c r="D4282" s="51">
        <v>63.0</v>
      </c>
      <c r="E4282" s="52" t="s">
        <v>25</v>
      </c>
      <c r="F4282" s="52" t="s">
        <v>26</v>
      </c>
      <c r="G4282" s="53"/>
    </row>
    <row r="4283">
      <c r="A4283" s="49">
        <v>44557.83295729167</v>
      </c>
      <c r="B4283" s="50">
        <v>44557.9579283912</v>
      </c>
      <c r="C4283" s="51">
        <v>1.008</v>
      </c>
      <c r="D4283" s="51">
        <v>63.0</v>
      </c>
      <c r="E4283" s="52" t="s">
        <v>25</v>
      </c>
      <c r="F4283" s="52" t="s">
        <v>26</v>
      </c>
      <c r="G4283" s="53"/>
    </row>
    <row r="4284">
      <c r="A4284" s="49">
        <v>44557.843393206014</v>
      </c>
      <c r="B4284" s="50">
        <v>44557.9683614004</v>
      </c>
      <c r="C4284" s="51">
        <v>1.009</v>
      </c>
      <c r="D4284" s="51">
        <v>63.0</v>
      </c>
      <c r="E4284" s="52" t="s">
        <v>25</v>
      </c>
      <c r="F4284" s="52" t="s">
        <v>26</v>
      </c>
      <c r="G4284" s="53"/>
    </row>
    <row r="4285">
      <c r="A4285" s="49">
        <v>44557.85381793982</v>
      </c>
      <c r="B4285" s="50">
        <v>44557.9787822106</v>
      </c>
      <c r="C4285" s="51">
        <v>1.009</v>
      </c>
      <c r="D4285" s="51">
        <v>63.0</v>
      </c>
      <c r="E4285" s="52" t="s">
        <v>25</v>
      </c>
      <c r="F4285" s="52" t="s">
        <v>26</v>
      </c>
      <c r="G4285" s="53"/>
    </row>
    <row r="4286">
      <c r="A4286" s="49">
        <v>44557.864250914354</v>
      </c>
      <c r="B4286" s="50">
        <v>44557.9892148958</v>
      </c>
      <c r="C4286" s="51">
        <v>1.008</v>
      </c>
      <c r="D4286" s="51">
        <v>63.0</v>
      </c>
      <c r="E4286" s="52" t="s">
        <v>25</v>
      </c>
      <c r="F4286" s="52" t="s">
        <v>26</v>
      </c>
      <c r="G4286" s="53"/>
    </row>
    <row r="4287">
      <c r="A4287" s="49">
        <v>44557.87469643519</v>
      </c>
      <c r="B4287" s="50">
        <v>44557.9996595023</v>
      </c>
      <c r="C4287" s="51">
        <v>1.009</v>
      </c>
      <c r="D4287" s="51">
        <v>63.0</v>
      </c>
      <c r="E4287" s="52" t="s">
        <v>25</v>
      </c>
      <c r="F4287" s="52" t="s">
        <v>26</v>
      </c>
      <c r="G4287" s="53"/>
    </row>
    <row r="4288">
      <c r="A4288" s="49">
        <v>44557.88511030092</v>
      </c>
      <c r="B4288" s="50">
        <v>44558.0100809606</v>
      </c>
      <c r="C4288" s="51">
        <v>1.009</v>
      </c>
      <c r="D4288" s="51">
        <v>63.0</v>
      </c>
      <c r="E4288" s="52" t="s">
        <v>25</v>
      </c>
      <c r="F4288" s="52" t="s">
        <v>26</v>
      </c>
      <c r="G4288" s="53"/>
    </row>
    <row r="4289">
      <c r="A4289" s="49">
        <v>44557.89553246528</v>
      </c>
      <c r="B4289" s="50">
        <v>44558.0205006597</v>
      </c>
      <c r="C4289" s="51">
        <v>1.009</v>
      </c>
      <c r="D4289" s="51">
        <v>63.0</v>
      </c>
      <c r="E4289" s="52" t="s">
        <v>25</v>
      </c>
      <c r="F4289" s="52" t="s">
        <v>26</v>
      </c>
      <c r="G4289" s="53"/>
    </row>
    <row r="4290">
      <c r="A4290" s="49">
        <v>44557.9059628588</v>
      </c>
      <c r="B4290" s="50">
        <v>44558.0309195717</v>
      </c>
      <c r="C4290" s="51">
        <v>1.008</v>
      </c>
      <c r="D4290" s="51">
        <v>63.0</v>
      </c>
      <c r="E4290" s="52" t="s">
        <v>25</v>
      </c>
      <c r="F4290" s="52" t="s">
        <v>26</v>
      </c>
      <c r="G4290" s="53"/>
    </row>
    <row r="4291">
      <c r="A4291" s="49">
        <v>44557.9163759375</v>
      </c>
      <c r="B4291" s="50">
        <v>44558.0413414814</v>
      </c>
      <c r="C4291" s="51">
        <v>1.009</v>
      </c>
      <c r="D4291" s="51">
        <v>63.0</v>
      </c>
      <c r="E4291" s="52" t="s">
        <v>25</v>
      </c>
      <c r="F4291" s="52" t="s">
        <v>26</v>
      </c>
      <c r="G4291" s="53"/>
    </row>
    <row r="4292">
      <c r="A4292" s="49">
        <v>44557.926799340275</v>
      </c>
      <c r="B4292" s="50">
        <v>44558.0517630324</v>
      </c>
      <c r="C4292" s="51">
        <v>1.009</v>
      </c>
      <c r="D4292" s="51">
        <v>63.0</v>
      </c>
      <c r="E4292" s="52" t="s">
        <v>25</v>
      </c>
      <c r="F4292" s="52" t="s">
        <v>26</v>
      </c>
      <c r="G4292" s="53"/>
    </row>
    <row r="4293">
      <c r="A4293" s="49">
        <v>44557.937214826394</v>
      </c>
      <c r="B4293" s="50">
        <v>44558.0621850578</v>
      </c>
      <c r="C4293" s="51">
        <v>1.009</v>
      </c>
      <c r="D4293" s="51">
        <v>63.0</v>
      </c>
      <c r="E4293" s="52" t="s">
        <v>25</v>
      </c>
      <c r="F4293" s="52" t="s">
        <v>26</v>
      </c>
      <c r="G4293" s="53"/>
    </row>
    <row r="4294">
      <c r="A4294" s="49">
        <v>44557.947638321755</v>
      </c>
      <c r="B4294" s="50">
        <v>44558.0726058912</v>
      </c>
      <c r="C4294" s="51">
        <v>1.009</v>
      </c>
      <c r="D4294" s="51">
        <v>63.0</v>
      </c>
      <c r="E4294" s="52" t="s">
        <v>25</v>
      </c>
      <c r="F4294" s="52" t="s">
        <v>26</v>
      </c>
      <c r="G4294" s="53"/>
    </row>
    <row r="4295">
      <c r="A4295" s="49">
        <v>44557.958053912036</v>
      </c>
      <c r="B4295" s="50">
        <v>44558.0830277893</v>
      </c>
      <c r="C4295" s="51">
        <v>1.009</v>
      </c>
      <c r="D4295" s="51">
        <v>63.0</v>
      </c>
      <c r="E4295" s="52" t="s">
        <v>25</v>
      </c>
      <c r="F4295" s="52" t="s">
        <v>26</v>
      </c>
      <c r="G4295" s="53"/>
    </row>
    <row r="4296">
      <c r="A4296" s="49">
        <v>44557.96848671296</v>
      </c>
      <c r="B4296" s="50">
        <v>44558.0934503009</v>
      </c>
      <c r="C4296" s="51">
        <v>1.009</v>
      </c>
      <c r="D4296" s="51">
        <v>63.0</v>
      </c>
      <c r="E4296" s="52" t="s">
        <v>25</v>
      </c>
      <c r="F4296" s="52" t="s">
        <v>26</v>
      </c>
      <c r="G4296" s="53"/>
    </row>
    <row r="4297">
      <c r="A4297" s="49">
        <v>44557.978918252316</v>
      </c>
      <c r="B4297" s="50">
        <v>44558.103883449</v>
      </c>
      <c r="C4297" s="51">
        <v>1.009</v>
      </c>
      <c r="D4297" s="51">
        <v>63.0</v>
      </c>
      <c r="E4297" s="52" t="s">
        <v>25</v>
      </c>
      <c r="F4297" s="52" t="s">
        <v>26</v>
      </c>
      <c r="G4297" s="53"/>
    </row>
    <row r="4298">
      <c r="A4298" s="49">
        <v>44557.989337164356</v>
      </c>
      <c r="B4298" s="50">
        <v>44558.1143027314</v>
      </c>
      <c r="C4298" s="51">
        <v>1.009</v>
      </c>
      <c r="D4298" s="51">
        <v>63.0</v>
      </c>
      <c r="E4298" s="52" t="s">
        <v>25</v>
      </c>
      <c r="F4298" s="52" t="s">
        <v>26</v>
      </c>
      <c r="G4298" s="53"/>
    </row>
    <row r="4299">
      <c r="A4299" s="49">
        <v>44557.999748449074</v>
      </c>
      <c r="B4299" s="50">
        <v>44558.1247228587</v>
      </c>
      <c r="C4299" s="51">
        <v>1.009</v>
      </c>
      <c r="D4299" s="51">
        <v>63.0</v>
      </c>
      <c r="E4299" s="52" t="s">
        <v>25</v>
      </c>
      <c r="F4299" s="52" t="s">
        <v>26</v>
      </c>
      <c r="G4299" s="53"/>
    </row>
    <row r="4300">
      <c r="A4300" s="49">
        <v>44558.01017252315</v>
      </c>
      <c r="B4300" s="50">
        <v>44558.1351459027</v>
      </c>
      <c r="C4300" s="51">
        <v>1.008</v>
      </c>
      <c r="D4300" s="51">
        <v>63.0</v>
      </c>
      <c r="E4300" s="52" t="s">
        <v>25</v>
      </c>
      <c r="F4300" s="52" t="s">
        <v>26</v>
      </c>
      <c r="G4300" s="53"/>
    </row>
    <row r="4301">
      <c r="A4301" s="49">
        <v>44558.02061777777</v>
      </c>
      <c r="B4301" s="50">
        <v>44558.1455914467</v>
      </c>
      <c r="C4301" s="51">
        <v>1.009</v>
      </c>
      <c r="D4301" s="51">
        <v>63.0</v>
      </c>
      <c r="E4301" s="52" t="s">
        <v>25</v>
      </c>
      <c r="F4301" s="52" t="s">
        <v>26</v>
      </c>
      <c r="G4301" s="53"/>
    </row>
    <row r="4302">
      <c r="A4302" s="49">
        <v>44558.031043599534</v>
      </c>
      <c r="B4302" s="50">
        <v>44558.1560142476</v>
      </c>
      <c r="C4302" s="51">
        <v>1.009</v>
      </c>
      <c r="D4302" s="51">
        <v>63.0</v>
      </c>
      <c r="E4302" s="52" t="s">
        <v>25</v>
      </c>
      <c r="F4302" s="52" t="s">
        <v>26</v>
      </c>
      <c r="G4302" s="53"/>
    </row>
    <row r="4303">
      <c r="A4303" s="49">
        <v>44558.04146782408</v>
      </c>
      <c r="B4303" s="50">
        <v>44558.1664331365</v>
      </c>
      <c r="C4303" s="51">
        <v>1.009</v>
      </c>
      <c r="D4303" s="51">
        <v>63.0</v>
      </c>
      <c r="E4303" s="52" t="s">
        <v>25</v>
      </c>
      <c r="F4303" s="52" t="s">
        <v>26</v>
      </c>
      <c r="G4303" s="53"/>
    </row>
    <row r="4304">
      <c r="A4304" s="49">
        <v>44558.05188226852</v>
      </c>
      <c r="B4304" s="50">
        <v>44558.1768528009</v>
      </c>
      <c r="C4304" s="51">
        <v>1.009</v>
      </c>
      <c r="D4304" s="51">
        <v>63.0</v>
      </c>
      <c r="E4304" s="52" t="s">
        <v>25</v>
      </c>
      <c r="F4304" s="52" t="s">
        <v>26</v>
      </c>
      <c r="G4304" s="53"/>
    </row>
    <row r="4305">
      <c r="A4305" s="49">
        <v>44558.06229908565</v>
      </c>
      <c r="B4305" s="50">
        <v>44558.1872750115</v>
      </c>
      <c r="C4305" s="51">
        <v>1.009</v>
      </c>
      <c r="D4305" s="51">
        <v>63.0</v>
      </c>
      <c r="E4305" s="52" t="s">
        <v>25</v>
      </c>
      <c r="F4305" s="52" t="s">
        <v>26</v>
      </c>
      <c r="G4305" s="53"/>
    </row>
    <row r="4306">
      <c r="A4306" s="49">
        <v>44558.0727384375</v>
      </c>
      <c r="B4306" s="50">
        <v>44558.1977066319</v>
      </c>
      <c r="C4306" s="51">
        <v>1.008</v>
      </c>
      <c r="D4306" s="51">
        <v>63.0</v>
      </c>
      <c r="E4306" s="52" t="s">
        <v>25</v>
      </c>
      <c r="F4306" s="52" t="s">
        <v>26</v>
      </c>
      <c r="G4306" s="53"/>
    </row>
    <row r="4307">
      <c r="A4307" s="49">
        <v>44558.08315980324</v>
      </c>
      <c r="B4307" s="50">
        <v>44558.2081271411</v>
      </c>
      <c r="C4307" s="51">
        <v>1.009</v>
      </c>
      <c r="D4307" s="51">
        <v>63.0</v>
      </c>
      <c r="E4307" s="52" t="s">
        <v>25</v>
      </c>
      <c r="F4307" s="52" t="s">
        <v>26</v>
      </c>
      <c r="G4307" s="53"/>
    </row>
    <row r="4308">
      <c r="A4308" s="49">
        <v>44558.093582326386</v>
      </c>
      <c r="B4308" s="50">
        <v>44558.2185489699</v>
      </c>
      <c r="C4308" s="51">
        <v>1.008</v>
      </c>
      <c r="D4308" s="51">
        <v>63.0</v>
      </c>
      <c r="E4308" s="52" t="s">
        <v>25</v>
      </c>
      <c r="F4308" s="52" t="s">
        <v>26</v>
      </c>
      <c r="G4308" s="53"/>
    </row>
    <row r="4309">
      <c r="A4309" s="49">
        <v>44558.10401954861</v>
      </c>
      <c r="B4309" s="50">
        <v>44558.2289942592</v>
      </c>
      <c r="C4309" s="51">
        <v>1.009</v>
      </c>
      <c r="D4309" s="51">
        <v>63.0</v>
      </c>
      <c r="E4309" s="52" t="s">
        <v>25</v>
      </c>
      <c r="F4309" s="52" t="s">
        <v>26</v>
      </c>
      <c r="G4309" s="53"/>
    </row>
    <row r="4310">
      <c r="A4310" s="49">
        <v>44558.11449275463</v>
      </c>
      <c r="B4310" s="50">
        <v>44558.2394617708</v>
      </c>
      <c r="C4310" s="51">
        <v>1.009</v>
      </c>
      <c r="D4310" s="51">
        <v>63.0</v>
      </c>
      <c r="E4310" s="52" t="s">
        <v>25</v>
      </c>
      <c r="F4310" s="52" t="s">
        <v>26</v>
      </c>
      <c r="G4310" s="53"/>
    </row>
    <row r="4311">
      <c r="A4311" s="49">
        <v>44558.124905034725</v>
      </c>
      <c r="B4311" s="50">
        <v>44558.2498828819</v>
      </c>
      <c r="C4311" s="51">
        <v>1.008</v>
      </c>
      <c r="D4311" s="51">
        <v>63.0</v>
      </c>
      <c r="E4311" s="52" t="s">
        <v>25</v>
      </c>
      <c r="F4311" s="52" t="s">
        <v>26</v>
      </c>
      <c r="G4311" s="53"/>
    </row>
    <row r="4312">
      <c r="A4312" s="49">
        <v>44558.135325462965</v>
      </c>
      <c r="B4312" s="50">
        <v>44558.2603027777</v>
      </c>
      <c r="C4312" s="51">
        <v>1.009</v>
      </c>
      <c r="D4312" s="51">
        <v>63.0</v>
      </c>
      <c r="E4312" s="52" t="s">
        <v>25</v>
      </c>
      <c r="F4312" s="52" t="s">
        <v>26</v>
      </c>
      <c r="G4312" s="53"/>
    </row>
    <row r="4313">
      <c r="A4313" s="49">
        <v>44558.145764479166</v>
      </c>
      <c r="B4313" s="50">
        <v>44558.2707347569</v>
      </c>
      <c r="C4313" s="51">
        <v>1.009</v>
      </c>
      <c r="D4313" s="51">
        <v>63.0</v>
      </c>
      <c r="E4313" s="52" t="s">
        <v>25</v>
      </c>
      <c r="F4313" s="52" t="s">
        <v>26</v>
      </c>
      <c r="G4313" s="53"/>
    </row>
    <row r="4314">
      <c r="A4314" s="49">
        <v>44558.156196805554</v>
      </c>
      <c r="B4314" s="50">
        <v>44558.2811682175</v>
      </c>
      <c r="C4314" s="51">
        <v>1.009</v>
      </c>
      <c r="D4314" s="51">
        <v>63.0</v>
      </c>
      <c r="E4314" s="52" t="s">
        <v>25</v>
      </c>
      <c r="F4314" s="52" t="s">
        <v>26</v>
      </c>
      <c r="G4314" s="53"/>
    </row>
    <row r="4315">
      <c r="A4315" s="49">
        <v>44558.16661909722</v>
      </c>
      <c r="B4315" s="50">
        <v>44558.2915902546</v>
      </c>
      <c r="C4315" s="51">
        <v>1.009</v>
      </c>
      <c r="D4315" s="51">
        <v>63.0</v>
      </c>
      <c r="E4315" s="52" t="s">
        <v>25</v>
      </c>
      <c r="F4315" s="52" t="s">
        <v>26</v>
      </c>
      <c r="G4315" s="53"/>
    </row>
    <row r="4316">
      <c r="A4316" s="49">
        <v>44558.17704846065</v>
      </c>
      <c r="B4316" s="50">
        <v>44558.3020210416</v>
      </c>
      <c r="C4316" s="51">
        <v>1.009</v>
      </c>
      <c r="D4316" s="51">
        <v>63.0</v>
      </c>
      <c r="E4316" s="52" t="s">
        <v>25</v>
      </c>
      <c r="F4316" s="52" t="s">
        <v>26</v>
      </c>
      <c r="G4316" s="53"/>
    </row>
    <row r="4317">
      <c r="A4317" s="49">
        <v>44558.18746710648</v>
      </c>
      <c r="B4317" s="50">
        <v>44558.3124411689</v>
      </c>
      <c r="C4317" s="51">
        <v>1.009</v>
      </c>
      <c r="D4317" s="51">
        <v>63.0</v>
      </c>
      <c r="E4317" s="52" t="s">
        <v>25</v>
      </c>
      <c r="F4317" s="52" t="s">
        <v>26</v>
      </c>
      <c r="G4317" s="53"/>
    </row>
    <row r="4318">
      <c r="A4318" s="49">
        <v>44558.19789081019</v>
      </c>
      <c r="B4318" s="50">
        <v>44558.3228625925</v>
      </c>
      <c r="C4318" s="51">
        <v>1.009</v>
      </c>
      <c r="D4318" s="51">
        <v>63.0</v>
      </c>
      <c r="E4318" s="52" t="s">
        <v>25</v>
      </c>
      <c r="F4318" s="52" t="s">
        <v>26</v>
      </c>
      <c r="G4318" s="53"/>
    </row>
    <row r="4319">
      <c r="A4319" s="49">
        <v>44558.208322060185</v>
      </c>
      <c r="B4319" s="50">
        <v>44558.3332967476</v>
      </c>
      <c r="C4319" s="51">
        <v>1.008</v>
      </c>
      <c r="D4319" s="51">
        <v>63.0</v>
      </c>
      <c r="E4319" s="52" t="s">
        <v>25</v>
      </c>
      <c r="F4319" s="52" t="s">
        <v>26</v>
      </c>
      <c r="G4319" s="53"/>
    </row>
    <row r="4320">
      <c r="A4320" s="49">
        <v>44558.218738888885</v>
      </c>
      <c r="B4320" s="50">
        <v>44558.3437167129</v>
      </c>
      <c r="C4320" s="51">
        <v>1.008</v>
      </c>
      <c r="D4320" s="51">
        <v>63.0</v>
      </c>
      <c r="E4320" s="52" t="s">
        <v>25</v>
      </c>
      <c r="F4320" s="52" t="s">
        <v>26</v>
      </c>
      <c r="G4320" s="53"/>
    </row>
    <row r="4321">
      <c r="A4321" s="49">
        <v>44558.22916471065</v>
      </c>
      <c r="B4321" s="50">
        <v>44558.3541373958</v>
      </c>
      <c r="C4321" s="51">
        <v>1.009</v>
      </c>
      <c r="D4321" s="51">
        <v>63.0</v>
      </c>
      <c r="E4321" s="52" t="s">
        <v>25</v>
      </c>
      <c r="F4321" s="52" t="s">
        <v>26</v>
      </c>
      <c r="G4321" s="53"/>
    </row>
    <row r="4322">
      <c r="A4322" s="49">
        <v>44558.23958368055</v>
      </c>
      <c r="B4322" s="50">
        <v>44558.3645576967</v>
      </c>
      <c r="C4322" s="51">
        <v>1.009</v>
      </c>
      <c r="D4322" s="51">
        <v>63.0</v>
      </c>
      <c r="E4322" s="52" t="s">
        <v>25</v>
      </c>
      <c r="F4322" s="52" t="s">
        <v>26</v>
      </c>
      <c r="G4322" s="53"/>
    </row>
    <row r="4323">
      <c r="A4323" s="49">
        <v>44558.25001030092</v>
      </c>
      <c r="B4323" s="50">
        <v>44558.3749790972</v>
      </c>
      <c r="C4323" s="51">
        <v>1.009</v>
      </c>
      <c r="D4323" s="51">
        <v>63.0</v>
      </c>
      <c r="E4323" s="52" t="s">
        <v>25</v>
      </c>
      <c r="F4323" s="52" t="s">
        <v>26</v>
      </c>
      <c r="G4323" s="53"/>
    </row>
    <row r="4324">
      <c r="A4324" s="49">
        <v>44558.260425127315</v>
      </c>
      <c r="B4324" s="50">
        <v>44558.3853999189</v>
      </c>
      <c r="C4324" s="51">
        <v>1.009</v>
      </c>
      <c r="D4324" s="51">
        <v>63.0</v>
      </c>
      <c r="E4324" s="52" t="s">
        <v>25</v>
      </c>
      <c r="F4324" s="52" t="s">
        <v>26</v>
      </c>
      <c r="G4324" s="53"/>
    </row>
    <row r="4325">
      <c r="A4325" s="49">
        <v>44558.27085021991</v>
      </c>
      <c r="B4325" s="50">
        <v>44558.3958211226</v>
      </c>
      <c r="C4325" s="51">
        <v>1.009</v>
      </c>
      <c r="D4325" s="51">
        <v>63.0</v>
      </c>
      <c r="E4325" s="52" t="s">
        <v>25</v>
      </c>
      <c r="F4325" s="52" t="s">
        <v>26</v>
      </c>
      <c r="G4325" s="53"/>
    </row>
    <row r="4326">
      <c r="A4326" s="49">
        <v>44558.28126561343</v>
      </c>
      <c r="B4326" s="50">
        <v>44558.406241493</v>
      </c>
      <c r="C4326" s="51">
        <v>1.008</v>
      </c>
      <c r="D4326" s="51">
        <v>63.0</v>
      </c>
      <c r="E4326" s="52" t="s">
        <v>25</v>
      </c>
      <c r="F4326" s="52" t="s">
        <v>26</v>
      </c>
      <c r="G4326" s="53"/>
    </row>
    <row r="4327">
      <c r="A4327" s="49">
        <v>44558.291700127316</v>
      </c>
      <c r="B4327" s="50">
        <v>44558.4166728009</v>
      </c>
      <c r="C4327" s="51">
        <v>1.009</v>
      </c>
      <c r="D4327" s="51">
        <v>63.0</v>
      </c>
      <c r="E4327" s="52" t="s">
        <v>25</v>
      </c>
      <c r="F4327" s="52" t="s">
        <v>26</v>
      </c>
      <c r="G4327" s="53"/>
    </row>
    <row r="4328">
      <c r="A4328" s="49">
        <v>44558.3021128588</v>
      </c>
      <c r="B4328" s="50">
        <v>44558.4270929861</v>
      </c>
      <c r="C4328" s="51">
        <v>1.009</v>
      </c>
      <c r="D4328" s="51">
        <v>63.0</v>
      </c>
      <c r="E4328" s="52" t="s">
        <v>25</v>
      </c>
      <c r="F4328" s="52" t="s">
        <v>26</v>
      </c>
      <c r="G4328" s="53"/>
    </row>
    <row r="4329">
      <c r="A4329" s="49">
        <v>44558.312548437505</v>
      </c>
      <c r="B4329" s="50">
        <v>44558.4375153009</v>
      </c>
      <c r="C4329" s="51">
        <v>1.009</v>
      </c>
      <c r="D4329" s="51">
        <v>63.0</v>
      </c>
      <c r="E4329" s="52" t="s">
        <v>25</v>
      </c>
      <c r="F4329" s="52" t="s">
        <v>26</v>
      </c>
      <c r="G4329" s="53"/>
    </row>
    <row r="4330">
      <c r="A4330" s="49">
        <v>44558.32296546296</v>
      </c>
      <c r="B4330" s="50">
        <v>44558.4479355324</v>
      </c>
      <c r="C4330" s="51">
        <v>1.008</v>
      </c>
      <c r="D4330" s="51">
        <v>63.0</v>
      </c>
      <c r="E4330" s="52" t="s">
        <v>25</v>
      </c>
      <c r="F4330" s="52" t="s">
        <v>26</v>
      </c>
      <c r="G4330" s="53"/>
    </row>
    <row r="4331">
      <c r="A4331" s="49">
        <v>44558.33338026621</v>
      </c>
      <c r="B4331" s="50">
        <v>44558.4583560995</v>
      </c>
      <c r="C4331" s="51">
        <v>1.009</v>
      </c>
      <c r="D4331" s="51">
        <v>63.0</v>
      </c>
      <c r="E4331" s="52" t="s">
        <v>25</v>
      </c>
      <c r="F4331" s="52" t="s">
        <v>26</v>
      </c>
      <c r="G4331" s="53"/>
    </row>
    <row r="4332">
      <c r="A4332" s="49">
        <v>44558.34380083333</v>
      </c>
      <c r="B4332" s="50">
        <v>44558.4687784143</v>
      </c>
      <c r="C4332" s="51">
        <v>1.009</v>
      </c>
      <c r="D4332" s="51">
        <v>63.0</v>
      </c>
      <c r="E4332" s="52" t="s">
        <v>25</v>
      </c>
      <c r="F4332" s="52" t="s">
        <v>26</v>
      </c>
      <c r="G4332" s="53"/>
    </row>
    <row r="4333">
      <c r="A4333" s="49">
        <v>44558.35422204861</v>
      </c>
      <c r="B4333" s="50">
        <v>44558.479200787</v>
      </c>
      <c r="C4333" s="51">
        <v>1.009</v>
      </c>
      <c r="D4333" s="51">
        <v>63.0</v>
      </c>
      <c r="E4333" s="52" t="s">
        <v>25</v>
      </c>
      <c r="F4333" s="52" t="s">
        <v>26</v>
      </c>
      <c r="G4333" s="53"/>
    </row>
    <row r="4334">
      <c r="A4334" s="49">
        <v>44558.36464883102</v>
      </c>
      <c r="B4334" s="50">
        <v>44558.4896207986</v>
      </c>
      <c r="C4334" s="51">
        <v>1.009</v>
      </c>
      <c r="D4334" s="51">
        <v>63.0</v>
      </c>
      <c r="E4334" s="52" t="s">
        <v>25</v>
      </c>
      <c r="F4334" s="52" t="s">
        <v>26</v>
      </c>
      <c r="G4334" s="53"/>
    </row>
    <row r="4335">
      <c r="A4335" s="49">
        <v>44558.375068587964</v>
      </c>
      <c r="B4335" s="50">
        <v>44558.5000421643</v>
      </c>
      <c r="C4335" s="51">
        <v>1.008</v>
      </c>
      <c r="D4335" s="51">
        <v>63.0</v>
      </c>
      <c r="E4335" s="52" t="s">
        <v>25</v>
      </c>
      <c r="F4335" s="52" t="s">
        <v>26</v>
      </c>
      <c r="G4335" s="53"/>
    </row>
    <row r="4336">
      <c r="A4336" s="49">
        <v>44558.38549347222</v>
      </c>
      <c r="B4336" s="50">
        <v>44558.510475324</v>
      </c>
      <c r="C4336" s="51">
        <v>1.009</v>
      </c>
      <c r="D4336" s="51">
        <v>63.0</v>
      </c>
      <c r="E4336" s="52" t="s">
        <v>25</v>
      </c>
      <c r="F4336" s="52" t="s">
        <v>26</v>
      </c>
      <c r="G4336" s="53"/>
    </row>
    <row r="4337">
      <c r="A4337" s="49">
        <v>44558.39593115741</v>
      </c>
      <c r="B4337" s="50">
        <v>44558.5208968055</v>
      </c>
      <c r="C4337" s="51">
        <v>1.009</v>
      </c>
      <c r="D4337" s="51">
        <v>63.0</v>
      </c>
      <c r="E4337" s="52" t="s">
        <v>25</v>
      </c>
      <c r="F4337" s="52" t="s">
        <v>26</v>
      </c>
      <c r="G4337" s="53"/>
    </row>
    <row r="4338">
      <c r="A4338" s="49">
        <v>44558.406346828706</v>
      </c>
      <c r="B4338" s="50">
        <v>44558.5313196759</v>
      </c>
      <c r="C4338" s="51">
        <v>1.008</v>
      </c>
      <c r="D4338" s="51">
        <v>63.0</v>
      </c>
      <c r="E4338" s="52" t="s">
        <v>25</v>
      </c>
      <c r="F4338" s="52" t="s">
        <v>26</v>
      </c>
      <c r="G4338" s="53"/>
    </row>
    <row r="4339">
      <c r="A4339" s="49">
        <v>44558.41677149305</v>
      </c>
      <c r="B4339" s="50">
        <v>44558.5417416898</v>
      </c>
      <c r="C4339" s="51">
        <v>1.009</v>
      </c>
      <c r="D4339" s="51">
        <v>63.0</v>
      </c>
      <c r="E4339" s="52" t="s">
        <v>25</v>
      </c>
      <c r="F4339" s="52" t="s">
        <v>26</v>
      </c>
      <c r="G4339" s="53"/>
    </row>
    <row r="4340">
      <c r="A4340" s="49">
        <v>44558.42719686343</v>
      </c>
      <c r="B4340" s="50">
        <v>44558.5521739004</v>
      </c>
      <c r="C4340" s="51">
        <v>1.009</v>
      </c>
      <c r="D4340" s="51">
        <v>63.0</v>
      </c>
      <c r="E4340" s="52" t="s">
        <v>25</v>
      </c>
      <c r="F4340" s="52" t="s">
        <v>26</v>
      </c>
      <c r="G4340" s="53"/>
    </row>
    <row r="4341">
      <c r="A4341" s="49">
        <v>44558.43762619213</v>
      </c>
      <c r="B4341" s="50">
        <v>44558.5625940046</v>
      </c>
      <c r="C4341" s="51">
        <v>1.009</v>
      </c>
      <c r="D4341" s="51">
        <v>63.0</v>
      </c>
      <c r="E4341" s="52" t="s">
        <v>25</v>
      </c>
      <c r="F4341" s="52" t="s">
        <v>26</v>
      </c>
      <c r="G4341" s="53"/>
    </row>
    <row r="4342">
      <c r="A4342" s="49">
        <v>44558.44804427083</v>
      </c>
      <c r="B4342" s="50">
        <v>44558.5730149652</v>
      </c>
      <c r="C4342" s="51">
        <v>1.008</v>
      </c>
      <c r="D4342" s="51">
        <v>63.0</v>
      </c>
      <c r="E4342" s="52" t="s">
        <v>25</v>
      </c>
      <c r="F4342" s="52" t="s">
        <v>26</v>
      </c>
      <c r="G4342" s="53"/>
    </row>
    <row r="4343">
      <c r="A4343" s="49">
        <v>44558.458465104166</v>
      </c>
      <c r="B4343" s="50">
        <v>44558.5834372569</v>
      </c>
      <c r="C4343" s="51">
        <v>1.008</v>
      </c>
      <c r="D4343" s="51">
        <v>63.0</v>
      </c>
      <c r="E4343" s="52" t="s">
        <v>25</v>
      </c>
      <c r="F4343" s="52" t="s">
        <v>26</v>
      </c>
      <c r="G4343" s="53"/>
    </row>
    <row r="4344">
      <c r="A4344" s="49">
        <v>44558.46888193287</v>
      </c>
      <c r="B4344" s="50">
        <v>44558.5938568171</v>
      </c>
      <c r="C4344" s="51">
        <v>1.009</v>
      </c>
      <c r="D4344" s="51">
        <v>63.0</v>
      </c>
      <c r="E4344" s="52" t="s">
        <v>25</v>
      </c>
      <c r="F4344" s="52" t="s">
        <v>26</v>
      </c>
      <c r="G4344" s="53"/>
    </row>
    <row r="4345">
      <c r="A4345" s="49">
        <v>44558.479314236116</v>
      </c>
      <c r="B4345" s="50">
        <v>44558.6042877314</v>
      </c>
      <c r="C4345" s="51">
        <v>1.008</v>
      </c>
      <c r="D4345" s="51">
        <v>63.0</v>
      </c>
      <c r="E4345" s="52" t="s">
        <v>25</v>
      </c>
      <c r="F4345" s="52" t="s">
        <v>26</v>
      </c>
      <c r="G4345" s="53"/>
    </row>
    <row r="4346">
      <c r="A4346" s="49">
        <v>44558.48975072917</v>
      </c>
      <c r="B4346" s="50">
        <v>44558.6147203356</v>
      </c>
      <c r="C4346" s="51">
        <v>1.008</v>
      </c>
      <c r="D4346" s="51">
        <v>63.0</v>
      </c>
      <c r="E4346" s="52" t="s">
        <v>25</v>
      </c>
      <c r="F4346" s="52" t="s">
        <v>26</v>
      </c>
      <c r="G4346" s="53"/>
    </row>
    <row r="4347">
      <c r="A4347" s="49">
        <v>44558.50016814815</v>
      </c>
      <c r="B4347" s="50">
        <v>44558.6251421411</v>
      </c>
      <c r="C4347" s="51">
        <v>1.009</v>
      </c>
      <c r="D4347" s="51">
        <v>63.0</v>
      </c>
      <c r="E4347" s="52" t="s">
        <v>25</v>
      </c>
      <c r="F4347" s="52" t="s">
        <v>26</v>
      </c>
      <c r="G4347" s="53"/>
    </row>
    <row r="4348">
      <c r="A4348" s="49">
        <v>44558.51059636574</v>
      </c>
      <c r="B4348" s="50">
        <v>44558.6355657291</v>
      </c>
      <c r="C4348" s="51">
        <v>1.008</v>
      </c>
      <c r="D4348" s="51">
        <v>63.0</v>
      </c>
      <c r="E4348" s="52" t="s">
        <v>25</v>
      </c>
      <c r="F4348" s="52" t="s">
        <v>26</v>
      </c>
      <c r="G4348" s="53"/>
    </row>
    <row r="4349">
      <c r="A4349" s="49">
        <v>44558.521018009254</v>
      </c>
      <c r="B4349" s="50">
        <v>44558.6459875231</v>
      </c>
      <c r="C4349" s="51">
        <v>1.008</v>
      </c>
      <c r="D4349" s="51">
        <v>63.0</v>
      </c>
      <c r="E4349" s="52" t="s">
        <v>25</v>
      </c>
      <c r="F4349" s="52" t="s">
        <v>26</v>
      </c>
      <c r="G4349" s="53"/>
    </row>
    <row r="4350">
      <c r="A4350" s="49">
        <v>44558.531438680555</v>
      </c>
      <c r="B4350" s="50">
        <v>44558.6564092245</v>
      </c>
      <c r="C4350" s="51">
        <v>1.008</v>
      </c>
      <c r="D4350" s="51">
        <v>63.0</v>
      </c>
      <c r="E4350" s="52" t="s">
        <v>25</v>
      </c>
      <c r="F4350" s="52" t="s">
        <v>26</v>
      </c>
      <c r="G4350" s="53"/>
    </row>
    <row r="4351">
      <c r="A4351" s="49">
        <v>44558.54185587963</v>
      </c>
      <c r="B4351" s="50">
        <v>44558.6668293634</v>
      </c>
      <c r="C4351" s="51">
        <v>1.008</v>
      </c>
      <c r="D4351" s="51">
        <v>63.0</v>
      </c>
      <c r="E4351" s="52" t="s">
        <v>25</v>
      </c>
      <c r="F4351" s="52" t="s">
        <v>26</v>
      </c>
      <c r="G4351" s="53"/>
    </row>
    <row r="4352">
      <c r="A4352" s="49">
        <v>44558.55228074074</v>
      </c>
      <c r="B4352" s="50">
        <v>44558.6772504861</v>
      </c>
      <c r="C4352" s="51">
        <v>1.008</v>
      </c>
      <c r="D4352" s="51">
        <v>63.0</v>
      </c>
      <c r="E4352" s="52" t="s">
        <v>25</v>
      </c>
      <c r="F4352" s="52" t="s">
        <v>26</v>
      </c>
      <c r="G4352" s="53"/>
    </row>
    <row r="4353">
      <c r="A4353" s="49">
        <v>44558.56269871528</v>
      </c>
      <c r="B4353" s="50">
        <v>44558.6876725347</v>
      </c>
      <c r="C4353" s="51">
        <v>1.008</v>
      </c>
      <c r="D4353" s="51">
        <v>63.0</v>
      </c>
      <c r="E4353" s="52" t="s">
        <v>25</v>
      </c>
      <c r="F4353" s="52" t="s">
        <v>26</v>
      </c>
      <c r="G4353" s="53"/>
    </row>
    <row r="4354">
      <c r="A4354" s="49">
        <v>44558.573122546295</v>
      </c>
      <c r="B4354" s="50">
        <v>44558.6980929976</v>
      </c>
      <c r="C4354" s="51">
        <v>1.008</v>
      </c>
      <c r="D4354" s="51">
        <v>63.0</v>
      </c>
      <c r="E4354" s="52" t="s">
        <v>25</v>
      </c>
      <c r="F4354" s="52" t="s">
        <v>26</v>
      </c>
      <c r="G4354" s="53"/>
    </row>
    <row r="4355">
      <c r="A4355" s="49">
        <v>44558.58354284722</v>
      </c>
      <c r="B4355" s="50">
        <v>44558.7085161574</v>
      </c>
      <c r="C4355" s="51">
        <v>1.009</v>
      </c>
      <c r="D4355" s="51">
        <v>63.0</v>
      </c>
      <c r="E4355" s="52" t="s">
        <v>25</v>
      </c>
      <c r="F4355" s="52" t="s">
        <v>26</v>
      </c>
      <c r="G4355" s="53"/>
    </row>
    <row r="4356">
      <c r="A4356" s="49">
        <v>44558.59397962963</v>
      </c>
      <c r="B4356" s="50">
        <v>44558.7189480787</v>
      </c>
      <c r="C4356" s="51">
        <v>1.008</v>
      </c>
      <c r="D4356" s="51">
        <v>63.0</v>
      </c>
      <c r="E4356" s="52" t="s">
        <v>25</v>
      </c>
      <c r="F4356" s="52" t="s">
        <v>26</v>
      </c>
      <c r="G4356" s="53"/>
    </row>
    <row r="4357">
      <c r="A4357" s="49">
        <v>44558.604399918986</v>
      </c>
      <c r="B4357" s="50">
        <v>44558.7293692592</v>
      </c>
      <c r="C4357" s="51">
        <v>1.009</v>
      </c>
      <c r="D4357" s="51">
        <v>63.0</v>
      </c>
      <c r="E4357" s="52" t="s">
        <v>25</v>
      </c>
      <c r="F4357" s="52" t="s">
        <v>26</v>
      </c>
      <c r="G4357" s="53"/>
    </row>
    <row r="4358">
      <c r="A4358" s="49">
        <v>44558.614821145835</v>
      </c>
      <c r="B4358" s="50">
        <v>44558.7397883564</v>
      </c>
      <c r="C4358" s="51">
        <v>1.008</v>
      </c>
      <c r="D4358" s="51">
        <v>63.0</v>
      </c>
      <c r="E4358" s="52" t="s">
        <v>25</v>
      </c>
      <c r="F4358" s="52" t="s">
        <v>26</v>
      </c>
      <c r="G4358" s="53"/>
    </row>
    <row r="4359">
      <c r="A4359" s="49">
        <v>44558.62523611111</v>
      </c>
      <c r="B4359" s="50">
        <v>44558.7502099421</v>
      </c>
      <c r="C4359" s="51">
        <v>1.008</v>
      </c>
      <c r="D4359" s="51">
        <v>63.0</v>
      </c>
      <c r="E4359" s="52" t="s">
        <v>25</v>
      </c>
      <c r="F4359" s="52" t="s">
        <v>26</v>
      </c>
      <c r="G4359" s="53"/>
    </row>
    <row r="4360">
      <c r="A4360" s="49">
        <v>44558.635654537036</v>
      </c>
      <c r="B4360" s="50">
        <v>44558.7606319444</v>
      </c>
      <c r="C4360" s="51">
        <v>1.008</v>
      </c>
      <c r="D4360" s="51">
        <v>63.0</v>
      </c>
      <c r="E4360" s="52" t="s">
        <v>25</v>
      </c>
      <c r="F4360" s="52" t="s">
        <v>26</v>
      </c>
      <c r="G4360" s="53"/>
    </row>
    <row r="4361">
      <c r="A4361" s="49">
        <v>44558.64608452546</v>
      </c>
      <c r="B4361" s="50">
        <v>44558.7710542476</v>
      </c>
      <c r="C4361" s="51">
        <v>1.008</v>
      </c>
      <c r="D4361" s="51">
        <v>63.0</v>
      </c>
      <c r="E4361" s="52" t="s">
        <v>25</v>
      </c>
      <c r="F4361" s="52" t="s">
        <v>26</v>
      </c>
      <c r="G4361" s="53"/>
    </row>
    <row r="4362">
      <c r="A4362" s="49">
        <v>44558.65649731482</v>
      </c>
      <c r="B4362" s="50">
        <v>44558.7814749652</v>
      </c>
      <c r="C4362" s="51">
        <v>1.009</v>
      </c>
      <c r="D4362" s="51">
        <v>63.0</v>
      </c>
      <c r="E4362" s="52" t="s">
        <v>25</v>
      </c>
      <c r="F4362" s="52" t="s">
        <v>26</v>
      </c>
      <c r="G4362" s="53"/>
    </row>
    <row r="4363">
      <c r="A4363" s="49">
        <v>44558.66692618055</v>
      </c>
      <c r="B4363" s="50">
        <v>44558.7918974421</v>
      </c>
      <c r="C4363" s="51">
        <v>1.008</v>
      </c>
      <c r="D4363" s="51">
        <v>63.0</v>
      </c>
      <c r="E4363" s="52" t="s">
        <v>25</v>
      </c>
      <c r="F4363" s="52" t="s">
        <v>26</v>
      </c>
      <c r="G4363" s="53"/>
    </row>
    <row r="4364">
      <c r="A4364" s="49">
        <v>44558.67735865741</v>
      </c>
      <c r="B4364" s="50">
        <v>44558.8023302893</v>
      </c>
      <c r="C4364" s="51">
        <v>1.008</v>
      </c>
      <c r="D4364" s="51">
        <v>63.0</v>
      </c>
      <c r="E4364" s="52" t="s">
        <v>25</v>
      </c>
      <c r="F4364" s="52" t="s">
        <v>26</v>
      </c>
      <c r="G4364" s="53"/>
    </row>
    <row r="4365">
      <c r="A4365" s="49">
        <v>44558.687781458335</v>
      </c>
      <c r="B4365" s="50">
        <v>44558.8127518865</v>
      </c>
      <c r="C4365" s="51">
        <v>1.009</v>
      </c>
      <c r="D4365" s="51">
        <v>63.0</v>
      </c>
      <c r="E4365" s="52" t="s">
        <v>25</v>
      </c>
      <c r="F4365" s="52" t="s">
        <v>26</v>
      </c>
      <c r="G4365" s="53"/>
    </row>
    <row r="4366">
      <c r="A4366" s="49">
        <v>44558.69820267361</v>
      </c>
      <c r="B4366" s="50">
        <v>44558.8231728125</v>
      </c>
      <c r="C4366" s="51">
        <v>1.008</v>
      </c>
      <c r="D4366" s="51">
        <v>63.0</v>
      </c>
      <c r="E4366" s="52" t="s">
        <v>25</v>
      </c>
      <c r="F4366" s="52" t="s">
        <v>26</v>
      </c>
      <c r="G4366" s="53"/>
    </row>
    <row r="4367">
      <c r="A4367" s="49">
        <v>44558.70862435186</v>
      </c>
      <c r="B4367" s="50">
        <v>44558.8335945486</v>
      </c>
      <c r="C4367" s="51">
        <v>1.008</v>
      </c>
      <c r="D4367" s="51">
        <v>63.0</v>
      </c>
      <c r="E4367" s="52" t="s">
        <v>25</v>
      </c>
      <c r="F4367" s="52" t="s">
        <v>26</v>
      </c>
      <c r="G4367" s="53"/>
    </row>
    <row r="4368">
      <c r="A4368" s="49">
        <v>44558.71904369213</v>
      </c>
      <c r="B4368" s="50">
        <v>44558.844015</v>
      </c>
      <c r="C4368" s="51">
        <v>1.008</v>
      </c>
      <c r="D4368" s="51">
        <v>63.0</v>
      </c>
      <c r="E4368" s="52" t="s">
        <v>25</v>
      </c>
      <c r="F4368" s="52" t="s">
        <v>26</v>
      </c>
      <c r="G4368" s="53"/>
    </row>
    <row r="4369">
      <c r="A4369" s="49">
        <v>44558.72946069445</v>
      </c>
      <c r="B4369" s="50">
        <v>44558.8544366203</v>
      </c>
      <c r="C4369" s="51">
        <v>1.008</v>
      </c>
      <c r="D4369" s="51">
        <v>63.0</v>
      </c>
      <c r="E4369" s="52" t="s">
        <v>25</v>
      </c>
      <c r="F4369" s="52" t="s">
        <v>26</v>
      </c>
      <c r="G4369" s="53"/>
    </row>
    <row r="4370">
      <c r="A4370" s="49">
        <v>44558.73989189815</v>
      </c>
      <c r="B4370" s="50">
        <v>44558.8648576504</v>
      </c>
      <c r="C4370" s="51">
        <v>1.009</v>
      </c>
      <c r="D4370" s="51">
        <v>63.0</v>
      </c>
      <c r="E4370" s="52" t="s">
        <v>25</v>
      </c>
      <c r="F4370" s="52" t="s">
        <v>26</v>
      </c>
      <c r="G4370" s="53"/>
    </row>
    <row r="4371">
      <c r="A4371" s="49">
        <v>44558.750309780095</v>
      </c>
      <c r="B4371" s="50">
        <v>44558.8752778125</v>
      </c>
      <c r="C4371" s="51">
        <v>1.008</v>
      </c>
      <c r="D4371" s="51">
        <v>63.0</v>
      </c>
      <c r="E4371" s="52" t="s">
        <v>25</v>
      </c>
      <c r="F4371" s="52" t="s">
        <v>26</v>
      </c>
      <c r="G4371" s="53"/>
    </row>
    <row r="4372">
      <c r="A4372" s="49">
        <v>44558.760729201385</v>
      </c>
      <c r="B4372" s="50">
        <v>44558.8857005671</v>
      </c>
      <c r="C4372" s="51">
        <v>1.009</v>
      </c>
      <c r="D4372" s="51">
        <v>63.0</v>
      </c>
      <c r="E4372" s="52" t="s">
        <v>25</v>
      </c>
      <c r="F4372" s="52" t="s">
        <v>26</v>
      </c>
      <c r="G4372" s="53"/>
    </row>
    <row r="4373">
      <c r="A4373" s="49">
        <v>44558.771171886576</v>
      </c>
      <c r="B4373" s="50">
        <v>44558.8961442361</v>
      </c>
      <c r="C4373" s="51">
        <v>1.008</v>
      </c>
      <c r="D4373" s="51">
        <v>63.0</v>
      </c>
      <c r="E4373" s="52" t="s">
        <v>25</v>
      </c>
      <c r="F4373" s="52" t="s">
        <v>26</v>
      </c>
      <c r="G4373" s="53"/>
    </row>
    <row r="4374">
      <c r="A4374" s="49">
        <v>44558.781591990744</v>
      </c>
      <c r="B4374" s="50">
        <v>44558.9065649652</v>
      </c>
      <c r="C4374" s="51">
        <v>1.008</v>
      </c>
      <c r="D4374" s="51">
        <v>63.0</v>
      </c>
      <c r="E4374" s="52" t="s">
        <v>25</v>
      </c>
      <c r="F4374" s="52" t="s">
        <v>26</v>
      </c>
      <c r="G4374" s="53"/>
    </row>
    <row r="4375">
      <c r="A4375" s="49">
        <v>44558.79201038195</v>
      </c>
      <c r="B4375" s="50">
        <v>44558.9169857175</v>
      </c>
      <c r="C4375" s="51">
        <v>1.008</v>
      </c>
      <c r="D4375" s="51">
        <v>63.0</v>
      </c>
      <c r="E4375" s="52" t="s">
        <v>25</v>
      </c>
      <c r="F4375" s="52" t="s">
        <v>26</v>
      </c>
      <c r="G4375" s="53"/>
    </row>
    <row r="4376">
      <c r="A4376" s="49">
        <v>44558.802437499995</v>
      </c>
      <c r="B4376" s="50">
        <v>44558.9274067476</v>
      </c>
      <c r="C4376" s="51">
        <v>1.008</v>
      </c>
      <c r="D4376" s="51">
        <v>63.0</v>
      </c>
      <c r="E4376" s="52" t="s">
        <v>25</v>
      </c>
      <c r="F4376" s="52" t="s">
        <v>26</v>
      </c>
      <c r="G4376" s="53"/>
    </row>
    <row r="4377">
      <c r="A4377" s="49">
        <v>44558.81286109953</v>
      </c>
      <c r="B4377" s="50">
        <v>44558.9378298263</v>
      </c>
      <c r="C4377" s="51">
        <v>1.008</v>
      </c>
      <c r="D4377" s="51">
        <v>63.0</v>
      </c>
      <c r="E4377" s="52" t="s">
        <v>25</v>
      </c>
      <c r="F4377" s="52" t="s">
        <v>26</v>
      </c>
      <c r="G4377" s="53"/>
    </row>
    <row r="4378">
      <c r="A4378" s="49">
        <v>44558.823288750005</v>
      </c>
      <c r="B4378" s="50">
        <v>44558.9482649537</v>
      </c>
      <c r="C4378" s="51">
        <v>1.008</v>
      </c>
      <c r="D4378" s="51">
        <v>63.0</v>
      </c>
      <c r="E4378" s="52" t="s">
        <v>25</v>
      </c>
      <c r="F4378" s="52" t="s">
        <v>26</v>
      </c>
      <c r="G4378" s="53"/>
    </row>
    <row r="4379">
      <c r="A4379" s="49">
        <v>44558.83371273148</v>
      </c>
      <c r="B4379" s="50">
        <v>44558.9586867708</v>
      </c>
      <c r="C4379" s="51">
        <v>1.008</v>
      </c>
      <c r="D4379" s="51">
        <v>62.0</v>
      </c>
      <c r="E4379" s="52" t="s">
        <v>25</v>
      </c>
      <c r="F4379" s="52" t="s">
        <v>26</v>
      </c>
      <c r="G4379" s="53"/>
    </row>
    <row r="4380">
      <c r="A4380" s="49">
        <v>44558.84413612269</v>
      </c>
      <c r="B4380" s="50">
        <v>44558.9691067476</v>
      </c>
      <c r="C4380" s="51">
        <v>1.009</v>
      </c>
      <c r="D4380" s="51">
        <v>63.0</v>
      </c>
      <c r="E4380" s="52" t="s">
        <v>25</v>
      </c>
      <c r="F4380" s="52" t="s">
        <v>26</v>
      </c>
      <c r="G4380" s="53"/>
    </row>
    <row r="4381">
      <c r="A4381" s="49">
        <v>44558.85455502315</v>
      </c>
      <c r="B4381" s="50">
        <v>44558.9795288078</v>
      </c>
      <c r="C4381" s="51">
        <v>1.008</v>
      </c>
      <c r="D4381" s="51">
        <v>63.0</v>
      </c>
      <c r="E4381" s="52" t="s">
        <v>25</v>
      </c>
      <c r="F4381" s="52" t="s">
        <v>26</v>
      </c>
      <c r="G4381" s="53"/>
    </row>
    <row r="4382">
      <c r="A4382" s="49">
        <v>44558.86497376158</v>
      </c>
      <c r="B4382" s="50">
        <v>44558.9899508796</v>
      </c>
      <c r="C4382" s="51">
        <v>1.008</v>
      </c>
      <c r="D4382" s="51">
        <v>63.0</v>
      </c>
      <c r="E4382" s="52" t="s">
        <v>25</v>
      </c>
      <c r="F4382" s="52" t="s">
        <v>26</v>
      </c>
      <c r="G4382" s="53"/>
    </row>
    <row r="4383">
      <c r="A4383" s="49">
        <v>44558.87540103009</v>
      </c>
      <c r="B4383" s="50">
        <v>44559.0003726273</v>
      </c>
      <c r="C4383" s="51">
        <v>1.008</v>
      </c>
      <c r="D4383" s="51">
        <v>63.0</v>
      </c>
      <c r="E4383" s="52" t="s">
        <v>25</v>
      </c>
      <c r="F4383" s="52" t="s">
        <v>26</v>
      </c>
      <c r="G4383" s="53"/>
    </row>
    <row r="4384">
      <c r="A4384" s="49">
        <v>44558.88583508102</v>
      </c>
      <c r="B4384" s="50">
        <v>44559.0108047685</v>
      </c>
      <c r="C4384" s="51">
        <v>1.008</v>
      </c>
      <c r="D4384" s="51">
        <v>63.0</v>
      </c>
      <c r="E4384" s="52" t="s">
        <v>25</v>
      </c>
      <c r="F4384" s="52" t="s">
        <v>26</v>
      </c>
      <c r="G4384" s="53"/>
    </row>
    <row r="4385">
      <c r="A4385" s="49">
        <v>44558.89625027778</v>
      </c>
      <c r="B4385" s="50">
        <v>44559.0212255671</v>
      </c>
      <c r="C4385" s="51">
        <v>1.008</v>
      </c>
      <c r="D4385" s="51">
        <v>62.0</v>
      </c>
      <c r="E4385" s="52" t="s">
        <v>25</v>
      </c>
      <c r="F4385" s="52" t="s">
        <v>26</v>
      </c>
      <c r="G4385" s="53"/>
    </row>
    <row r="4386">
      <c r="A4386" s="49">
        <v>44558.90669200232</v>
      </c>
      <c r="B4386" s="50">
        <v>44559.0316585648</v>
      </c>
      <c r="C4386" s="51">
        <v>1.008</v>
      </c>
      <c r="D4386" s="51">
        <v>62.0</v>
      </c>
      <c r="E4386" s="52" t="s">
        <v>25</v>
      </c>
      <c r="F4386" s="52" t="s">
        <v>26</v>
      </c>
      <c r="G4386" s="53"/>
    </row>
    <row r="4387">
      <c r="A4387" s="49">
        <v>44558.91710899306</v>
      </c>
      <c r="B4387" s="50">
        <v>44559.0420807175</v>
      </c>
      <c r="C4387" s="51">
        <v>1.008</v>
      </c>
      <c r="D4387" s="51">
        <v>63.0</v>
      </c>
      <c r="E4387" s="52" t="s">
        <v>25</v>
      </c>
      <c r="F4387" s="52" t="s">
        <v>26</v>
      </c>
      <c r="G4387" s="53"/>
    </row>
    <row r="4388">
      <c r="A4388" s="49">
        <v>44558.9275375</v>
      </c>
      <c r="B4388" s="50">
        <v>44559.0525131712</v>
      </c>
      <c r="C4388" s="51">
        <v>1.008</v>
      </c>
      <c r="D4388" s="51">
        <v>62.0</v>
      </c>
      <c r="E4388" s="52" t="s">
        <v>25</v>
      </c>
      <c r="F4388" s="52" t="s">
        <v>26</v>
      </c>
      <c r="G4388" s="53"/>
    </row>
    <row r="4389">
      <c r="A4389" s="49">
        <v>44558.937966446756</v>
      </c>
      <c r="B4389" s="50">
        <v>44559.0629352662</v>
      </c>
      <c r="C4389" s="51">
        <v>1.008</v>
      </c>
      <c r="D4389" s="51">
        <v>63.0</v>
      </c>
      <c r="E4389" s="52" t="s">
        <v>25</v>
      </c>
      <c r="F4389" s="52" t="s">
        <v>26</v>
      </c>
      <c r="G4389" s="53"/>
    </row>
    <row r="4390">
      <c r="A4390" s="49">
        <v>44558.94841125</v>
      </c>
      <c r="B4390" s="50">
        <v>44559.0733785995</v>
      </c>
      <c r="C4390" s="51">
        <v>1.008</v>
      </c>
      <c r="D4390" s="51">
        <v>63.0</v>
      </c>
      <c r="E4390" s="52" t="s">
        <v>25</v>
      </c>
      <c r="F4390" s="52" t="s">
        <v>26</v>
      </c>
      <c r="G4390" s="53"/>
    </row>
    <row r="4391">
      <c r="A4391" s="49">
        <v>44558.95882771991</v>
      </c>
      <c r="B4391" s="50">
        <v>44559.0838010995</v>
      </c>
      <c r="C4391" s="51">
        <v>1.008</v>
      </c>
      <c r="D4391" s="51">
        <v>63.0</v>
      </c>
      <c r="E4391" s="52" t="s">
        <v>25</v>
      </c>
      <c r="F4391" s="52" t="s">
        <v>26</v>
      </c>
      <c r="G4391" s="53"/>
    </row>
    <row r="4392">
      <c r="A4392" s="49">
        <v>44558.96927700231</v>
      </c>
      <c r="B4392" s="50">
        <v>44559.0942457523</v>
      </c>
      <c r="C4392" s="51">
        <v>1.008</v>
      </c>
      <c r="D4392" s="51">
        <v>63.0</v>
      </c>
      <c r="E4392" s="52" t="s">
        <v>25</v>
      </c>
      <c r="F4392" s="52" t="s">
        <v>26</v>
      </c>
      <c r="G4392" s="53"/>
    </row>
    <row r="4393">
      <c r="A4393" s="49">
        <v>44558.979696215276</v>
      </c>
      <c r="B4393" s="50">
        <v>44559.1046659374</v>
      </c>
      <c r="C4393" s="51">
        <v>1.008</v>
      </c>
      <c r="D4393" s="51">
        <v>63.0</v>
      </c>
      <c r="E4393" s="52" t="s">
        <v>25</v>
      </c>
      <c r="F4393" s="52" t="s">
        <v>26</v>
      </c>
      <c r="G4393" s="53"/>
    </row>
    <row r="4394">
      <c r="A4394" s="49">
        <v>44558.99011543981</v>
      </c>
      <c r="B4394" s="50">
        <v>44559.1150872685</v>
      </c>
      <c r="C4394" s="51">
        <v>1.008</v>
      </c>
      <c r="D4394" s="51">
        <v>63.0</v>
      </c>
      <c r="E4394" s="52" t="s">
        <v>25</v>
      </c>
      <c r="F4394" s="52" t="s">
        <v>26</v>
      </c>
      <c r="G4394" s="53"/>
    </row>
    <row r="4395">
      <c r="A4395" s="49">
        <v>44559.00053253472</v>
      </c>
      <c r="B4395" s="50">
        <v>44559.1255074768</v>
      </c>
      <c r="C4395" s="51">
        <v>1.008</v>
      </c>
      <c r="D4395" s="51">
        <v>63.0</v>
      </c>
      <c r="E4395" s="52" t="s">
        <v>25</v>
      </c>
      <c r="F4395" s="52" t="s">
        <v>26</v>
      </c>
      <c r="G4395" s="53"/>
    </row>
    <row r="4396">
      <c r="A4396" s="49">
        <v>44559.01095793981</v>
      </c>
      <c r="B4396" s="50">
        <v>44559.1359282638</v>
      </c>
      <c r="C4396" s="51">
        <v>1.008</v>
      </c>
      <c r="D4396" s="51">
        <v>63.0</v>
      </c>
      <c r="E4396" s="52" t="s">
        <v>25</v>
      </c>
      <c r="F4396" s="52" t="s">
        <v>26</v>
      </c>
      <c r="G4396" s="53"/>
    </row>
    <row r="4397">
      <c r="A4397" s="49">
        <v>44559.021381921295</v>
      </c>
      <c r="B4397" s="50">
        <v>44559.1463480439</v>
      </c>
      <c r="C4397" s="51">
        <v>1.008</v>
      </c>
      <c r="D4397" s="51">
        <v>62.0</v>
      </c>
      <c r="E4397" s="52" t="s">
        <v>25</v>
      </c>
      <c r="F4397" s="52" t="s">
        <v>26</v>
      </c>
      <c r="G4397" s="53"/>
    </row>
    <row r="4398">
      <c r="A4398" s="49">
        <v>44559.031816620365</v>
      </c>
      <c r="B4398" s="50">
        <v>44559.1567926504</v>
      </c>
      <c r="C4398" s="51">
        <v>1.008</v>
      </c>
      <c r="D4398" s="51">
        <v>63.0</v>
      </c>
      <c r="E4398" s="52" t="s">
        <v>25</v>
      </c>
      <c r="F4398" s="52" t="s">
        <v>26</v>
      </c>
      <c r="G4398" s="53"/>
    </row>
    <row r="4399">
      <c r="A4399" s="49">
        <v>44559.04224353009</v>
      </c>
      <c r="B4399" s="50">
        <v>44559.1672129166</v>
      </c>
      <c r="C4399" s="51">
        <v>1.008</v>
      </c>
      <c r="D4399" s="51">
        <v>63.0</v>
      </c>
      <c r="E4399" s="52" t="s">
        <v>25</v>
      </c>
      <c r="F4399" s="52" t="s">
        <v>26</v>
      </c>
      <c r="G4399" s="53"/>
    </row>
    <row r="4400">
      <c r="A4400" s="49">
        <v>44559.052691273144</v>
      </c>
      <c r="B4400" s="50">
        <v>44559.177657905</v>
      </c>
      <c r="C4400" s="51">
        <v>1.008</v>
      </c>
      <c r="D4400" s="51">
        <v>63.0</v>
      </c>
      <c r="E4400" s="52" t="s">
        <v>25</v>
      </c>
      <c r="F4400" s="52" t="s">
        <v>26</v>
      </c>
      <c r="G4400" s="53"/>
    </row>
    <row r="4401">
      <c r="A4401" s="49">
        <v>44559.063109282404</v>
      </c>
      <c r="B4401" s="50">
        <v>44559.1880786921</v>
      </c>
      <c r="C4401" s="51">
        <v>1.008</v>
      </c>
      <c r="D4401" s="51">
        <v>62.0</v>
      </c>
      <c r="E4401" s="52" t="s">
        <v>25</v>
      </c>
      <c r="F4401" s="52" t="s">
        <v>26</v>
      </c>
      <c r="G4401" s="53"/>
    </row>
    <row r="4402">
      <c r="A4402" s="49">
        <v>44559.073525775464</v>
      </c>
      <c r="B4402" s="50">
        <v>44559.1984995717</v>
      </c>
      <c r="C4402" s="51">
        <v>1.008</v>
      </c>
      <c r="D4402" s="51">
        <v>63.0</v>
      </c>
      <c r="E4402" s="52" t="s">
        <v>25</v>
      </c>
      <c r="F4402" s="52" t="s">
        <v>26</v>
      </c>
      <c r="G4402" s="53"/>
    </row>
    <row r="4403">
      <c r="A4403" s="49">
        <v>44559.08395689815</v>
      </c>
      <c r="B4403" s="50">
        <v>44559.2089223032</v>
      </c>
      <c r="C4403" s="51">
        <v>1.008</v>
      </c>
      <c r="D4403" s="51">
        <v>62.0</v>
      </c>
      <c r="E4403" s="52" t="s">
        <v>25</v>
      </c>
      <c r="F4403" s="52" t="s">
        <v>26</v>
      </c>
      <c r="G4403" s="53"/>
    </row>
    <row r="4404">
      <c r="A4404" s="49">
        <v>44559.094378043985</v>
      </c>
      <c r="B4404" s="50">
        <v>44559.2193435648</v>
      </c>
      <c r="C4404" s="51">
        <v>1.008</v>
      </c>
      <c r="D4404" s="51">
        <v>62.0</v>
      </c>
      <c r="E4404" s="52" t="s">
        <v>25</v>
      </c>
      <c r="F4404" s="52" t="s">
        <v>26</v>
      </c>
      <c r="G4404" s="53"/>
    </row>
    <row r="4405">
      <c r="A4405" s="49">
        <v>44559.10480590278</v>
      </c>
      <c r="B4405" s="50">
        <v>44559.2297755439</v>
      </c>
      <c r="C4405" s="51">
        <v>1.008</v>
      </c>
      <c r="D4405" s="51">
        <v>62.0</v>
      </c>
      <c r="E4405" s="52" t="s">
        <v>25</v>
      </c>
      <c r="F4405" s="52" t="s">
        <v>26</v>
      </c>
      <c r="G4405" s="53"/>
    </row>
    <row r="4406">
      <c r="A4406" s="49">
        <v>44559.11523236111</v>
      </c>
      <c r="B4406" s="50">
        <v>44559.2402078356</v>
      </c>
      <c r="C4406" s="51">
        <v>1.008</v>
      </c>
      <c r="D4406" s="51">
        <v>62.0</v>
      </c>
      <c r="E4406" s="52" t="s">
        <v>25</v>
      </c>
      <c r="F4406" s="52" t="s">
        <v>26</v>
      </c>
      <c r="G4406" s="53"/>
    </row>
    <row r="4407">
      <c r="A4407" s="49">
        <v>44559.12567332176</v>
      </c>
      <c r="B4407" s="50">
        <v>44559.2506401041</v>
      </c>
      <c r="C4407" s="51">
        <v>1.008</v>
      </c>
      <c r="D4407" s="51">
        <v>62.0</v>
      </c>
      <c r="E4407" s="52" t="s">
        <v>25</v>
      </c>
      <c r="F4407" s="52" t="s">
        <v>26</v>
      </c>
      <c r="G4407" s="53"/>
    </row>
    <row r="4408">
      <c r="A4408" s="49">
        <v>44559.136085300925</v>
      </c>
      <c r="B4408" s="50">
        <v>44559.2610614814</v>
      </c>
      <c r="C4408" s="51">
        <v>1.008</v>
      </c>
      <c r="D4408" s="51">
        <v>62.0</v>
      </c>
      <c r="E4408" s="52" t="s">
        <v>25</v>
      </c>
      <c r="F4408" s="52" t="s">
        <v>26</v>
      </c>
      <c r="G4408" s="53"/>
    </row>
    <row r="4409">
      <c r="A4409" s="49">
        <v>44559.14653186343</v>
      </c>
      <c r="B4409" s="50">
        <v>44559.2715044444</v>
      </c>
      <c r="C4409" s="51">
        <v>1.008</v>
      </c>
      <c r="D4409" s="51">
        <v>62.0</v>
      </c>
      <c r="E4409" s="52" t="s">
        <v>25</v>
      </c>
      <c r="F4409" s="52" t="s">
        <v>26</v>
      </c>
      <c r="G4409" s="53"/>
    </row>
    <row r="4410">
      <c r="A4410" s="49">
        <v>44559.15694403935</v>
      </c>
      <c r="B4410" s="50">
        <v>44559.2819240972</v>
      </c>
      <c r="C4410" s="51">
        <v>1.008</v>
      </c>
      <c r="D4410" s="51">
        <v>63.0</v>
      </c>
      <c r="E4410" s="52" t="s">
        <v>25</v>
      </c>
      <c r="F4410" s="52" t="s">
        <v>26</v>
      </c>
      <c r="G4410" s="53"/>
    </row>
    <row r="4411">
      <c r="A4411" s="49">
        <v>44559.16736359954</v>
      </c>
      <c r="B4411" s="50">
        <v>44559.2923447453</v>
      </c>
      <c r="C4411" s="51">
        <v>1.008</v>
      </c>
      <c r="D4411" s="51">
        <v>62.0</v>
      </c>
      <c r="E4411" s="52" t="s">
        <v>25</v>
      </c>
      <c r="F4411" s="52" t="s">
        <v>26</v>
      </c>
      <c r="G4411" s="53"/>
    </row>
    <row r="4412">
      <c r="A4412" s="49">
        <v>44559.17778884259</v>
      </c>
      <c r="B4412" s="50">
        <v>44559.3027655439</v>
      </c>
      <c r="C4412" s="51">
        <v>1.008</v>
      </c>
      <c r="D4412" s="51">
        <v>62.0</v>
      </c>
      <c r="E4412" s="52" t="s">
        <v>25</v>
      </c>
      <c r="F4412" s="52" t="s">
        <v>26</v>
      </c>
      <c r="G4412" s="53"/>
    </row>
    <row r="4413">
      <c r="A4413" s="49">
        <v>44559.18820618055</v>
      </c>
      <c r="B4413" s="50">
        <v>44559.3131867476</v>
      </c>
      <c r="C4413" s="51">
        <v>1.008</v>
      </c>
      <c r="D4413" s="51">
        <v>63.0</v>
      </c>
      <c r="E4413" s="52" t="s">
        <v>25</v>
      </c>
      <c r="F4413" s="52" t="s">
        <v>26</v>
      </c>
      <c r="G4413" s="53"/>
    </row>
    <row r="4414">
      <c r="A4414" s="49">
        <v>44559.19863782407</v>
      </c>
      <c r="B4414" s="50">
        <v>44559.323607905</v>
      </c>
      <c r="C4414" s="51">
        <v>1.008</v>
      </c>
      <c r="D4414" s="51">
        <v>62.0</v>
      </c>
      <c r="E4414" s="52" t="s">
        <v>25</v>
      </c>
      <c r="F4414" s="52" t="s">
        <v>26</v>
      </c>
      <c r="G4414" s="53"/>
    </row>
    <row r="4415">
      <c r="A4415" s="49">
        <v>44559.20905431713</v>
      </c>
      <c r="B4415" s="50">
        <v>44559.3340279166</v>
      </c>
      <c r="C4415" s="51">
        <v>1.008</v>
      </c>
      <c r="D4415" s="51">
        <v>62.0</v>
      </c>
      <c r="E4415" s="52" t="s">
        <v>25</v>
      </c>
      <c r="F4415" s="52" t="s">
        <v>26</v>
      </c>
      <c r="G4415" s="53"/>
    </row>
    <row r="4416">
      <c r="A4416" s="49">
        <v>44559.21948853009</v>
      </c>
      <c r="B4416" s="50">
        <v>44559.3444588657</v>
      </c>
      <c r="C4416" s="51">
        <v>1.008</v>
      </c>
      <c r="D4416" s="51">
        <v>62.0</v>
      </c>
      <c r="E4416" s="52" t="s">
        <v>25</v>
      </c>
      <c r="F4416" s="52" t="s">
        <v>26</v>
      </c>
      <c r="G4416" s="53"/>
    </row>
    <row r="4417">
      <c r="A4417" s="49">
        <v>44559.229909236106</v>
      </c>
      <c r="B4417" s="50">
        <v>44559.3548812847</v>
      </c>
      <c r="C4417" s="51">
        <v>1.008</v>
      </c>
      <c r="D4417" s="51">
        <v>62.0</v>
      </c>
      <c r="E4417" s="52" t="s">
        <v>25</v>
      </c>
      <c r="F4417" s="52" t="s">
        <v>26</v>
      </c>
      <c r="G4417" s="53"/>
    </row>
    <row r="4418">
      <c r="A4418" s="49">
        <v>44559.24033045139</v>
      </c>
      <c r="B4418" s="50">
        <v>44559.3653017013</v>
      </c>
      <c r="C4418" s="51">
        <v>1.008</v>
      </c>
      <c r="D4418" s="51">
        <v>62.0</v>
      </c>
      <c r="E4418" s="52" t="s">
        <v>25</v>
      </c>
      <c r="F4418" s="52" t="s">
        <v>26</v>
      </c>
      <c r="G4418" s="53"/>
    </row>
    <row r="4419">
      <c r="A4419" s="49">
        <v>44559.250760532406</v>
      </c>
      <c r="B4419" s="50">
        <v>44559.3757339351</v>
      </c>
      <c r="C4419" s="51">
        <v>1.008</v>
      </c>
      <c r="D4419" s="51">
        <v>62.0</v>
      </c>
      <c r="E4419" s="52" t="s">
        <v>25</v>
      </c>
      <c r="F4419" s="52" t="s">
        <v>26</v>
      </c>
      <c r="G4419" s="53"/>
    </row>
    <row r="4420">
      <c r="A4420" s="49">
        <v>44559.26118722222</v>
      </c>
      <c r="B4420" s="50">
        <v>44559.3861544212</v>
      </c>
      <c r="C4420" s="51">
        <v>1.008</v>
      </c>
      <c r="D4420" s="51">
        <v>63.0</v>
      </c>
      <c r="E4420" s="52" t="s">
        <v>25</v>
      </c>
      <c r="F4420" s="52" t="s">
        <v>26</v>
      </c>
      <c r="G4420" s="53"/>
    </row>
    <row r="4421">
      <c r="A4421" s="49">
        <v>44559.271606215276</v>
      </c>
      <c r="B4421" s="50">
        <v>44559.3965773611</v>
      </c>
      <c r="C4421" s="51">
        <v>1.008</v>
      </c>
      <c r="D4421" s="51">
        <v>63.0</v>
      </c>
      <c r="E4421" s="52" t="s">
        <v>25</v>
      </c>
      <c r="F4421" s="52" t="s">
        <v>26</v>
      </c>
      <c r="G4421" s="53"/>
    </row>
    <row r="4422">
      <c r="A4422" s="49">
        <v>44559.282018495374</v>
      </c>
      <c r="B4422" s="50">
        <v>44559.4069969444</v>
      </c>
      <c r="C4422" s="51">
        <v>1.008</v>
      </c>
      <c r="D4422" s="51">
        <v>62.0</v>
      </c>
      <c r="E4422" s="52" t="s">
        <v>25</v>
      </c>
      <c r="F4422" s="52" t="s">
        <v>26</v>
      </c>
      <c r="G4422" s="53"/>
    </row>
    <row r="4423">
      <c r="A4423" s="49">
        <v>44559.29244439815</v>
      </c>
      <c r="B4423" s="50">
        <v>44559.4174185648</v>
      </c>
      <c r="C4423" s="51">
        <v>1.008</v>
      </c>
      <c r="D4423" s="51">
        <v>63.0</v>
      </c>
      <c r="E4423" s="52" t="s">
        <v>25</v>
      </c>
      <c r="F4423" s="52" t="s">
        <v>26</v>
      </c>
      <c r="G4423" s="53"/>
    </row>
    <row r="4424">
      <c r="A4424" s="49">
        <v>44559.302872326385</v>
      </c>
      <c r="B4424" s="50">
        <v>44559.4278409722</v>
      </c>
      <c r="C4424" s="51">
        <v>1.008</v>
      </c>
      <c r="D4424" s="51">
        <v>62.0</v>
      </c>
      <c r="E4424" s="52" t="s">
        <v>25</v>
      </c>
      <c r="F4424" s="52" t="s">
        <v>26</v>
      </c>
      <c r="G4424" s="53"/>
    </row>
    <row r="4425">
      <c r="A4425" s="49">
        <v>44559.31329810186</v>
      </c>
      <c r="B4425" s="50">
        <v>44559.4382637615</v>
      </c>
      <c r="C4425" s="51">
        <v>1.008</v>
      </c>
      <c r="D4425" s="51">
        <v>63.0</v>
      </c>
      <c r="E4425" s="52" t="s">
        <v>25</v>
      </c>
      <c r="F4425" s="52" t="s">
        <v>26</v>
      </c>
      <c r="G4425" s="53"/>
    </row>
    <row r="4426">
      <c r="A4426" s="49">
        <v>44559.32370900463</v>
      </c>
      <c r="B4426" s="50">
        <v>44559.4486836574</v>
      </c>
      <c r="C4426" s="51">
        <v>1.008</v>
      </c>
      <c r="D4426" s="51">
        <v>62.0</v>
      </c>
      <c r="E4426" s="52" t="s">
        <v>25</v>
      </c>
      <c r="F4426" s="52" t="s">
        <v>26</v>
      </c>
      <c r="G4426" s="53"/>
    </row>
    <row r="4427">
      <c r="A4427" s="49">
        <v>44559.334144479166</v>
      </c>
      <c r="B4427" s="50">
        <v>44559.4591172569</v>
      </c>
      <c r="C4427" s="51">
        <v>1.008</v>
      </c>
      <c r="D4427" s="51">
        <v>62.0</v>
      </c>
      <c r="E4427" s="52" t="s">
        <v>25</v>
      </c>
      <c r="F4427" s="52" t="s">
        <v>26</v>
      </c>
      <c r="G4427" s="53"/>
    </row>
    <row r="4428">
      <c r="A4428" s="49">
        <v>44559.344569479166</v>
      </c>
      <c r="B4428" s="50">
        <v>44559.4695392592</v>
      </c>
      <c r="C4428" s="51">
        <v>1.008</v>
      </c>
      <c r="D4428" s="51">
        <v>63.0</v>
      </c>
      <c r="E4428" s="52" t="s">
        <v>25</v>
      </c>
      <c r="F4428" s="52" t="s">
        <v>26</v>
      </c>
      <c r="G4428" s="53"/>
    </row>
    <row r="4429">
      <c r="A4429" s="49">
        <v>44559.354987280094</v>
      </c>
      <c r="B4429" s="50">
        <v>44559.4799615162</v>
      </c>
      <c r="C4429" s="51">
        <v>1.008</v>
      </c>
      <c r="D4429" s="51">
        <v>62.0</v>
      </c>
      <c r="E4429" s="52" t="s">
        <v>25</v>
      </c>
      <c r="F4429" s="52" t="s">
        <v>26</v>
      </c>
      <c r="G4429" s="53"/>
    </row>
    <row r="4430">
      <c r="A4430" s="49">
        <v>44559.36541008102</v>
      </c>
      <c r="B4430" s="50">
        <v>44559.4903835069</v>
      </c>
      <c r="C4430" s="51">
        <v>1.008</v>
      </c>
      <c r="D4430" s="51">
        <v>62.0</v>
      </c>
      <c r="E4430" s="52" t="s">
        <v>25</v>
      </c>
      <c r="F4430" s="52" t="s">
        <v>26</v>
      </c>
      <c r="G4430" s="53"/>
    </row>
    <row r="4431">
      <c r="A4431" s="49">
        <v>44559.375822222224</v>
      </c>
      <c r="B4431" s="50">
        <v>44559.5008037384</v>
      </c>
      <c r="C4431" s="51">
        <v>1.008</v>
      </c>
      <c r="D4431" s="51">
        <v>63.0</v>
      </c>
      <c r="E4431" s="52" t="s">
        <v>25</v>
      </c>
      <c r="F4431" s="52" t="s">
        <v>26</v>
      </c>
      <c r="G4431" s="53"/>
    </row>
    <row r="4432">
      <c r="A4432" s="49">
        <v>44559.38625403935</v>
      </c>
      <c r="B4432" s="50">
        <v>44559.5112272337</v>
      </c>
      <c r="C4432" s="51">
        <v>1.008</v>
      </c>
      <c r="D4432" s="51">
        <v>62.0</v>
      </c>
      <c r="E4432" s="52" t="s">
        <v>25</v>
      </c>
      <c r="F4432" s="52" t="s">
        <v>26</v>
      </c>
      <c r="G4432" s="53"/>
    </row>
    <row r="4433">
      <c r="A4433" s="49">
        <v>44559.39669335648</v>
      </c>
      <c r="B4433" s="50">
        <v>44559.5216717129</v>
      </c>
      <c r="C4433" s="51">
        <v>1.008</v>
      </c>
      <c r="D4433" s="51">
        <v>62.0</v>
      </c>
      <c r="E4433" s="52" t="s">
        <v>25</v>
      </c>
      <c r="F4433" s="52" t="s">
        <v>26</v>
      </c>
      <c r="G4433" s="53"/>
    </row>
    <row r="4434">
      <c r="A4434" s="49">
        <v>44559.407113113426</v>
      </c>
      <c r="B4434" s="50">
        <v>44559.5320937962</v>
      </c>
      <c r="C4434" s="51">
        <v>1.008</v>
      </c>
      <c r="D4434" s="51">
        <v>62.0</v>
      </c>
      <c r="E4434" s="52" t="s">
        <v>25</v>
      </c>
      <c r="F4434" s="52" t="s">
        <v>26</v>
      </c>
      <c r="G4434" s="53"/>
    </row>
    <row r="4435">
      <c r="A4435" s="49">
        <v>44559.417558194444</v>
      </c>
      <c r="B4435" s="50">
        <v>44559.5425276273</v>
      </c>
      <c r="C4435" s="51">
        <v>1.008</v>
      </c>
      <c r="D4435" s="51">
        <v>62.0</v>
      </c>
      <c r="E4435" s="52" t="s">
        <v>25</v>
      </c>
      <c r="F4435" s="52" t="s">
        <v>26</v>
      </c>
      <c r="G4435" s="53"/>
    </row>
    <row r="4436">
      <c r="A4436" s="49">
        <v>44559.42798197917</v>
      </c>
      <c r="B4436" s="50">
        <v>44559.5529476041</v>
      </c>
      <c r="C4436" s="51">
        <v>1.008</v>
      </c>
      <c r="D4436" s="51">
        <v>63.0</v>
      </c>
      <c r="E4436" s="52" t="s">
        <v>25</v>
      </c>
      <c r="F4436" s="52" t="s">
        <v>26</v>
      </c>
      <c r="G4436" s="53"/>
    </row>
    <row r="4437">
      <c r="A4437" s="49">
        <v>44559.4383881713</v>
      </c>
      <c r="B4437" s="50">
        <v>44559.5633679745</v>
      </c>
      <c r="C4437" s="51">
        <v>1.008</v>
      </c>
      <c r="D4437" s="51">
        <v>62.0</v>
      </c>
      <c r="E4437" s="52" t="s">
        <v>25</v>
      </c>
      <c r="F4437" s="52" t="s">
        <v>26</v>
      </c>
      <c r="G4437" s="53"/>
    </row>
    <row r="4438">
      <c r="A4438" s="49">
        <v>44559.448837812495</v>
      </c>
      <c r="B4438" s="50">
        <v>44559.5738125115</v>
      </c>
      <c r="C4438" s="51">
        <v>1.008</v>
      </c>
      <c r="D4438" s="51">
        <v>63.0</v>
      </c>
      <c r="E4438" s="52" t="s">
        <v>25</v>
      </c>
      <c r="F4438" s="52" t="s">
        <v>26</v>
      </c>
      <c r="G4438" s="53"/>
    </row>
    <row r="4439">
      <c r="A4439" s="49">
        <v>44559.45927927083</v>
      </c>
      <c r="B4439" s="50">
        <v>44559.5842451504</v>
      </c>
      <c r="C4439" s="51">
        <v>1.008</v>
      </c>
      <c r="D4439" s="51">
        <v>63.0</v>
      </c>
      <c r="E4439" s="52" t="s">
        <v>25</v>
      </c>
      <c r="F4439" s="52" t="s">
        <v>26</v>
      </c>
      <c r="G4439" s="53"/>
    </row>
    <row r="4440">
      <c r="A4440" s="49">
        <v>44559.46969616898</v>
      </c>
      <c r="B4440" s="50">
        <v>44559.5946651388</v>
      </c>
      <c r="C4440" s="51">
        <v>1.008</v>
      </c>
      <c r="D4440" s="51">
        <v>63.0</v>
      </c>
      <c r="E4440" s="52" t="s">
        <v>25</v>
      </c>
      <c r="F4440" s="52" t="s">
        <v>26</v>
      </c>
      <c r="G4440" s="53"/>
    </row>
    <row r="4441">
      <c r="A4441" s="49">
        <v>44559.480151446754</v>
      </c>
      <c r="B4441" s="50">
        <v>44559.6051211921</v>
      </c>
      <c r="C4441" s="51">
        <v>1.008</v>
      </c>
      <c r="D4441" s="51">
        <v>62.0</v>
      </c>
      <c r="E4441" s="52" t="s">
        <v>25</v>
      </c>
      <c r="F4441" s="52" t="s">
        <v>26</v>
      </c>
      <c r="G4441" s="53"/>
    </row>
    <row r="4442">
      <c r="A4442" s="49">
        <v>44559.49056825231</v>
      </c>
      <c r="B4442" s="50">
        <v>44559.6155420949</v>
      </c>
      <c r="C4442" s="51">
        <v>1.008</v>
      </c>
      <c r="D4442" s="51">
        <v>62.0</v>
      </c>
      <c r="E4442" s="52" t="s">
        <v>25</v>
      </c>
      <c r="F4442" s="52" t="s">
        <v>26</v>
      </c>
      <c r="G4442" s="53"/>
    </row>
    <row r="4443">
      <c r="A4443" s="49">
        <v>44559.500991747685</v>
      </c>
      <c r="B4443" s="50">
        <v>44559.6259627546</v>
      </c>
      <c r="C4443" s="51">
        <v>1.008</v>
      </c>
      <c r="D4443" s="51">
        <v>62.0</v>
      </c>
      <c r="E4443" s="52" t="s">
        <v>25</v>
      </c>
      <c r="F4443" s="52" t="s">
        <v>26</v>
      </c>
      <c r="G4443" s="53"/>
    </row>
    <row r="4444">
      <c r="A4444" s="49">
        <v>44559.511415636574</v>
      </c>
      <c r="B4444" s="50">
        <v>44559.6363829398</v>
      </c>
      <c r="C4444" s="51">
        <v>1.008</v>
      </c>
      <c r="D4444" s="51">
        <v>62.0</v>
      </c>
      <c r="E4444" s="52" t="s">
        <v>25</v>
      </c>
      <c r="F4444" s="52" t="s">
        <v>26</v>
      </c>
      <c r="G4444" s="53"/>
    </row>
    <row r="4445">
      <c r="A4445" s="49">
        <v>44559.521833935185</v>
      </c>
      <c r="B4445" s="50">
        <v>44559.6468051388</v>
      </c>
      <c r="C4445" s="51">
        <v>1.008</v>
      </c>
      <c r="D4445" s="51">
        <v>62.0</v>
      </c>
      <c r="E4445" s="52" t="s">
        <v>25</v>
      </c>
      <c r="F4445" s="52" t="s">
        <v>26</v>
      </c>
      <c r="G4445" s="53"/>
    </row>
    <row r="4446">
      <c r="A4446" s="49">
        <v>44559.53225520834</v>
      </c>
      <c r="B4446" s="50">
        <v>44559.6572268171</v>
      </c>
      <c r="C4446" s="51">
        <v>1.008</v>
      </c>
      <c r="D4446" s="51">
        <v>62.0</v>
      </c>
      <c r="E4446" s="52" t="s">
        <v>25</v>
      </c>
      <c r="F4446" s="52" t="s">
        <v>26</v>
      </c>
      <c r="G4446" s="53"/>
    </row>
    <row r="4447">
      <c r="A4447" s="49">
        <v>44559.54267873843</v>
      </c>
      <c r="B4447" s="50">
        <v>44559.6676481365</v>
      </c>
      <c r="C4447" s="51">
        <v>1.008</v>
      </c>
      <c r="D4447" s="51">
        <v>62.0</v>
      </c>
      <c r="E4447" s="52" t="s">
        <v>25</v>
      </c>
      <c r="F4447" s="52" t="s">
        <v>26</v>
      </c>
      <c r="G4447" s="53"/>
    </row>
    <row r="4448">
      <c r="A4448" s="49">
        <v>44559.553093194445</v>
      </c>
      <c r="B4448" s="50">
        <v>44559.6780686226</v>
      </c>
      <c r="C4448" s="51">
        <v>1.008</v>
      </c>
      <c r="D4448" s="51">
        <v>63.0</v>
      </c>
      <c r="E4448" s="52" t="s">
        <v>25</v>
      </c>
      <c r="F4448" s="52" t="s">
        <v>26</v>
      </c>
      <c r="G4448" s="53"/>
    </row>
    <row r="4449">
      <c r="A4449" s="49">
        <v>44559.56351582176</v>
      </c>
      <c r="B4449" s="50">
        <v>44559.6884897685</v>
      </c>
      <c r="C4449" s="51">
        <v>1.008</v>
      </c>
      <c r="D4449" s="51">
        <v>62.0</v>
      </c>
      <c r="E4449" s="52" t="s">
        <v>25</v>
      </c>
      <c r="F4449" s="52" t="s">
        <v>26</v>
      </c>
      <c r="G4449" s="53"/>
    </row>
    <row r="4450">
      <c r="A4450" s="49">
        <v>44559.57395427083</v>
      </c>
      <c r="B4450" s="50">
        <v>44559.6989221412</v>
      </c>
      <c r="C4450" s="51">
        <v>1.008</v>
      </c>
      <c r="D4450" s="51">
        <v>62.0</v>
      </c>
      <c r="E4450" s="52" t="s">
        <v>25</v>
      </c>
      <c r="F4450" s="52" t="s">
        <v>26</v>
      </c>
      <c r="G4450" s="53"/>
    </row>
    <row r="4451">
      <c r="A4451" s="49">
        <v>44559.58436865741</v>
      </c>
      <c r="B4451" s="50">
        <v>44559.7093431018</v>
      </c>
      <c r="C4451" s="51">
        <v>1.008</v>
      </c>
      <c r="D4451" s="51">
        <v>62.0</v>
      </c>
      <c r="E4451" s="52" t="s">
        <v>25</v>
      </c>
      <c r="F4451" s="52" t="s">
        <v>26</v>
      </c>
      <c r="G4451" s="53"/>
    </row>
    <row r="4452">
      <c r="A4452" s="49">
        <v>44559.59484929398</v>
      </c>
      <c r="B4452" s="50">
        <v>44559.7197762384</v>
      </c>
      <c r="C4452" s="51">
        <v>1.008</v>
      </c>
      <c r="D4452" s="51">
        <v>62.0</v>
      </c>
      <c r="E4452" s="52" t="s">
        <v>25</v>
      </c>
      <c r="F4452" s="52" t="s">
        <v>26</v>
      </c>
      <c r="G4452" s="53"/>
    </row>
    <row r="4453">
      <c r="A4453" s="49">
        <v>44559.60521988426</v>
      </c>
      <c r="B4453" s="50">
        <v>44559.7301980902</v>
      </c>
      <c r="C4453" s="51">
        <v>1.008</v>
      </c>
      <c r="D4453" s="51">
        <v>63.0</v>
      </c>
      <c r="E4453" s="52" t="s">
        <v>25</v>
      </c>
      <c r="F4453" s="52" t="s">
        <v>26</v>
      </c>
      <c r="G4453" s="53"/>
    </row>
    <row r="4454">
      <c r="A4454" s="49">
        <v>44559.615643240744</v>
      </c>
      <c r="B4454" s="50">
        <v>44559.7406206249</v>
      </c>
      <c r="C4454" s="51">
        <v>1.008</v>
      </c>
      <c r="D4454" s="51">
        <v>62.0</v>
      </c>
      <c r="E4454" s="52" t="s">
        <v>25</v>
      </c>
      <c r="F4454" s="52" t="s">
        <v>26</v>
      </c>
      <c r="G4454" s="53"/>
    </row>
    <row r="4455">
      <c r="A4455" s="49">
        <v>44559.62606734954</v>
      </c>
      <c r="B4455" s="50">
        <v>44559.7510412152</v>
      </c>
      <c r="C4455" s="51">
        <v>1.008</v>
      </c>
      <c r="D4455" s="51">
        <v>62.0</v>
      </c>
      <c r="E4455" s="52" t="s">
        <v>25</v>
      </c>
      <c r="F4455" s="52" t="s">
        <v>26</v>
      </c>
      <c r="G4455" s="53"/>
    </row>
    <row r="4456">
      <c r="A4456" s="49">
        <v>44559.636487372685</v>
      </c>
      <c r="B4456" s="50">
        <v>44559.7614629745</v>
      </c>
      <c r="C4456" s="51">
        <v>1.008</v>
      </c>
      <c r="D4456" s="51">
        <v>62.0</v>
      </c>
      <c r="E4456" s="52" t="s">
        <v>25</v>
      </c>
      <c r="F4456" s="52" t="s">
        <v>26</v>
      </c>
      <c r="G4456" s="53"/>
    </row>
    <row r="4457">
      <c r="A4457" s="49">
        <v>44559.64690946759</v>
      </c>
      <c r="B4457" s="50">
        <v>44559.7718815277</v>
      </c>
      <c r="C4457" s="51">
        <v>1.008</v>
      </c>
      <c r="D4457" s="51">
        <v>62.0</v>
      </c>
      <c r="E4457" s="52" t="s">
        <v>25</v>
      </c>
      <c r="F4457" s="52" t="s">
        <v>26</v>
      </c>
      <c r="G4457" s="53"/>
    </row>
    <row r="4458">
      <c r="A4458" s="49">
        <v>44559.65731829861</v>
      </c>
      <c r="B4458" s="50">
        <v>44559.7823035648</v>
      </c>
      <c r="C4458" s="51">
        <v>1.008</v>
      </c>
      <c r="D4458" s="51">
        <v>62.0</v>
      </c>
      <c r="E4458" s="52" t="s">
        <v>25</v>
      </c>
      <c r="F4458" s="52" t="s">
        <v>26</v>
      </c>
      <c r="G4458" s="53"/>
    </row>
    <row r="4459">
      <c r="A4459" s="49">
        <v>44559.66774956018</v>
      </c>
      <c r="B4459" s="50">
        <v>44559.7927238773</v>
      </c>
      <c r="C4459" s="51">
        <v>1.008</v>
      </c>
      <c r="D4459" s="51">
        <v>62.0</v>
      </c>
      <c r="E4459" s="52" t="s">
        <v>25</v>
      </c>
      <c r="F4459" s="52" t="s">
        <v>26</v>
      </c>
      <c r="G4459" s="53"/>
    </row>
    <row r="4460">
      <c r="A4460" s="49">
        <v>44559.67817167824</v>
      </c>
      <c r="B4460" s="50">
        <v>44559.8031463541</v>
      </c>
      <c r="C4460" s="51">
        <v>1.008</v>
      </c>
      <c r="D4460" s="51">
        <v>62.0</v>
      </c>
      <c r="E4460" s="52" t="s">
        <v>25</v>
      </c>
      <c r="F4460" s="52" t="s">
        <v>26</v>
      </c>
      <c r="G4460" s="53"/>
    </row>
    <row r="4461">
      <c r="A4461" s="49">
        <v>44559.688594293984</v>
      </c>
      <c r="B4461" s="50">
        <v>44559.8135680208</v>
      </c>
      <c r="C4461" s="51">
        <v>1.008</v>
      </c>
      <c r="D4461" s="51">
        <v>62.0</v>
      </c>
      <c r="E4461" s="52" t="s">
        <v>25</v>
      </c>
      <c r="F4461" s="52" t="s">
        <v>26</v>
      </c>
      <c r="G4461" s="53"/>
    </row>
    <row r="4462">
      <c r="A4462" s="49">
        <v>44559.699013958336</v>
      </c>
      <c r="B4462" s="50">
        <v>44559.8239891782</v>
      </c>
      <c r="C4462" s="51">
        <v>1.008</v>
      </c>
      <c r="D4462" s="51">
        <v>62.0</v>
      </c>
      <c r="E4462" s="52" t="s">
        <v>25</v>
      </c>
      <c r="F4462" s="52" t="s">
        <v>26</v>
      </c>
      <c r="G4462" s="53"/>
    </row>
    <row r="4463">
      <c r="A4463" s="49">
        <v>44559.709435625</v>
      </c>
      <c r="B4463" s="50">
        <v>44559.8344107754</v>
      </c>
      <c r="C4463" s="51">
        <v>1.008</v>
      </c>
      <c r="D4463" s="51">
        <v>62.0</v>
      </c>
      <c r="E4463" s="52" t="s">
        <v>25</v>
      </c>
      <c r="F4463" s="52" t="s">
        <v>26</v>
      </c>
      <c r="G4463" s="53"/>
    </row>
    <row r="4464">
      <c r="A4464" s="49">
        <v>44559.71985288194</v>
      </c>
      <c r="B4464" s="50">
        <v>44559.8448295717</v>
      </c>
      <c r="C4464" s="51">
        <v>1.008</v>
      </c>
      <c r="D4464" s="51">
        <v>62.0</v>
      </c>
      <c r="E4464" s="52" t="s">
        <v>25</v>
      </c>
      <c r="F4464" s="52" t="s">
        <v>26</v>
      </c>
      <c r="G4464" s="53"/>
    </row>
    <row r="4465">
      <c r="A4465" s="49">
        <v>44559.7302780787</v>
      </c>
      <c r="B4465" s="50">
        <v>44559.8552508564</v>
      </c>
      <c r="C4465" s="51">
        <v>1.008</v>
      </c>
      <c r="D4465" s="51">
        <v>62.0</v>
      </c>
      <c r="E4465" s="52" t="s">
        <v>25</v>
      </c>
      <c r="F4465" s="52" t="s">
        <v>26</v>
      </c>
      <c r="G4465" s="53"/>
    </row>
    <row r="4466">
      <c r="A4466" s="49">
        <v>44559.74069987268</v>
      </c>
      <c r="B4466" s="50">
        <v>44559.8656711689</v>
      </c>
      <c r="C4466" s="51">
        <v>1.008</v>
      </c>
      <c r="D4466" s="51">
        <v>62.0</v>
      </c>
      <c r="E4466" s="52" t="s">
        <v>25</v>
      </c>
      <c r="F4466" s="52" t="s">
        <v>26</v>
      </c>
      <c r="G4466" s="53"/>
    </row>
    <row r="4467">
      <c r="A4467" s="49">
        <v>44559.75111679398</v>
      </c>
      <c r="B4467" s="50">
        <v>44559.876093206</v>
      </c>
      <c r="C4467" s="51">
        <v>1.008</v>
      </c>
      <c r="D4467" s="51">
        <v>62.0</v>
      </c>
      <c r="E4467" s="52" t="s">
        <v>25</v>
      </c>
      <c r="F4467" s="52" t="s">
        <v>26</v>
      </c>
      <c r="G4467" s="53"/>
    </row>
    <row r="4468">
      <c r="A4468" s="49">
        <v>44559.7615697338</v>
      </c>
      <c r="B4468" s="50">
        <v>44559.8865499768</v>
      </c>
      <c r="C4468" s="51">
        <v>1.008</v>
      </c>
      <c r="D4468" s="51">
        <v>62.0</v>
      </c>
      <c r="E4468" s="52" t="s">
        <v>25</v>
      </c>
      <c r="F4468" s="52" t="s">
        <v>26</v>
      </c>
      <c r="G4468" s="53"/>
    </row>
    <row r="4469">
      <c r="A4469" s="49">
        <v>44559.77199685185</v>
      </c>
      <c r="B4469" s="50">
        <v>44559.8969714236</v>
      </c>
      <c r="C4469" s="51">
        <v>1.008</v>
      </c>
      <c r="D4469" s="51">
        <v>62.0</v>
      </c>
      <c r="E4469" s="52" t="s">
        <v>25</v>
      </c>
      <c r="F4469" s="52" t="s">
        <v>26</v>
      </c>
      <c r="G4469" s="53"/>
    </row>
    <row r="4470">
      <c r="A4470" s="49">
        <v>44559.78241328704</v>
      </c>
      <c r="B4470" s="50">
        <v>44559.9073935069</v>
      </c>
      <c r="C4470" s="51">
        <v>1.008</v>
      </c>
      <c r="D4470" s="51">
        <v>62.0</v>
      </c>
      <c r="E4470" s="52" t="s">
        <v>25</v>
      </c>
      <c r="F4470" s="52" t="s">
        <v>26</v>
      </c>
      <c r="G4470" s="53"/>
    </row>
    <row r="4471">
      <c r="A4471" s="49">
        <v>44559.79283798611</v>
      </c>
      <c r="B4471" s="50">
        <v>44559.9178142824</v>
      </c>
      <c r="C4471" s="51">
        <v>1.008</v>
      </c>
      <c r="D4471" s="51">
        <v>62.0</v>
      </c>
      <c r="E4471" s="52" t="s">
        <v>25</v>
      </c>
      <c r="F4471" s="52" t="s">
        <v>26</v>
      </c>
      <c r="G4471" s="53"/>
    </row>
    <row r="4472">
      <c r="A4472" s="49">
        <v>44559.80326045139</v>
      </c>
      <c r="B4472" s="50">
        <v>44559.9282367592</v>
      </c>
      <c r="C4472" s="51">
        <v>1.008</v>
      </c>
      <c r="D4472" s="51">
        <v>62.0</v>
      </c>
      <c r="E4472" s="52" t="s">
        <v>25</v>
      </c>
      <c r="F4472" s="52" t="s">
        <v>26</v>
      </c>
      <c r="G4472" s="53"/>
    </row>
    <row r="4473">
      <c r="A4473" s="49">
        <v>44559.813685914356</v>
      </c>
      <c r="B4473" s="50">
        <v>44559.938659537</v>
      </c>
      <c r="C4473" s="51">
        <v>1.008</v>
      </c>
      <c r="D4473" s="51">
        <v>62.0</v>
      </c>
      <c r="E4473" s="52" t="s">
        <v>25</v>
      </c>
      <c r="F4473" s="52" t="s">
        <v>26</v>
      </c>
      <c r="G4473" s="53"/>
    </row>
    <row r="4474">
      <c r="A4474" s="49">
        <v>44559.824116840275</v>
      </c>
      <c r="B4474" s="50">
        <v>44559.9490919907</v>
      </c>
      <c r="C4474" s="51">
        <v>1.008</v>
      </c>
      <c r="D4474" s="51">
        <v>62.0</v>
      </c>
      <c r="E4474" s="52" t="s">
        <v>25</v>
      </c>
      <c r="F4474" s="52" t="s">
        <v>26</v>
      </c>
      <c r="G4474" s="53"/>
    </row>
    <row r="4475">
      <c r="A4475" s="49">
        <v>44559.834537476854</v>
      </c>
      <c r="B4475" s="50">
        <v>44559.9595135763</v>
      </c>
      <c r="C4475" s="51">
        <v>1.008</v>
      </c>
      <c r="D4475" s="51">
        <v>62.0</v>
      </c>
      <c r="E4475" s="52" t="s">
        <v>25</v>
      </c>
      <c r="F4475" s="52" t="s">
        <v>26</v>
      </c>
      <c r="G4475" s="53"/>
    </row>
    <row r="4476">
      <c r="A4476" s="49">
        <v>44559.84496236111</v>
      </c>
      <c r="B4476" s="50">
        <v>44559.9699334606</v>
      </c>
      <c r="C4476" s="51">
        <v>1.008</v>
      </c>
      <c r="D4476" s="51">
        <v>62.0</v>
      </c>
      <c r="E4476" s="52" t="s">
        <v>25</v>
      </c>
      <c r="F4476" s="52" t="s">
        <v>26</v>
      </c>
      <c r="G4476" s="53"/>
    </row>
    <row r="4477">
      <c r="A4477" s="49">
        <v>44559.85538119213</v>
      </c>
      <c r="B4477" s="50">
        <v>44559.9803656134</v>
      </c>
      <c r="C4477" s="51">
        <v>1.008</v>
      </c>
      <c r="D4477" s="51">
        <v>62.0</v>
      </c>
      <c r="E4477" s="52" t="s">
        <v>25</v>
      </c>
      <c r="F4477" s="52" t="s">
        <v>26</v>
      </c>
      <c r="G4477" s="53"/>
    </row>
    <row r="4478">
      <c r="A4478" s="49">
        <v>44559.865812592594</v>
      </c>
      <c r="B4478" s="50">
        <v>44559.9907872106</v>
      </c>
      <c r="C4478" s="51">
        <v>1.008</v>
      </c>
      <c r="D4478" s="51">
        <v>62.0</v>
      </c>
      <c r="E4478" s="52" t="s">
        <v>25</v>
      </c>
      <c r="F4478" s="52" t="s">
        <v>26</v>
      </c>
      <c r="G4478" s="53"/>
    </row>
    <row r="4479">
      <c r="A4479" s="49">
        <v>44559.87623741898</v>
      </c>
      <c r="B4479" s="50">
        <v>44560.0012073958</v>
      </c>
      <c r="C4479" s="51">
        <v>1.008</v>
      </c>
      <c r="D4479" s="51">
        <v>62.0</v>
      </c>
      <c r="E4479" s="52" t="s">
        <v>25</v>
      </c>
      <c r="F4479" s="52" t="s">
        <v>26</v>
      </c>
      <c r="G4479" s="53"/>
    </row>
    <row r="4480">
      <c r="A4480" s="49">
        <v>44559.886667025465</v>
      </c>
      <c r="B4480" s="50">
        <v>44560.0116401273</v>
      </c>
      <c r="C4480" s="51">
        <v>1.008</v>
      </c>
      <c r="D4480" s="51">
        <v>62.0</v>
      </c>
      <c r="E4480" s="52" t="s">
        <v>25</v>
      </c>
      <c r="F4480" s="52" t="s">
        <v>26</v>
      </c>
      <c r="G4480" s="53"/>
    </row>
    <row r="4481">
      <c r="A4481" s="49">
        <v>44559.897087164354</v>
      </c>
      <c r="B4481" s="50">
        <v>44560.0220602083</v>
      </c>
      <c r="C4481" s="51">
        <v>1.008</v>
      </c>
      <c r="D4481" s="51">
        <v>62.0</v>
      </c>
      <c r="E4481" s="52" t="s">
        <v>25</v>
      </c>
      <c r="F4481" s="52" t="s">
        <v>26</v>
      </c>
      <c r="G4481" s="53"/>
    </row>
    <row r="4482">
      <c r="A4482" s="49">
        <v>44559.907505717594</v>
      </c>
      <c r="B4482" s="50">
        <v>44560.032480787</v>
      </c>
      <c r="C4482" s="51">
        <v>1.008</v>
      </c>
      <c r="D4482" s="51">
        <v>62.0</v>
      </c>
      <c r="E4482" s="52" t="s">
        <v>25</v>
      </c>
      <c r="F4482" s="52" t="s">
        <v>26</v>
      </c>
      <c r="G4482" s="53"/>
    </row>
    <row r="4483">
      <c r="A4483" s="49">
        <v>44559.917942071756</v>
      </c>
      <c r="B4483" s="50">
        <v>44560.0429122222</v>
      </c>
      <c r="C4483" s="51">
        <v>1.008</v>
      </c>
      <c r="D4483" s="51">
        <v>63.0</v>
      </c>
      <c r="E4483" s="52" t="s">
        <v>25</v>
      </c>
      <c r="F4483" s="52" t="s">
        <v>26</v>
      </c>
      <c r="G4483" s="53"/>
    </row>
    <row r="4484">
      <c r="A4484" s="49">
        <v>44559.92835962963</v>
      </c>
      <c r="B4484" s="50">
        <v>44560.0533348148</v>
      </c>
      <c r="C4484" s="51">
        <v>1.008</v>
      </c>
      <c r="D4484" s="51">
        <v>62.0</v>
      </c>
      <c r="E4484" s="52" t="s">
        <v>25</v>
      </c>
      <c r="F4484" s="52" t="s">
        <v>26</v>
      </c>
      <c r="G4484" s="53"/>
    </row>
    <row r="4485">
      <c r="A4485" s="49">
        <v>44559.938774016206</v>
      </c>
      <c r="B4485" s="50">
        <v>44560.0637559143</v>
      </c>
      <c r="C4485" s="51">
        <v>1.008</v>
      </c>
      <c r="D4485" s="51">
        <v>62.0</v>
      </c>
      <c r="E4485" s="52" t="s">
        <v>25</v>
      </c>
      <c r="F4485" s="52" t="s">
        <v>26</v>
      </c>
      <c r="G4485" s="53"/>
    </row>
    <row r="4486">
      <c r="A4486" s="49">
        <v>44559.94920188657</v>
      </c>
      <c r="B4486" s="50">
        <v>44560.0741774652</v>
      </c>
      <c r="C4486" s="51">
        <v>1.008</v>
      </c>
      <c r="D4486" s="51">
        <v>62.0</v>
      </c>
      <c r="E4486" s="52" t="s">
        <v>25</v>
      </c>
      <c r="F4486" s="52" t="s">
        <v>26</v>
      </c>
      <c r="G4486" s="53"/>
    </row>
    <row r="4487">
      <c r="A4487" s="49">
        <v>44559.95964461805</v>
      </c>
      <c r="B4487" s="50">
        <v>44560.0846211689</v>
      </c>
      <c r="C4487" s="51">
        <v>1.008</v>
      </c>
      <c r="D4487" s="51">
        <v>62.0</v>
      </c>
      <c r="E4487" s="52" t="s">
        <v>25</v>
      </c>
      <c r="F4487" s="52" t="s">
        <v>26</v>
      </c>
      <c r="G4487" s="53"/>
    </row>
    <row r="4488">
      <c r="A4488" s="49">
        <v>44559.97006908565</v>
      </c>
      <c r="B4488" s="50">
        <v>44560.0950429166</v>
      </c>
      <c r="C4488" s="51">
        <v>1.008</v>
      </c>
      <c r="D4488" s="51">
        <v>62.0</v>
      </c>
      <c r="E4488" s="52" t="s">
        <v>25</v>
      </c>
      <c r="F4488" s="52" t="s">
        <v>26</v>
      </c>
      <c r="G4488" s="53"/>
    </row>
    <row r="4489">
      <c r="A4489" s="49">
        <v>44559.9804924537</v>
      </c>
      <c r="B4489" s="50">
        <v>44560.1054728009</v>
      </c>
      <c r="C4489" s="51">
        <v>1.008</v>
      </c>
      <c r="D4489" s="51">
        <v>62.0</v>
      </c>
      <c r="E4489" s="52" t="s">
        <v>25</v>
      </c>
      <c r="F4489" s="52" t="s">
        <v>26</v>
      </c>
      <c r="G4489" s="53"/>
    </row>
    <row r="4490">
      <c r="A4490" s="49">
        <v>44559.99091759259</v>
      </c>
      <c r="B4490" s="50">
        <v>44560.1158930902</v>
      </c>
      <c r="C4490" s="51">
        <v>1.008</v>
      </c>
      <c r="D4490" s="51">
        <v>62.0</v>
      </c>
      <c r="E4490" s="52" t="s">
        <v>25</v>
      </c>
      <c r="F4490" s="52" t="s">
        <v>26</v>
      </c>
      <c r="G4490" s="53"/>
    </row>
    <row r="4491">
      <c r="A4491" s="49">
        <v>44560.00134365741</v>
      </c>
      <c r="B4491" s="50">
        <v>44560.1263157754</v>
      </c>
      <c r="C4491" s="51">
        <v>1.008</v>
      </c>
      <c r="D4491" s="51">
        <v>62.0</v>
      </c>
      <c r="E4491" s="52" t="s">
        <v>25</v>
      </c>
      <c r="F4491" s="52" t="s">
        <v>26</v>
      </c>
      <c r="G4491" s="53"/>
    </row>
    <row r="4492">
      <c r="A4492" s="49">
        <v>44560.011774803235</v>
      </c>
      <c r="B4492" s="50">
        <v>44560.1367485532</v>
      </c>
      <c r="C4492" s="51">
        <v>1.008</v>
      </c>
      <c r="D4492" s="51">
        <v>62.0</v>
      </c>
      <c r="E4492" s="52" t="s">
        <v>25</v>
      </c>
      <c r="F4492" s="52" t="s">
        <v>26</v>
      </c>
      <c r="G4492" s="53"/>
    </row>
    <row r="4493">
      <c r="A4493" s="49">
        <v>44560.02219503472</v>
      </c>
      <c r="B4493" s="50">
        <v>44560.1471698726</v>
      </c>
      <c r="C4493" s="51">
        <v>1.008</v>
      </c>
      <c r="D4493" s="51">
        <v>63.0</v>
      </c>
      <c r="E4493" s="52" t="s">
        <v>25</v>
      </c>
      <c r="F4493" s="52" t="s">
        <v>26</v>
      </c>
      <c r="G4493" s="53"/>
    </row>
    <row r="4494">
      <c r="A4494" s="49">
        <v>44560.03261594907</v>
      </c>
      <c r="B4494" s="50">
        <v>44560.1575910185</v>
      </c>
      <c r="C4494" s="51">
        <v>1.008</v>
      </c>
      <c r="D4494" s="51">
        <v>62.0</v>
      </c>
      <c r="E4494" s="52" t="s">
        <v>25</v>
      </c>
      <c r="F4494" s="52" t="s">
        <v>26</v>
      </c>
      <c r="G4494" s="53"/>
    </row>
    <row r="4495">
      <c r="A4495" s="49">
        <v>44560.04303822917</v>
      </c>
      <c r="B4495" s="50">
        <v>44560.1680115625</v>
      </c>
      <c r="C4495" s="51">
        <v>1.008</v>
      </c>
      <c r="D4495" s="51">
        <v>62.0</v>
      </c>
      <c r="E4495" s="52" t="s">
        <v>25</v>
      </c>
      <c r="F4495" s="52" t="s">
        <v>26</v>
      </c>
      <c r="G4495" s="53"/>
    </row>
    <row r="4496">
      <c r="A4496" s="49">
        <v>44560.05347719908</v>
      </c>
      <c r="B4496" s="50">
        <v>44560.1784437963</v>
      </c>
      <c r="C4496" s="51">
        <v>1.008</v>
      </c>
      <c r="D4496" s="51">
        <v>62.0</v>
      </c>
      <c r="E4496" s="52" t="s">
        <v>25</v>
      </c>
      <c r="F4496" s="52" t="s">
        <v>26</v>
      </c>
      <c r="G4496" s="53"/>
    </row>
    <row r="4497">
      <c r="A4497" s="49">
        <v>44560.06388417824</v>
      </c>
      <c r="B4497" s="50">
        <v>44560.1888666435</v>
      </c>
      <c r="C4497" s="51">
        <v>1.008</v>
      </c>
      <c r="D4497" s="51">
        <v>62.0</v>
      </c>
      <c r="E4497" s="52" t="s">
        <v>25</v>
      </c>
      <c r="F4497" s="52" t="s">
        <v>26</v>
      </c>
      <c r="G4497" s="53"/>
    </row>
    <row r="4498">
      <c r="A4498" s="49">
        <v>44560.074366493056</v>
      </c>
      <c r="B4498" s="50">
        <v>44560.199287905</v>
      </c>
      <c r="C4498" s="51">
        <v>1.008</v>
      </c>
      <c r="D4498" s="51">
        <v>62.0</v>
      </c>
      <c r="E4498" s="52" t="s">
        <v>25</v>
      </c>
      <c r="F4498" s="52" t="s">
        <v>26</v>
      </c>
      <c r="G4498" s="53"/>
    </row>
    <row r="4499">
      <c r="A4499" s="49">
        <v>44560.08474265046</v>
      </c>
      <c r="B4499" s="50">
        <v>44560.2097094675</v>
      </c>
      <c r="C4499" s="51">
        <v>1.008</v>
      </c>
      <c r="D4499" s="51">
        <v>62.0</v>
      </c>
      <c r="E4499" s="52" t="s">
        <v>25</v>
      </c>
      <c r="F4499" s="52" t="s">
        <v>26</v>
      </c>
      <c r="G4499" s="53"/>
    </row>
    <row r="4500">
      <c r="A4500" s="49">
        <v>44560.09534659723</v>
      </c>
      <c r="B4500" s="50">
        <v>44560.220130162</v>
      </c>
      <c r="C4500" s="51">
        <v>1.008</v>
      </c>
      <c r="D4500" s="51">
        <v>62.0</v>
      </c>
      <c r="E4500" s="52" t="s">
        <v>25</v>
      </c>
      <c r="F4500" s="52" t="s">
        <v>26</v>
      </c>
      <c r="G4500" s="53"/>
    </row>
    <row r="4501">
      <c r="A4501" s="49">
        <v>44560.105587638885</v>
      </c>
      <c r="B4501" s="50">
        <v>44560.2305520601</v>
      </c>
      <c r="C4501" s="51">
        <v>1.008</v>
      </c>
      <c r="D4501" s="51">
        <v>62.0</v>
      </c>
      <c r="E4501" s="52" t="s">
        <v>25</v>
      </c>
      <c r="F4501" s="52" t="s">
        <v>26</v>
      </c>
      <c r="G4501" s="53"/>
    </row>
    <row r="4502">
      <c r="A4502" s="49">
        <v>44560.1159984375</v>
      </c>
      <c r="B4502" s="50">
        <v>44560.2409729166</v>
      </c>
      <c r="C4502" s="51">
        <v>1.008</v>
      </c>
      <c r="D4502" s="51">
        <v>62.0</v>
      </c>
      <c r="E4502" s="52" t="s">
        <v>25</v>
      </c>
      <c r="F4502" s="52" t="s">
        <v>26</v>
      </c>
      <c r="G4502" s="53"/>
    </row>
    <row r="4503">
      <c r="A4503" s="49">
        <v>44560.126421574074</v>
      </c>
      <c r="B4503" s="50">
        <v>44560.251394074</v>
      </c>
      <c r="C4503" s="51">
        <v>1.008</v>
      </c>
      <c r="D4503" s="51">
        <v>62.0</v>
      </c>
      <c r="E4503" s="52" t="s">
        <v>25</v>
      </c>
      <c r="F4503" s="52" t="s">
        <v>26</v>
      </c>
      <c r="G4503" s="53"/>
    </row>
    <row r="4504">
      <c r="A4504" s="49">
        <v>44560.136842395834</v>
      </c>
      <c r="B4504" s="50">
        <v>44560.2618164236</v>
      </c>
      <c r="C4504" s="51">
        <v>1.008</v>
      </c>
      <c r="D4504" s="51">
        <v>62.0</v>
      </c>
      <c r="E4504" s="52" t="s">
        <v>25</v>
      </c>
      <c r="F4504" s="52" t="s">
        <v>26</v>
      </c>
      <c r="G4504" s="53"/>
    </row>
    <row r="4505">
      <c r="A4505" s="49">
        <v>44560.14725715278</v>
      </c>
      <c r="B4505" s="50">
        <v>44560.2722363425</v>
      </c>
      <c r="C4505" s="51">
        <v>1.008</v>
      </c>
      <c r="D4505" s="51">
        <v>62.0</v>
      </c>
      <c r="E4505" s="52" t="s">
        <v>25</v>
      </c>
      <c r="F4505" s="52" t="s">
        <v>26</v>
      </c>
      <c r="G4505" s="53"/>
    </row>
    <row r="4506">
      <c r="A4506" s="49">
        <v>44560.15768927083</v>
      </c>
      <c r="B4506" s="50">
        <v>44560.2826575347</v>
      </c>
      <c r="C4506" s="51">
        <v>1.008</v>
      </c>
      <c r="D4506" s="51">
        <v>62.0</v>
      </c>
      <c r="E4506" s="52" t="s">
        <v>25</v>
      </c>
      <c r="F4506" s="52" t="s">
        <v>26</v>
      </c>
      <c r="G4506" s="53"/>
    </row>
    <row r="4507">
      <c r="A4507" s="49">
        <v>44560.16810131945</v>
      </c>
      <c r="B4507" s="50">
        <v>44560.2930776041</v>
      </c>
      <c r="C4507" s="51">
        <v>1.008</v>
      </c>
      <c r="D4507" s="51">
        <v>62.0</v>
      </c>
      <c r="E4507" s="52" t="s">
        <v>25</v>
      </c>
      <c r="F4507" s="52" t="s">
        <v>26</v>
      </c>
      <c r="G4507" s="53"/>
    </row>
    <row r="4508">
      <c r="A4508" s="49">
        <v>44560.178523298615</v>
      </c>
      <c r="B4508" s="50">
        <v>44560.3034986805</v>
      </c>
      <c r="C4508" s="51">
        <v>1.008</v>
      </c>
      <c r="D4508" s="51">
        <v>62.0</v>
      </c>
      <c r="E4508" s="52" t="s">
        <v>25</v>
      </c>
      <c r="F4508" s="52" t="s">
        <v>26</v>
      </c>
      <c r="G4508" s="53"/>
    </row>
    <row r="4509">
      <c r="A4509" s="49">
        <v>44560.18894695602</v>
      </c>
      <c r="B4509" s="50">
        <v>44560.3139200578</v>
      </c>
      <c r="C4509" s="51">
        <v>1.008</v>
      </c>
      <c r="D4509" s="51">
        <v>62.0</v>
      </c>
      <c r="E4509" s="52" t="s">
        <v>25</v>
      </c>
      <c r="F4509" s="52" t="s">
        <v>26</v>
      </c>
      <c r="G4509" s="53"/>
    </row>
    <row r="4510">
      <c r="A4510" s="49">
        <v>44560.19936113426</v>
      </c>
      <c r="B4510" s="50">
        <v>44560.3243413888</v>
      </c>
      <c r="C4510" s="51">
        <v>1.008</v>
      </c>
      <c r="D4510" s="51">
        <v>62.0</v>
      </c>
      <c r="E4510" s="52" t="s">
        <v>25</v>
      </c>
      <c r="F4510" s="52" t="s">
        <v>26</v>
      </c>
      <c r="G4510" s="53"/>
    </row>
    <row r="4511">
      <c r="A4511" s="49">
        <v>44560.2097890625</v>
      </c>
      <c r="B4511" s="50">
        <v>44560.334762662</v>
      </c>
      <c r="C4511" s="51">
        <v>1.008</v>
      </c>
      <c r="D4511" s="51">
        <v>62.0</v>
      </c>
      <c r="E4511" s="52" t="s">
        <v>25</v>
      </c>
      <c r="F4511" s="52" t="s">
        <v>26</v>
      </c>
      <c r="G4511" s="53"/>
    </row>
    <row r="4512">
      <c r="A4512" s="49">
        <v>44560.220208495375</v>
      </c>
      <c r="B4512" s="50">
        <v>44560.345182118</v>
      </c>
      <c r="C4512" s="51">
        <v>1.008</v>
      </c>
      <c r="D4512" s="51">
        <v>62.0</v>
      </c>
      <c r="E4512" s="52" t="s">
        <v>25</v>
      </c>
      <c r="F4512" s="52" t="s">
        <v>26</v>
      </c>
      <c r="G4512" s="53"/>
    </row>
    <row r="4513">
      <c r="A4513" s="49">
        <v>44560.23064028935</v>
      </c>
      <c r="B4513" s="50">
        <v>44560.3556168055</v>
      </c>
      <c r="C4513" s="51">
        <v>1.008</v>
      </c>
      <c r="D4513" s="51">
        <v>62.0</v>
      </c>
      <c r="E4513" s="52" t="s">
        <v>25</v>
      </c>
      <c r="F4513" s="52" t="s">
        <v>26</v>
      </c>
      <c r="G4513" s="53"/>
    </row>
    <row r="4514">
      <c r="A4514" s="49">
        <v>44560.24106373843</v>
      </c>
      <c r="B4514" s="50">
        <v>44560.3660378819</v>
      </c>
      <c r="C4514" s="51">
        <v>1.008</v>
      </c>
      <c r="D4514" s="51">
        <v>62.0</v>
      </c>
      <c r="E4514" s="52" t="s">
        <v>25</v>
      </c>
      <c r="F4514" s="52" t="s">
        <v>26</v>
      </c>
      <c r="G4514" s="53"/>
    </row>
    <row r="4515">
      <c r="A4515" s="49">
        <v>44560.251486354166</v>
      </c>
      <c r="B4515" s="50">
        <v>44560.3764584606</v>
      </c>
      <c r="C4515" s="51">
        <v>1.008</v>
      </c>
      <c r="D4515" s="51">
        <v>62.0</v>
      </c>
      <c r="E4515" s="52" t="s">
        <v>25</v>
      </c>
      <c r="F4515" s="52" t="s">
        <v>26</v>
      </c>
      <c r="G4515" s="53"/>
    </row>
    <row r="4516">
      <c r="A4516" s="49">
        <v>44560.261932395835</v>
      </c>
      <c r="B4516" s="50">
        <v>44560.3868795833</v>
      </c>
      <c r="C4516" s="51">
        <v>1.008</v>
      </c>
      <c r="D4516" s="51">
        <v>62.0</v>
      </c>
      <c r="E4516" s="52" t="s">
        <v>25</v>
      </c>
      <c r="F4516" s="52" t="s">
        <v>26</v>
      </c>
      <c r="G4516" s="53"/>
    </row>
    <row r="4517">
      <c r="A4517" s="49">
        <v>44560.27232047454</v>
      </c>
      <c r="B4517" s="50">
        <v>44560.397300243</v>
      </c>
      <c r="C4517" s="51">
        <v>1.008</v>
      </c>
      <c r="D4517" s="51">
        <v>62.0</v>
      </c>
      <c r="E4517" s="52" t="s">
        <v>25</v>
      </c>
      <c r="F4517" s="52" t="s">
        <v>26</v>
      </c>
      <c r="G4517" s="53"/>
    </row>
    <row r="4518">
      <c r="A4518" s="49">
        <v>44560.57461165509</v>
      </c>
      <c r="B4518" s="50">
        <v>44560.6995782407</v>
      </c>
      <c r="C4518" s="51">
        <v>1.008</v>
      </c>
      <c r="D4518" s="51">
        <v>62.0</v>
      </c>
      <c r="E4518" s="52" t="s">
        <v>25</v>
      </c>
      <c r="F4518" s="52" t="s">
        <v>26</v>
      </c>
      <c r="G4518" s="53"/>
    </row>
    <row r="4519">
      <c r="A4519" s="49">
        <v>44560.58502722222</v>
      </c>
      <c r="B4519" s="50">
        <v>44560.7099998379</v>
      </c>
      <c r="C4519" s="51">
        <v>1.008</v>
      </c>
      <c r="D4519" s="51">
        <v>62.0</v>
      </c>
      <c r="E4519" s="52" t="s">
        <v>25</v>
      </c>
      <c r="F4519" s="52" t="s">
        <v>26</v>
      </c>
      <c r="G4519" s="53"/>
    </row>
    <row r="4520">
      <c r="A4520" s="49">
        <v>44560.59544916666</v>
      </c>
      <c r="B4520" s="50">
        <v>44560.7204216898</v>
      </c>
      <c r="C4520" s="51">
        <v>1.008</v>
      </c>
      <c r="D4520" s="51">
        <v>62.0</v>
      </c>
      <c r="E4520" s="52" t="s">
        <v>25</v>
      </c>
      <c r="F4520" s="52" t="s">
        <v>26</v>
      </c>
      <c r="G4520" s="53"/>
    </row>
    <row r="4521">
      <c r="A4521" s="49">
        <v>44560.605864826386</v>
      </c>
      <c r="B4521" s="50">
        <v>44560.7308411226</v>
      </c>
      <c r="C4521" s="51">
        <v>1.008</v>
      </c>
      <c r="D4521" s="51">
        <v>62.0</v>
      </c>
      <c r="E4521" s="52" t="s">
        <v>25</v>
      </c>
      <c r="F4521" s="52" t="s">
        <v>26</v>
      </c>
      <c r="G4521" s="53"/>
    </row>
    <row r="4522">
      <c r="A4522" s="49">
        <v>44560.61629443287</v>
      </c>
      <c r="B4522" s="50">
        <v>44560.7412635069</v>
      </c>
      <c r="C4522" s="51">
        <v>1.008</v>
      </c>
      <c r="D4522" s="51">
        <v>62.0</v>
      </c>
      <c r="E4522" s="52" t="s">
        <v>25</v>
      </c>
      <c r="F4522" s="52" t="s">
        <v>26</v>
      </c>
      <c r="G4522" s="53"/>
    </row>
    <row r="4523">
      <c r="A4523" s="49">
        <v>44560.62671505787</v>
      </c>
      <c r="B4523" s="50">
        <v>44560.7516845254</v>
      </c>
      <c r="C4523" s="51">
        <v>1.008</v>
      </c>
      <c r="D4523" s="51">
        <v>62.0</v>
      </c>
      <c r="E4523" s="52" t="s">
        <v>25</v>
      </c>
      <c r="F4523" s="52" t="s">
        <v>26</v>
      </c>
      <c r="G4523" s="53"/>
    </row>
    <row r="4524">
      <c r="A4524" s="49">
        <v>44560.63714008102</v>
      </c>
      <c r="B4524" s="50">
        <v>44560.7621064467</v>
      </c>
      <c r="C4524" s="51">
        <v>1.008</v>
      </c>
      <c r="D4524" s="51">
        <v>62.0</v>
      </c>
      <c r="E4524" s="52" t="s">
        <v>25</v>
      </c>
      <c r="F4524" s="52" t="s">
        <v>26</v>
      </c>
      <c r="G4524" s="53"/>
    </row>
    <row r="4525">
      <c r="A4525" s="49">
        <v>44560.647555081014</v>
      </c>
      <c r="B4525" s="50">
        <v>44560.772526875</v>
      </c>
      <c r="C4525" s="51">
        <v>1.008</v>
      </c>
      <c r="D4525" s="51">
        <v>62.0</v>
      </c>
      <c r="E4525" s="52" t="s">
        <v>25</v>
      </c>
      <c r="F4525" s="52" t="s">
        <v>26</v>
      </c>
      <c r="G4525" s="53"/>
    </row>
    <row r="4526">
      <c r="A4526" s="49">
        <v>44560.65798229167</v>
      </c>
      <c r="B4526" s="50">
        <v>44560.7829472685</v>
      </c>
      <c r="C4526" s="51">
        <v>1.008</v>
      </c>
      <c r="D4526" s="51">
        <v>63.0</v>
      </c>
      <c r="E4526" s="52" t="s">
        <v>25</v>
      </c>
      <c r="F4526" s="52" t="s">
        <v>26</v>
      </c>
      <c r="G4526" s="53"/>
    </row>
    <row r="4527">
      <c r="A4527" s="49">
        <v>44560.66841408565</v>
      </c>
      <c r="B4527" s="50">
        <v>44560.7933677777</v>
      </c>
      <c r="C4527" s="51">
        <v>1.008</v>
      </c>
      <c r="D4527" s="51">
        <v>62.0</v>
      </c>
      <c r="E4527" s="52" t="s">
        <v>25</v>
      </c>
      <c r="F4527" s="52" t="s">
        <v>26</v>
      </c>
      <c r="G4527" s="53"/>
    </row>
    <row r="4528">
      <c r="A4528" s="49">
        <v>44560.67881678241</v>
      </c>
      <c r="B4528" s="50">
        <v>44560.8037892476</v>
      </c>
      <c r="C4528" s="51">
        <v>1.008</v>
      </c>
      <c r="D4528" s="51">
        <v>62.0</v>
      </c>
      <c r="E4528" s="52" t="s">
        <v>25</v>
      </c>
      <c r="F4528" s="52" t="s">
        <v>26</v>
      </c>
      <c r="G4528" s="53"/>
    </row>
    <row r="4529">
      <c r="A4529" s="49">
        <v>44560.68923256945</v>
      </c>
      <c r="B4529" s="50">
        <v>44560.8142088078</v>
      </c>
      <c r="C4529" s="51">
        <v>1.007</v>
      </c>
      <c r="D4529" s="51">
        <v>63.0</v>
      </c>
      <c r="E4529" s="52" t="s">
        <v>25</v>
      </c>
      <c r="F4529" s="52" t="s">
        <v>26</v>
      </c>
      <c r="G4529" s="53"/>
    </row>
    <row r="4530">
      <c r="A4530" s="49">
        <v>44560.699653194446</v>
      </c>
      <c r="B4530" s="50">
        <v>44560.8246299421</v>
      </c>
      <c r="C4530" s="51">
        <v>1.008</v>
      </c>
      <c r="D4530" s="51">
        <v>62.0</v>
      </c>
      <c r="E4530" s="52" t="s">
        <v>25</v>
      </c>
      <c r="F4530" s="52" t="s">
        <v>26</v>
      </c>
      <c r="G4530" s="53"/>
    </row>
    <row r="4531">
      <c r="A4531" s="49">
        <v>44560.710076145835</v>
      </c>
      <c r="B4531" s="50">
        <v>44560.8350507407</v>
      </c>
      <c r="C4531" s="51">
        <v>1.008</v>
      </c>
      <c r="D4531" s="51">
        <v>62.0</v>
      </c>
      <c r="E4531" s="52" t="s">
        <v>25</v>
      </c>
      <c r="F4531" s="52" t="s">
        <v>26</v>
      </c>
      <c r="G4531" s="53"/>
    </row>
    <row r="4532">
      <c r="A4532" s="49">
        <v>44560.720503310185</v>
      </c>
      <c r="B4532" s="50">
        <v>44560.8454709953</v>
      </c>
      <c r="C4532" s="51">
        <v>1.008</v>
      </c>
      <c r="D4532" s="51">
        <v>62.0</v>
      </c>
      <c r="E4532" s="52" t="s">
        <v>25</v>
      </c>
      <c r="F4532" s="52" t="s">
        <v>26</v>
      </c>
      <c r="G4532" s="53"/>
    </row>
    <row r="4533">
      <c r="A4533" s="49">
        <v>44560.73092180556</v>
      </c>
      <c r="B4533" s="50">
        <v>44560.8558930671</v>
      </c>
      <c r="C4533" s="51">
        <v>1.007</v>
      </c>
      <c r="D4533" s="51">
        <v>62.0</v>
      </c>
      <c r="E4533" s="52" t="s">
        <v>25</v>
      </c>
      <c r="F4533" s="52" t="s">
        <v>26</v>
      </c>
      <c r="G4533" s="53"/>
    </row>
    <row r="4534">
      <c r="A4534" s="49">
        <v>44560.74134497685</v>
      </c>
      <c r="B4534" s="50">
        <v>44560.8663135416</v>
      </c>
      <c r="C4534" s="51">
        <v>1.008</v>
      </c>
      <c r="D4534" s="51">
        <v>62.0</v>
      </c>
      <c r="E4534" s="52" t="s">
        <v>25</v>
      </c>
      <c r="F4534" s="52" t="s">
        <v>26</v>
      </c>
      <c r="G4534" s="53"/>
    </row>
    <row r="4535">
      <c r="A4535" s="49">
        <v>44560.75176283564</v>
      </c>
      <c r="B4535" s="50">
        <v>44560.8767342939</v>
      </c>
      <c r="C4535" s="51">
        <v>1.008</v>
      </c>
      <c r="D4535" s="51">
        <v>63.0</v>
      </c>
      <c r="E4535" s="52" t="s">
        <v>25</v>
      </c>
      <c r="F4535" s="52" t="s">
        <v>26</v>
      </c>
      <c r="G4535" s="53"/>
    </row>
    <row r="4536">
      <c r="A4536" s="49">
        <v>44560.76220060185</v>
      </c>
      <c r="B4536" s="50">
        <v>44560.887167824</v>
      </c>
      <c r="C4536" s="51">
        <v>1.008</v>
      </c>
      <c r="D4536" s="51">
        <v>62.0</v>
      </c>
      <c r="E4536" s="52" t="s">
        <v>25</v>
      </c>
      <c r="F4536" s="52" t="s">
        <v>26</v>
      </c>
      <c r="G4536" s="53"/>
    </row>
    <row r="4537">
      <c r="A4537" s="49">
        <v>44560.772614456015</v>
      </c>
      <c r="B4537" s="50">
        <v>44560.8975887731</v>
      </c>
      <c r="C4537" s="51">
        <v>1.008</v>
      </c>
      <c r="D4537" s="51">
        <v>62.0</v>
      </c>
      <c r="E4537" s="52" t="s">
        <v>25</v>
      </c>
      <c r="F4537" s="52" t="s">
        <v>26</v>
      </c>
      <c r="G4537" s="53"/>
    </row>
    <row r="4538">
      <c r="A4538" s="49">
        <v>44560.78304376158</v>
      </c>
      <c r="B4538" s="50">
        <v>44560.9080111458</v>
      </c>
      <c r="C4538" s="51">
        <v>1.008</v>
      </c>
      <c r="D4538" s="51">
        <v>62.0</v>
      </c>
      <c r="E4538" s="52" t="s">
        <v>25</v>
      </c>
      <c r="F4538" s="52" t="s">
        <v>26</v>
      </c>
      <c r="G4538" s="53"/>
    </row>
    <row r="4539">
      <c r="A4539" s="49">
        <v>44560.79346084491</v>
      </c>
      <c r="B4539" s="50">
        <v>44560.9184321759</v>
      </c>
      <c r="C4539" s="51">
        <v>1.008</v>
      </c>
      <c r="D4539" s="51">
        <v>62.0</v>
      </c>
      <c r="E4539" s="52" t="s">
        <v>25</v>
      </c>
      <c r="F4539" s="52" t="s">
        <v>26</v>
      </c>
      <c r="G4539" s="53"/>
    </row>
    <row r="4540">
      <c r="A4540" s="49">
        <v>44560.8038975463</v>
      </c>
      <c r="B4540" s="50">
        <v>44560.9288654166</v>
      </c>
      <c r="C4540" s="51">
        <v>1.008</v>
      </c>
      <c r="D4540" s="51">
        <v>62.0</v>
      </c>
      <c r="E4540" s="52" t="s">
        <v>25</v>
      </c>
      <c r="F4540" s="52" t="s">
        <v>26</v>
      </c>
      <c r="G4540" s="53"/>
    </row>
    <row r="4541">
      <c r="A4541" s="49">
        <v>44560.814313518524</v>
      </c>
      <c r="B4541" s="50">
        <v>44560.9392854629</v>
      </c>
      <c r="C4541" s="51">
        <v>1.008</v>
      </c>
      <c r="D4541" s="51">
        <v>63.0</v>
      </c>
      <c r="E4541" s="52" t="s">
        <v>25</v>
      </c>
      <c r="F4541" s="52" t="s">
        <v>26</v>
      </c>
      <c r="G4541" s="53"/>
    </row>
    <row r="4542">
      <c r="A4542" s="49">
        <v>44560.82475442129</v>
      </c>
      <c r="B4542" s="50">
        <v>44560.9497299536</v>
      </c>
      <c r="C4542" s="51">
        <v>1.008</v>
      </c>
      <c r="D4542" s="51">
        <v>62.0</v>
      </c>
      <c r="E4542" s="52" t="s">
        <v>25</v>
      </c>
      <c r="F4542" s="52" t="s">
        <v>26</v>
      </c>
      <c r="G4542" s="53"/>
    </row>
    <row r="4543">
      <c r="A4543" s="49">
        <v>44560.835187696764</v>
      </c>
      <c r="B4543" s="50">
        <v>44560.960151412</v>
      </c>
      <c r="C4543" s="51">
        <v>1.008</v>
      </c>
      <c r="D4543" s="51">
        <v>62.0</v>
      </c>
      <c r="E4543" s="52" t="s">
        <v>25</v>
      </c>
      <c r="F4543" s="52" t="s">
        <v>26</v>
      </c>
      <c r="G4543" s="53"/>
    </row>
    <row r="4544">
      <c r="A4544" s="49">
        <v>44560.84560011574</v>
      </c>
      <c r="B4544" s="50">
        <v>44560.9705722685</v>
      </c>
      <c r="C4544" s="51">
        <v>1.008</v>
      </c>
      <c r="D4544" s="51">
        <v>63.0</v>
      </c>
      <c r="E4544" s="52" t="s">
        <v>25</v>
      </c>
      <c r="F4544" s="52" t="s">
        <v>26</v>
      </c>
      <c r="G4544" s="53"/>
    </row>
    <row r="4545">
      <c r="A4545" s="49">
        <v>44560.85603170139</v>
      </c>
      <c r="B4545" s="50">
        <v>44560.980994537</v>
      </c>
      <c r="C4545" s="51">
        <v>1.007</v>
      </c>
      <c r="D4545" s="51">
        <v>63.0</v>
      </c>
      <c r="E4545" s="52" t="s">
        <v>25</v>
      </c>
      <c r="F4545" s="52" t="s">
        <v>26</v>
      </c>
      <c r="G4545" s="53"/>
    </row>
    <row r="4546">
      <c r="A4546" s="49">
        <v>44560.866453009265</v>
      </c>
      <c r="B4546" s="50">
        <v>44560.9914148958</v>
      </c>
      <c r="C4546" s="51">
        <v>1.007</v>
      </c>
      <c r="D4546" s="51">
        <v>62.0</v>
      </c>
      <c r="E4546" s="52" t="s">
        <v>25</v>
      </c>
      <c r="F4546" s="52" t="s">
        <v>26</v>
      </c>
      <c r="G4546" s="53"/>
    </row>
    <row r="4547">
      <c r="A4547" s="49">
        <v>44560.876866493054</v>
      </c>
      <c r="B4547" s="50">
        <v>44561.0018329282</v>
      </c>
      <c r="C4547" s="51">
        <v>1.008</v>
      </c>
      <c r="D4547" s="51">
        <v>62.0</v>
      </c>
      <c r="E4547" s="52" t="s">
        <v>25</v>
      </c>
      <c r="F4547" s="52" t="s">
        <v>26</v>
      </c>
      <c r="G4547" s="53"/>
    </row>
    <row r="4548">
      <c r="A4548" s="49">
        <v>44560.887286087964</v>
      </c>
      <c r="B4548" s="50">
        <v>44561.0122549884</v>
      </c>
      <c r="C4548" s="51">
        <v>1.008</v>
      </c>
      <c r="D4548" s="51">
        <v>62.0</v>
      </c>
      <c r="E4548" s="52" t="s">
        <v>25</v>
      </c>
      <c r="F4548" s="52" t="s">
        <v>26</v>
      </c>
      <c r="G4548" s="53"/>
    </row>
    <row r="4549">
      <c r="A4549" s="49">
        <v>44560.897707303244</v>
      </c>
      <c r="B4549" s="50">
        <v>44561.0226765509</v>
      </c>
      <c r="C4549" s="51">
        <v>1.008</v>
      </c>
      <c r="D4549" s="51">
        <v>62.0</v>
      </c>
      <c r="E4549" s="52" t="s">
        <v>25</v>
      </c>
      <c r="F4549" s="52" t="s">
        <v>26</v>
      </c>
      <c r="G4549" s="53"/>
    </row>
    <row r="4550">
      <c r="A4550" s="49">
        <v>44560.90812945602</v>
      </c>
      <c r="B4550" s="50">
        <v>44561.0330961805</v>
      </c>
      <c r="C4550" s="51">
        <v>1.008</v>
      </c>
      <c r="D4550" s="51">
        <v>63.0</v>
      </c>
      <c r="E4550" s="52" t="s">
        <v>25</v>
      </c>
      <c r="F4550" s="52" t="s">
        <v>26</v>
      </c>
      <c r="G4550" s="53"/>
    </row>
    <row r="4551">
      <c r="A4551" s="49">
        <v>44560.918552083334</v>
      </c>
      <c r="B4551" s="50">
        <v>44561.0435178587</v>
      </c>
      <c r="C4551" s="51">
        <v>1.008</v>
      </c>
      <c r="D4551" s="51">
        <v>63.0</v>
      </c>
      <c r="E4551" s="52" t="s">
        <v>25</v>
      </c>
      <c r="F4551" s="52" t="s">
        <v>26</v>
      </c>
      <c r="G4551" s="53"/>
    </row>
    <row r="4552">
      <c r="A4552" s="49">
        <v>44560.92897743055</v>
      </c>
      <c r="B4552" s="50">
        <v>44561.0539402546</v>
      </c>
      <c r="C4552" s="51">
        <v>1.008</v>
      </c>
      <c r="D4552" s="51">
        <v>62.0</v>
      </c>
      <c r="E4552" s="52" t="s">
        <v>25</v>
      </c>
      <c r="F4552" s="52" t="s">
        <v>26</v>
      </c>
      <c r="G4552" s="53"/>
    </row>
    <row r="4553">
      <c r="A4553" s="49">
        <v>44560.93939131944</v>
      </c>
      <c r="B4553" s="50">
        <v>44561.0643609606</v>
      </c>
      <c r="C4553" s="51">
        <v>1.007</v>
      </c>
      <c r="D4553" s="51">
        <v>63.0</v>
      </c>
      <c r="E4553" s="52" t="s">
        <v>25</v>
      </c>
      <c r="F4553" s="52" t="s">
        <v>26</v>
      </c>
      <c r="G4553" s="53"/>
    </row>
    <row r="4554">
      <c r="A4554" s="49">
        <v>44560.94981815972</v>
      </c>
      <c r="B4554" s="50">
        <v>44561.0747821527</v>
      </c>
      <c r="C4554" s="51">
        <v>1.008</v>
      </c>
      <c r="D4554" s="51">
        <v>63.0</v>
      </c>
      <c r="E4554" s="52" t="s">
        <v>25</v>
      </c>
      <c r="F4554" s="52" t="s">
        <v>26</v>
      </c>
      <c r="G4554" s="53"/>
    </row>
    <row r="4555">
      <c r="A4555" s="49">
        <v>44560.96023162037</v>
      </c>
      <c r="B4555" s="50">
        <v>44561.0852028009</v>
      </c>
      <c r="C4555" s="51">
        <v>1.008</v>
      </c>
      <c r="D4555" s="51">
        <v>63.0</v>
      </c>
      <c r="E4555" s="52" t="s">
        <v>25</v>
      </c>
      <c r="F4555" s="52" t="s">
        <v>26</v>
      </c>
      <c r="G4555" s="53"/>
    </row>
    <row r="4556">
      <c r="A4556" s="49">
        <v>44560.97065700231</v>
      </c>
      <c r="B4556" s="50">
        <v>44561.0956226504</v>
      </c>
      <c r="C4556" s="51">
        <v>1.008</v>
      </c>
      <c r="D4556" s="51">
        <v>63.0</v>
      </c>
      <c r="E4556" s="52" t="s">
        <v>25</v>
      </c>
      <c r="F4556" s="52" t="s">
        <v>26</v>
      </c>
      <c r="G4556" s="53"/>
    </row>
    <row r="4557">
      <c r="A4557" s="49">
        <v>44560.98108125</v>
      </c>
      <c r="B4557" s="50">
        <v>44561.1060433217</v>
      </c>
      <c r="C4557" s="51">
        <v>1.008</v>
      </c>
      <c r="D4557" s="51">
        <v>62.0</v>
      </c>
      <c r="E4557" s="52" t="s">
        <v>25</v>
      </c>
      <c r="F4557" s="52" t="s">
        <v>26</v>
      </c>
      <c r="G4557" s="53"/>
    </row>
    <row r="4558">
      <c r="A4558" s="49">
        <v>44560.991509513886</v>
      </c>
      <c r="B4558" s="50">
        <v>44561.1164750231</v>
      </c>
      <c r="C4558" s="51">
        <v>1.008</v>
      </c>
      <c r="D4558" s="51">
        <v>62.0</v>
      </c>
      <c r="E4558" s="52" t="s">
        <v>25</v>
      </c>
      <c r="F4558" s="52" t="s">
        <v>26</v>
      </c>
      <c r="G4558" s="53"/>
    </row>
    <row r="4559">
      <c r="A4559" s="49">
        <v>44561.00195822917</v>
      </c>
      <c r="B4559" s="50">
        <v>44561.1269313888</v>
      </c>
      <c r="C4559" s="51">
        <v>1.007</v>
      </c>
      <c r="D4559" s="51">
        <v>63.0</v>
      </c>
      <c r="E4559" s="52" t="s">
        <v>25</v>
      </c>
      <c r="F4559" s="52" t="s">
        <v>26</v>
      </c>
      <c r="G4559" s="53"/>
    </row>
    <row r="4560">
      <c r="A4560" s="49">
        <v>44561.012384409725</v>
      </c>
      <c r="B4560" s="50">
        <v>44561.1373522916</v>
      </c>
      <c r="C4560" s="51">
        <v>1.008</v>
      </c>
      <c r="D4560" s="51">
        <v>63.0</v>
      </c>
      <c r="E4560" s="52" t="s">
        <v>25</v>
      </c>
      <c r="F4560" s="52" t="s">
        <v>26</v>
      </c>
      <c r="G4560" s="53"/>
    </row>
    <row r="4561">
      <c r="A4561" s="49">
        <v>44561.02280872685</v>
      </c>
      <c r="B4561" s="50">
        <v>44561.147773449</v>
      </c>
      <c r="C4561" s="51">
        <v>1.008</v>
      </c>
      <c r="D4561" s="51">
        <v>62.0</v>
      </c>
      <c r="E4561" s="52" t="s">
        <v>25</v>
      </c>
      <c r="F4561" s="52" t="s">
        <v>26</v>
      </c>
      <c r="G4561" s="53"/>
    </row>
    <row r="4562">
      <c r="A4562" s="49">
        <v>44561.033225543986</v>
      </c>
      <c r="B4562" s="50">
        <v>44561.1581958449</v>
      </c>
      <c r="C4562" s="51">
        <v>1.007</v>
      </c>
      <c r="D4562" s="51">
        <v>62.0</v>
      </c>
      <c r="E4562" s="52" t="s">
        <v>25</v>
      </c>
      <c r="F4562" s="52" t="s">
        <v>26</v>
      </c>
      <c r="G4562" s="53"/>
    </row>
    <row r="4563">
      <c r="A4563" s="49">
        <v>44561.04364782407</v>
      </c>
      <c r="B4563" s="50">
        <v>44561.1686175</v>
      </c>
      <c r="C4563" s="51">
        <v>1.007</v>
      </c>
      <c r="D4563" s="51">
        <v>62.0</v>
      </c>
      <c r="E4563" s="52" t="s">
        <v>25</v>
      </c>
      <c r="F4563" s="52" t="s">
        <v>26</v>
      </c>
      <c r="G4563" s="53"/>
    </row>
    <row r="4564">
      <c r="A4564" s="49">
        <v>44561.05412039351</v>
      </c>
      <c r="B4564" s="50">
        <v>44561.1790837152</v>
      </c>
      <c r="C4564" s="51">
        <v>1.008</v>
      </c>
      <c r="D4564" s="51">
        <v>62.0</v>
      </c>
      <c r="E4564" s="52" t="s">
        <v>25</v>
      </c>
      <c r="F4564" s="52" t="s">
        <v>26</v>
      </c>
      <c r="G4564" s="53"/>
    </row>
    <row r="4565">
      <c r="A4565" s="49">
        <v>44561.06454517361</v>
      </c>
      <c r="B4565" s="50">
        <v>44561.1895043634</v>
      </c>
      <c r="C4565" s="51">
        <v>1.008</v>
      </c>
      <c r="D4565" s="51">
        <v>62.0</v>
      </c>
      <c r="E4565" s="52" t="s">
        <v>25</v>
      </c>
      <c r="F4565" s="52" t="s">
        <v>26</v>
      </c>
      <c r="G4565" s="53"/>
    </row>
    <row r="4566">
      <c r="A4566" s="49">
        <v>44561.07496528935</v>
      </c>
      <c r="B4566" s="50">
        <v>44561.1999243287</v>
      </c>
      <c r="C4566" s="51">
        <v>1.007</v>
      </c>
      <c r="D4566" s="51">
        <v>62.0</v>
      </c>
      <c r="E4566" s="52" t="s">
        <v>25</v>
      </c>
      <c r="F4566" s="52" t="s">
        <v>26</v>
      </c>
      <c r="G4566" s="53"/>
    </row>
    <row r="4567">
      <c r="A4567" s="49">
        <v>44561.08537439815</v>
      </c>
      <c r="B4567" s="50">
        <v>44561.2103460069</v>
      </c>
      <c r="C4567" s="51">
        <v>1.008</v>
      </c>
      <c r="D4567" s="51">
        <v>62.0</v>
      </c>
      <c r="E4567" s="52" t="s">
        <v>25</v>
      </c>
      <c r="F4567" s="52" t="s">
        <v>26</v>
      </c>
      <c r="G4567" s="53"/>
    </row>
    <row r="4568">
      <c r="A4568" s="49">
        <v>44561.09579853009</v>
      </c>
      <c r="B4568" s="50">
        <v>44561.2207667361</v>
      </c>
      <c r="C4568" s="51">
        <v>1.008</v>
      </c>
      <c r="D4568" s="51">
        <v>62.0</v>
      </c>
      <c r="E4568" s="52" t="s">
        <v>25</v>
      </c>
      <c r="F4568" s="52" t="s">
        <v>26</v>
      </c>
      <c r="G4568" s="53"/>
    </row>
    <row r="4569">
      <c r="A4569" s="49">
        <v>44561.106221435184</v>
      </c>
      <c r="B4569" s="50">
        <v>44561.2311864814</v>
      </c>
      <c r="C4569" s="51">
        <v>1.007</v>
      </c>
      <c r="D4569" s="51">
        <v>62.0</v>
      </c>
      <c r="E4569" s="52" t="s">
        <v>25</v>
      </c>
      <c r="F4569" s="52" t="s">
        <v>26</v>
      </c>
      <c r="G4569" s="53"/>
    </row>
    <row r="4570">
      <c r="A4570" s="49">
        <v>44561.11664024305</v>
      </c>
      <c r="B4570" s="50">
        <v>44561.2416063425</v>
      </c>
      <c r="C4570" s="51">
        <v>1.007</v>
      </c>
      <c r="D4570" s="51">
        <v>62.0</v>
      </c>
      <c r="E4570" s="52" t="s">
        <v>25</v>
      </c>
      <c r="F4570" s="52" t="s">
        <v>26</v>
      </c>
      <c r="G4570" s="53"/>
    </row>
    <row r="4571">
      <c r="A4571" s="49">
        <v>44561.12706733796</v>
      </c>
      <c r="B4571" s="50">
        <v>44561.2520270138</v>
      </c>
      <c r="C4571" s="51">
        <v>1.008</v>
      </c>
      <c r="D4571" s="51">
        <v>62.0</v>
      </c>
      <c r="E4571" s="52" t="s">
        <v>25</v>
      </c>
      <c r="F4571" s="52" t="s">
        <v>26</v>
      </c>
      <c r="G4571" s="53"/>
    </row>
    <row r="4572">
      <c r="A4572" s="49">
        <v>44561.137486990745</v>
      </c>
      <c r="B4572" s="50">
        <v>44561.2624492824</v>
      </c>
      <c r="C4572" s="51">
        <v>1.008</v>
      </c>
      <c r="D4572" s="51">
        <v>62.0</v>
      </c>
      <c r="E4572" s="52" t="s">
        <v>25</v>
      </c>
      <c r="F4572" s="52" t="s">
        <v>26</v>
      </c>
      <c r="G4572" s="53"/>
    </row>
    <row r="4573">
      <c r="A4573" s="49">
        <v>44561.14792800926</v>
      </c>
      <c r="B4573" s="50">
        <v>44561.2728947222</v>
      </c>
      <c r="C4573" s="51">
        <v>1.007</v>
      </c>
      <c r="D4573" s="51">
        <v>62.0</v>
      </c>
      <c r="E4573" s="52" t="s">
        <v>25</v>
      </c>
      <c r="F4573" s="52" t="s">
        <v>26</v>
      </c>
      <c r="G4573" s="53"/>
    </row>
    <row r="4574">
      <c r="A4574" s="49">
        <v>44561.15835349537</v>
      </c>
      <c r="B4574" s="50">
        <v>44561.2833168402</v>
      </c>
      <c r="C4574" s="51">
        <v>1.008</v>
      </c>
      <c r="D4574" s="51">
        <v>62.0</v>
      </c>
      <c r="E4574" s="52" t="s">
        <v>25</v>
      </c>
      <c r="F4574" s="52" t="s">
        <v>26</v>
      </c>
      <c r="G4574" s="53"/>
    </row>
    <row r="4575">
      <c r="A4575" s="49">
        <v>44561.168769814816</v>
      </c>
      <c r="B4575" s="50">
        <v>44561.2937379629</v>
      </c>
      <c r="C4575" s="51">
        <v>1.007</v>
      </c>
      <c r="D4575" s="51">
        <v>63.0</v>
      </c>
      <c r="E4575" s="52" t="s">
        <v>25</v>
      </c>
      <c r="F4575" s="52" t="s">
        <v>26</v>
      </c>
      <c r="G4575" s="53"/>
    </row>
    <row r="4576">
      <c r="A4576" s="49">
        <v>44561.1791965625</v>
      </c>
      <c r="B4576" s="50">
        <v>44561.3041601273</v>
      </c>
      <c r="C4576" s="51">
        <v>1.007</v>
      </c>
      <c r="D4576" s="51">
        <v>62.0</v>
      </c>
      <c r="E4576" s="52" t="s">
        <v>25</v>
      </c>
      <c r="F4576" s="52" t="s">
        <v>26</v>
      </c>
      <c r="G4576" s="53"/>
    </row>
    <row r="4577">
      <c r="A4577" s="49">
        <v>44561.18962128472</v>
      </c>
      <c r="B4577" s="50">
        <v>44561.3145805324</v>
      </c>
      <c r="C4577" s="51">
        <v>1.008</v>
      </c>
      <c r="D4577" s="51">
        <v>63.0</v>
      </c>
      <c r="E4577" s="52" t="s">
        <v>25</v>
      </c>
      <c r="F4577" s="52" t="s">
        <v>26</v>
      </c>
      <c r="G4577" s="53"/>
    </row>
    <row r="4578">
      <c r="A4578" s="49">
        <v>44561.200039965275</v>
      </c>
      <c r="B4578" s="50">
        <v>44561.3250131597</v>
      </c>
      <c r="C4578" s="51">
        <v>1.007</v>
      </c>
      <c r="D4578" s="51">
        <v>62.0</v>
      </c>
      <c r="E4578" s="52" t="s">
        <v>25</v>
      </c>
      <c r="F4578" s="52" t="s">
        <v>26</v>
      </c>
      <c r="G4578" s="53"/>
    </row>
    <row r="4579">
      <c r="A4579" s="49">
        <v>44561.21046916667</v>
      </c>
      <c r="B4579" s="50">
        <v>44561.3354328935</v>
      </c>
      <c r="C4579" s="51">
        <v>1.007</v>
      </c>
      <c r="D4579" s="51">
        <v>62.0</v>
      </c>
      <c r="E4579" s="52" t="s">
        <v>25</v>
      </c>
      <c r="F4579" s="52" t="s">
        <v>26</v>
      </c>
      <c r="G4579" s="53"/>
    </row>
    <row r="4580">
      <c r="A4580" s="49">
        <v>44561.2208908912</v>
      </c>
      <c r="B4580" s="50">
        <v>44561.3458535416</v>
      </c>
      <c r="C4580" s="51">
        <v>1.007</v>
      </c>
      <c r="D4580" s="51">
        <v>63.0</v>
      </c>
      <c r="E4580" s="52" t="s">
        <v>25</v>
      </c>
      <c r="F4580" s="52" t="s">
        <v>26</v>
      </c>
      <c r="G4580" s="53"/>
    </row>
    <row r="4581">
      <c r="A4581" s="49">
        <v>44561.231302175926</v>
      </c>
      <c r="B4581" s="50">
        <v>44561.3562747222</v>
      </c>
      <c r="C4581" s="51">
        <v>1.007</v>
      </c>
      <c r="D4581" s="51">
        <v>62.0</v>
      </c>
      <c r="E4581" s="52" t="s">
        <v>25</v>
      </c>
      <c r="F4581" s="52" t="s">
        <v>26</v>
      </c>
      <c r="G4581" s="53"/>
    </row>
    <row r="4582">
      <c r="A4582" s="49">
        <v>44561.241724050924</v>
      </c>
      <c r="B4582" s="50">
        <v>44561.3666956365</v>
      </c>
      <c r="C4582" s="51">
        <v>1.007</v>
      </c>
      <c r="D4582" s="51">
        <v>62.0</v>
      </c>
      <c r="E4582" s="52" t="s">
        <v>25</v>
      </c>
      <c r="F4582" s="52" t="s">
        <v>26</v>
      </c>
      <c r="G4582" s="53"/>
    </row>
    <row r="4583">
      <c r="A4583" s="49">
        <v>44561.25213972222</v>
      </c>
      <c r="B4583" s="50">
        <v>44561.3771167939</v>
      </c>
      <c r="C4583" s="51">
        <v>1.008</v>
      </c>
      <c r="D4583" s="51">
        <v>62.0</v>
      </c>
      <c r="E4583" s="52" t="s">
        <v>25</v>
      </c>
      <c r="F4583" s="52" t="s">
        <v>26</v>
      </c>
      <c r="G4583" s="53"/>
    </row>
    <row r="4584">
      <c r="A4584" s="49">
        <v>44561.26256924769</v>
      </c>
      <c r="B4584" s="50">
        <v>44561.387536655</v>
      </c>
      <c r="C4584" s="51">
        <v>1.008</v>
      </c>
      <c r="D4584" s="51">
        <v>63.0</v>
      </c>
      <c r="E4584" s="52" t="s">
        <v>25</v>
      </c>
      <c r="F4584" s="52" t="s">
        <v>26</v>
      </c>
      <c r="G4584" s="53"/>
    </row>
    <row r="4585">
      <c r="A4585" s="49">
        <v>44561.27301614583</v>
      </c>
      <c r="B4585" s="50">
        <v>44561.3979900694</v>
      </c>
      <c r="C4585" s="51">
        <v>1.007</v>
      </c>
      <c r="D4585" s="51">
        <v>62.0</v>
      </c>
      <c r="E4585" s="52" t="s">
        <v>25</v>
      </c>
      <c r="F4585" s="52" t="s">
        <v>26</v>
      </c>
      <c r="G4585" s="53"/>
    </row>
    <row r="4586">
      <c r="A4586" s="49">
        <v>44561.28344586806</v>
      </c>
      <c r="B4586" s="50">
        <v>44561.4084230787</v>
      </c>
      <c r="C4586" s="51">
        <v>1.007</v>
      </c>
      <c r="D4586" s="51">
        <v>63.0</v>
      </c>
      <c r="E4586" s="52" t="s">
        <v>25</v>
      </c>
      <c r="F4586" s="52" t="s">
        <v>26</v>
      </c>
      <c r="G4586" s="53"/>
    </row>
    <row r="4587">
      <c r="A4587" s="49">
        <v>44561.29386719907</v>
      </c>
      <c r="B4587" s="50">
        <v>44561.4188446064</v>
      </c>
      <c r="C4587" s="51">
        <v>1.008</v>
      </c>
      <c r="D4587" s="51">
        <v>62.0</v>
      </c>
      <c r="E4587" s="52" t="s">
        <v>25</v>
      </c>
      <c r="F4587" s="52" t="s">
        <v>26</v>
      </c>
      <c r="G4587" s="53"/>
    </row>
    <row r="4588">
      <c r="A4588" s="49">
        <v>44561.30429138889</v>
      </c>
      <c r="B4588" s="50">
        <v>44561.4292652777</v>
      </c>
      <c r="C4588" s="51">
        <v>1.007</v>
      </c>
      <c r="D4588" s="51">
        <v>63.0</v>
      </c>
      <c r="E4588" s="52" t="s">
        <v>25</v>
      </c>
      <c r="F4588" s="52" t="s">
        <v>26</v>
      </c>
      <c r="G4588" s="53"/>
    </row>
    <row r="4589">
      <c r="A4589" s="49">
        <v>44561.31471456018</v>
      </c>
      <c r="B4589" s="50">
        <v>44561.4396861921</v>
      </c>
      <c r="C4589" s="51">
        <v>1.008</v>
      </c>
      <c r="D4589" s="51">
        <v>63.0</v>
      </c>
      <c r="E4589" s="52" t="s">
        <v>25</v>
      </c>
      <c r="F4589" s="52" t="s">
        <v>26</v>
      </c>
      <c r="G4589" s="53"/>
    </row>
    <row r="4590">
      <c r="A4590" s="49">
        <v>44561.3251287037</v>
      </c>
      <c r="B4590" s="50">
        <v>44561.4501085416</v>
      </c>
      <c r="C4590" s="51">
        <v>1.007</v>
      </c>
      <c r="D4590" s="51">
        <v>62.0</v>
      </c>
      <c r="E4590" s="52" t="s">
        <v>25</v>
      </c>
      <c r="F4590" s="52" t="s">
        <v>26</v>
      </c>
      <c r="G4590" s="53"/>
    </row>
    <row r="4591">
      <c r="A4591" s="49">
        <v>44561.335556817125</v>
      </c>
      <c r="B4591" s="50">
        <v>44561.4605285995</v>
      </c>
      <c r="C4591" s="51">
        <v>1.008</v>
      </c>
      <c r="D4591" s="51">
        <v>63.0</v>
      </c>
      <c r="E4591" s="52" t="s">
        <v>25</v>
      </c>
      <c r="F4591" s="52" t="s">
        <v>26</v>
      </c>
      <c r="G4591" s="53"/>
    </row>
    <row r="4592">
      <c r="A4592" s="49">
        <v>44561.345977951394</v>
      </c>
      <c r="B4592" s="50">
        <v>44561.4709486226</v>
      </c>
      <c r="C4592" s="51">
        <v>1.007</v>
      </c>
      <c r="D4592" s="51">
        <v>63.0</v>
      </c>
      <c r="E4592" s="52" t="s">
        <v>25</v>
      </c>
      <c r="F4592" s="52" t="s">
        <v>26</v>
      </c>
      <c r="G4592" s="53"/>
    </row>
    <row r="4593">
      <c r="A4593" s="49">
        <v>44561.35639700231</v>
      </c>
      <c r="B4593" s="50">
        <v>44561.4813704861</v>
      </c>
      <c r="C4593" s="51">
        <v>1.008</v>
      </c>
      <c r="D4593" s="51">
        <v>63.0</v>
      </c>
      <c r="E4593" s="52" t="s">
        <v>25</v>
      </c>
      <c r="F4593" s="52" t="s">
        <v>26</v>
      </c>
      <c r="G4593" s="53"/>
    </row>
    <row r="4594">
      <c r="A4594" s="49">
        <v>44561.36681453703</v>
      </c>
      <c r="B4594" s="50">
        <v>44561.4917929976</v>
      </c>
      <c r="C4594" s="51">
        <v>1.007</v>
      </c>
      <c r="D4594" s="51">
        <v>62.0</v>
      </c>
      <c r="E4594" s="52" t="s">
        <v>25</v>
      </c>
      <c r="F4594" s="52" t="s">
        <v>26</v>
      </c>
      <c r="G4594" s="53"/>
    </row>
    <row r="4595">
      <c r="A4595" s="49">
        <v>44561.377240636575</v>
      </c>
      <c r="B4595" s="50">
        <v>44561.5022138657</v>
      </c>
      <c r="C4595" s="51">
        <v>1.008</v>
      </c>
      <c r="D4595" s="51">
        <v>63.0</v>
      </c>
      <c r="E4595" s="52" t="s">
        <v>25</v>
      </c>
      <c r="F4595" s="52" t="s">
        <v>26</v>
      </c>
      <c r="G4595" s="53"/>
    </row>
    <row r="4596">
      <c r="A4596" s="49">
        <v>44561.387659189815</v>
      </c>
      <c r="B4596" s="50">
        <v>44561.5126346643</v>
      </c>
      <c r="C4596" s="51">
        <v>1.007</v>
      </c>
      <c r="D4596" s="51">
        <v>63.0</v>
      </c>
      <c r="E4596" s="52" t="s">
        <v>25</v>
      </c>
      <c r="F4596" s="52" t="s">
        <v>26</v>
      </c>
      <c r="G4596" s="53"/>
    </row>
    <row r="4597">
      <c r="A4597" s="49">
        <v>44561.398083796295</v>
      </c>
      <c r="B4597" s="50">
        <v>44561.5230569212</v>
      </c>
      <c r="C4597" s="51">
        <v>1.007</v>
      </c>
      <c r="D4597" s="51">
        <v>63.0</v>
      </c>
      <c r="E4597" s="52" t="s">
        <v>25</v>
      </c>
      <c r="F4597" s="52" t="s">
        <v>26</v>
      </c>
      <c r="G4597" s="53"/>
    </row>
    <row r="4598">
      <c r="A4598" s="49">
        <v>44561.40849777778</v>
      </c>
      <c r="B4598" s="50">
        <v>44561.5334777314</v>
      </c>
      <c r="C4598" s="51">
        <v>1.007</v>
      </c>
      <c r="D4598" s="51">
        <v>63.0</v>
      </c>
      <c r="E4598" s="52" t="s">
        <v>25</v>
      </c>
      <c r="F4598" s="52" t="s">
        <v>26</v>
      </c>
      <c r="G4598" s="53"/>
    </row>
    <row r="4599">
      <c r="A4599" s="49">
        <v>44561.41892231481</v>
      </c>
      <c r="B4599" s="50">
        <v>44561.5438977893</v>
      </c>
      <c r="C4599" s="51">
        <v>1.008</v>
      </c>
      <c r="D4599" s="51">
        <v>63.0</v>
      </c>
      <c r="E4599" s="52" t="s">
        <v>25</v>
      </c>
      <c r="F4599" s="52" t="s">
        <v>26</v>
      </c>
      <c r="G4599" s="53"/>
    </row>
    <row r="4600">
      <c r="A4600" s="49">
        <v>44561.429348414356</v>
      </c>
      <c r="B4600" s="50">
        <v>44561.5543301041</v>
      </c>
      <c r="C4600" s="51">
        <v>1.007</v>
      </c>
      <c r="D4600" s="51">
        <v>63.0</v>
      </c>
      <c r="E4600" s="52" t="s">
        <v>25</v>
      </c>
      <c r="F4600" s="52" t="s">
        <v>26</v>
      </c>
      <c r="G4600" s="53"/>
    </row>
    <row r="4601">
      <c r="A4601" s="49">
        <v>44561.43978008102</v>
      </c>
      <c r="B4601" s="50">
        <v>44561.5647625347</v>
      </c>
      <c r="C4601" s="51">
        <v>1.008</v>
      </c>
      <c r="D4601" s="51">
        <v>62.0</v>
      </c>
      <c r="E4601" s="52" t="s">
        <v>25</v>
      </c>
      <c r="F4601" s="52" t="s">
        <v>26</v>
      </c>
      <c r="G4601" s="53"/>
    </row>
    <row r="4602">
      <c r="A4602" s="49">
        <v>44561.45021978009</v>
      </c>
      <c r="B4602" s="50">
        <v>44561.5751826157</v>
      </c>
      <c r="C4602" s="51">
        <v>1.007</v>
      </c>
      <c r="D4602" s="51">
        <v>62.0</v>
      </c>
      <c r="E4602" s="52" t="s">
        <v>25</v>
      </c>
      <c r="F4602" s="52" t="s">
        <v>26</v>
      </c>
      <c r="G4602" s="53"/>
    </row>
    <row r="4603">
      <c r="A4603" s="49">
        <v>44561.460625567124</v>
      </c>
      <c r="B4603" s="50">
        <v>44561.5856043287</v>
      </c>
      <c r="C4603" s="51">
        <v>1.007</v>
      </c>
      <c r="D4603" s="51">
        <v>63.0</v>
      </c>
      <c r="E4603" s="52" t="s">
        <v>25</v>
      </c>
      <c r="F4603" s="52" t="s">
        <v>26</v>
      </c>
      <c r="G4603" s="53"/>
    </row>
    <row r="4604">
      <c r="A4604" s="49">
        <v>44561.471053472225</v>
      </c>
      <c r="B4604" s="50">
        <v>44561.5960263425</v>
      </c>
      <c r="C4604" s="51">
        <v>1.007</v>
      </c>
      <c r="D4604" s="51">
        <v>63.0</v>
      </c>
      <c r="E4604" s="52" t="s">
        <v>25</v>
      </c>
      <c r="F4604" s="52" t="s">
        <v>26</v>
      </c>
      <c r="G4604" s="53"/>
    </row>
    <row r="4605">
      <c r="A4605" s="49">
        <v>44561.48147194444</v>
      </c>
      <c r="B4605" s="50">
        <v>44561.6064472685</v>
      </c>
      <c r="C4605" s="51">
        <v>1.007</v>
      </c>
      <c r="D4605" s="51">
        <v>63.0</v>
      </c>
      <c r="E4605" s="52" t="s">
        <v>25</v>
      </c>
      <c r="F4605" s="52" t="s">
        <v>26</v>
      </c>
      <c r="G4605" s="53"/>
    </row>
    <row r="4606">
      <c r="A4606" s="49">
        <v>44561.49190112269</v>
      </c>
      <c r="B4606" s="50">
        <v>44561.6168799884</v>
      </c>
      <c r="C4606" s="51">
        <v>1.007</v>
      </c>
      <c r="D4606" s="51">
        <v>62.0</v>
      </c>
      <c r="E4606" s="52" t="s">
        <v>25</v>
      </c>
      <c r="F4606" s="52" t="s">
        <v>26</v>
      </c>
      <c r="G4606" s="53"/>
    </row>
    <row r="4607">
      <c r="A4607" s="49">
        <v>44561.50233686343</v>
      </c>
      <c r="B4607" s="50">
        <v>44561.6273013194</v>
      </c>
      <c r="C4607" s="51">
        <v>1.007</v>
      </c>
      <c r="D4607" s="51">
        <v>62.0</v>
      </c>
      <c r="E4607" s="52" t="s">
        <v>25</v>
      </c>
      <c r="F4607" s="52" t="s">
        <v>26</v>
      </c>
      <c r="G4607" s="53"/>
    </row>
    <row r="4608">
      <c r="A4608" s="49">
        <v>44561.512749340276</v>
      </c>
      <c r="B4608" s="50">
        <v>44561.6377228125</v>
      </c>
      <c r="C4608" s="51">
        <v>1.007</v>
      </c>
      <c r="D4608" s="51">
        <v>63.0</v>
      </c>
      <c r="E4608" s="52" t="s">
        <v>25</v>
      </c>
      <c r="F4608" s="52" t="s">
        <v>26</v>
      </c>
      <c r="G4608" s="53"/>
    </row>
    <row r="4609">
      <c r="A4609" s="49">
        <v>44561.52317835648</v>
      </c>
      <c r="B4609" s="50">
        <v>44561.6481431597</v>
      </c>
      <c r="C4609" s="51">
        <v>1.007</v>
      </c>
      <c r="D4609" s="51">
        <v>62.0</v>
      </c>
      <c r="E4609" s="52" t="s">
        <v>25</v>
      </c>
      <c r="F4609" s="52" t="s">
        <v>26</v>
      </c>
      <c r="G4609" s="53"/>
    </row>
    <row r="4610">
      <c r="A4610" s="49">
        <v>44561.53359384259</v>
      </c>
      <c r="B4610" s="50">
        <v>44561.6585652314</v>
      </c>
      <c r="C4610" s="51">
        <v>1.007</v>
      </c>
      <c r="D4610" s="51">
        <v>62.0</v>
      </c>
      <c r="E4610" s="52" t="s">
        <v>25</v>
      </c>
      <c r="F4610" s="52" t="s">
        <v>26</v>
      </c>
      <c r="G4610" s="53"/>
    </row>
    <row r="4611">
      <c r="A4611" s="49">
        <v>44561.544013611114</v>
      </c>
      <c r="B4611" s="50">
        <v>44561.668985324</v>
      </c>
      <c r="C4611" s="51">
        <v>1.007</v>
      </c>
      <c r="D4611" s="51">
        <v>63.0</v>
      </c>
      <c r="E4611" s="52" t="s">
        <v>25</v>
      </c>
      <c r="F4611" s="52" t="s">
        <v>26</v>
      </c>
      <c r="G4611" s="53"/>
    </row>
    <row r="4612">
      <c r="A4612" s="49">
        <v>44561.554422511574</v>
      </c>
      <c r="B4612" s="50">
        <v>44561.6794059259</v>
      </c>
      <c r="C4612" s="51">
        <v>1.008</v>
      </c>
      <c r="D4612" s="51">
        <v>63.0</v>
      </c>
      <c r="E4612" s="52" t="s">
        <v>25</v>
      </c>
      <c r="F4612" s="52" t="s">
        <v>26</v>
      </c>
      <c r="G4612" s="53"/>
    </row>
    <row r="4613">
      <c r="A4613" s="49">
        <v>44561.56485873843</v>
      </c>
      <c r="B4613" s="50">
        <v>44561.6898279861</v>
      </c>
      <c r="C4613" s="51">
        <v>1.007</v>
      </c>
      <c r="D4613" s="51">
        <v>62.0</v>
      </c>
      <c r="E4613" s="52" t="s">
        <v>25</v>
      </c>
      <c r="F4613" s="52" t="s">
        <v>26</v>
      </c>
      <c r="G4613" s="53"/>
    </row>
    <row r="4614">
      <c r="A4614" s="49">
        <v>44561.57528686343</v>
      </c>
      <c r="B4614" s="50">
        <v>44561.700260405</v>
      </c>
      <c r="C4614" s="51">
        <v>1.007</v>
      </c>
      <c r="D4614" s="51">
        <v>63.0</v>
      </c>
      <c r="E4614" s="52" t="s">
        <v>25</v>
      </c>
      <c r="F4614" s="52" t="s">
        <v>26</v>
      </c>
      <c r="G4614" s="53"/>
    </row>
    <row r="4615">
      <c r="A4615" s="49">
        <v>44561.58570318287</v>
      </c>
      <c r="B4615" s="50">
        <v>44561.7106806134</v>
      </c>
      <c r="C4615" s="51">
        <v>1.007</v>
      </c>
      <c r="D4615" s="51">
        <v>63.0</v>
      </c>
      <c r="E4615" s="52" t="s">
        <v>25</v>
      </c>
      <c r="F4615" s="52" t="s">
        <v>26</v>
      </c>
      <c r="G4615" s="53"/>
    </row>
    <row r="4616">
      <c r="A4616" s="49">
        <v>44561.59611787037</v>
      </c>
      <c r="B4616" s="50">
        <v>44561.721100162</v>
      </c>
      <c r="C4616" s="51">
        <v>1.007</v>
      </c>
      <c r="D4616" s="51">
        <v>63.0</v>
      </c>
      <c r="E4616" s="52" t="s">
        <v>25</v>
      </c>
      <c r="F4616" s="52" t="s">
        <v>26</v>
      </c>
      <c r="G4616" s="53"/>
    </row>
    <row r="4617">
      <c r="A4617" s="49">
        <v>44561.60654876157</v>
      </c>
      <c r="B4617" s="50">
        <v>44561.7315205324</v>
      </c>
      <c r="C4617" s="51">
        <v>1.007</v>
      </c>
      <c r="D4617" s="51">
        <v>63.0</v>
      </c>
      <c r="E4617" s="52" t="s">
        <v>25</v>
      </c>
      <c r="F4617" s="52" t="s">
        <v>26</v>
      </c>
      <c r="G4617" s="53"/>
    </row>
    <row r="4618">
      <c r="A4618" s="49">
        <v>44561.616968946764</v>
      </c>
      <c r="B4618" s="50">
        <v>44561.7419433217</v>
      </c>
      <c r="C4618" s="51">
        <v>1.007</v>
      </c>
      <c r="D4618" s="51">
        <v>63.0</v>
      </c>
      <c r="E4618" s="52" t="s">
        <v>25</v>
      </c>
      <c r="F4618" s="52" t="s">
        <v>26</v>
      </c>
      <c r="G4618" s="53"/>
    </row>
    <row r="4619">
      <c r="A4619" s="49">
        <v>44561.62740164352</v>
      </c>
      <c r="B4619" s="50">
        <v>44561.7523750231</v>
      </c>
      <c r="C4619" s="51">
        <v>1.007</v>
      </c>
      <c r="D4619" s="51">
        <v>63.0</v>
      </c>
      <c r="E4619" s="52" t="s">
        <v>25</v>
      </c>
      <c r="F4619" s="52" t="s">
        <v>26</v>
      </c>
      <c r="G4619" s="53"/>
    </row>
    <row r="4620">
      <c r="A4620" s="49">
        <v>44561.637816111106</v>
      </c>
      <c r="B4620" s="50">
        <v>44561.7627958101</v>
      </c>
      <c r="C4620" s="51">
        <v>1.007</v>
      </c>
      <c r="D4620" s="51">
        <v>62.0</v>
      </c>
      <c r="E4620" s="52" t="s">
        <v>25</v>
      </c>
      <c r="F4620" s="52" t="s">
        <v>26</v>
      </c>
      <c r="G4620" s="53"/>
    </row>
    <row r="4621">
      <c r="A4621" s="49">
        <v>44561.64824569444</v>
      </c>
      <c r="B4621" s="50">
        <v>44561.773215868</v>
      </c>
      <c r="C4621" s="51">
        <v>1.007</v>
      </c>
      <c r="D4621" s="51">
        <v>63.0</v>
      </c>
      <c r="E4621" s="52" t="s">
        <v>25</v>
      </c>
      <c r="F4621" s="52" t="s">
        <v>26</v>
      </c>
      <c r="G4621" s="53"/>
    </row>
    <row r="4622">
      <c r="A4622" s="49">
        <v>44561.65866086805</v>
      </c>
      <c r="B4622" s="50">
        <v>44561.7836371643</v>
      </c>
      <c r="C4622" s="51">
        <v>1.007</v>
      </c>
      <c r="D4622" s="51">
        <v>63.0</v>
      </c>
      <c r="E4622" s="52" t="s">
        <v>25</v>
      </c>
      <c r="F4622" s="52" t="s">
        <v>26</v>
      </c>
      <c r="G4622" s="53"/>
    </row>
    <row r="4623">
      <c r="A4623" s="49">
        <v>44561.66908568287</v>
      </c>
      <c r="B4623" s="50">
        <v>44561.7940567592</v>
      </c>
      <c r="C4623" s="51">
        <v>1.007</v>
      </c>
      <c r="D4623" s="51">
        <v>63.0</v>
      </c>
      <c r="E4623" s="52" t="s">
        <v>25</v>
      </c>
      <c r="F4623" s="52" t="s">
        <v>26</v>
      </c>
      <c r="G4623" s="53"/>
    </row>
    <row r="4624">
      <c r="A4624" s="49">
        <v>44561.67950517361</v>
      </c>
      <c r="B4624" s="50">
        <v>44561.8044783333</v>
      </c>
      <c r="C4624" s="51">
        <v>1.007</v>
      </c>
      <c r="D4624" s="51">
        <v>63.0</v>
      </c>
      <c r="E4624" s="52" t="s">
        <v>25</v>
      </c>
      <c r="F4624" s="52" t="s">
        <v>26</v>
      </c>
      <c r="G4624" s="53"/>
    </row>
    <row r="4625">
      <c r="A4625" s="49">
        <v>44561.68991770833</v>
      </c>
      <c r="B4625" s="50">
        <v>44561.8148995717</v>
      </c>
      <c r="C4625" s="51">
        <v>1.007</v>
      </c>
      <c r="D4625" s="51">
        <v>63.0</v>
      </c>
      <c r="E4625" s="52" t="s">
        <v>25</v>
      </c>
      <c r="F4625" s="52" t="s">
        <v>26</v>
      </c>
      <c r="G4625" s="53"/>
    </row>
    <row r="4626">
      <c r="A4626" s="49">
        <v>44561.700355277775</v>
      </c>
      <c r="B4626" s="50">
        <v>44561.8253327314</v>
      </c>
      <c r="C4626" s="51">
        <v>1.007</v>
      </c>
      <c r="D4626" s="51">
        <v>63.0</v>
      </c>
      <c r="E4626" s="52" t="s">
        <v>25</v>
      </c>
      <c r="F4626" s="52" t="s">
        <v>26</v>
      </c>
      <c r="G4626" s="53"/>
    </row>
    <row r="4627">
      <c r="A4627" s="49">
        <v>44561.71077144676</v>
      </c>
      <c r="B4627" s="50">
        <v>44561.8357539351</v>
      </c>
      <c r="C4627" s="51">
        <v>1.007</v>
      </c>
      <c r="D4627" s="51">
        <v>62.0</v>
      </c>
      <c r="E4627" s="52" t="s">
        <v>25</v>
      </c>
      <c r="F4627" s="52" t="s">
        <v>26</v>
      </c>
      <c r="G4627" s="53"/>
    </row>
    <row r="4628">
      <c r="A4628" s="49">
        <v>44561.72121659722</v>
      </c>
      <c r="B4628" s="50">
        <v>44561.8461869097</v>
      </c>
      <c r="C4628" s="51">
        <v>1.007</v>
      </c>
      <c r="D4628" s="51">
        <v>63.0</v>
      </c>
      <c r="E4628" s="52" t="s">
        <v>25</v>
      </c>
      <c r="F4628" s="52" t="s">
        <v>26</v>
      </c>
      <c r="G4628" s="53"/>
    </row>
    <row r="4629">
      <c r="A4629" s="49">
        <v>44561.731634745374</v>
      </c>
      <c r="B4629" s="50">
        <v>44561.8566072337</v>
      </c>
      <c r="C4629" s="51">
        <v>1.007</v>
      </c>
      <c r="D4629" s="51">
        <v>63.0</v>
      </c>
      <c r="E4629" s="52" t="s">
        <v>25</v>
      </c>
      <c r="F4629" s="52" t="s">
        <v>26</v>
      </c>
      <c r="G4629" s="53"/>
    </row>
    <row r="4630">
      <c r="A4630" s="49">
        <v>44561.74207166667</v>
      </c>
      <c r="B4630" s="50">
        <v>44561.8670532638</v>
      </c>
      <c r="C4630" s="51">
        <v>1.007</v>
      </c>
      <c r="D4630" s="51">
        <v>63.0</v>
      </c>
      <c r="E4630" s="52" t="s">
        <v>25</v>
      </c>
      <c r="F4630" s="52" t="s">
        <v>26</v>
      </c>
      <c r="G4630" s="53"/>
    </row>
    <row r="4631">
      <c r="A4631" s="49">
        <v>44561.75251229167</v>
      </c>
      <c r="B4631" s="50">
        <v>44561.8774867361</v>
      </c>
      <c r="C4631" s="51">
        <v>1.007</v>
      </c>
      <c r="D4631" s="51">
        <v>63.0</v>
      </c>
      <c r="E4631" s="52" t="s">
        <v>25</v>
      </c>
      <c r="F4631" s="52" t="s">
        <v>26</v>
      </c>
      <c r="G4631" s="53"/>
    </row>
    <row r="4632">
      <c r="A4632" s="49">
        <v>44561.762925937495</v>
      </c>
      <c r="B4632" s="50">
        <v>44561.887908125</v>
      </c>
      <c r="C4632" s="51">
        <v>1.007</v>
      </c>
      <c r="D4632" s="51">
        <v>63.0</v>
      </c>
      <c r="E4632" s="52" t="s">
        <v>25</v>
      </c>
      <c r="F4632" s="52" t="s">
        <v>26</v>
      </c>
      <c r="G4632" s="53"/>
    </row>
    <row r="4633">
      <c r="A4633" s="49">
        <v>44561.77335596065</v>
      </c>
      <c r="B4633" s="50">
        <v>44561.8983291782</v>
      </c>
      <c r="C4633" s="51">
        <v>1.007</v>
      </c>
      <c r="D4633" s="51">
        <v>63.0</v>
      </c>
      <c r="E4633" s="52" t="s">
        <v>25</v>
      </c>
      <c r="F4633" s="52" t="s">
        <v>26</v>
      </c>
      <c r="G4633" s="53"/>
    </row>
    <row r="4634">
      <c r="A4634" s="49">
        <v>44561.783765659726</v>
      </c>
      <c r="B4634" s="50">
        <v>44561.90874875</v>
      </c>
      <c r="C4634" s="51">
        <v>1.007</v>
      </c>
      <c r="D4634" s="51">
        <v>63.0</v>
      </c>
      <c r="E4634" s="52" t="s">
        <v>25</v>
      </c>
      <c r="F4634" s="52" t="s">
        <v>26</v>
      </c>
      <c r="G4634" s="53"/>
    </row>
    <row r="4635">
      <c r="A4635" s="49">
        <v>44561.794196296294</v>
      </c>
      <c r="B4635" s="50">
        <v>44561.9191701851</v>
      </c>
      <c r="C4635" s="51">
        <v>1.007</v>
      </c>
      <c r="D4635" s="51">
        <v>62.0</v>
      </c>
      <c r="E4635" s="52" t="s">
        <v>25</v>
      </c>
      <c r="F4635" s="52" t="s">
        <v>26</v>
      </c>
      <c r="G4635" s="53"/>
    </row>
    <row r="4636">
      <c r="A4636" s="49">
        <v>44561.80460787037</v>
      </c>
      <c r="B4636" s="50">
        <v>44561.929591331</v>
      </c>
      <c r="C4636" s="51">
        <v>1.007</v>
      </c>
      <c r="D4636" s="51">
        <v>63.0</v>
      </c>
      <c r="E4636" s="52" t="s">
        <v>25</v>
      </c>
      <c r="F4636" s="52" t="s">
        <v>26</v>
      </c>
      <c r="G4636" s="53"/>
    </row>
    <row r="4637">
      <c r="A4637" s="49">
        <v>44561.81503737268</v>
      </c>
      <c r="B4637" s="50">
        <v>44561.9400111921</v>
      </c>
      <c r="C4637" s="51">
        <v>1.007</v>
      </c>
      <c r="D4637" s="51">
        <v>63.0</v>
      </c>
      <c r="E4637" s="52" t="s">
        <v>25</v>
      </c>
      <c r="F4637" s="52" t="s">
        <v>26</v>
      </c>
      <c r="G4637" s="53"/>
    </row>
    <row r="4638">
      <c r="A4638" s="49">
        <v>44561.8254862037</v>
      </c>
      <c r="B4638" s="50">
        <v>44561.9504545486</v>
      </c>
      <c r="C4638" s="51">
        <v>1.007</v>
      </c>
      <c r="D4638" s="51">
        <v>63.0</v>
      </c>
      <c r="E4638" s="52" t="s">
        <v>25</v>
      </c>
      <c r="F4638" s="52" t="s">
        <v>26</v>
      </c>
      <c r="G4638" s="53"/>
    </row>
    <row r="4639">
      <c r="A4639" s="49">
        <v>44561.83590884259</v>
      </c>
      <c r="B4639" s="50">
        <v>44561.9608764004</v>
      </c>
      <c r="C4639" s="51">
        <v>1.007</v>
      </c>
      <c r="D4639" s="51">
        <v>63.0</v>
      </c>
      <c r="E4639" s="52" t="s">
        <v>25</v>
      </c>
      <c r="F4639" s="52" t="s">
        <v>26</v>
      </c>
      <c r="G4639" s="53"/>
    </row>
    <row r="4640">
      <c r="A4640" s="49">
        <v>44561.8463255324</v>
      </c>
      <c r="B4640" s="50">
        <v>44561.9712971064</v>
      </c>
      <c r="C4640" s="51">
        <v>1.007</v>
      </c>
      <c r="D4640" s="51">
        <v>63.0</v>
      </c>
      <c r="E4640" s="52" t="s">
        <v>25</v>
      </c>
      <c r="F4640" s="52" t="s">
        <v>26</v>
      </c>
      <c r="G4640" s="53"/>
    </row>
    <row r="4641">
      <c r="A4641" s="49">
        <v>44561.85676768518</v>
      </c>
      <c r="B4641" s="50">
        <v>44561.9817427662</v>
      </c>
      <c r="C4641" s="51">
        <v>1.007</v>
      </c>
      <c r="D4641" s="51">
        <v>63.0</v>
      </c>
      <c r="E4641" s="52" t="s">
        <v>25</v>
      </c>
      <c r="F4641" s="52" t="s">
        <v>26</v>
      </c>
      <c r="G4641" s="53"/>
    </row>
    <row r="4642">
      <c r="A4642" s="49">
        <v>44561.867196666666</v>
      </c>
      <c r="B4642" s="50">
        <v>44561.9921745486</v>
      </c>
      <c r="C4642" s="51">
        <v>1.007</v>
      </c>
      <c r="D4642" s="51">
        <v>63.0</v>
      </c>
      <c r="E4642" s="52" t="s">
        <v>25</v>
      </c>
      <c r="F4642" s="52" t="s">
        <v>26</v>
      </c>
      <c r="G4642" s="53"/>
    </row>
    <row r="4643">
      <c r="A4643" s="49">
        <v>44561.877623506945</v>
      </c>
      <c r="B4643" s="50">
        <v>44562.0025937731</v>
      </c>
      <c r="C4643" s="51">
        <v>1.007</v>
      </c>
      <c r="D4643" s="51">
        <v>63.0</v>
      </c>
      <c r="E4643" s="52" t="s">
        <v>25</v>
      </c>
      <c r="F4643" s="52" t="s">
        <v>26</v>
      </c>
      <c r="G4643" s="53"/>
    </row>
    <row r="4644">
      <c r="A4644" s="49">
        <v>44561.88804465278</v>
      </c>
      <c r="B4644" s="50">
        <v>44562.013015706</v>
      </c>
      <c r="C4644" s="51">
        <v>1.007</v>
      </c>
      <c r="D4644" s="51">
        <v>63.0</v>
      </c>
      <c r="E4644" s="52" t="s">
        <v>25</v>
      </c>
      <c r="F4644" s="52" t="s">
        <v>26</v>
      </c>
      <c r="G4644" s="53"/>
    </row>
    <row r="4645">
      <c r="A4645" s="49">
        <v>44561.898461122684</v>
      </c>
      <c r="B4645" s="50">
        <v>44562.0234362152</v>
      </c>
      <c r="C4645" s="51">
        <v>1.007</v>
      </c>
      <c r="D4645" s="51">
        <v>63.0</v>
      </c>
      <c r="E4645" s="52" t="s">
        <v>25</v>
      </c>
      <c r="F4645" s="52" t="s">
        <v>26</v>
      </c>
      <c r="G4645" s="53"/>
    </row>
    <row r="4646">
      <c r="A4646" s="49">
        <v>44561.908876898146</v>
      </c>
      <c r="B4646" s="50">
        <v>44562.0338570601</v>
      </c>
      <c r="C4646" s="51">
        <v>1.007</v>
      </c>
      <c r="D4646" s="51">
        <v>63.0</v>
      </c>
      <c r="E4646" s="52" t="s">
        <v>25</v>
      </c>
      <c r="F4646" s="52" t="s">
        <v>26</v>
      </c>
      <c r="G4646" s="53"/>
    </row>
    <row r="4647">
      <c r="A4647" s="49">
        <v>44561.919302939816</v>
      </c>
      <c r="B4647" s="50">
        <v>44562.0442768055</v>
      </c>
      <c r="C4647" s="51">
        <v>1.007</v>
      </c>
      <c r="D4647" s="51">
        <v>63.0</v>
      </c>
      <c r="E4647" s="52" t="s">
        <v>25</v>
      </c>
      <c r="F4647" s="52" t="s">
        <v>26</v>
      </c>
      <c r="G4647" s="53"/>
    </row>
    <row r="4648">
      <c r="A4648" s="49">
        <v>44561.929721967594</v>
      </c>
      <c r="B4648" s="50">
        <v>44562.0546969791</v>
      </c>
      <c r="C4648" s="51">
        <v>1.007</v>
      </c>
      <c r="D4648" s="51">
        <v>63.0</v>
      </c>
      <c r="E4648" s="52" t="s">
        <v>25</v>
      </c>
      <c r="F4648" s="52" t="s">
        <v>26</v>
      </c>
      <c r="G4648" s="53"/>
    </row>
    <row r="4649">
      <c r="A4649" s="49">
        <v>44561.9401528125</v>
      </c>
      <c r="B4649" s="50">
        <v>44562.0651297338</v>
      </c>
      <c r="C4649" s="51">
        <v>1.007</v>
      </c>
      <c r="D4649" s="51">
        <v>63.0</v>
      </c>
      <c r="E4649" s="52" t="s">
        <v>25</v>
      </c>
      <c r="F4649" s="52" t="s">
        <v>26</v>
      </c>
      <c r="G4649" s="53"/>
    </row>
    <row r="4650">
      <c r="A4650" s="49">
        <v>44561.950581122685</v>
      </c>
      <c r="B4650" s="50">
        <v>44562.0755504976</v>
      </c>
      <c r="C4650" s="51">
        <v>1.007</v>
      </c>
      <c r="D4650" s="51">
        <v>63.0</v>
      </c>
      <c r="E4650" s="52" t="s">
        <v>25</v>
      </c>
      <c r="F4650" s="52" t="s">
        <v>26</v>
      </c>
      <c r="G4650" s="53"/>
    </row>
    <row r="4651">
      <c r="A4651" s="49">
        <v>44561.960996215275</v>
      </c>
      <c r="B4651" s="50">
        <v>44562.0859730324</v>
      </c>
      <c r="C4651" s="51">
        <v>1.007</v>
      </c>
      <c r="D4651" s="51">
        <v>63.0</v>
      </c>
      <c r="E4651" s="52" t="s">
        <v>25</v>
      </c>
      <c r="F4651" s="52" t="s">
        <v>26</v>
      </c>
      <c r="G4651" s="53"/>
    </row>
    <row r="4652">
      <c r="A4652" s="49">
        <v>44561.971425185184</v>
      </c>
      <c r="B4652" s="50">
        <v>44562.0963946064</v>
      </c>
      <c r="C4652" s="51">
        <v>1.007</v>
      </c>
      <c r="D4652" s="51">
        <v>63.0</v>
      </c>
      <c r="E4652" s="52" t="s">
        <v>25</v>
      </c>
      <c r="F4652" s="52" t="s">
        <v>26</v>
      </c>
      <c r="G4652" s="53"/>
    </row>
    <row r="4653">
      <c r="A4653" s="49">
        <v>44561.98185459491</v>
      </c>
      <c r="B4653" s="50">
        <v>44562.1068271064</v>
      </c>
      <c r="C4653" s="51">
        <v>1.007</v>
      </c>
      <c r="D4653" s="51">
        <v>63.0</v>
      </c>
      <c r="E4653" s="52" t="s">
        <v>25</v>
      </c>
      <c r="F4653" s="52" t="s">
        <v>26</v>
      </c>
      <c r="G4653" s="53"/>
    </row>
    <row r="4654">
      <c r="A4654" s="49">
        <v>44561.99228638889</v>
      </c>
      <c r="B4654" s="50">
        <v>44562.1172610763</v>
      </c>
      <c r="C4654" s="51">
        <v>1.007</v>
      </c>
      <c r="D4654" s="51">
        <v>63.0</v>
      </c>
      <c r="E4654" s="52" t="s">
        <v>25</v>
      </c>
      <c r="F4654" s="52" t="s">
        <v>26</v>
      </c>
      <c r="G4654" s="53"/>
    </row>
    <row r="4655">
      <c r="A4655" s="49">
        <v>44562.0027003588</v>
      </c>
      <c r="B4655" s="50">
        <v>44562.1276807407</v>
      </c>
      <c r="C4655" s="51">
        <v>1.007</v>
      </c>
      <c r="D4655" s="51">
        <v>63.0</v>
      </c>
      <c r="E4655" s="52" t="s">
        <v>25</v>
      </c>
      <c r="F4655" s="52" t="s">
        <v>26</v>
      </c>
      <c r="G4655" s="53"/>
    </row>
    <row r="4656">
      <c r="A4656" s="49">
        <v>44562.013125474536</v>
      </c>
      <c r="B4656" s="50">
        <v>44562.1381016666</v>
      </c>
      <c r="C4656" s="51">
        <v>1.007</v>
      </c>
      <c r="D4656" s="51">
        <v>63.0</v>
      </c>
      <c r="E4656" s="52" t="s">
        <v>25</v>
      </c>
      <c r="F4656" s="52" t="s">
        <v>26</v>
      </c>
      <c r="G4656" s="53"/>
    </row>
    <row r="4657">
      <c r="A4657" s="49">
        <v>44562.02354675926</v>
      </c>
      <c r="B4657" s="50">
        <v>44562.1485216666</v>
      </c>
      <c r="C4657" s="51">
        <v>1.007</v>
      </c>
      <c r="D4657" s="51">
        <v>62.0</v>
      </c>
      <c r="E4657" s="52" t="s">
        <v>25</v>
      </c>
      <c r="F4657" s="52" t="s">
        <v>26</v>
      </c>
      <c r="G4657" s="53"/>
    </row>
    <row r="4658">
      <c r="A4658" s="49">
        <v>44562.03396760416</v>
      </c>
      <c r="B4658" s="50">
        <v>44562.1589415625</v>
      </c>
      <c r="C4658" s="51">
        <v>1.007</v>
      </c>
      <c r="D4658" s="51">
        <v>63.0</v>
      </c>
      <c r="E4658" s="52" t="s">
        <v>25</v>
      </c>
      <c r="F4658" s="52" t="s">
        <v>26</v>
      </c>
      <c r="G4658" s="53"/>
    </row>
    <row r="4659">
      <c r="A4659" s="49">
        <v>44562.044379178245</v>
      </c>
      <c r="B4659" s="50">
        <v>44562.1693625462</v>
      </c>
      <c r="C4659" s="51">
        <v>1.007</v>
      </c>
      <c r="D4659" s="51">
        <v>63.0</v>
      </c>
      <c r="E4659" s="52" t="s">
        <v>25</v>
      </c>
      <c r="F4659" s="52" t="s">
        <v>26</v>
      </c>
      <c r="G4659" s="53"/>
    </row>
    <row r="4660">
      <c r="A4660" s="49">
        <v>44562.054806134256</v>
      </c>
      <c r="B4660" s="50">
        <v>44562.179782199</v>
      </c>
      <c r="C4660" s="51">
        <v>1.007</v>
      </c>
      <c r="D4660" s="51">
        <v>63.0</v>
      </c>
      <c r="E4660" s="52" t="s">
        <v>25</v>
      </c>
      <c r="F4660" s="52" t="s">
        <v>26</v>
      </c>
      <c r="G4660" s="53"/>
    </row>
    <row r="4661">
      <c r="A4661" s="49">
        <v>44562.065238993055</v>
      </c>
      <c r="B4661" s="50">
        <v>44562.1902142476</v>
      </c>
      <c r="C4661" s="51">
        <v>1.007</v>
      </c>
      <c r="D4661" s="51">
        <v>63.0</v>
      </c>
      <c r="E4661" s="52" t="s">
        <v>25</v>
      </c>
      <c r="F4661" s="52" t="s">
        <v>26</v>
      </c>
      <c r="G4661" s="53"/>
    </row>
    <row r="4662">
      <c r="A4662" s="49">
        <v>44562.075685358795</v>
      </c>
      <c r="B4662" s="50">
        <v>44562.2006587615</v>
      </c>
      <c r="C4662" s="51">
        <v>1.007</v>
      </c>
      <c r="D4662" s="51">
        <v>62.0</v>
      </c>
      <c r="E4662" s="52" t="s">
        <v>25</v>
      </c>
      <c r="F4662" s="52" t="s">
        <v>26</v>
      </c>
      <c r="G4662" s="53"/>
    </row>
    <row r="4663">
      <c r="A4663" s="49">
        <v>44562.08610677083</v>
      </c>
      <c r="B4663" s="50">
        <v>44562.2110790393</v>
      </c>
      <c r="C4663" s="51">
        <v>1.007</v>
      </c>
      <c r="D4663" s="51">
        <v>63.0</v>
      </c>
      <c r="E4663" s="52" t="s">
        <v>25</v>
      </c>
      <c r="F4663" s="52" t="s">
        <v>26</v>
      </c>
      <c r="G4663" s="53"/>
    </row>
    <row r="4664">
      <c r="A4664" s="49">
        <v>44562.096540185186</v>
      </c>
      <c r="B4664" s="50">
        <v>44562.2215117476</v>
      </c>
      <c r="C4664" s="51">
        <v>1.007</v>
      </c>
      <c r="D4664" s="51">
        <v>63.0</v>
      </c>
      <c r="E4664" s="52" t="s">
        <v>25</v>
      </c>
      <c r="F4664" s="52" t="s">
        <v>26</v>
      </c>
      <c r="G4664" s="53"/>
    </row>
    <row r="4665">
      <c r="A4665" s="49">
        <v>44562.10697033565</v>
      </c>
      <c r="B4665" s="50">
        <v>44562.231945081</v>
      </c>
      <c r="C4665" s="51">
        <v>1.007</v>
      </c>
      <c r="D4665" s="51">
        <v>62.0</v>
      </c>
      <c r="E4665" s="52" t="s">
        <v>25</v>
      </c>
      <c r="F4665" s="52" t="s">
        <v>26</v>
      </c>
      <c r="G4665" s="53"/>
    </row>
    <row r="4666">
      <c r="A4666" s="49">
        <v>44562.1173996412</v>
      </c>
      <c r="B4666" s="50">
        <v>44562.2423661111</v>
      </c>
      <c r="C4666" s="51">
        <v>1.007</v>
      </c>
      <c r="D4666" s="51">
        <v>62.0</v>
      </c>
      <c r="E4666" s="52" t="s">
        <v>25</v>
      </c>
      <c r="F4666" s="52" t="s">
        <v>26</v>
      </c>
      <c r="G4666" s="53"/>
    </row>
    <row r="4667">
      <c r="A4667" s="49">
        <v>44562.12782297454</v>
      </c>
      <c r="B4667" s="50">
        <v>44562.2527864699</v>
      </c>
      <c r="C4667" s="51">
        <v>1.007</v>
      </c>
      <c r="D4667" s="51">
        <v>62.0</v>
      </c>
      <c r="E4667" s="52" t="s">
        <v>25</v>
      </c>
      <c r="F4667" s="52" t="s">
        <v>26</v>
      </c>
      <c r="G4667" s="53"/>
    </row>
    <row r="4668">
      <c r="A4668" s="49">
        <v>44562.138236921295</v>
      </c>
      <c r="B4668" s="50">
        <v>44562.2632091666</v>
      </c>
      <c r="C4668" s="51">
        <v>1.007</v>
      </c>
      <c r="D4668" s="51">
        <v>63.0</v>
      </c>
      <c r="E4668" s="52" t="s">
        <v>25</v>
      </c>
      <c r="F4668" s="52" t="s">
        <v>26</v>
      </c>
      <c r="G4668" s="53"/>
    </row>
    <row r="4669">
      <c r="A4669" s="49">
        <v>44562.14864856482</v>
      </c>
      <c r="B4669" s="50">
        <v>44562.2736304398</v>
      </c>
      <c r="C4669" s="51">
        <v>1.007</v>
      </c>
      <c r="D4669" s="51">
        <v>62.0</v>
      </c>
      <c r="E4669" s="52" t="s">
        <v>25</v>
      </c>
      <c r="F4669" s="52" t="s">
        <v>26</v>
      </c>
      <c r="G4669" s="53"/>
    </row>
    <row r="4670">
      <c r="A4670" s="49">
        <v>44562.15907751158</v>
      </c>
      <c r="B4670" s="50">
        <v>44562.2840512037</v>
      </c>
      <c r="C4670" s="51">
        <v>1.007</v>
      </c>
      <c r="D4670" s="51">
        <v>62.0</v>
      </c>
      <c r="E4670" s="52" t="s">
        <v>25</v>
      </c>
      <c r="F4670" s="52" t="s">
        <v>26</v>
      </c>
      <c r="G4670" s="53"/>
    </row>
    <row r="4671">
      <c r="A4671" s="49">
        <v>44562.16949988426</v>
      </c>
      <c r="B4671" s="50">
        <v>44562.2944722916</v>
      </c>
      <c r="C4671" s="51">
        <v>1.007</v>
      </c>
      <c r="D4671" s="51">
        <v>63.0</v>
      </c>
      <c r="E4671" s="52" t="s">
        <v>25</v>
      </c>
      <c r="F4671" s="52" t="s">
        <v>26</v>
      </c>
      <c r="G4671" s="53"/>
    </row>
    <row r="4672">
      <c r="A4672" s="49">
        <v>44562.17992137732</v>
      </c>
      <c r="B4672" s="50">
        <v>44562.3048930671</v>
      </c>
      <c r="C4672" s="51">
        <v>1.007</v>
      </c>
      <c r="D4672" s="51">
        <v>62.0</v>
      </c>
      <c r="E4672" s="52" t="s">
        <v>25</v>
      </c>
      <c r="F4672" s="52" t="s">
        <v>26</v>
      </c>
      <c r="G4672" s="53"/>
    </row>
    <row r="4673">
      <c r="A4673" s="49">
        <v>44562.190330219906</v>
      </c>
      <c r="B4673" s="50">
        <v>44562.3153129166</v>
      </c>
      <c r="C4673" s="51">
        <v>1.007</v>
      </c>
      <c r="D4673" s="51">
        <v>63.0</v>
      </c>
      <c r="E4673" s="52" t="s">
        <v>25</v>
      </c>
      <c r="F4673" s="52" t="s">
        <v>26</v>
      </c>
      <c r="G4673" s="53"/>
    </row>
    <row r="4674">
      <c r="A4674" s="49">
        <v>44562.200787951384</v>
      </c>
      <c r="B4674" s="50">
        <v>44562.3257562847</v>
      </c>
      <c r="C4674" s="51">
        <v>1.007</v>
      </c>
      <c r="D4674" s="51">
        <v>63.0</v>
      </c>
      <c r="E4674" s="52" t="s">
        <v>25</v>
      </c>
      <c r="F4674" s="52" t="s">
        <v>26</v>
      </c>
      <c r="G4674" s="53"/>
    </row>
    <row r="4675">
      <c r="A4675" s="49">
        <v>44562.21119583333</v>
      </c>
      <c r="B4675" s="50">
        <v>44562.3361757638</v>
      </c>
      <c r="C4675" s="51">
        <v>1.007</v>
      </c>
      <c r="D4675" s="51">
        <v>63.0</v>
      </c>
      <c r="E4675" s="52" t="s">
        <v>25</v>
      </c>
      <c r="F4675" s="52" t="s">
        <v>26</v>
      </c>
      <c r="G4675" s="53"/>
    </row>
    <row r="4676">
      <c r="A4676" s="49">
        <v>44562.22162372685</v>
      </c>
      <c r="B4676" s="50">
        <v>44562.3465968287</v>
      </c>
      <c r="C4676" s="51">
        <v>1.007</v>
      </c>
      <c r="D4676" s="51">
        <v>63.0</v>
      </c>
      <c r="E4676" s="52" t="s">
        <v>25</v>
      </c>
      <c r="F4676" s="52" t="s">
        <v>26</v>
      </c>
      <c r="G4676" s="53"/>
    </row>
    <row r="4677">
      <c r="A4677" s="49">
        <v>44562.23204456018</v>
      </c>
      <c r="B4677" s="50">
        <v>44562.3570173495</v>
      </c>
      <c r="C4677" s="51">
        <v>1.007</v>
      </c>
      <c r="D4677" s="51">
        <v>63.0</v>
      </c>
      <c r="E4677" s="52" t="s">
        <v>25</v>
      </c>
      <c r="F4677" s="52" t="s">
        <v>26</v>
      </c>
      <c r="G4677" s="53"/>
    </row>
    <row r="4678">
      <c r="A4678" s="49">
        <v>44562.242455590276</v>
      </c>
      <c r="B4678" s="50">
        <v>44562.3674385532</v>
      </c>
      <c r="C4678" s="51">
        <v>1.007</v>
      </c>
      <c r="D4678" s="51">
        <v>62.0</v>
      </c>
      <c r="E4678" s="52" t="s">
        <v>25</v>
      </c>
      <c r="F4678" s="52" t="s">
        <v>26</v>
      </c>
      <c r="G4678" s="53"/>
    </row>
    <row r="4679">
      <c r="A4679" s="49">
        <v>44562.25287789352</v>
      </c>
      <c r="B4679" s="50">
        <v>44562.3778584027</v>
      </c>
      <c r="C4679" s="51">
        <v>1.007</v>
      </c>
      <c r="D4679" s="51">
        <v>63.0</v>
      </c>
      <c r="E4679" s="52" t="s">
        <v>25</v>
      </c>
      <c r="F4679" s="52" t="s">
        <v>26</v>
      </c>
      <c r="G4679" s="53"/>
    </row>
    <row r="4680">
      <c r="A4680" s="49">
        <v>44562.26329690972</v>
      </c>
      <c r="B4680" s="50">
        <v>44562.3882788888</v>
      </c>
      <c r="C4680" s="51">
        <v>1.007</v>
      </c>
      <c r="D4680" s="51">
        <v>63.0</v>
      </c>
      <c r="E4680" s="52" t="s">
        <v>25</v>
      </c>
      <c r="F4680" s="52" t="s">
        <v>26</v>
      </c>
      <c r="G4680" s="53"/>
    </row>
    <row r="4681">
      <c r="A4681" s="49">
        <v>44562.27373710649</v>
      </c>
      <c r="B4681" s="50">
        <v>44562.3987016088</v>
      </c>
      <c r="C4681" s="51">
        <v>1.007</v>
      </c>
      <c r="D4681" s="51">
        <v>63.0</v>
      </c>
      <c r="E4681" s="52" t="s">
        <v>25</v>
      </c>
      <c r="F4681" s="52" t="s">
        <v>26</v>
      </c>
      <c r="G4681" s="53"/>
    </row>
    <row r="4682">
      <c r="A4682" s="49">
        <v>44562.28415046296</v>
      </c>
      <c r="B4682" s="50">
        <v>44562.4091226967</v>
      </c>
      <c r="C4682" s="51">
        <v>1.007</v>
      </c>
      <c r="D4682" s="51">
        <v>63.0</v>
      </c>
      <c r="E4682" s="52" t="s">
        <v>25</v>
      </c>
      <c r="F4682" s="52" t="s">
        <v>26</v>
      </c>
      <c r="G4682" s="53"/>
    </row>
    <row r="4683">
      <c r="A4683" s="49">
        <v>44562.29457253472</v>
      </c>
      <c r="B4683" s="50">
        <v>44562.4195456828</v>
      </c>
      <c r="C4683" s="51">
        <v>1.007</v>
      </c>
      <c r="D4683" s="51">
        <v>63.0</v>
      </c>
      <c r="E4683" s="52" t="s">
        <v>25</v>
      </c>
      <c r="F4683" s="52" t="s">
        <v>26</v>
      </c>
      <c r="G4683" s="53"/>
    </row>
    <row r="4684">
      <c r="A4684" s="49">
        <v>44562.30499665509</v>
      </c>
      <c r="B4684" s="50">
        <v>44562.4299669907</v>
      </c>
      <c r="C4684" s="51">
        <v>1.007</v>
      </c>
      <c r="D4684" s="51">
        <v>63.0</v>
      </c>
      <c r="E4684" s="52" t="s">
        <v>25</v>
      </c>
      <c r="F4684" s="52" t="s">
        <v>26</v>
      </c>
      <c r="G4684" s="53"/>
    </row>
    <row r="4685">
      <c r="A4685" s="49">
        <v>44562.3154112037</v>
      </c>
      <c r="B4685" s="50">
        <v>44562.4403885185</v>
      </c>
      <c r="C4685" s="51">
        <v>1.007</v>
      </c>
      <c r="D4685" s="51">
        <v>63.0</v>
      </c>
      <c r="E4685" s="52" t="s">
        <v>25</v>
      </c>
      <c r="F4685" s="52" t="s">
        <v>26</v>
      </c>
      <c r="G4685" s="53"/>
    </row>
    <row r="4686">
      <c r="A4686" s="49">
        <v>44562.32583674768</v>
      </c>
      <c r="B4686" s="50">
        <v>44562.4508105208</v>
      </c>
      <c r="C4686" s="51">
        <v>1.007</v>
      </c>
      <c r="D4686" s="51">
        <v>63.0</v>
      </c>
      <c r="E4686" s="52" t="s">
        <v>25</v>
      </c>
      <c r="F4686" s="52" t="s">
        <v>26</v>
      </c>
      <c r="G4686" s="53"/>
    </row>
    <row r="4687">
      <c r="A4687" s="49">
        <v>44562.33625600694</v>
      </c>
      <c r="B4687" s="50">
        <v>44562.4612323263</v>
      </c>
      <c r="C4687" s="51">
        <v>1.007</v>
      </c>
      <c r="D4687" s="51">
        <v>63.0</v>
      </c>
      <c r="E4687" s="52" t="s">
        <v>25</v>
      </c>
      <c r="F4687" s="52" t="s">
        <v>26</v>
      </c>
      <c r="G4687" s="53"/>
    </row>
    <row r="4688">
      <c r="A4688" s="49">
        <v>44562.34667351852</v>
      </c>
      <c r="B4688" s="50">
        <v>44562.4716529166</v>
      </c>
      <c r="C4688" s="51">
        <v>1.007</v>
      </c>
      <c r="D4688" s="51">
        <v>63.0</v>
      </c>
      <c r="E4688" s="52" t="s">
        <v>25</v>
      </c>
      <c r="F4688" s="52" t="s">
        <v>26</v>
      </c>
      <c r="G4688" s="53"/>
    </row>
    <row r="4689">
      <c r="A4689" s="49">
        <v>44562.35713646991</v>
      </c>
      <c r="B4689" s="50">
        <v>44562.4821091435</v>
      </c>
      <c r="C4689" s="51">
        <v>1.007</v>
      </c>
      <c r="D4689" s="51">
        <v>63.0</v>
      </c>
      <c r="E4689" s="52" t="s">
        <v>25</v>
      </c>
      <c r="F4689" s="52" t="s">
        <v>26</v>
      </c>
      <c r="G4689" s="53"/>
    </row>
    <row r="4690">
      <c r="A4690" s="49">
        <v>44562.367553668984</v>
      </c>
      <c r="B4690" s="50">
        <v>44562.4925298611</v>
      </c>
      <c r="C4690" s="51">
        <v>1.007</v>
      </c>
      <c r="D4690" s="51">
        <v>63.0</v>
      </c>
      <c r="E4690" s="52" t="s">
        <v>25</v>
      </c>
      <c r="F4690" s="52" t="s">
        <v>26</v>
      </c>
      <c r="G4690" s="53"/>
    </row>
    <row r="4691">
      <c r="A4691" s="49">
        <v>44562.37798604167</v>
      </c>
      <c r="B4691" s="50">
        <v>44562.5029527546</v>
      </c>
      <c r="C4691" s="51">
        <v>1.007</v>
      </c>
      <c r="D4691" s="51">
        <v>63.0</v>
      </c>
      <c r="E4691" s="52" t="s">
        <v>25</v>
      </c>
      <c r="F4691" s="52" t="s">
        <v>26</v>
      </c>
      <c r="G4691" s="53"/>
    </row>
    <row r="4692">
      <c r="A4692" s="49">
        <v>44562.38840819444</v>
      </c>
      <c r="B4692" s="50">
        <v>44562.5133851273</v>
      </c>
      <c r="C4692" s="51">
        <v>1.007</v>
      </c>
      <c r="D4692" s="51">
        <v>63.0</v>
      </c>
      <c r="E4692" s="52" t="s">
        <v>25</v>
      </c>
      <c r="F4692" s="52" t="s">
        <v>26</v>
      </c>
      <c r="G4692" s="53"/>
    </row>
    <row r="4693">
      <c r="A4693" s="49">
        <v>44562.39882666667</v>
      </c>
      <c r="B4693" s="50">
        <v>44562.5238070833</v>
      </c>
      <c r="C4693" s="51">
        <v>1.007</v>
      </c>
      <c r="D4693" s="51">
        <v>63.0</v>
      </c>
      <c r="E4693" s="52" t="s">
        <v>25</v>
      </c>
      <c r="F4693" s="52" t="s">
        <v>26</v>
      </c>
      <c r="G4693" s="53"/>
    </row>
    <row r="4694">
      <c r="A4694" s="49">
        <v>44562.409259189815</v>
      </c>
      <c r="B4694" s="50">
        <v>44562.534228206</v>
      </c>
      <c r="C4694" s="51">
        <v>1.007</v>
      </c>
      <c r="D4694" s="51">
        <v>63.0</v>
      </c>
      <c r="E4694" s="52" t="s">
        <v>25</v>
      </c>
      <c r="F4694" s="52" t="s">
        <v>26</v>
      </c>
      <c r="G4694" s="53"/>
    </row>
    <row r="4695">
      <c r="A4695" s="49">
        <v>44562.41967444445</v>
      </c>
      <c r="B4695" s="50">
        <v>44562.5446509027</v>
      </c>
      <c r="C4695" s="51">
        <v>1.007</v>
      </c>
      <c r="D4695" s="51">
        <v>63.0</v>
      </c>
      <c r="E4695" s="52" t="s">
        <v>25</v>
      </c>
      <c r="F4695" s="52" t="s">
        <v>26</v>
      </c>
      <c r="G4695" s="53"/>
    </row>
    <row r="4696">
      <c r="A4696" s="49">
        <v>44562.43009329861</v>
      </c>
      <c r="B4696" s="50">
        <v>44562.5550715509</v>
      </c>
      <c r="C4696" s="51">
        <v>1.007</v>
      </c>
      <c r="D4696" s="51">
        <v>63.0</v>
      </c>
      <c r="E4696" s="52" t="s">
        <v>25</v>
      </c>
      <c r="F4696" s="52" t="s">
        <v>26</v>
      </c>
      <c r="G4696" s="53"/>
    </row>
    <row r="4697">
      <c r="A4697" s="49">
        <v>44562.440512870366</v>
      </c>
      <c r="B4697" s="50">
        <v>44562.5654918055</v>
      </c>
      <c r="C4697" s="51">
        <v>1.007</v>
      </c>
      <c r="D4697" s="51">
        <v>63.0</v>
      </c>
      <c r="E4697" s="52" t="s">
        <v>25</v>
      </c>
      <c r="F4697" s="52" t="s">
        <v>26</v>
      </c>
      <c r="G4697" s="53"/>
    </row>
    <row r="4698">
      <c r="A4698" s="49">
        <v>44562.45093517361</v>
      </c>
      <c r="B4698" s="50">
        <v>44562.5759124074</v>
      </c>
      <c r="C4698" s="51">
        <v>1.007</v>
      </c>
      <c r="D4698" s="51">
        <v>63.0</v>
      </c>
      <c r="E4698" s="52" t="s">
        <v>25</v>
      </c>
      <c r="F4698" s="52" t="s">
        <v>26</v>
      </c>
      <c r="G4698" s="53"/>
    </row>
    <row r="4699">
      <c r="A4699" s="49">
        <v>44562.46136605324</v>
      </c>
      <c r="B4699" s="50">
        <v>44562.5863339814</v>
      </c>
      <c r="C4699" s="51">
        <v>1.007</v>
      </c>
      <c r="D4699" s="51">
        <v>63.0</v>
      </c>
      <c r="E4699" s="52" t="s">
        <v>25</v>
      </c>
      <c r="F4699" s="52" t="s">
        <v>26</v>
      </c>
      <c r="G4699" s="53"/>
    </row>
    <row r="4700">
      <c r="A4700" s="49">
        <v>44562.47177984954</v>
      </c>
      <c r="B4700" s="50">
        <v>44562.5967544097</v>
      </c>
      <c r="C4700" s="51">
        <v>1.007</v>
      </c>
      <c r="D4700" s="51">
        <v>63.0</v>
      </c>
      <c r="E4700" s="52" t="s">
        <v>25</v>
      </c>
      <c r="F4700" s="52" t="s">
        <v>26</v>
      </c>
      <c r="G4700" s="53"/>
    </row>
    <row r="4701">
      <c r="A4701" s="49">
        <v>44562.48219502315</v>
      </c>
      <c r="B4701" s="50">
        <v>44562.6071765046</v>
      </c>
      <c r="C4701" s="51">
        <v>1.007</v>
      </c>
      <c r="D4701" s="51">
        <v>63.0</v>
      </c>
      <c r="E4701" s="52" t="s">
        <v>25</v>
      </c>
      <c r="F4701" s="52" t="s">
        <v>26</v>
      </c>
      <c r="G4701" s="53"/>
    </row>
    <row r="4702">
      <c r="A4702" s="49">
        <v>44562.492613842594</v>
      </c>
      <c r="B4702" s="50">
        <v>44562.6175967939</v>
      </c>
      <c r="C4702" s="51">
        <v>1.007</v>
      </c>
      <c r="D4702" s="51">
        <v>63.0</v>
      </c>
      <c r="E4702" s="52" t="s">
        <v>25</v>
      </c>
      <c r="F4702" s="52" t="s">
        <v>26</v>
      </c>
      <c r="G4702" s="53"/>
    </row>
    <row r="4703">
      <c r="A4703" s="49">
        <v>44562.50303472222</v>
      </c>
      <c r="B4703" s="50">
        <v>44562.6280162268</v>
      </c>
      <c r="C4703" s="51">
        <v>1.007</v>
      </c>
      <c r="D4703" s="51">
        <v>63.0</v>
      </c>
      <c r="E4703" s="52" t="s">
        <v>25</v>
      </c>
      <c r="F4703" s="52" t="s">
        <v>26</v>
      </c>
      <c r="G4703" s="53"/>
    </row>
    <row r="4704">
      <c r="A4704" s="49">
        <v>44562.51346513889</v>
      </c>
      <c r="B4704" s="50">
        <v>44562.6384380671</v>
      </c>
      <c r="C4704" s="51">
        <v>1.007</v>
      </c>
      <c r="D4704" s="51">
        <v>63.0</v>
      </c>
      <c r="E4704" s="52" t="s">
        <v>25</v>
      </c>
      <c r="F4704" s="52" t="s">
        <v>26</v>
      </c>
      <c r="G4704" s="53"/>
    </row>
    <row r="4705">
      <c r="A4705" s="49">
        <v>44562.52388030093</v>
      </c>
      <c r="B4705" s="50">
        <v>44562.6488591319</v>
      </c>
      <c r="C4705" s="51">
        <v>1.007</v>
      </c>
      <c r="D4705" s="51">
        <v>63.0</v>
      </c>
      <c r="E4705" s="52" t="s">
        <v>25</v>
      </c>
      <c r="F4705" s="52" t="s">
        <v>26</v>
      </c>
      <c r="G4705" s="53"/>
    </row>
    <row r="4706">
      <c r="A4706" s="49">
        <v>44562.53429688657</v>
      </c>
      <c r="B4706" s="50">
        <v>44562.6592783912</v>
      </c>
      <c r="C4706" s="51">
        <v>1.007</v>
      </c>
      <c r="D4706" s="51">
        <v>63.0</v>
      </c>
      <c r="E4706" s="52" t="s">
        <v>25</v>
      </c>
      <c r="F4706" s="52" t="s">
        <v>26</v>
      </c>
      <c r="G4706" s="53"/>
    </row>
    <row r="4707">
      <c r="A4707" s="49">
        <v>44562.54472561342</v>
      </c>
      <c r="B4707" s="50">
        <v>44562.6697002314</v>
      </c>
      <c r="C4707" s="51">
        <v>1.007</v>
      </c>
      <c r="D4707" s="51">
        <v>63.0</v>
      </c>
      <c r="E4707" s="52" t="s">
        <v>25</v>
      </c>
      <c r="F4707" s="52" t="s">
        <v>26</v>
      </c>
      <c r="G4707" s="53"/>
    </row>
    <row r="4708">
      <c r="A4708" s="49">
        <v>44562.555151875</v>
      </c>
      <c r="B4708" s="50">
        <v>44562.6801232523</v>
      </c>
      <c r="C4708" s="51">
        <v>1.007</v>
      </c>
      <c r="D4708" s="51">
        <v>63.0</v>
      </c>
      <c r="E4708" s="52" t="s">
        <v>25</v>
      </c>
      <c r="F4708" s="52" t="s">
        <v>26</v>
      </c>
      <c r="G4708" s="53"/>
    </row>
    <row r="4709">
      <c r="A4709" s="49">
        <v>44562.56557050926</v>
      </c>
      <c r="B4709" s="50">
        <v>44562.6905431365</v>
      </c>
      <c r="C4709" s="51">
        <v>1.007</v>
      </c>
      <c r="D4709" s="51">
        <v>63.0</v>
      </c>
      <c r="E4709" s="52" t="s">
        <v>25</v>
      </c>
      <c r="F4709" s="52" t="s">
        <v>26</v>
      </c>
      <c r="G4709" s="53"/>
    </row>
    <row r="4710">
      <c r="A4710" s="49">
        <v>44562.57600232639</v>
      </c>
      <c r="B4710" s="50">
        <v>44562.700974537</v>
      </c>
      <c r="C4710" s="51">
        <v>1.007</v>
      </c>
      <c r="D4710" s="51">
        <v>63.0</v>
      </c>
      <c r="E4710" s="52" t="s">
        <v>25</v>
      </c>
      <c r="F4710" s="52" t="s">
        <v>26</v>
      </c>
      <c r="G4710" s="53"/>
    </row>
    <row r="4711">
      <c r="A4711" s="49">
        <v>44562.58641729166</v>
      </c>
      <c r="B4711" s="50">
        <v>44562.7113930671</v>
      </c>
      <c r="C4711" s="51">
        <v>1.007</v>
      </c>
      <c r="D4711" s="51">
        <v>63.0</v>
      </c>
      <c r="E4711" s="52" t="s">
        <v>25</v>
      </c>
      <c r="F4711" s="52" t="s">
        <v>26</v>
      </c>
      <c r="G4711" s="53"/>
    </row>
    <row r="4712">
      <c r="A4712" s="49">
        <v>44562.59683984954</v>
      </c>
      <c r="B4712" s="50">
        <v>44562.7218134027</v>
      </c>
      <c r="C4712" s="51">
        <v>1.007</v>
      </c>
      <c r="D4712" s="51">
        <v>63.0</v>
      </c>
      <c r="E4712" s="52" t="s">
        <v>25</v>
      </c>
      <c r="F4712" s="52" t="s">
        <v>26</v>
      </c>
      <c r="G4712" s="53"/>
    </row>
    <row r="4713">
      <c r="A4713" s="49">
        <v>44562.607253043985</v>
      </c>
      <c r="B4713" s="50">
        <v>44562.7322355671</v>
      </c>
      <c r="C4713" s="51">
        <v>1.007</v>
      </c>
      <c r="D4713" s="51">
        <v>63.0</v>
      </c>
      <c r="E4713" s="52" t="s">
        <v>25</v>
      </c>
      <c r="F4713" s="52" t="s">
        <v>26</v>
      </c>
      <c r="G4713" s="53"/>
    </row>
    <row r="4714">
      <c r="A4714" s="49">
        <v>44562.617692604166</v>
      </c>
      <c r="B4714" s="50">
        <v>44562.7426668865</v>
      </c>
      <c r="C4714" s="51">
        <v>1.007</v>
      </c>
      <c r="D4714" s="51">
        <v>63.0</v>
      </c>
      <c r="E4714" s="52" t="s">
        <v>25</v>
      </c>
      <c r="F4714" s="52" t="s">
        <v>26</v>
      </c>
      <c r="G4714" s="53"/>
    </row>
    <row r="4715">
      <c r="A4715" s="49">
        <v>44562.62811684028</v>
      </c>
      <c r="B4715" s="50">
        <v>44562.7530873842</v>
      </c>
      <c r="C4715" s="51">
        <v>1.007</v>
      </c>
      <c r="D4715" s="51">
        <v>63.0</v>
      </c>
      <c r="E4715" s="52" t="s">
        <v>25</v>
      </c>
      <c r="F4715" s="52" t="s">
        <v>26</v>
      </c>
      <c r="G4715" s="53"/>
    </row>
    <row r="4716">
      <c r="A4716" s="49">
        <v>44562.6385394213</v>
      </c>
      <c r="B4716" s="50">
        <v>44562.7635194328</v>
      </c>
      <c r="C4716" s="51">
        <v>1.007</v>
      </c>
      <c r="D4716" s="51">
        <v>63.0</v>
      </c>
      <c r="E4716" s="52" t="s">
        <v>25</v>
      </c>
      <c r="F4716" s="52" t="s">
        <v>26</v>
      </c>
      <c r="G4716" s="53"/>
    </row>
    <row r="4717">
      <c r="A4717" s="49">
        <v>44562.64897800926</v>
      </c>
      <c r="B4717" s="50">
        <v>44562.7739513773</v>
      </c>
      <c r="C4717" s="51">
        <v>1.007</v>
      </c>
      <c r="D4717" s="51">
        <v>63.0</v>
      </c>
      <c r="E4717" s="52" t="s">
        <v>25</v>
      </c>
      <c r="F4717" s="52" t="s">
        <v>26</v>
      </c>
      <c r="G4717" s="53"/>
    </row>
    <row r="4718">
      <c r="A4718" s="49">
        <v>44562.65940287037</v>
      </c>
      <c r="B4718" s="50">
        <v>44562.78437375</v>
      </c>
      <c r="C4718" s="51">
        <v>1.007</v>
      </c>
      <c r="D4718" s="51">
        <v>63.0</v>
      </c>
      <c r="E4718" s="52" t="s">
        <v>25</v>
      </c>
      <c r="F4718" s="52" t="s">
        <v>26</v>
      </c>
      <c r="G4718" s="53"/>
    </row>
    <row r="4719">
      <c r="A4719" s="49">
        <v>44562.66982351852</v>
      </c>
      <c r="B4719" s="50">
        <v>44562.7947956944</v>
      </c>
      <c r="C4719" s="51">
        <v>1.007</v>
      </c>
      <c r="D4719" s="51">
        <v>63.0</v>
      </c>
      <c r="E4719" s="52" t="s">
        <v>25</v>
      </c>
      <c r="F4719" s="52" t="s">
        <v>26</v>
      </c>
      <c r="G4719" s="53"/>
    </row>
    <row r="4720">
      <c r="A4720" s="49">
        <v>44562.68024608796</v>
      </c>
      <c r="B4720" s="50">
        <v>44562.805216412</v>
      </c>
      <c r="C4720" s="51">
        <v>1.007</v>
      </c>
      <c r="D4720" s="51">
        <v>63.0</v>
      </c>
      <c r="E4720" s="52" t="s">
        <v>25</v>
      </c>
      <c r="F4720" s="52" t="s">
        <v>26</v>
      </c>
      <c r="G4720" s="53"/>
    </row>
    <row r="4721">
      <c r="A4721" s="49">
        <v>44562.69066519676</v>
      </c>
      <c r="B4721" s="50">
        <v>44562.8156371527</v>
      </c>
      <c r="C4721" s="51">
        <v>1.007</v>
      </c>
      <c r="D4721" s="51">
        <v>63.0</v>
      </c>
      <c r="E4721" s="52" t="s">
        <v>25</v>
      </c>
      <c r="F4721" s="52" t="s">
        <v>26</v>
      </c>
      <c r="G4721" s="53"/>
    </row>
    <row r="4722">
      <c r="A4722" s="49">
        <v>44562.701092557865</v>
      </c>
      <c r="B4722" s="50">
        <v>44562.8260687037</v>
      </c>
      <c r="C4722" s="51">
        <v>1.007</v>
      </c>
      <c r="D4722" s="51">
        <v>63.0</v>
      </c>
      <c r="E4722" s="52" t="s">
        <v>25</v>
      </c>
      <c r="F4722" s="52" t="s">
        <v>26</v>
      </c>
      <c r="G4722" s="53"/>
    </row>
    <row r="4723">
      <c r="A4723" s="49">
        <v>44562.711601585645</v>
      </c>
      <c r="B4723" s="50">
        <v>44562.8365134375</v>
      </c>
      <c r="C4723" s="51">
        <v>1.007</v>
      </c>
      <c r="D4723" s="51">
        <v>63.0</v>
      </c>
      <c r="E4723" s="52" t="s">
        <v>25</v>
      </c>
      <c r="F4723" s="52" t="s">
        <v>26</v>
      </c>
      <c r="G4723" s="53"/>
    </row>
    <row r="4724">
      <c r="A4724" s="49">
        <v>44562.7219677199</v>
      </c>
      <c r="B4724" s="50">
        <v>44562.8469474305</v>
      </c>
      <c r="C4724" s="51">
        <v>1.007</v>
      </c>
      <c r="D4724" s="51">
        <v>63.0</v>
      </c>
      <c r="E4724" s="52" t="s">
        <v>25</v>
      </c>
      <c r="F4724" s="52" t="s">
        <v>26</v>
      </c>
      <c r="G4724" s="53"/>
    </row>
    <row r="4725">
      <c r="A4725" s="49">
        <v>44562.732392164355</v>
      </c>
      <c r="B4725" s="50">
        <v>44562.8573690625</v>
      </c>
      <c r="C4725" s="51">
        <v>1.007</v>
      </c>
      <c r="D4725" s="51">
        <v>63.0</v>
      </c>
      <c r="E4725" s="52" t="s">
        <v>25</v>
      </c>
      <c r="F4725" s="52" t="s">
        <v>26</v>
      </c>
      <c r="G4725" s="53"/>
    </row>
    <row r="4726">
      <c r="A4726" s="49">
        <v>44562.74281496528</v>
      </c>
      <c r="B4726" s="50">
        <v>44562.867791956</v>
      </c>
      <c r="C4726" s="51">
        <v>1.007</v>
      </c>
      <c r="D4726" s="51">
        <v>63.0</v>
      </c>
      <c r="E4726" s="52" t="s">
        <v>25</v>
      </c>
      <c r="F4726" s="52" t="s">
        <v>26</v>
      </c>
      <c r="G4726" s="53"/>
    </row>
    <row r="4727">
      <c r="A4727" s="49">
        <v>44562.753244293985</v>
      </c>
      <c r="B4727" s="50">
        <v>44562.8782264236</v>
      </c>
      <c r="C4727" s="51">
        <v>1.007</v>
      </c>
      <c r="D4727" s="51">
        <v>63.0</v>
      </c>
      <c r="E4727" s="52" t="s">
        <v>25</v>
      </c>
      <c r="F4727" s="52" t="s">
        <v>26</v>
      </c>
      <c r="G4727" s="53"/>
    </row>
    <row r="4728">
      <c r="A4728" s="49">
        <v>44562.7636737037</v>
      </c>
      <c r="B4728" s="50">
        <v>44562.8886474884</v>
      </c>
      <c r="C4728" s="51">
        <v>1.007</v>
      </c>
      <c r="D4728" s="51">
        <v>63.0</v>
      </c>
      <c r="E4728" s="52" t="s">
        <v>25</v>
      </c>
      <c r="F4728" s="52" t="s">
        <v>26</v>
      </c>
      <c r="G4728" s="53"/>
    </row>
    <row r="4729">
      <c r="A4729" s="49">
        <v>44562.7740908912</v>
      </c>
      <c r="B4729" s="50">
        <v>44562.8990680208</v>
      </c>
      <c r="C4729" s="51">
        <v>1.007</v>
      </c>
      <c r="D4729" s="51">
        <v>63.0</v>
      </c>
      <c r="E4729" s="52" t="s">
        <v>25</v>
      </c>
      <c r="F4729" s="52" t="s">
        <v>26</v>
      </c>
      <c r="G4729" s="53"/>
    </row>
    <row r="4730">
      <c r="A4730" s="49">
        <v>44562.78452108796</v>
      </c>
      <c r="B4730" s="50">
        <v>44562.9094981828</v>
      </c>
      <c r="C4730" s="51">
        <v>1.007</v>
      </c>
      <c r="D4730" s="51">
        <v>63.0</v>
      </c>
      <c r="E4730" s="52" t="s">
        <v>25</v>
      </c>
      <c r="F4730" s="52" t="s">
        <v>26</v>
      </c>
      <c r="G4730" s="53"/>
    </row>
    <row r="4731">
      <c r="A4731" s="49">
        <v>44562.79493909722</v>
      </c>
      <c r="B4731" s="50">
        <v>44562.9199213194</v>
      </c>
      <c r="C4731" s="51">
        <v>1.007</v>
      </c>
      <c r="D4731" s="51">
        <v>63.0</v>
      </c>
      <c r="E4731" s="52" t="s">
        <v>25</v>
      </c>
      <c r="F4731" s="52" t="s">
        <v>26</v>
      </c>
      <c r="G4731" s="53"/>
    </row>
    <row r="4732">
      <c r="A4732" s="49">
        <v>44562.80537703704</v>
      </c>
      <c r="B4732" s="50">
        <v>44562.9303557291</v>
      </c>
      <c r="C4732" s="51">
        <v>1.007</v>
      </c>
      <c r="D4732" s="51">
        <v>63.0</v>
      </c>
      <c r="E4732" s="52" t="s">
        <v>25</v>
      </c>
      <c r="F4732" s="52" t="s">
        <v>26</v>
      </c>
      <c r="G4732" s="53"/>
    </row>
    <row r="4733">
      <c r="A4733" s="49">
        <v>44562.81580399306</v>
      </c>
      <c r="B4733" s="50">
        <v>44562.9407877662</v>
      </c>
      <c r="C4733" s="51">
        <v>1.007</v>
      </c>
      <c r="D4733" s="51">
        <v>63.0</v>
      </c>
      <c r="E4733" s="52" t="s">
        <v>25</v>
      </c>
      <c r="F4733" s="52" t="s">
        <v>26</v>
      </c>
      <c r="G4733" s="53"/>
    </row>
    <row r="4734">
      <c r="A4734" s="49">
        <v>44562.82623475694</v>
      </c>
      <c r="B4734" s="50">
        <v>44562.9512105555</v>
      </c>
      <c r="C4734" s="51">
        <v>1.007</v>
      </c>
      <c r="D4734" s="51">
        <v>63.0</v>
      </c>
      <c r="E4734" s="52" t="s">
        <v>25</v>
      </c>
      <c r="F4734" s="52" t="s">
        <v>26</v>
      </c>
      <c r="G4734" s="53"/>
    </row>
    <row r="4735">
      <c r="A4735" s="49">
        <v>44562.83665328704</v>
      </c>
      <c r="B4735" s="50">
        <v>44562.9616306481</v>
      </c>
      <c r="C4735" s="51">
        <v>1.007</v>
      </c>
      <c r="D4735" s="51">
        <v>63.0</v>
      </c>
      <c r="E4735" s="52" t="s">
        <v>25</v>
      </c>
      <c r="F4735" s="52" t="s">
        <v>26</v>
      </c>
      <c r="G4735" s="53"/>
    </row>
    <row r="4736">
      <c r="A4736" s="49">
        <v>44562.85750388889</v>
      </c>
      <c r="B4736" s="50">
        <v>44562.982473125</v>
      </c>
      <c r="C4736" s="51">
        <v>1.007</v>
      </c>
      <c r="D4736" s="51">
        <v>63.0</v>
      </c>
      <c r="E4736" s="52" t="s">
        <v>25</v>
      </c>
      <c r="F4736" s="52" t="s">
        <v>26</v>
      </c>
      <c r="G4736" s="53"/>
    </row>
    <row r="4737">
      <c r="A4737" s="49">
        <v>44562.867915358795</v>
      </c>
      <c r="B4737" s="50">
        <v>44562.9928934606</v>
      </c>
      <c r="C4737" s="51">
        <v>1.007</v>
      </c>
      <c r="D4737" s="51">
        <v>63.0</v>
      </c>
      <c r="E4737" s="52" t="s">
        <v>25</v>
      </c>
      <c r="F4737" s="52" t="s">
        <v>26</v>
      </c>
      <c r="G4737" s="53"/>
    </row>
    <row r="4738">
      <c r="A4738" s="49">
        <v>44562.87835372685</v>
      </c>
      <c r="B4738" s="50">
        <v>44563.0033259259</v>
      </c>
      <c r="C4738" s="51">
        <v>1.007</v>
      </c>
      <c r="D4738" s="51">
        <v>63.0</v>
      </c>
      <c r="E4738" s="52" t="s">
        <v>25</v>
      </c>
      <c r="F4738" s="52" t="s">
        <v>26</v>
      </c>
      <c r="G4738" s="53"/>
    </row>
    <row r="4739">
      <c r="A4739" s="49">
        <v>44562.88877233796</v>
      </c>
      <c r="B4739" s="50">
        <v>44563.0137461111</v>
      </c>
      <c r="C4739" s="51">
        <v>1.007</v>
      </c>
      <c r="D4739" s="51">
        <v>63.0</v>
      </c>
      <c r="E4739" s="52" t="s">
        <v>25</v>
      </c>
      <c r="F4739" s="52" t="s">
        <v>26</v>
      </c>
      <c r="G4739" s="53"/>
    </row>
    <row r="4740">
      <c r="A4740" s="49">
        <v>44562.899188993055</v>
      </c>
      <c r="B4740" s="50">
        <v>44563.0241649189</v>
      </c>
      <c r="C4740" s="51">
        <v>1.007</v>
      </c>
      <c r="D4740" s="51">
        <v>63.0</v>
      </c>
      <c r="E4740" s="52" t="s">
        <v>25</v>
      </c>
      <c r="F4740" s="52" t="s">
        <v>26</v>
      </c>
      <c r="G4740" s="53"/>
    </row>
    <row r="4741">
      <c r="A4741" s="49">
        <v>44562.909607141206</v>
      </c>
      <c r="B4741" s="50">
        <v>44563.0345856481</v>
      </c>
      <c r="C4741" s="51">
        <v>1.007</v>
      </c>
      <c r="D4741" s="51">
        <v>63.0</v>
      </c>
      <c r="E4741" s="52" t="s">
        <v>25</v>
      </c>
      <c r="F4741" s="52" t="s">
        <v>26</v>
      </c>
      <c r="G4741" s="53"/>
    </row>
    <row r="4742">
      <c r="A4742" s="49">
        <v>44562.92002881944</v>
      </c>
      <c r="B4742" s="50">
        <v>44563.0450064004</v>
      </c>
      <c r="C4742" s="51">
        <v>1.007</v>
      </c>
      <c r="D4742" s="51">
        <v>63.0</v>
      </c>
      <c r="E4742" s="52" t="s">
        <v>25</v>
      </c>
      <c r="F4742" s="52" t="s">
        <v>26</v>
      </c>
      <c r="G4742" s="53"/>
    </row>
    <row r="4743">
      <c r="A4743" s="49">
        <v>44562.93044552083</v>
      </c>
      <c r="B4743" s="50">
        <v>44563.0554274189</v>
      </c>
      <c r="C4743" s="51">
        <v>1.007</v>
      </c>
      <c r="D4743" s="51">
        <v>63.0</v>
      </c>
      <c r="E4743" s="52" t="s">
        <v>25</v>
      </c>
      <c r="F4743" s="52" t="s">
        <v>26</v>
      </c>
      <c r="G4743" s="53"/>
    </row>
    <row r="4744">
      <c r="A4744" s="49">
        <v>44562.94087824074</v>
      </c>
      <c r="B4744" s="50">
        <v>44563.0658490509</v>
      </c>
      <c r="C4744" s="51">
        <v>1.007</v>
      </c>
      <c r="D4744" s="51">
        <v>63.0</v>
      </c>
      <c r="E4744" s="52" t="s">
        <v>25</v>
      </c>
      <c r="F4744" s="52" t="s">
        <v>26</v>
      </c>
      <c r="G4744" s="53"/>
    </row>
    <row r="4745">
      <c r="A4745" s="49">
        <v>44562.95129251157</v>
      </c>
      <c r="B4745" s="50">
        <v>44563.0762707986</v>
      </c>
      <c r="C4745" s="51">
        <v>1.007</v>
      </c>
      <c r="D4745" s="51">
        <v>63.0</v>
      </c>
      <c r="E4745" s="52" t="s">
        <v>25</v>
      </c>
      <c r="F4745" s="52" t="s">
        <v>26</v>
      </c>
      <c r="G4745" s="53"/>
    </row>
    <row r="4746">
      <c r="A4746" s="49">
        <v>44562.9617330787</v>
      </c>
      <c r="B4746" s="50">
        <v>44563.086703912</v>
      </c>
      <c r="C4746" s="51">
        <v>1.007</v>
      </c>
      <c r="D4746" s="51">
        <v>63.0</v>
      </c>
      <c r="E4746" s="52" t="s">
        <v>25</v>
      </c>
      <c r="F4746" s="52" t="s">
        <v>26</v>
      </c>
      <c r="G4746" s="53"/>
    </row>
    <row r="4747">
      <c r="A4747" s="49">
        <v>44562.97215181713</v>
      </c>
      <c r="B4747" s="50">
        <v>44563.097125162</v>
      </c>
      <c r="C4747" s="51">
        <v>1.007</v>
      </c>
      <c r="D4747" s="51">
        <v>63.0</v>
      </c>
      <c r="E4747" s="52" t="s">
        <v>25</v>
      </c>
      <c r="F4747" s="52" t="s">
        <v>26</v>
      </c>
      <c r="G4747" s="53"/>
    </row>
    <row r="4748">
      <c r="A4748" s="49">
        <v>44562.982573472225</v>
      </c>
      <c r="B4748" s="50">
        <v>44563.1075464351</v>
      </c>
      <c r="C4748" s="51">
        <v>1.007</v>
      </c>
      <c r="D4748" s="51">
        <v>63.0</v>
      </c>
      <c r="E4748" s="52" t="s">
        <v>25</v>
      </c>
      <c r="F4748" s="52" t="s">
        <v>26</v>
      </c>
      <c r="G4748" s="53"/>
    </row>
    <row r="4749">
      <c r="A4749" s="49">
        <v>44562.993007638885</v>
      </c>
      <c r="B4749" s="50">
        <v>44563.1179896759</v>
      </c>
      <c r="C4749" s="51">
        <v>1.007</v>
      </c>
      <c r="D4749" s="51">
        <v>63.0</v>
      </c>
      <c r="E4749" s="52" t="s">
        <v>25</v>
      </c>
      <c r="F4749" s="52" t="s">
        <v>26</v>
      </c>
      <c r="G4749" s="53"/>
    </row>
    <row r="4750">
      <c r="A4750" s="49">
        <v>44563.00343520833</v>
      </c>
      <c r="B4750" s="50">
        <v>44563.128411574</v>
      </c>
      <c r="C4750" s="51">
        <v>1.007</v>
      </c>
      <c r="D4750" s="51">
        <v>63.0</v>
      </c>
      <c r="E4750" s="52" t="s">
        <v>25</v>
      </c>
      <c r="F4750" s="52" t="s">
        <v>26</v>
      </c>
      <c r="G4750" s="53"/>
    </row>
    <row r="4751">
      <c r="A4751" s="49">
        <v>44563.01385894676</v>
      </c>
      <c r="B4751" s="50">
        <v>44563.1388309837</v>
      </c>
      <c r="C4751" s="51">
        <v>1.007</v>
      </c>
      <c r="D4751" s="51">
        <v>63.0</v>
      </c>
      <c r="E4751" s="52" t="s">
        <v>25</v>
      </c>
      <c r="F4751" s="52" t="s">
        <v>26</v>
      </c>
      <c r="G4751" s="53"/>
    </row>
    <row r="4752">
      <c r="A4752" s="49">
        <v>44563.02427479166</v>
      </c>
      <c r="B4752" s="50">
        <v>44563.1492508796</v>
      </c>
      <c r="C4752" s="51">
        <v>1.007</v>
      </c>
      <c r="D4752" s="51">
        <v>63.0</v>
      </c>
      <c r="E4752" s="52" t="s">
        <v>25</v>
      </c>
      <c r="F4752" s="52" t="s">
        <v>26</v>
      </c>
      <c r="G4752" s="53"/>
    </row>
    <row r="4753">
      <c r="A4753" s="49">
        <v>44563.03469694444</v>
      </c>
      <c r="B4753" s="50">
        <v>44563.1596713657</v>
      </c>
      <c r="C4753" s="51">
        <v>1.007</v>
      </c>
      <c r="D4753" s="51">
        <v>63.0</v>
      </c>
      <c r="E4753" s="52" t="s">
        <v>25</v>
      </c>
      <c r="F4753" s="52" t="s">
        <v>26</v>
      </c>
      <c r="G4753" s="53"/>
    </row>
    <row r="4754">
      <c r="A4754" s="49">
        <v>44563.04512335648</v>
      </c>
      <c r="B4754" s="50">
        <v>44563.1700926273</v>
      </c>
      <c r="C4754" s="51">
        <v>1.007</v>
      </c>
      <c r="D4754" s="51">
        <v>63.0</v>
      </c>
      <c r="E4754" s="52" t="s">
        <v>25</v>
      </c>
      <c r="F4754" s="52" t="s">
        <v>26</v>
      </c>
      <c r="G4754" s="53"/>
    </row>
    <row r="4755">
      <c r="A4755" s="49">
        <v>44563.05554825232</v>
      </c>
      <c r="B4755" s="50">
        <v>44563.1805237962</v>
      </c>
      <c r="C4755" s="51">
        <v>1.007</v>
      </c>
      <c r="D4755" s="51">
        <v>63.0</v>
      </c>
      <c r="E4755" s="52" t="s">
        <v>25</v>
      </c>
      <c r="F4755" s="52" t="s">
        <v>26</v>
      </c>
      <c r="G4755" s="53"/>
    </row>
    <row r="4756">
      <c r="A4756" s="49">
        <v>44563.06597768518</v>
      </c>
      <c r="B4756" s="50">
        <v>44563.1909461921</v>
      </c>
      <c r="C4756" s="51">
        <v>1.007</v>
      </c>
      <c r="D4756" s="51">
        <v>63.0</v>
      </c>
      <c r="E4756" s="52" t="s">
        <v>25</v>
      </c>
      <c r="F4756" s="52" t="s">
        <v>26</v>
      </c>
      <c r="G4756" s="53"/>
    </row>
    <row r="4757">
      <c r="A4757" s="49">
        <v>44563.07639840277</v>
      </c>
      <c r="B4757" s="50">
        <v>44563.2013678472</v>
      </c>
      <c r="C4757" s="51">
        <v>1.007</v>
      </c>
      <c r="D4757" s="51">
        <v>63.0</v>
      </c>
      <c r="E4757" s="52" t="s">
        <v>25</v>
      </c>
      <c r="F4757" s="52" t="s">
        <v>26</v>
      </c>
      <c r="G4757" s="53"/>
    </row>
    <row r="4758">
      <c r="A4758" s="49">
        <v>44563.08680954861</v>
      </c>
      <c r="B4758" s="50">
        <v>44563.2117875347</v>
      </c>
      <c r="C4758" s="51">
        <v>1.007</v>
      </c>
      <c r="D4758" s="51">
        <v>63.0</v>
      </c>
      <c r="E4758" s="52" t="s">
        <v>25</v>
      </c>
      <c r="F4758" s="52" t="s">
        <v>26</v>
      </c>
      <c r="G4758" s="53"/>
    </row>
    <row r="4759">
      <c r="A4759" s="49">
        <v>44563.09723424769</v>
      </c>
      <c r="B4759" s="50">
        <v>44563.2222076157</v>
      </c>
      <c r="C4759" s="51">
        <v>1.007</v>
      </c>
      <c r="D4759" s="51">
        <v>63.0</v>
      </c>
      <c r="E4759" s="52" t="s">
        <v>25</v>
      </c>
      <c r="F4759" s="52" t="s">
        <v>26</v>
      </c>
      <c r="G4759" s="53"/>
    </row>
    <row r="4760">
      <c r="A4760" s="49">
        <v>44563.10765189815</v>
      </c>
      <c r="B4760" s="50">
        <v>44563.2326291319</v>
      </c>
      <c r="C4760" s="51">
        <v>1.007</v>
      </c>
      <c r="D4760" s="51">
        <v>63.0</v>
      </c>
      <c r="E4760" s="52" t="s">
        <v>25</v>
      </c>
      <c r="F4760" s="52" t="s">
        <v>26</v>
      </c>
      <c r="G4760" s="53"/>
    </row>
    <row r="4761">
      <c r="A4761" s="49">
        <v>44563.11807833333</v>
      </c>
      <c r="B4761" s="50">
        <v>44563.2430495023</v>
      </c>
      <c r="C4761" s="51">
        <v>1.007</v>
      </c>
      <c r="D4761" s="51">
        <v>63.0</v>
      </c>
      <c r="E4761" s="52" t="s">
        <v>25</v>
      </c>
      <c r="F4761" s="52" t="s">
        <v>26</v>
      </c>
      <c r="G4761" s="53"/>
    </row>
    <row r="4762">
      <c r="A4762" s="49">
        <v>44563.12849628473</v>
      </c>
      <c r="B4762" s="50">
        <v>44563.2534718055</v>
      </c>
      <c r="C4762" s="51">
        <v>1.007</v>
      </c>
      <c r="D4762" s="51">
        <v>63.0</v>
      </c>
      <c r="E4762" s="52" t="s">
        <v>25</v>
      </c>
      <c r="F4762" s="52" t="s">
        <v>26</v>
      </c>
      <c r="G4762" s="53"/>
    </row>
    <row r="4763">
      <c r="A4763" s="49">
        <v>44563.13891962963</v>
      </c>
      <c r="B4763" s="50">
        <v>44563.2638941203</v>
      </c>
      <c r="C4763" s="51">
        <v>1.007</v>
      </c>
      <c r="D4763" s="51">
        <v>63.0</v>
      </c>
      <c r="E4763" s="52" t="s">
        <v>25</v>
      </c>
      <c r="F4763" s="52" t="s">
        <v>26</v>
      </c>
      <c r="G4763" s="53"/>
    </row>
    <row r="4764">
      <c r="A4764" s="49">
        <v>44563.14934375</v>
      </c>
      <c r="B4764" s="50">
        <v>44563.2743161574</v>
      </c>
      <c r="C4764" s="51">
        <v>1.007</v>
      </c>
      <c r="D4764" s="51">
        <v>63.0</v>
      </c>
      <c r="E4764" s="52" t="s">
        <v>25</v>
      </c>
      <c r="F4764" s="52" t="s">
        <v>26</v>
      </c>
      <c r="G4764" s="53"/>
    </row>
    <row r="4765">
      <c r="A4765" s="49">
        <v>44563.15976144676</v>
      </c>
      <c r="B4765" s="50">
        <v>44563.284736655</v>
      </c>
      <c r="C4765" s="51">
        <v>1.007</v>
      </c>
      <c r="D4765" s="51">
        <v>63.0</v>
      </c>
      <c r="E4765" s="52" t="s">
        <v>25</v>
      </c>
      <c r="F4765" s="52" t="s">
        <v>26</v>
      </c>
      <c r="G4765" s="53"/>
    </row>
    <row r="4766">
      <c r="A4766" s="49">
        <v>44563.17018540509</v>
      </c>
      <c r="B4766" s="50">
        <v>44563.2951577546</v>
      </c>
      <c r="C4766" s="51">
        <v>1.007</v>
      </c>
      <c r="D4766" s="51">
        <v>63.0</v>
      </c>
      <c r="E4766" s="52" t="s">
        <v>25</v>
      </c>
      <c r="F4766" s="52" t="s">
        <v>26</v>
      </c>
      <c r="G4766" s="53"/>
    </row>
    <row r="4767">
      <c r="A4767" s="49">
        <v>44563.18059988426</v>
      </c>
      <c r="B4767" s="50">
        <v>44563.3055791666</v>
      </c>
      <c r="C4767" s="51">
        <v>1.007</v>
      </c>
      <c r="D4767" s="51">
        <v>63.0</v>
      </c>
      <c r="E4767" s="52" t="s">
        <v>25</v>
      </c>
      <c r="F4767" s="52" t="s">
        <v>26</v>
      </c>
      <c r="G4767" s="53"/>
    </row>
    <row r="4768">
      <c r="A4768" s="49">
        <v>44563.19102561343</v>
      </c>
      <c r="B4768" s="50">
        <v>44563.3160004976</v>
      </c>
      <c r="C4768" s="51">
        <v>1.007</v>
      </c>
      <c r="D4768" s="51">
        <v>63.0</v>
      </c>
      <c r="E4768" s="52" t="s">
        <v>25</v>
      </c>
      <c r="F4768" s="52" t="s">
        <v>26</v>
      </c>
      <c r="G4768" s="53"/>
    </row>
    <row r="4769">
      <c r="A4769" s="49">
        <v>44563.201449016204</v>
      </c>
      <c r="B4769" s="50">
        <v>44563.3264214467</v>
      </c>
      <c r="C4769" s="51">
        <v>1.007</v>
      </c>
      <c r="D4769" s="51">
        <v>63.0</v>
      </c>
      <c r="E4769" s="52" t="s">
        <v>25</v>
      </c>
      <c r="F4769" s="52" t="s">
        <v>26</v>
      </c>
      <c r="G4769" s="53"/>
    </row>
    <row r="4770">
      <c r="A4770" s="49">
        <v>44563.211863668985</v>
      </c>
      <c r="B4770" s="50">
        <v>44563.3368420254</v>
      </c>
      <c r="C4770" s="51">
        <v>1.007</v>
      </c>
      <c r="D4770" s="51">
        <v>63.0</v>
      </c>
      <c r="E4770" s="52" t="s">
        <v>25</v>
      </c>
      <c r="F4770" s="52" t="s">
        <v>26</v>
      </c>
      <c r="G4770" s="53"/>
    </row>
    <row r="4771">
      <c r="A4771" s="49">
        <v>44563.22228315972</v>
      </c>
      <c r="B4771" s="50">
        <v>44563.3472624074</v>
      </c>
      <c r="C4771" s="51">
        <v>1.007</v>
      </c>
      <c r="D4771" s="51">
        <v>63.0</v>
      </c>
      <c r="E4771" s="52" t="s">
        <v>25</v>
      </c>
      <c r="F4771" s="52" t="s">
        <v>26</v>
      </c>
      <c r="G4771" s="53"/>
    </row>
    <row r="4772">
      <c r="A4772" s="49">
        <v>44563.23270778936</v>
      </c>
      <c r="B4772" s="50">
        <v>44563.3576865625</v>
      </c>
      <c r="C4772" s="51">
        <v>1.006</v>
      </c>
      <c r="D4772" s="51">
        <v>63.0</v>
      </c>
      <c r="E4772" s="52" t="s">
        <v>25</v>
      </c>
      <c r="F4772" s="52" t="s">
        <v>26</v>
      </c>
      <c r="G4772" s="53"/>
    </row>
    <row r="4773">
      <c r="A4773" s="49">
        <v>44563.24313097222</v>
      </c>
      <c r="B4773" s="50">
        <v>44563.3681085995</v>
      </c>
      <c r="C4773" s="51">
        <v>1.007</v>
      </c>
      <c r="D4773" s="51">
        <v>63.0</v>
      </c>
      <c r="E4773" s="52" t="s">
        <v>25</v>
      </c>
      <c r="F4773" s="52" t="s">
        <v>26</v>
      </c>
      <c r="G4773" s="53"/>
    </row>
    <row r="4774">
      <c r="A4774" s="49">
        <v>44563.25355599537</v>
      </c>
      <c r="B4774" s="50">
        <v>44563.3785293865</v>
      </c>
      <c r="C4774" s="51">
        <v>1.007</v>
      </c>
      <c r="D4774" s="51">
        <v>63.0</v>
      </c>
      <c r="E4774" s="52" t="s">
        <v>25</v>
      </c>
      <c r="F4774" s="52" t="s">
        <v>26</v>
      </c>
      <c r="G4774" s="53"/>
    </row>
    <row r="4775">
      <c r="A4775" s="49">
        <v>44563.26397622685</v>
      </c>
      <c r="B4775" s="50">
        <v>44563.3889499305</v>
      </c>
      <c r="C4775" s="51">
        <v>1.007</v>
      </c>
      <c r="D4775" s="51">
        <v>63.0</v>
      </c>
      <c r="E4775" s="52" t="s">
        <v>25</v>
      </c>
      <c r="F4775" s="52" t="s">
        <v>26</v>
      </c>
      <c r="G4775" s="53"/>
    </row>
    <row r="4776">
      <c r="A4776" s="49">
        <v>44563.27439237268</v>
      </c>
      <c r="B4776" s="50">
        <v>44563.3993718634</v>
      </c>
      <c r="C4776" s="51">
        <v>1.007</v>
      </c>
      <c r="D4776" s="51">
        <v>63.0</v>
      </c>
      <c r="E4776" s="52" t="s">
        <v>25</v>
      </c>
      <c r="F4776" s="52" t="s">
        <v>26</v>
      </c>
      <c r="G4776" s="53"/>
    </row>
    <row r="4777">
      <c r="A4777" s="49">
        <v>44563.284811527774</v>
      </c>
      <c r="B4777" s="50">
        <v>44563.40979228</v>
      </c>
      <c r="C4777" s="51">
        <v>1.007</v>
      </c>
      <c r="D4777" s="51">
        <v>63.0</v>
      </c>
      <c r="E4777" s="52" t="s">
        <v>25</v>
      </c>
      <c r="F4777" s="52" t="s">
        <v>26</v>
      </c>
      <c r="G4777" s="53"/>
    </row>
    <row r="4778">
      <c r="A4778" s="49">
        <v>44563.29524335648</v>
      </c>
      <c r="B4778" s="50">
        <v>44563.4202242245</v>
      </c>
      <c r="C4778" s="51">
        <v>1.007</v>
      </c>
      <c r="D4778" s="51">
        <v>63.0</v>
      </c>
      <c r="E4778" s="52" t="s">
        <v>25</v>
      </c>
      <c r="F4778" s="52" t="s">
        <v>26</v>
      </c>
      <c r="G4778" s="53"/>
    </row>
    <row r="4779">
      <c r="A4779" s="49">
        <v>44563.305676041666</v>
      </c>
      <c r="B4779" s="50">
        <v>44563.4306436805</v>
      </c>
      <c r="C4779" s="51">
        <v>1.007</v>
      </c>
      <c r="D4779" s="51">
        <v>63.0</v>
      </c>
      <c r="E4779" s="52" t="s">
        <v>25</v>
      </c>
      <c r="F4779" s="52" t="s">
        <v>26</v>
      </c>
      <c r="G4779" s="53"/>
    </row>
    <row r="4780">
      <c r="A4780" s="49">
        <v>44563.31609270834</v>
      </c>
      <c r="B4780" s="50">
        <v>44563.4410671643</v>
      </c>
      <c r="C4780" s="51">
        <v>1.007</v>
      </c>
      <c r="D4780" s="51">
        <v>63.0</v>
      </c>
      <c r="E4780" s="52" t="s">
        <v>25</v>
      </c>
      <c r="F4780" s="52" t="s">
        <v>26</v>
      </c>
      <c r="G4780" s="53"/>
    </row>
    <row r="4781">
      <c r="A4781" s="49">
        <v>44563.32652766204</v>
      </c>
      <c r="B4781" s="50">
        <v>44563.4514997569</v>
      </c>
      <c r="C4781" s="51">
        <v>1.007</v>
      </c>
      <c r="D4781" s="51">
        <v>63.0</v>
      </c>
      <c r="E4781" s="52" t="s">
        <v>25</v>
      </c>
      <c r="F4781" s="52" t="s">
        <v>26</v>
      </c>
      <c r="G4781" s="53"/>
    </row>
    <row r="4782">
      <c r="A4782" s="49">
        <v>44563.33695712963</v>
      </c>
      <c r="B4782" s="50">
        <v>44563.46192103</v>
      </c>
      <c r="C4782" s="51">
        <v>1.007</v>
      </c>
      <c r="D4782" s="51">
        <v>63.0</v>
      </c>
      <c r="E4782" s="52" t="s">
        <v>25</v>
      </c>
      <c r="F4782" s="52" t="s">
        <v>26</v>
      </c>
      <c r="G4782" s="53"/>
    </row>
    <row r="4783">
      <c r="A4783" s="49">
        <v>44563.3473682176</v>
      </c>
      <c r="B4783" s="50">
        <v>44563.4723427314</v>
      </c>
      <c r="C4783" s="51">
        <v>1.007</v>
      </c>
      <c r="D4783" s="51">
        <v>63.0</v>
      </c>
      <c r="E4783" s="52" t="s">
        <v>25</v>
      </c>
      <c r="F4783" s="52" t="s">
        <v>26</v>
      </c>
      <c r="G4783" s="53"/>
    </row>
    <row r="4784">
      <c r="A4784" s="49">
        <v>44563.35778600695</v>
      </c>
      <c r="B4784" s="50">
        <v>44563.482764456</v>
      </c>
      <c r="C4784" s="51">
        <v>1.007</v>
      </c>
      <c r="D4784" s="51">
        <v>63.0</v>
      </c>
      <c r="E4784" s="52" t="s">
        <v>25</v>
      </c>
      <c r="F4784" s="52" t="s">
        <v>26</v>
      </c>
      <c r="G4784" s="53"/>
    </row>
    <row r="4785">
      <c r="A4785" s="49">
        <v>44563.36821864583</v>
      </c>
      <c r="B4785" s="50">
        <v>44563.493196574</v>
      </c>
      <c r="C4785" s="51">
        <v>1.007</v>
      </c>
      <c r="D4785" s="51">
        <v>63.0</v>
      </c>
      <c r="E4785" s="52" t="s">
        <v>25</v>
      </c>
      <c r="F4785" s="52" t="s">
        <v>26</v>
      </c>
      <c r="G4785" s="53"/>
    </row>
    <row r="4786">
      <c r="A4786" s="49">
        <v>44563.37864372686</v>
      </c>
      <c r="B4786" s="50">
        <v>44563.5036185416</v>
      </c>
      <c r="C4786" s="51">
        <v>1.007</v>
      </c>
      <c r="D4786" s="51">
        <v>63.0</v>
      </c>
      <c r="E4786" s="52" t="s">
        <v>25</v>
      </c>
      <c r="F4786" s="52" t="s">
        <v>26</v>
      </c>
      <c r="G4786" s="53"/>
    </row>
    <row r="4787">
      <c r="A4787" s="49">
        <v>44563.38905438657</v>
      </c>
      <c r="B4787" s="50">
        <v>44563.514038912</v>
      </c>
      <c r="C4787" s="51">
        <v>1.007</v>
      </c>
      <c r="D4787" s="51">
        <v>63.0</v>
      </c>
      <c r="E4787" s="52" t="s">
        <v>25</v>
      </c>
      <c r="F4787" s="52" t="s">
        <v>26</v>
      </c>
      <c r="G4787" s="53"/>
    </row>
    <row r="4788">
      <c r="A4788" s="49">
        <v>44563.399483009256</v>
      </c>
      <c r="B4788" s="50">
        <v>44563.5244615856</v>
      </c>
      <c r="C4788" s="51">
        <v>1.007</v>
      </c>
      <c r="D4788" s="51">
        <v>63.0</v>
      </c>
      <c r="E4788" s="52" t="s">
        <v>25</v>
      </c>
      <c r="F4788" s="52" t="s">
        <v>26</v>
      </c>
      <c r="G4788" s="53"/>
    </row>
    <row r="4789">
      <c r="A4789" s="49">
        <v>44563.409905821754</v>
      </c>
      <c r="B4789" s="50">
        <v>44563.534880949</v>
      </c>
      <c r="C4789" s="51">
        <v>1.007</v>
      </c>
      <c r="D4789" s="51">
        <v>63.0</v>
      </c>
      <c r="E4789" s="52" t="s">
        <v>25</v>
      </c>
      <c r="F4789" s="52" t="s">
        <v>26</v>
      </c>
      <c r="G4789" s="53"/>
    </row>
    <row r="4790">
      <c r="A4790" s="49">
        <v>44563.42032304398</v>
      </c>
      <c r="B4790" s="50">
        <v>44563.5453032754</v>
      </c>
      <c r="C4790" s="51">
        <v>1.007</v>
      </c>
      <c r="D4790" s="51">
        <v>63.0</v>
      </c>
      <c r="E4790" s="52" t="s">
        <v>25</v>
      </c>
      <c r="F4790" s="52" t="s">
        <v>26</v>
      </c>
      <c r="G4790" s="53"/>
    </row>
    <row r="4791">
      <c r="A4791" s="49">
        <v>44563.43075109954</v>
      </c>
      <c r="B4791" s="50">
        <v>44563.5557242824</v>
      </c>
      <c r="C4791" s="51">
        <v>1.007</v>
      </c>
      <c r="D4791" s="51">
        <v>63.0</v>
      </c>
      <c r="E4791" s="52" t="s">
        <v>25</v>
      </c>
      <c r="F4791" s="52" t="s">
        <v>26</v>
      </c>
      <c r="G4791" s="53"/>
    </row>
    <row r="4792">
      <c r="A4792" s="49">
        <v>44563.441183194445</v>
      </c>
      <c r="B4792" s="50">
        <v>44563.5661592245</v>
      </c>
      <c r="C4792" s="51">
        <v>1.007</v>
      </c>
      <c r="D4792" s="51">
        <v>63.0</v>
      </c>
      <c r="E4792" s="52" t="s">
        <v>25</v>
      </c>
      <c r="F4792" s="52" t="s">
        <v>26</v>
      </c>
      <c r="G4792" s="53"/>
    </row>
    <row r="4793">
      <c r="A4793" s="49">
        <v>44563.45160054398</v>
      </c>
      <c r="B4793" s="50">
        <v>44563.5765801041</v>
      </c>
      <c r="C4793" s="51">
        <v>1.007</v>
      </c>
      <c r="D4793" s="51">
        <v>63.0</v>
      </c>
      <c r="E4793" s="52" t="s">
        <v>25</v>
      </c>
      <c r="F4793" s="52" t="s">
        <v>26</v>
      </c>
      <c r="G4793" s="53"/>
    </row>
    <row r="4794">
      <c r="A4794" s="49">
        <v>44563.46202046296</v>
      </c>
      <c r="B4794" s="50">
        <v>44563.5870013657</v>
      </c>
      <c r="C4794" s="51">
        <v>1.007</v>
      </c>
      <c r="D4794" s="51">
        <v>63.0</v>
      </c>
      <c r="E4794" s="52" t="s">
        <v>25</v>
      </c>
      <c r="F4794" s="52" t="s">
        <v>26</v>
      </c>
      <c r="G4794" s="53"/>
    </row>
    <row r="4795">
      <c r="A4795" s="49">
        <v>44563.47244728009</v>
      </c>
      <c r="B4795" s="50">
        <v>44563.5974238425</v>
      </c>
      <c r="C4795" s="51">
        <v>1.007</v>
      </c>
      <c r="D4795" s="51">
        <v>63.0</v>
      </c>
      <c r="E4795" s="52" t="s">
        <v>25</v>
      </c>
      <c r="F4795" s="52" t="s">
        <v>26</v>
      </c>
      <c r="G4795" s="53"/>
    </row>
    <row r="4796">
      <c r="A4796" s="49">
        <v>44563.482863425925</v>
      </c>
      <c r="B4796" s="50">
        <v>44563.6078455555</v>
      </c>
      <c r="C4796" s="51">
        <v>1.007</v>
      </c>
      <c r="D4796" s="51">
        <v>63.0</v>
      </c>
      <c r="E4796" s="52" t="s">
        <v>25</v>
      </c>
      <c r="F4796" s="52" t="s">
        <v>26</v>
      </c>
      <c r="G4796" s="53"/>
    </row>
    <row r="4797">
      <c r="A4797" s="49">
        <v>44563.493282083335</v>
      </c>
      <c r="B4797" s="50">
        <v>44563.6182674305</v>
      </c>
      <c r="C4797" s="51">
        <v>1.007</v>
      </c>
      <c r="D4797" s="51">
        <v>63.0</v>
      </c>
      <c r="E4797" s="52" t="s">
        <v>25</v>
      </c>
      <c r="F4797" s="52" t="s">
        <v>26</v>
      </c>
      <c r="G4797" s="53"/>
    </row>
    <row r="4798">
      <c r="A4798" s="49">
        <v>44563.503711909725</v>
      </c>
      <c r="B4798" s="50">
        <v>44563.6286870717</v>
      </c>
      <c r="C4798" s="51">
        <v>1.007</v>
      </c>
      <c r="D4798" s="51">
        <v>63.0</v>
      </c>
      <c r="E4798" s="52" t="s">
        <v>25</v>
      </c>
      <c r="F4798" s="52" t="s">
        <v>26</v>
      </c>
      <c r="G4798" s="53"/>
    </row>
    <row r="4799">
      <c r="A4799" s="49">
        <v>44563.51413099537</v>
      </c>
      <c r="B4799" s="50">
        <v>44563.639110324</v>
      </c>
      <c r="C4799" s="51">
        <v>1.007</v>
      </c>
      <c r="D4799" s="51">
        <v>63.0</v>
      </c>
      <c r="E4799" s="52" t="s">
        <v>25</v>
      </c>
      <c r="F4799" s="52" t="s">
        <v>26</v>
      </c>
      <c r="G4799" s="53"/>
    </row>
    <row r="4800">
      <c r="A4800" s="49">
        <v>44563.52456878472</v>
      </c>
      <c r="B4800" s="50">
        <v>44563.6495429513</v>
      </c>
      <c r="C4800" s="51">
        <v>1.006</v>
      </c>
      <c r="D4800" s="51">
        <v>63.0</v>
      </c>
      <c r="E4800" s="52" t="s">
        <v>25</v>
      </c>
      <c r="F4800" s="52" t="s">
        <v>26</v>
      </c>
      <c r="G4800" s="53"/>
    </row>
    <row r="4801">
      <c r="A4801" s="49">
        <v>44563.53499049769</v>
      </c>
      <c r="B4801" s="50">
        <v>44563.6599632986</v>
      </c>
      <c r="C4801" s="51">
        <v>1.007</v>
      </c>
      <c r="D4801" s="51">
        <v>63.0</v>
      </c>
      <c r="E4801" s="52" t="s">
        <v>25</v>
      </c>
      <c r="F4801" s="52" t="s">
        <v>26</v>
      </c>
      <c r="G4801" s="53"/>
    </row>
    <row r="4802">
      <c r="A4802" s="49">
        <v>44563.54540645833</v>
      </c>
      <c r="B4802" s="50">
        <v>44563.6703857175</v>
      </c>
      <c r="C4802" s="51">
        <v>1.007</v>
      </c>
      <c r="D4802" s="51">
        <v>63.0</v>
      </c>
      <c r="E4802" s="52" t="s">
        <v>25</v>
      </c>
      <c r="F4802" s="52" t="s">
        <v>26</v>
      </c>
      <c r="G4802" s="53"/>
    </row>
    <row r="4803">
      <c r="A4803" s="49">
        <v>44563.55582775463</v>
      </c>
      <c r="B4803" s="50">
        <v>44563.6808077893</v>
      </c>
      <c r="C4803" s="51">
        <v>1.007</v>
      </c>
      <c r="D4803" s="51">
        <v>63.0</v>
      </c>
      <c r="E4803" s="52" t="s">
        <v>25</v>
      </c>
      <c r="F4803" s="52" t="s">
        <v>26</v>
      </c>
      <c r="G4803" s="53"/>
    </row>
    <row r="4804">
      <c r="A4804" s="49">
        <v>44563.566255868056</v>
      </c>
      <c r="B4804" s="50">
        <v>44563.6912298263</v>
      </c>
      <c r="C4804" s="51">
        <v>1.007</v>
      </c>
      <c r="D4804" s="51">
        <v>63.0</v>
      </c>
      <c r="E4804" s="52" t="s">
        <v>25</v>
      </c>
      <c r="F4804" s="52" t="s">
        <v>26</v>
      </c>
      <c r="G4804" s="53"/>
    </row>
    <row r="4805">
      <c r="A4805" s="49">
        <v>44563.57667386574</v>
      </c>
      <c r="B4805" s="50">
        <v>44563.7016506597</v>
      </c>
      <c r="C4805" s="51">
        <v>1.007</v>
      </c>
      <c r="D4805" s="51">
        <v>63.0</v>
      </c>
      <c r="E4805" s="52" t="s">
        <v>25</v>
      </c>
      <c r="F4805" s="52" t="s">
        <v>26</v>
      </c>
      <c r="G4805" s="53"/>
    </row>
    <row r="4806">
      <c r="A4806" s="49">
        <v>44563.58709515046</v>
      </c>
      <c r="B4806" s="50">
        <v>44563.7120710532</v>
      </c>
      <c r="C4806" s="51">
        <v>1.007</v>
      </c>
      <c r="D4806" s="51">
        <v>63.0</v>
      </c>
      <c r="E4806" s="52" t="s">
        <v>25</v>
      </c>
      <c r="F4806" s="52" t="s">
        <v>26</v>
      </c>
      <c r="G4806" s="53"/>
    </row>
    <row r="4807">
      <c r="A4807" s="49">
        <v>44563.59751416667</v>
      </c>
      <c r="B4807" s="50">
        <v>44563.7224924537</v>
      </c>
      <c r="C4807" s="51">
        <v>1.006</v>
      </c>
      <c r="D4807" s="51">
        <v>63.0</v>
      </c>
      <c r="E4807" s="52" t="s">
        <v>25</v>
      </c>
      <c r="F4807" s="52" t="s">
        <v>26</v>
      </c>
      <c r="G4807" s="53"/>
    </row>
    <row r="4808">
      <c r="A4808" s="49">
        <v>44563.607963159724</v>
      </c>
      <c r="B4808" s="50">
        <v>44563.7329356481</v>
      </c>
      <c r="C4808" s="51">
        <v>1.006</v>
      </c>
      <c r="D4808" s="51">
        <v>63.0</v>
      </c>
      <c r="E4808" s="52" t="s">
        <v>25</v>
      </c>
      <c r="F4808" s="52" t="s">
        <v>26</v>
      </c>
      <c r="G4808" s="53"/>
    </row>
    <row r="4809">
      <c r="A4809" s="49">
        <v>44563.61837784722</v>
      </c>
      <c r="B4809" s="50">
        <v>44563.7433567824</v>
      </c>
      <c r="C4809" s="51">
        <v>1.007</v>
      </c>
      <c r="D4809" s="51">
        <v>63.0</v>
      </c>
      <c r="E4809" s="52" t="s">
        <v>25</v>
      </c>
      <c r="F4809" s="52" t="s">
        <v>26</v>
      </c>
      <c r="G4809" s="53"/>
    </row>
    <row r="4810">
      <c r="A4810" s="49">
        <v>44563.628807141205</v>
      </c>
      <c r="B4810" s="50">
        <v>44563.7537791666</v>
      </c>
      <c r="C4810" s="51">
        <v>1.007</v>
      </c>
      <c r="D4810" s="51">
        <v>63.0</v>
      </c>
      <c r="E4810" s="52" t="s">
        <v>25</v>
      </c>
      <c r="F4810" s="52" t="s">
        <v>26</v>
      </c>
      <c r="G4810" s="53"/>
    </row>
    <row r="4811">
      <c r="A4811" s="49">
        <v>44563.63922679398</v>
      </c>
      <c r="B4811" s="50">
        <v>44563.7642018634</v>
      </c>
      <c r="C4811" s="51">
        <v>1.006</v>
      </c>
      <c r="D4811" s="51">
        <v>63.0</v>
      </c>
      <c r="E4811" s="52" t="s">
        <v>25</v>
      </c>
      <c r="F4811" s="52" t="s">
        <v>26</v>
      </c>
      <c r="G4811" s="53"/>
    </row>
    <row r="4812">
      <c r="A4812" s="49">
        <v>44563.64964778935</v>
      </c>
      <c r="B4812" s="50">
        <v>44563.7746222916</v>
      </c>
      <c r="C4812" s="51">
        <v>1.006</v>
      </c>
      <c r="D4812" s="51">
        <v>63.0</v>
      </c>
      <c r="E4812" s="52" t="s">
        <v>25</v>
      </c>
      <c r="F4812" s="52" t="s">
        <v>26</v>
      </c>
      <c r="G4812" s="53"/>
    </row>
    <row r="4813">
      <c r="A4813" s="49">
        <v>44563.660062916664</v>
      </c>
      <c r="B4813" s="50">
        <v>44563.7850447222</v>
      </c>
      <c r="C4813" s="51">
        <v>1.006</v>
      </c>
      <c r="D4813" s="51">
        <v>63.0</v>
      </c>
      <c r="E4813" s="52" t="s">
        <v>25</v>
      </c>
      <c r="F4813" s="52" t="s">
        <v>26</v>
      </c>
      <c r="G4813" s="53"/>
    </row>
    <row r="4814">
      <c r="A4814" s="49">
        <v>44563.67049287037</v>
      </c>
      <c r="B4814" s="50">
        <v>44563.7954670717</v>
      </c>
      <c r="C4814" s="51">
        <v>1.007</v>
      </c>
      <c r="D4814" s="51">
        <v>63.0</v>
      </c>
      <c r="E4814" s="52" t="s">
        <v>25</v>
      </c>
      <c r="F4814" s="52" t="s">
        <v>26</v>
      </c>
      <c r="G4814" s="53"/>
    </row>
    <row r="4815">
      <c r="A4815" s="49">
        <v>44563.680909884264</v>
      </c>
      <c r="B4815" s="50">
        <v>44563.8058883796</v>
      </c>
      <c r="C4815" s="51">
        <v>1.007</v>
      </c>
      <c r="D4815" s="51">
        <v>63.0</v>
      </c>
      <c r="E4815" s="52" t="s">
        <v>25</v>
      </c>
      <c r="F4815" s="52" t="s">
        <v>26</v>
      </c>
      <c r="G4815" s="53"/>
    </row>
    <row r="4816">
      <c r="A4816" s="49">
        <v>44563.69133021991</v>
      </c>
      <c r="B4816" s="50">
        <v>44563.816309618</v>
      </c>
      <c r="C4816" s="51">
        <v>1.007</v>
      </c>
      <c r="D4816" s="51">
        <v>63.0</v>
      </c>
      <c r="E4816" s="52" t="s">
        <v>25</v>
      </c>
      <c r="F4816" s="52" t="s">
        <v>26</v>
      </c>
      <c r="G4816" s="53"/>
    </row>
    <row r="4817">
      <c r="A4817" s="49">
        <v>44563.70176473379</v>
      </c>
      <c r="B4817" s="50">
        <v>44563.8267409027</v>
      </c>
      <c r="C4817" s="51">
        <v>1.007</v>
      </c>
      <c r="D4817" s="51">
        <v>63.0</v>
      </c>
      <c r="E4817" s="52" t="s">
        <v>25</v>
      </c>
      <c r="F4817" s="52" t="s">
        <v>26</v>
      </c>
      <c r="G4817" s="53"/>
    </row>
    <row r="4818">
      <c r="A4818" s="49">
        <v>44563.712197870365</v>
      </c>
      <c r="B4818" s="50">
        <v>44563.8371726851</v>
      </c>
      <c r="C4818" s="51">
        <v>1.007</v>
      </c>
      <c r="D4818" s="51">
        <v>63.0</v>
      </c>
      <c r="E4818" s="52" t="s">
        <v>25</v>
      </c>
      <c r="F4818" s="52" t="s">
        <v>26</v>
      </c>
      <c r="G4818" s="53"/>
    </row>
    <row r="4819">
      <c r="A4819" s="49">
        <v>44563.72261707176</v>
      </c>
      <c r="B4819" s="50">
        <v>44563.8475948958</v>
      </c>
      <c r="C4819" s="51">
        <v>1.007</v>
      </c>
      <c r="D4819" s="51">
        <v>63.0</v>
      </c>
      <c r="E4819" s="52" t="s">
        <v>25</v>
      </c>
      <c r="F4819" s="52" t="s">
        <v>26</v>
      </c>
      <c r="G4819" s="53"/>
    </row>
    <row r="4820">
      <c r="A4820" s="49">
        <v>44563.73306612269</v>
      </c>
      <c r="B4820" s="50">
        <v>44563.8580376157</v>
      </c>
      <c r="C4820" s="51">
        <v>1.006</v>
      </c>
      <c r="D4820" s="51">
        <v>63.0</v>
      </c>
      <c r="E4820" s="52" t="s">
        <v>25</v>
      </c>
      <c r="F4820" s="52" t="s">
        <v>26</v>
      </c>
      <c r="G4820" s="53"/>
    </row>
    <row r="4821">
      <c r="A4821" s="49">
        <v>44563.74349097222</v>
      </c>
      <c r="B4821" s="50">
        <v>44563.8684703356</v>
      </c>
      <c r="C4821" s="51">
        <v>1.007</v>
      </c>
      <c r="D4821" s="51">
        <v>63.0</v>
      </c>
      <c r="E4821" s="52" t="s">
        <v>25</v>
      </c>
      <c r="F4821" s="52" t="s">
        <v>26</v>
      </c>
      <c r="G4821" s="53"/>
    </row>
    <row r="4822">
      <c r="A4822" s="49">
        <v>44563.75392986111</v>
      </c>
      <c r="B4822" s="50">
        <v>44563.8789047569</v>
      </c>
      <c r="C4822" s="51">
        <v>1.007</v>
      </c>
      <c r="D4822" s="51">
        <v>63.0</v>
      </c>
      <c r="E4822" s="52" t="s">
        <v>25</v>
      </c>
      <c r="F4822" s="52" t="s">
        <v>26</v>
      </c>
      <c r="G4822" s="53"/>
    </row>
    <row r="4823">
      <c r="A4823" s="49">
        <v>44563.76434967593</v>
      </c>
      <c r="B4823" s="50">
        <v>44563.8893247685</v>
      </c>
      <c r="C4823" s="51">
        <v>1.007</v>
      </c>
      <c r="D4823" s="51">
        <v>63.0</v>
      </c>
      <c r="E4823" s="52" t="s">
        <v>25</v>
      </c>
      <c r="F4823" s="52" t="s">
        <v>26</v>
      </c>
      <c r="G4823" s="53"/>
    </row>
    <row r="4824">
      <c r="A4824" s="49">
        <v>44563.7747628588</v>
      </c>
      <c r="B4824" s="50">
        <v>44563.899744618</v>
      </c>
      <c r="C4824" s="51">
        <v>1.007</v>
      </c>
      <c r="D4824" s="51">
        <v>63.0</v>
      </c>
      <c r="E4824" s="52" t="s">
        <v>25</v>
      </c>
      <c r="F4824" s="52" t="s">
        <v>26</v>
      </c>
      <c r="G4824" s="53"/>
    </row>
    <row r="4825">
      <c r="A4825" s="49">
        <v>44563.78519385417</v>
      </c>
      <c r="B4825" s="50">
        <v>44563.910177037</v>
      </c>
      <c r="C4825" s="51">
        <v>1.007</v>
      </c>
      <c r="D4825" s="51">
        <v>63.0</v>
      </c>
      <c r="E4825" s="52" t="s">
        <v>25</v>
      </c>
      <c r="F4825" s="52" t="s">
        <v>26</v>
      </c>
      <c r="G4825" s="53"/>
    </row>
    <row r="4826">
      <c r="A4826" s="49">
        <v>44563.79561487268</v>
      </c>
      <c r="B4826" s="50">
        <v>44563.9205977662</v>
      </c>
      <c r="C4826" s="51">
        <v>1.007</v>
      </c>
      <c r="D4826" s="51">
        <v>63.0</v>
      </c>
      <c r="E4826" s="52" t="s">
        <v>25</v>
      </c>
      <c r="F4826" s="52" t="s">
        <v>26</v>
      </c>
      <c r="G4826" s="53"/>
    </row>
    <row r="4827">
      <c r="A4827" s="49">
        <v>44563.80604603009</v>
      </c>
      <c r="B4827" s="50">
        <v>44563.9310203125</v>
      </c>
      <c r="C4827" s="51">
        <v>1.007</v>
      </c>
      <c r="D4827" s="51">
        <v>63.0</v>
      </c>
      <c r="E4827" s="52" t="s">
        <v>25</v>
      </c>
      <c r="F4827" s="52" t="s">
        <v>26</v>
      </c>
      <c r="G4827" s="53"/>
    </row>
    <row r="4828">
      <c r="A4828" s="49">
        <v>44563.81646862268</v>
      </c>
      <c r="B4828" s="50">
        <v>44563.94144228</v>
      </c>
      <c r="C4828" s="51">
        <v>1.007</v>
      </c>
      <c r="D4828" s="51">
        <v>63.0</v>
      </c>
      <c r="E4828" s="52" t="s">
        <v>25</v>
      </c>
      <c r="F4828" s="52" t="s">
        <v>26</v>
      </c>
      <c r="G4828" s="53"/>
    </row>
    <row r="4829">
      <c r="A4829" s="49">
        <v>44563.826900659726</v>
      </c>
      <c r="B4829" s="50">
        <v>44563.9518648148</v>
      </c>
      <c r="C4829" s="51">
        <v>1.007</v>
      </c>
      <c r="D4829" s="51">
        <v>63.0</v>
      </c>
      <c r="E4829" s="52" t="s">
        <v>25</v>
      </c>
      <c r="F4829" s="52" t="s">
        <v>26</v>
      </c>
      <c r="G4829" s="53"/>
    </row>
    <row r="4830">
      <c r="A4830" s="49">
        <v>44563.837305243054</v>
      </c>
      <c r="B4830" s="50">
        <v>44563.9622846759</v>
      </c>
      <c r="C4830" s="51">
        <v>1.006</v>
      </c>
      <c r="D4830" s="51">
        <v>63.0</v>
      </c>
      <c r="E4830" s="52" t="s">
        <v>25</v>
      </c>
      <c r="F4830" s="52" t="s">
        <v>26</v>
      </c>
      <c r="G4830" s="53"/>
    </row>
    <row r="4831">
      <c r="A4831" s="49">
        <v>44563.847723240746</v>
      </c>
      <c r="B4831" s="50">
        <v>44563.9727062962</v>
      </c>
      <c r="C4831" s="51">
        <v>1.006</v>
      </c>
      <c r="D4831" s="51">
        <v>63.0</v>
      </c>
      <c r="E4831" s="52" t="s">
        <v>25</v>
      </c>
      <c r="F4831" s="52" t="s">
        <v>26</v>
      </c>
      <c r="G4831" s="53"/>
    </row>
    <row r="4832">
      <c r="A4832" s="49">
        <v>44563.858148217594</v>
      </c>
      <c r="B4832" s="50">
        <v>44563.9831263194</v>
      </c>
      <c r="C4832" s="51">
        <v>1.006</v>
      </c>
      <c r="D4832" s="51">
        <v>63.0</v>
      </c>
      <c r="E4832" s="52" t="s">
        <v>25</v>
      </c>
      <c r="F4832" s="52" t="s">
        <v>26</v>
      </c>
      <c r="G4832" s="53"/>
    </row>
    <row r="4833">
      <c r="A4833" s="49">
        <v>44563.86856850694</v>
      </c>
      <c r="B4833" s="50">
        <v>44563.993547743</v>
      </c>
      <c r="C4833" s="51">
        <v>1.006</v>
      </c>
      <c r="D4833" s="51">
        <v>63.0</v>
      </c>
      <c r="E4833" s="52" t="s">
        <v>25</v>
      </c>
      <c r="F4833" s="52" t="s">
        <v>26</v>
      </c>
      <c r="G4833" s="53"/>
    </row>
    <row r="4834">
      <c r="A4834" s="49">
        <v>44563.87899641204</v>
      </c>
      <c r="B4834" s="50">
        <v>44564.0039792361</v>
      </c>
      <c r="C4834" s="51">
        <v>1.006</v>
      </c>
      <c r="D4834" s="51">
        <v>63.0</v>
      </c>
      <c r="E4834" s="52" t="s">
        <v>25</v>
      </c>
      <c r="F4834" s="52" t="s">
        <v>26</v>
      </c>
      <c r="G4834" s="53"/>
    </row>
    <row r="4835">
      <c r="A4835" s="49">
        <v>44563.88942607639</v>
      </c>
      <c r="B4835" s="50">
        <v>44564.014399155</v>
      </c>
      <c r="C4835" s="51">
        <v>1.006</v>
      </c>
      <c r="D4835" s="51">
        <v>63.0</v>
      </c>
      <c r="E4835" s="52" t="s">
        <v>25</v>
      </c>
      <c r="F4835" s="52" t="s">
        <v>26</v>
      </c>
      <c r="G4835" s="53"/>
    </row>
    <row r="4836">
      <c r="A4836" s="49">
        <v>44563.89984287037</v>
      </c>
      <c r="B4836" s="50">
        <v>44564.024821493</v>
      </c>
      <c r="C4836" s="51">
        <v>1.006</v>
      </c>
      <c r="D4836" s="51">
        <v>63.0</v>
      </c>
      <c r="E4836" s="52" t="s">
        <v>25</v>
      </c>
      <c r="F4836" s="52" t="s">
        <v>26</v>
      </c>
      <c r="G4836" s="53"/>
    </row>
    <row r="4837">
      <c r="A4837" s="49">
        <v>44563.910268576394</v>
      </c>
      <c r="B4837" s="50">
        <v>44564.0352526273</v>
      </c>
      <c r="C4837" s="51">
        <v>1.006</v>
      </c>
      <c r="D4837" s="51">
        <v>63.0</v>
      </c>
      <c r="E4837" s="52" t="s">
        <v>25</v>
      </c>
      <c r="F4837" s="52" t="s">
        <v>26</v>
      </c>
      <c r="G4837" s="53"/>
    </row>
    <row r="4838">
      <c r="A4838" s="49">
        <v>44563.920697256945</v>
      </c>
      <c r="B4838" s="50">
        <v>44564.0456729282</v>
      </c>
      <c r="C4838" s="51">
        <v>1.006</v>
      </c>
      <c r="D4838" s="51">
        <v>63.0</v>
      </c>
      <c r="E4838" s="52" t="s">
        <v>25</v>
      </c>
      <c r="F4838" s="52" t="s">
        <v>26</v>
      </c>
      <c r="G4838" s="53"/>
    </row>
    <row r="4839">
      <c r="A4839" s="49">
        <v>44563.94153487268</v>
      </c>
      <c r="B4839" s="50">
        <v>44564.0665150115</v>
      </c>
      <c r="C4839" s="51">
        <v>1.006</v>
      </c>
      <c r="D4839" s="51">
        <v>63.0</v>
      </c>
      <c r="E4839" s="52" t="s">
        <v>25</v>
      </c>
      <c r="F4839" s="52" t="s">
        <v>26</v>
      </c>
      <c r="G4839" s="53"/>
    </row>
    <row r="4840">
      <c r="A4840" s="49">
        <v>44563.951963009255</v>
      </c>
      <c r="B4840" s="50">
        <v>44564.0769471759</v>
      </c>
      <c r="C4840" s="51">
        <v>1.007</v>
      </c>
      <c r="D4840" s="51">
        <v>63.0</v>
      </c>
      <c r="E4840" s="52" t="s">
        <v>25</v>
      </c>
      <c r="F4840" s="52" t="s">
        <v>26</v>
      </c>
      <c r="G4840" s="53"/>
    </row>
    <row r="4841">
      <c r="A4841" s="49">
        <v>44563.96239008102</v>
      </c>
      <c r="B4841" s="50">
        <v>44564.0873675</v>
      </c>
      <c r="C4841" s="51">
        <v>1.006</v>
      </c>
      <c r="D4841" s="51">
        <v>63.0</v>
      </c>
      <c r="E4841" s="52" t="s">
        <v>25</v>
      </c>
      <c r="F4841" s="52" t="s">
        <v>26</v>
      </c>
      <c r="G4841" s="53"/>
    </row>
    <row r="4842">
      <c r="A4842" s="49">
        <v>44563.972813263885</v>
      </c>
      <c r="B4842" s="50">
        <v>44564.0977885763</v>
      </c>
      <c r="C4842" s="51">
        <v>1.007</v>
      </c>
      <c r="D4842" s="51">
        <v>63.0</v>
      </c>
      <c r="E4842" s="52" t="s">
        <v>25</v>
      </c>
      <c r="F4842" s="52" t="s">
        <v>26</v>
      </c>
      <c r="G4842" s="53"/>
    </row>
    <row r="4843">
      <c r="A4843" s="49">
        <v>44563.98324631945</v>
      </c>
      <c r="B4843" s="50">
        <v>44564.1082208101</v>
      </c>
      <c r="C4843" s="51">
        <v>1.006</v>
      </c>
      <c r="D4843" s="51">
        <v>63.0</v>
      </c>
      <c r="E4843" s="52" t="s">
        <v>25</v>
      </c>
      <c r="F4843" s="52" t="s">
        <v>26</v>
      </c>
      <c r="G4843" s="53"/>
    </row>
    <row r="4844">
      <c r="A4844" s="49">
        <v>44563.99366366898</v>
      </c>
      <c r="B4844" s="50">
        <v>44564.1186413541</v>
      </c>
      <c r="C4844" s="51">
        <v>1.006</v>
      </c>
      <c r="D4844" s="51">
        <v>63.0</v>
      </c>
      <c r="E4844" s="52" t="s">
        <v>25</v>
      </c>
      <c r="F4844" s="52" t="s">
        <v>26</v>
      </c>
      <c r="G4844" s="53"/>
    </row>
    <row r="4845">
      <c r="A4845" s="49">
        <v>44564.004083252315</v>
      </c>
      <c r="B4845" s="50">
        <v>44564.1290634953</v>
      </c>
      <c r="C4845" s="51">
        <v>1.006</v>
      </c>
      <c r="D4845" s="51">
        <v>63.0</v>
      </c>
      <c r="E4845" s="52" t="s">
        <v>25</v>
      </c>
      <c r="F4845" s="52" t="s">
        <v>26</v>
      </c>
      <c r="G4845" s="53"/>
    </row>
    <row r="4846">
      <c r="A4846" s="49">
        <v>44564.01451361111</v>
      </c>
      <c r="B4846" s="50">
        <v>44564.1394852893</v>
      </c>
      <c r="C4846" s="51">
        <v>1.006</v>
      </c>
      <c r="D4846" s="51">
        <v>63.0</v>
      </c>
      <c r="E4846" s="52" t="s">
        <v>25</v>
      </c>
      <c r="F4846" s="52" t="s">
        <v>26</v>
      </c>
      <c r="G4846" s="53"/>
    </row>
    <row r="4847">
      <c r="A4847" s="49">
        <v>44564.02493483796</v>
      </c>
      <c r="B4847" s="50">
        <v>44564.1499037499</v>
      </c>
      <c r="C4847" s="51">
        <v>1.007</v>
      </c>
      <c r="D4847" s="51">
        <v>63.0</v>
      </c>
      <c r="E4847" s="52" t="s">
        <v>25</v>
      </c>
      <c r="F4847" s="52" t="s">
        <v>26</v>
      </c>
      <c r="G4847" s="53"/>
    </row>
    <row r="4848">
      <c r="A4848" s="49">
        <v>44564.03535082176</v>
      </c>
      <c r="B4848" s="50">
        <v>44564.1603243749</v>
      </c>
      <c r="C4848" s="51">
        <v>1.006</v>
      </c>
      <c r="D4848" s="51">
        <v>63.0</v>
      </c>
      <c r="E4848" s="52" t="s">
        <v>25</v>
      </c>
      <c r="F4848" s="52" t="s">
        <v>26</v>
      </c>
      <c r="G4848" s="53"/>
    </row>
    <row r="4849">
      <c r="A4849" s="49">
        <v>44564.04578635417</v>
      </c>
      <c r="B4849" s="50">
        <v>44564.1707557291</v>
      </c>
      <c r="C4849" s="51">
        <v>1.007</v>
      </c>
      <c r="D4849" s="51">
        <v>63.0</v>
      </c>
      <c r="E4849" s="52" t="s">
        <v>25</v>
      </c>
      <c r="F4849" s="52" t="s">
        <v>26</v>
      </c>
      <c r="G4849" s="53"/>
    </row>
    <row r="4850">
      <c r="A4850" s="49">
        <v>44564.05620197917</v>
      </c>
      <c r="B4850" s="50">
        <v>44564.1811770254</v>
      </c>
      <c r="C4850" s="51">
        <v>1.006</v>
      </c>
      <c r="D4850" s="51">
        <v>63.0</v>
      </c>
      <c r="E4850" s="52" t="s">
        <v>25</v>
      </c>
      <c r="F4850" s="52" t="s">
        <v>26</v>
      </c>
      <c r="G4850" s="53"/>
    </row>
    <row r="4851">
      <c r="A4851" s="49">
        <v>44564.06663215278</v>
      </c>
      <c r="B4851" s="50">
        <v>44564.1915978935</v>
      </c>
      <c r="C4851" s="51">
        <v>1.006</v>
      </c>
      <c r="D4851" s="51">
        <v>63.0</v>
      </c>
      <c r="E4851" s="52" t="s">
        <v>25</v>
      </c>
      <c r="F4851" s="52" t="s">
        <v>26</v>
      </c>
      <c r="G4851" s="53"/>
    </row>
    <row r="4852">
      <c r="A4852" s="49">
        <v>44564.077047326384</v>
      </c>
      <c r="B4852" s="50">
        <v>44564.2020188078</v>
      </c>
      <c r="C4852" s="51">
        <v>1.006</v>
      </c>
      <c r="D4852" s="51">
        <v>63.0</v>
      </c>
      <c r="E4852" s="52" t="s">
        <v>25</v>
      </c>
      <c r="F4852" s="52" t="s">
        <v>26</v>
      </c>
      <c r="G4852" s="53"/>
    </row>
    <row r="4853">
      <c r="A4853" s="49">
        <v>44564.08746538195</v>
      </c>
      <c r="B4853" s="50">
        <v>44564.212440324</v>
      </c>
      <c r="C4853" s="51">
        <v>1.006</v>
      </c>
      <c r="D4853" s="51">
        <v>63.0</v>
      </c>
      <c r="E4853" s="52" t="s">
        <v>25</v>
      </c>
      <c r="F4853" s="52" t="s">
        <v>26</v>
      </c>
      <c r="G4853" s="53"/>
    </row>
    <row r="4854">
      <c r="A4854" s="49">
        <v>44564.097881967595</v>
      </c>
      <c r="B4854" s="50">
        <v>44564.2228607523</v>
      </c>
      <c r="C4854" s="51">
        <v>1.006</v>
      </c>
      <c r="D4854" s="51">
        <v>63.0</v>
      </c>
      <c r="E4854" s="52" t="s">
        <v>25</v>
      </c>
      <c r="F4854" s="52" t="s">
        <v>26</v>
      </c>
      <c r="G4854" s="53"/>
    </row>
    <row r="4855">
      <c r="A4855" s="49">
        <v>44564.10832064815</v>
      </c>
      <c r="B4855" s="50">
        <v>44564.233293831</v>
      </c>
      <c r="C4855" s="51">
        <v>1.006</v>
      </c>
      <c r="D4855" s="51">
        <v>63.0</v>
      </c>
      <c r="E4855" s="52" t="s">
        <v>25</v>
      </c>
      <c r="F4855" s="52" t="s">
        <v>26</v>
      </c>
      <c r="G4855" s="53"/>
    </row>
    <row r="4856">
      <c r="A4856" s="49">
        <v>44564.11873787037</v>
      </c>
      <c r="B4856" s="50">
        <v>44564.2437146296</v>
      </c>
      <c r="C4856" s="51">
        <v>1.006</v>
      </c>
      <c r="D4856" s="51">
        <v>63.0</v>
      </c>
      <c r="E4856" s="52" t="s">
        <v>25</v>
      </c>
      <c r="F4856" s="52" t="s">
        <v>26</v>
      </c>
      <c r="G4856" s="53"/>
    </row>
    <row r="4857">
      <c r="A4857" s="49">
        <v>44564.1291683912</v>
      </c>
      <c r="B4857" s="50">
        <v>44564.2541362962</v>
      </c>
      <c r="C4857" s="51">
        <v>1.006</v>
      </c>
      <c r="D4857" s="51">
        <v>63.0</v>
      </c>
      <c r="E4857" s="52" t="s">
        <v>25</v>
      </c>
      <c r="F4857" s="52" t="s">
        <v>26</v>
      </c>
      <c r="G4857" s="53"/>
    </row>
    <row r="4858">
      <c r="A4858" s="49">
        <v>44564.13958209491</v>
      </c>
      <c r="B4858" s="50">
        <v>44564.2645564236</v>
      </c>
      <c r="C4858" s="51">
        <v>1.006</v>
      </c>
      <c r="D4858" s="51">
        <v>63.0</v>
      </c>
      <c r="E4858" s="52" t="s">
        <v>25</v>
      </c>
      <c r="F4858" s="52" t="s">
        <v>26</v>
      </c>
      <c r="G4858" s="53"/>
    </row>
    <row r="4859">
      <c r="A4859" s="49">
        <v>44564.15000112269</v>
      </c>
      <c r="B4859" s="50">
        <v>44564.2749776736</v>
      </c>
      <c r="C4859" s="51">
        <v>1.006</v>
      </c>
      <c r="D4859" s="51">
        <v>63.0</v>
      </c>
      <c r="E4859" s="52" t="s">
        <v>25</v>
      </c>
      <c r="F4859" s="52" t="s">
        <v>26</v>
      </c>
      <c r="G4859" s="53"/>
    </row>
    <row r="4860">
      <c r="A4860" s="49">
        <v>44564.16042274305</v>
      </c>
      <c r="B4860" s="50">
        <v>44564.2853990625</v>
      </c>
      <c r="C4860" s="51">
        <v>1.007</v>
      </c>
      <c r="D4860" s="51">
        <v>63.0</v>
      </c>
      <c r="E4860" s="52" t="s">
        <v>25</v>
      </c>
      <c r="F4860" s="52" t="s">
        <v>26</v>
      </c>
      <c r="G4860" s="53"/>
    </row>
    <row r="4861">
      <c r="A4861" s="49">
        <v>44564.17084741898</v>
      </c>
      <c r="B4861" s="50">
        <v>44564.2958205671</v>
      </c>
      <c r="C4861" s="51">
        <v>1.007</v>
      </c>
      <c r="D4861" s="51">
        <v>63.0</v>
      </c>
      <c r="E4861" s="52" t="s">
        <v>25</v>
      </c>
      <c r="F4861" s="52" t="s">
        <v>26</v>
      </c>
      <c r="G4861" s="53"/>
    </row>
    <row r="4862">
      <c r="A4862" s="49">
        <v>44564.181272118054</v>
      </c>
      <c r="B4862" s="50">
        <v>44564.3062415162</v>
      </c>
      <c r="C4862" s="51">
        <v>1.006</v>
      </c>
      <c r="D4862" s="51">
        <v>63.0</v>
      </c>
      <c r="E4862" s="52" t="s">
        <v>25</v>
      </c>
      <c r="F4862" s="52" t="s">
        <v>26</v>
      </c>
      <c r="G4862" s="53"/>
    </row>
    <row r="4863">
      <c r="A4863" s="49">
        <v>44564.19169365741</v>
      </c>
      <c r="B4863" s="50">
        <v>44564.3166617361</v>
      </c>
      <c r="C4863" s="51">
        <v>1.006</v>
      </c>
      <c r="D4863" s="51">
        <v>63.0</v>
      </c>
      <c r="E4863" s="52" t="s">
        <v>25</v>
      </c>
      <c r="F4863" s="52" t="s">
        <v>26</v>
      </c>
      <c r="G4863" s="53"/>
    </row>
    <row r="4864">
      <c r="A4864" s="49">
        <v>44564.20211028935</v>
      </c>
      <c r="B4864" s="50">
        <v>44564.3270830208</v>
      </c>
      <c r="C4864" s="51">
        <v>1.007</v>
      </c>
      <c r="D4864" s="51">
        <v>63.0</v>
      </c>
      <c r="E4864" s="52" t="s">
        <v>25</v>
      </c>
      <c r="F4864" s="52" t="s">
        <v>26</v>
      </c>
      <c r="G4864" s="53"/>
    </row>
    <row r="4865">
      <c r="A4865" s="49">
        <v>44564.21252693287</v>
      </c>
      <c r="B4865" s="50">
        <v>44564.3375042824</v>
      </c>
      <c r="C4865" s="51">
        <v>1.007</v>
      </c>
      <c r="D4865" s="51">
        <v>63.0</v>
      </c>
      <c r="E4865" s="52" t="s">
        <v>25</v>
      </c>
      <c r="F4865" s="52" t="s">
        <v>26</v>
      </c>
      <c r="G4865" s="53"/>
    </row>
    <row r="4866">
      <c r="A4866" s="49">
        <v>44564.22295201389</v>
      </c>
      <c r="B4866" s="50">
        <v>44564.347925</v>
      </c>
      <c r="C4866" s="51">
        <v>1.006</v>
      </c>
      <c r="D4866" s="51">
        <v>63.0</v>
      </c>
      <c r="E4866" s="52" t="s">
        <v>25</v>
      </c>
      <c r="F4866" s="52" t="s">
        <v>26</v>
      </c>
      <c r="G4866" s="53"/>
    </row>
    <row r="4867">
      <c r="A4867" s="49">
        <v>44564.23338415509</v>
      </c>
      <c r="B4867" s="50">
        <v>44564.3583495717</v>
      </c>
      <c r="C4867" s="51">
        <v>1.006</v>
      </c>
      <c r="D4867" s="51">
        <v>63.0</v>
      </c>
      <c r="E4867" s="52" t="s">
        <v>25</v>
      </c>
      <c r="F4867" s="52" t="s">
        <v>26</v>
      </c>
      <c r="G4867" s="53"/>
    </row>
    <row r="4868">
      <c r="A4868" s="49">
        <v>44564.243817511575</v>
      </c>
      <c r="B4868" s="50">
        <v>44564.3687943634</v>
      </c>
      <c r="C4868" s="51">
        <v>1.006</v>
      </c>
      <c r="D4868" s="51">
        <v>63.0</v>
      </c>
      <c r="E4868" s="52" t="s">
        <v>25</v>
      </c>
      <c r="F4868" s="52" t="s">
        <v>26</v>
      </c>
      <c r="G4868" s="53"/>
    </row>
    <row r="4869">
      <c r="A4869" s="49">
        <v>44564.254250115744</v>
      </c>
      <c r="B4869" s="50">
        <v>44564.3792259375</v>
      </c>
      <c r="C4869" s="51">
        <v>1.006</v>
      </c>
      <c r="D4869" s="51">
        <v>63.0</v>
      </c>
      <c r="E4869" s="52" t="s">
        <v>25</v>
      </c>
      <c r="F4869" s="52" t="s">
        <v>26</v>
      </c>
      <c r="G4869" s="53"/>
    </row>
    <row r="4870">
      <c r="A4870" s="49">
        <v>44564.2646647338</v>
      </c>
      <c r="B4870" s="50">
        <v>44564.3896460069</v>
      </c>
      <c r="C4870" s="51">
        <v>1.006</v>
      </c>
      <c r="D4870" s="51">
        <v>63.0</v>
      </c>
      <c r="E4870" s="52" t="s">
        <v>25</v>
      </c>
      <c r="F4870" s="52" t="s">
        <v>26</v>
      </c>
      <c r="G4870" s="53"/>
    </row>
    <row r="4871">
      <c r="A4871" s="49">
        <v>44564.275089849536</v>
      </c>
      <c r="B4871" s="50">
        <v>44564.4000667245</v>
      </c>
      <c r="C4871" s="51">
        <v>1.006</v>
      </c>
      <c r="D4871" s="51">
        <v>63.0</v>
      </c>
      <c r="E4871" s="52" t="s">
        <v>25</v>
      </c>
      <c r="F4871" s="52" t="s">
        <v>26</v>
      </c>
      <c r="G4871" s="53"/>
    </row>
    <row r="4872">
      <c r="A4872" s="49">
        <v>44564.285524907405</v>
      </c>
      <c r="B4872" s="50">
        <v>44564.4105007291</v>
      </c>
      <c r="C4872" s="51">
        <v>1.006</v>
      </c>
      <c r="D4872" s="51">
        <v>63.0</v>
      </c>
      <c r="E4872" s="52" t="s">
        <v>25</v>
      </c>
      <c r="F4872" s="52" t="s">
        <v>26</v>
      </c>
      <c r="G4872" s="53"/>
    </row>
    <row r="4873">
      <c r="A4873" s="49">
        <v>44564.295947245366</v>
      </c>
      <c r="B4873" s="50">
        <v>44564.4209215046</v>
      </c>
      <c r="C4873" s="51">
        <v>1.007</v>
      </c>
      <c r="D4873" s="51">
        <v>63.0</v>
      </c>
      <c r="E4873" s="52" t="s">
        <v>25</v>
      </c>
      <c r="F4873" s="52" t="s">
        <v>26</v>
      </c>
      <c r="G4873" s="53"/>
    </row>
    <row r="4874">
      <c r="A4874" s="49">
        <v>44564.306363275464</v>
      </c>
      <c r="B4874" s="50">
        <v>44564.4313427546</v>
      </c>
      <c r="C4874" s="51">
        <v>1.006</v>
      </c>
      <c r="D4874" s="51">
        <v>63.0</v>
      </c>
      <c r="E4874" s="52" t="s">
        <v>25</v>
      </c>
      <c r="F4874" s="52" t="s">
        <v>26</v>
      </c>
      <c r="G4874" s="53"/>
    </row>
    <row r="4875">
      <c r="A4875" s="49">
        <v>44564.31680008102</v>
      </c>
      <c r="B4875" s="50">
        <v>44564.441764537</v>
      </c>
      <c r="C4875" s="51">
        <v>1.006</v>
      </c>
      <c r="D4875" s="51">
        <v>63.0</v>
      </c>
      <c r="E4875" s="52" t="s">
        <v>25</v>
      </c>
      <c r="F4875" s="52" t="s">
        <v>26</v>
      </c>
      <c r="G4875" s="53"/>
    </row>
    <row r="4876">
      <c r="A4876" s="49">
        <v>44564.32720971065</v>
      </c>
      <c r="B4876" s="50">
        <v>44564.4521852893</v>
      </c>
      <c r="C4876" s="51">
        <v>1.007</v>
      </c>
      <c r="D4876" s="51">
        <v>63.0</v>
      </c>
      <c r="E4876" s="52" t="s">
        <v>25</v>
      </c>
      <c r="F4876" s="52" t="s">
        <v>26</v>
      </c>
      <c r="G4876" s="53"/>
    </row>
    <row r="4877">
      <c r="A4877" s="49">
        <v>44564.33763462963</v>
      </c>
      <c r="B4877" s="50">
        <v>44564.4626070254</v>
      </c>
      <c r="C4877" s="51">
        <v>1.006</v>
      </c>
      <c r="D4877" s="51">
        <v>63.0</v>
      </c>
      <c r="E4877" s="52" t="s">
        <v>25</v>
      </c>
      <c r="F4877" s="52" t="s">
        <v>26</v>
      </c>
      <c r="G4877" s="53"/>
    </row>
    <row r="4878">
      <c r="A4878" s="49">
        <v>44564.34805424769</v>
      </c>
      <c r="B4878" s="50">
        <v>44564.4730265856</v>
      </c>
      <c r="C4878" s="51">
        <v>1.006</v>
      </c>
      <c r="D4878" s="51">
        <v>63.0</v>
      </c>
      <c r="E4878" s="52" t="s">
        <v>25</v>
      </c>
      <c r="F4878" s="52" t="s">
        <v>26</v>
      </c>
      <c r="G4878" s="53"/>
    </row>
    <row r="4879">
      <c r="A4879" s="49">
        <v>44564.35847929398</v>
      </c>
      <c r="B4879" s="50">
        <v>44564.4834599537</v>
      </c>
      <c r="C4879" s="51">
        <v>1.007</v>
      </c>
      <c r="D4879" s="51">
        <v>63.0</v>
      </c>
      <c r="E4879" s="52" t="s">
        <v>25</v>
      </c>
      <c r="F4879" s="52" t="s">
        <v>26</v>
      </c>
      <c r="G4879" s="53"/>
    </row>
    <row r="4880">
      <c r="A4880" s="49">
        <v>44564.36890909722</v>
      </c>
      <c r="B4880" s="50">
        <v>44564.493881331</v>
      </c>
      <c r="C4880" s="51">
        <v>1.006</v>
      </c>
      <c r="D4880" s="51">
        <v>63.0</v>
      </c>
      <c r="E4880" s="52" t="s">
        <v>25</v>
      </c>
      <c r="F4880" s="52" t="s">
        <v>26</v>
      </c>
      <c r="G4880" s="53"/>
    </row>
    <row r="4881">
      <c r="A4881" s="49">
        <v>44564.379335254634</v>
      </c>
      <c r="B4881" s="50">
        <v>44564.504314375</v>
      </c>
      <c r="C4881" s="51">
        <v>1.006</v>
      </c>
      <c r="D4881" s="51">
        <v>63.0</v>
      </c>
      <c r="E4881" s="52" t="s">
        <v>25</v>
      </c>
      <c r="F4881" s="52" t="s">
        <v>26</v>
      </c>
      <c r="G4881" s="53"/>
    </row>
    <row r="4882">
      <c r="A4882" s="49">
        <v>44564.38975244213</v>
      </c>
      <c r="B4882" s="50">
        <v>44564.5147348032</v>
      </c>
      <c r="C4882" s="51">
        <v>1.006</v>
      </c>
      <c r="D4882" s="51">
        <v>63.0</v>
      </c>
      <c r="E4882" s="52" t="s">
        <v>25</v>
      </c>
      <c r="F4882" s="52" t="s">
        <v>26</v>
      </c>
      <c r="G4882" s="53"/>
    </row>
    <row r="4883">
      <c r="A4883" s="49">
        <v>44564.400172106485</v>
      </c>
      <c r="B4883" s="50">
        <v>44564.5251571759</v>
      </c>
      <c r="C4883" s="51">
        <v>1.006</v>
      </c>
      <c r="D4883" s="51">
        <v>63.0</v>
      </c>
      <c r="E4883" s="52" t="s">
        <v>25</v>
      </c>
      <c r="F4883" s="52" t="s">
        <v>26</v>
      </c>
      <c r="G4883" s="53"/>
    </row>
    <row r="4884">
      <c r="A4884" s="49">
        <v>44564.41059627315</v>
      </c>
      <c r="B4884" s="50">
        <v>44564.5355786805</v>
      </c>
      <c r="C4884" s="51">
        <v>1.006</v>
      </c>
      <c r="D4884" s="51">
        <v>63.0</v>
      </c>
      <c r="E4884" s="52" t="s">
        <v>25</v>
      </c>
      <c r="F4884" s="52" t="s">
        <v>26</v>
      </c>
      <c r="G4884" s="53"/>
    </row>
    <row r="4885">
      <c r="A4885" s="49">
        <v>44564.42104883102</v>
      </c>
      <c r="B4885" s="50">
        <v>44564.5460229166</v>
      </c>
      <c r="C4885" s="51">
        <v>1.006</v>
      </c>
      <c r="D4885" s="51">
        <v>62.0</v>
      </c>
      <c r="E4885" s="52" t="s">
        <v>25</v>
      </c>
      <c r="F4885" s="52" t="s">
        <v>26</v>
      </c>
      <c r="G4885" s="53"/>
    </row>
    <row r="4886">
      <c r="A4886" s="49">
        <v>44564.43146474537</v>
      </c>
      <c r="B4886" s="50">
        <v>44564.5564451851</v>
      </c>
      <c r="C4886" s="51">
        <v>1.006</v>
      </c>
      <c r="D4886" s="51">
        <v>63.0</v>
      </c>
      <c r="E4886" s="52" t="s">
        <v>25</v>
      </c>
      <c r="F4886" s="52" t="s">
        <v>26</v>
      </c>
      <c r="G4886" s="53"/>
    </row>
    <row r="4887">
      <c r="A4887" s="49">
        <v>44564.44189267361</v>
      </c>
      <c r="B4887" s="50">
        <v>44564.566866655</v>
      </c>
      <c r="C4887" s="51">
        <v>1.006</v>
      </c>
      <c r="D4887" s="51">
        <v>63.0</v>
      </c>
      <c r="E4887" s="52" t="s">
        <v>25</v>
      </c>
      <c r="F4887" s="52" t="s">
        <v>26</v>
      </c>
      <c r="G4887" s="53"/>
    </row>
    <row r="4888">
      <c r="A4888" s="49">
        <v>44564.452311932866</v>
      </c>
      <c r="B4888" s="50">
        <v>44564.5772872453</v>
      </c>
      <c r="C4888" s="51">
        <v>1.006</v>
      </c>
      <c r="D4888" s="51">
        <v>63.0</v>
      </c>
      <c r="E4888" s="52" t="s">
        <v>25</v>
      </c>
      <c r="F4888" s="52" t="s">
        <v>26</v>
      </c>
      <c r="G4888" s="53"/>
    </row>
    <row r="4889">
      <c r="A4889" s="49">
        <v>44564.46273733796</v>
      </c>
      <c r="B4889" s="50">
        <v>44564.5877204976</v>
      </c>
      <c r="C4889" s="51">
        <v>1.006</v>
      </c>
      <c r="D4889" s="51">
        <v>63.0</v>
      </c>
      <c r="E4889" s="52" t="s">
        <v>25</v>
      </c>
      <c r="F4889" s="52" t="s">
        <v>26</v>
      </c>
      <c r="G4889" s="53"/>
    </row>
    <row r="4890">
      <c r="A4890" s="49">
        <v>44564.47317841435</v>
      </c>
      <c r="B4890" s="50">
        <v>44564.5981535185</v>
      </c>
      <c r="C4890" s="51">
        <v>1.006</v>
      </c>
      <c r="D4890" s="51">
        <v>62.0</v>
      </c>
      <c r="E4890" s="52" t="s">
        <v>25</v>
      </c>
      <c r="F4890" s="52" t="s">
        <v>26</v>
      </c>
      <c r="G4890" s="53"/>
    </row>
    <row r="4891">
      <c r="A4891" s="49">
        <v>44564.48359053241</v>
      </c>
      <c r="B4891" s="50">
        <v>44564.6085739467</v>
      </c>
      <c r="C4891" s="51">
        <v>1.006</v>
      </c>
      <c r="D4891" s="51">
        <v>63.0</v>
      </c>
      <c r="E4891" s="52" t="s">
        <v>25</v>
      </c>
      <c r="F4891" s="52" t="s">
        <v>26</v>
      </c>
      <c r="G4891" s="53"/>
    </row>
    <row r="4892">
      <c r="A4892" s="49">
        <v>44564.4940205787</v>
      </c>
      <c r="B4892" s="50">
        <v>44564.6189936689</v>
      </c>
      <c r="C4892" s="51">
        <v>1.006</v>
      </c>
      <c r="D4892" s="51">
        <v>62.0</v>
      </c>
      <c r="E4892" s="52" t="s">
        <v>25</v>
      </c>
      <c r="F4892" s="52" t="s">
        <v>26</v>
      </c>
      <c r="G4892" s="53"/>
    </row>
    <row r="4893">
      <c r="A4893" s="49">
        <v>44564.504456875</v>
      </c>
      <c r="B4893" s="50">
        <v>44564.6294265162</v>
      </c>
      <c r="C4893" s="51">
        <v>1.006</v>
      </c>
      <c r="D4893" s="51">
        <v>62.0</v>
      </c>
      <c r="E4893" s="52" t="s">
        <v>25</v>
      </c>
      <c r="F4893" s="52" t="s">
        <v>26</v>
      </c>
      <c r="G4893" s="53"/>
    </row>
    <row r="4894">
      <c r="A4894" s="49">
        <v>44564.5148765162</v>
      </c>
      <c r="B4894" s="50">
        <v>44564.6398480555</v>
      </c>
      <c r="C4894" s="51">
        <v>1.006</v>
      </c>
      <c r="D4894" s="51">
        <v>62.0</v>
      </c>
      <c r="E4894" s="52" t="s">
        <v>25</v>
      </c>
      <c r="F4894" s="52" t="s">
        <v>26</v>
      </c>
      <c r="G4894" s="53"/>
    </row>
    <row r="4895">
      <c r="A4895" s="49">
        <v>44564.52529341435</v>
      </c>
      <c r="B4895" s="50">
        <v>44564.6502683796</v>
      </c>
      <c r="C4895" s="51">
        <v>1.006</v>
      </c>
      <c r="D4895" s="51">
        <v>62.0</v>
      </c>
      <c r="E4895" s="52" t="s">
        <v>25</v>
      </c>
      <c r="F4895" s="52" t="s">
        <v>26</v>
      </c>
      <c r="G4895" s="53"/>
    </row>
    <row r="4896">
      <c r="A4896" s="49">
        <v>44564.53571467593</v>
      </c>
      <c r="B4896" s="50">
        <v>44564.6606878935</v>
      </c>
      <c r="C4896" s="51">
        <v>1.006</v>
      </c>
      <c r="D4896" s="51">
        <v>63.0</v>
      </c>
      <c r="E4896" s="52" t="s">
        <v>25</v>
      </c>
      <c r="F4896" s="52" t="s">
        <v>26</v>
      </c>
      <c r="G4896" s="53"/>
    </row>
    <row r="4897">
      <c r="A4897" s="49">
        <v>44564.54613149306</v>
      </c>
      <c r="B4897" s="50">
        <v>44564.6711075347</v>
      </c>
      <c r="C4897" s="51">
        <v>1.006</v>
      </c>
      <c r="D4897" s="51">
        <v>63.0</v>
      </c>
      <c r="E4897" s="52" t="s">
        <v>25</v>
      </c>
      <c r="F4897" s="52" t="s">
        <v>26</v>
      </c>
      <c r="G4897" s="53"/>
    </row>
    <row r="4898">
      <c r="A4898" s="49">
        <v>44564.55654693287</v>
      </c>
      <c r="B4898" s="50">
        <v>44564.6815278703</v>
      </c>
      <c r="C4898" s="51">
        <v>1.006</v>
      </c>
      <c r="D4898" s="51">
        <v>63.0</v>
      </c>
      <c r="E4898" s="52" t="s">
        <v>25</v>
      </c>
      <c r="F4898" s="52" t="s">
        <v>26</v>
      </c>
      <c r="G4898" s="53"/>
    </row>
    <row r="4899">
      <c r="A4899" s="49">
        <v>44564.566973900466</v>
      </c>
      <c r="B4899" s="50">
        <v>44564.691960405</v>
      </c>
      <c r="C4899" s="51">
        <v>1.006</v>
      </c>
      <c r="D4899" s="51">
        <v>62.0</v>
      </c>
      <c r="E4899" s="52" t="s">
        <v>25</v>
      </c>
      <c r="F4899" s="52" t="s">
        <v>26</v>
      </c>
      <c r="G4899" s="53"/>
    </row>
    <row r="4900">
      <c r="A4900" s="49">
        <v>44564.57740920139</v>
      </c>
      <c r="B4900" s="50">
        <v>44564.7023820486</v>
      </c>
      <c r="C4900" s="51">
        <v>1.006</v>
      </c>
      <c r="D4900" s="51">
        <v>62.0</v>
      </c>
      <c r="E4900" s="52" t="s">
        <v>25</v>
      </c>
      <c r="F4900" s="52" t="s">
        <v>26</v>
      </c>
      <c r="G4900" s="53"/>
    </row>
    <row r="4901">
      <c r="A4901" s="49">
        <v>44564.58781989584</v>
      </c>
      <c r="B4901" s="50">
        <v>44564.7128003703</v>
      </c>
      <c r="C4901" s="51">
        <v>1.006</v>
      </c>
      <c r="D4901" s="51">
        <v>62.0</v>
      </c>
      <c r="E4901" s="52" t="s">
        <v>25</v>
      </c>
      <c r="F4901" s="52" t="s">
        <v>26</v>
      </c>
      <c r="G4901" s="53"/>
    </row>
    <row r="4902">
      <c r="A4902" s="49">
        <v>44564.59823934028</v>
      </c>
      <c r="B4902" s="50">
        <v>44564.7232208912</v>
      </c>
      <c r="C4902" s="51">
        <v>1.006</v>
      </c>
      <c r="D4902" s="51">
        <v>62.0</v>
      </c>
      <c r="E4902" s="52" t="s">
        <v>25</v>
      </c>
      <c r="F4902" s="52" t="s">
        <v>26</v>
      </c>
      <c r="G4902" s="53"/>
    </row>
    <row r="4903">
      <c r="A4903" s="49">
        <v>44564.608677384254</v>
      </c>
      <c r="B4903" s="50">
        <v>44564.7336530439</v>
      </c>
      <c r="C4903" s="51">
        <v>1.006</v>
      </c>
      <c r="D4903" s="51">
        <v>62.0</v>
      </c>
      <c r="E4903" s="52" t="s">
        <v>25</v>
      </c>
      <c r="F4903" s="52" t="s">
        <v>26</v>
      </c>
      <c r="G4903" s="53"/>
    </row>
    <row r="4904">
      <c r="A4904" s="49">
        <v>44564.619118981485</v>
      </c>
      <c r="B4904" s="50">
        <v>44564.7440989467</v>
      </c>
      <c r="C4904" s="51">
        <v>1.006</v>
      </c>
      <c r="D4904" s="51">
        <v>62.0</v>
      </c>
      <c r="E4904" s="52" t="s">
        <v>25</v>
      </c>
      <c r="F4904" s="52" t="s">
        <v>26</v>
      </c>
      <c r="G4904" s="53"/>
    </row>
    <row r="4905">
      <c r="A4905" s="49">
        <v>44564.629542986106</v>
      </c>
      <c r="B4905" s="50">
        <v>44564.7545190972</v>
      </c>
      <c r="C4905" s="51">
        <v>1.006</v>
      </c>
      <c r="D4905" s="51">
        <v>62.0</v>
      </c>
      <c r="E4905" s="52" t="s">
        <v>25</v>
      </c>
      <c r="F4905" s="52" t="s">
        <v>26</v>
      </c>
      <c r="G4905" s="53"/>
    </row>
    <row r="4906">
      <c r="A4906" s="49">
        <v>44564.639957604166</v>
      </c>
      <c r="B4906" s="50">
        <v>44564.7649409374</v>
      </c>
      <c r="C4906" s="51">
        <v>1.006</v>
      </c>
      <c r="D4906" s="51">
        <v>62.0</v>
      </c>
      <c r="E4906" s="52" t="s">
        <v>25</v>
      </c>
      <c r="F4906" s="52" t="s">
        <v>26</v>
      </c>
      <c r="G4906" s="53"/>
    </row>
    <row r="4907">
      <c r="A4907" s="49">
        <v>44564.650391539355</v>
      </c>
      <c r="B4907" s="50">
        <v>44564.7753634953</v>
      </c>
      <c r="C4907" s="51">
        <v>1.006</v>
      </c>
      <c r="D4907" s="51">
        <v>62.0</v>
      </c>
      <c r="E4907" s="52" t="s">
        <v>25</v>
      </c>
      <c r="F4907" s="52" t="s">
        <v>26</v>
      </c>
      <c r="G4907" s="53"/>
    </row>
    <row r="4908">
      <c r="A4908" s="49">
        <v>44564.66080883102</v>
      </c>
      <c r="B4908" s="50">
        <v>44564.7857837847</v>
      </c>
      <c r="C4908" s="51">
        <v>1.006</v>
      </c>
      <c r="D4908" s="51">
        <v>62.0</v>
      </c>
      <c r="E4908" s="52" t="s">
        <v>25</v>
      </c>
      <c r="F4908" s="52" t="s">
        <v>26</v>
      </c>
      <c r="G4908" s="53"/>
    </row>
    <row r="4909">
      <c r="A4909" s="49">
        <v>44564.67122525463</v>
      </c>
      <c r="B4909" s="50">
        <v>44564.7962049652</v>
      </c>
      <c r="C4909" s="51">
        <v>1.007</v>
      </c>
      <c r="D4909" s="51">
        <v>62.0</v>
      </c>
      <c r="E4909" s="52" t="s">
        <v>25</v>
      </c>
      <c r="F4909" s="52" t="s">
        <v>26</v>
      </c>
      <c r="G4909" s="53"/>
    </row>
    <row r="4910">
      <c r="A4910" s="49">
        <v>44564.681656967594</v>
      </c>
      <c r="B4910" s="50">
        <v>44564.8066245254</v>
      </c>
      <c r="C4910" s="51">
        <v>1.006</v>
      </c>
      <c r="D4910" s="51">
        <v>62.0</v>
      </c>
      <c r="E4910" s="52" t="s">
        <v>25</v>
      </c>
      <c r="F4910" s="52" t="s">
        <v>26</v>
      </c>
      <c r="G4910" s="53"/>
    </row>
    <row r="4911">
      <c r="A4911" s="49">
        <v>44564.69206814815</v>
      </c>
      <c r="B4911" s="50">
        <v>44564.8170466087</v>
      </c>
      <c r="C4911" s="51">
        <v>1.007</v>
      </c>
      <c r="D4911" s="51">
        <v>62.0</v>
      </c>
      <c r="E4911" s="52" t="s">
        <v>25</v>
      </c>
      <c r="F4911" s="52" t="s">
        <v>26</v>
      </c>
      <c r="G4911" s="53"/>
    </row>
    <row r="4912">
      <c r="A4912" s="49">
        <v>44564.70248949074</v>
      </c>
      <c r="B4912" s="50">
        <v>44564.8274692245</v>
      </c>
      <c r="C4912" s="51">
        <v>1.006</v>
      </c>
      <c r="D4912" s="51">
        <v>62.0</v>
      </c>
      <c r="E4912" s="52" t="s">
        <v>25</v>
      </c>
      <c r="F4912" s="52" t="s">
        <v>26</v>
      </c>
      <c r="G4912" s="53"/>
    </row>
    <row r="4913">
      <c r="A4913" s="49">
        <v>44564.712915625</v>
      </c>
      <c r="B4913" s="50">
        <v>44564.8378905092</v>
      </c>
      <c r="C4913" s="51">
        <v>1.006</v>
      </c>
      <c r="D4913" s="51">
        <v>62.0</v>
      </c>
      <c r="E4913" s="52" t="s">
        <v>25</v>
      </c>
      <c r="F4913" s="52" t="s">
        <v>26</v>
      </c>
      <c r="G4913" s="53"/>
    </row>
    <row r="4914">
      <c r="A4914" s="49">
        <v>44564.72333631944</v>
      </c>
      <c r="B4914" s="50">
        <v>44564.8483105092</v>
      </c>
      <c r="C4914" s="51">
        <v>1.006</v>
      </c>
      <c r="D4914" s="51">
        <v>62.0</v>
      </c>
      <c r="E4914" s="52" t="s">
        <v>25</v>
      </c>
      <c r="F4914" s="52" t="s">
        <v>26</v>
      </c>
      <c r="G4914" s="53"/>
    </row>
    <row r="4915">
      <c r="A4915" s="49">
        <v>44564.733757662034</v>
      </c>
      <c r="B4915" s="50">
        <v>44564.8587321527</v>
      </c>
      <c r="C4915" s="51">
        <v>1.007</v>
      </c>
      <c r="D4915" s="51">
        <v>62.0</v>
      </c>
      <c r="E4915" s="52" t="s">
        <v>25</v>
      </c>
      <c r="F4915" s="52" t="s">
        <v>26</v>
      </c>
      <c r="G4915" s="53"/>
    </row>
    <row r="4916">
      <c r="A4916" s="49">
        <v>44564.74417409722</v>
      </c>
      <c r="B4916" s="50">
        <v>44564.8691536921</v>
      </c>
      <c r="C4916" s="51">
        <v>1.007</v>
      </c>
      <c r="D4916" s="51">
        <v>62.0</v>
      </c>
      <c r="E4916" s="52" t="s">
        <v>25</v>
      </c>
      <c r="F4916" s="52" t="s">
        <v>26</v>
      </c>
      <c r="G4916" s="53"/>
    </row>
    <row r="4917">
      <c r="A4917" s="49">
        <v>44564.754610104166</v>
      </c>
      <c r="B4917" s="50">
        <v>44564.879585625</v>
      </c>
      <c r="C4917" s="51">
        <v>1.006</v>
      </c>
      <c r="D4917" s="51">
        <v>62.0</v>
      </c>
      <c r="E4917" s="52" t="s">
        <v>25</v>
      </c>
      <c r="F4917" s="52" t="s">
        <v>26</v>
      </c>
      <c r="G4917" s="53"/>
    </row>
    <row r="4918">
      <c r="A4918" s="49">
        <v>44564.765035081015</v>
      </c>
      <c r="B4918" s="50">
        <v>44564.8900174537</v>
      </c>
      <c r="C4918" s="51">
        <v>1.006</v>
      </c>
      <c r="D4918" s="51">
        <v>62.0</v>
      </c>
      <c r="E4918" s="52" t="s">
        <v>25</v>
      </c>
      <c r="F4918" s="52" t="s">
        <v>26</v>
      </c>
      <c r="G4918" s="53"/>
    </row>
    <row r="4919">
      <c r="A4919" s="49">
        <v>44564.77545570602</v>
      </c>
      <c r="B4919" s="50">
        <v>44564.9004376388</v>
      </c>
      <c r="C4919" s="51">
        <v>1.006</v>
      </c>
      <c r="D4919" s="51">
        <v>62.0</v>
      </c>
      <c r="E4919" s="52" t="s">
        <v>25</v>
      </c>
      <c r="F4919" s="52" t="s">
        <v>26</v>
      </c>
      <c r="G4919" s="53"/>
    </row>
    <row r="4920">
      <c r="A4920" s="49">
        <v>44564.78588642361</v>
      </c>
      <c r="B4920" s="50">
        <v>44564.9108698842</v>
      </c>
      <c r="C4920" s="51">
        <v>1.006</v>
      </c>
      <c r="D4920" s="51">
        <v>62.0</v>
      </c>
      <c r="E4920" s="52" t="s">
        <v>25</v>
      </c>
      <c r="F4920" s="52" t="s">
        <v>26</v>
      </c>
      <c r="G4920" s="53"/>
    </row>
    <row r="4921">
      <c r="A4921" s="49">
        <v>44564.796313009254</v>
      </c>
      <c r="B4921" s="50">
        <v>44564.9212918055</v>
      </c>
      <c r="C4921" s="51">
        <v>1.006</v>
      </c>
      <c r="D4921" s="51">
        <v>62.0</v>
      </c>
      <c r="E4921" s="52" t="s">
        <v>25</v>
      </c>
      <c r="F4921" s="52" t="s">
        <v>26</v>
      </c>
      <c r="G4921" s="53"/>
    </row>
    <row r="4922">
      <c r="A4922" s="49">
        <v>44564.80673011574</v>
      </c>
      <c r="B4922" s="50">
        <v>44564.9317132986</v>
      </c>
      <c r="C4922" s="51">
        <v>1.007</v>
      </c>
      <c r="D4922" s="51">
        <v>62.0</v>
      </c>
      <c r="E4922" s="52" t="s">
        <v>25</v>
      </c>
      <c r="F4922" s="52" t="s">
        <v>26</v>
      </c>
      <c r="G4922" s="53"/>
    </row>
    <row r="4923">
      <c r="A4923" s="49">
        <v>44564.81715361111</v>
      </c>
      <c r="B4923" s="50">
        <v>44564.9421346874</v>
      </c>
      <c r="C4923" s="51">
        <v>1.006</v>
      </c>
      <c r="D4923" s="51">
        <v>62.0</v>
      </c>
      <c r="E4923" s="52" t="s">
        <v>25</v>
      </c>
      <c r="F4923" s="52" t="s">
        <v>26</v>
      </c>
      <c r="G4923" s="53"/>
    </row>
    <row r="4924">
      <c r="A4924" s="49">
        <v>44564.82757497685</v>
      </c>
      <c r="B4924" s="50">
        <v>44564.9525540277</v>
      </c>
      <c r="C4924" s="51">
        <v>1.006</v>
      </c>
      <c r="D4924" s="51">
        <v>62.0</v>
      </c>
      <c r="E4924" s="52" t="s">
        <v>25</v>
      </c>
      <c r="F4924" s="52" t="s">
        <v>26</v>
      </c>
      <c r="G4924" s="53"/>
    </row>
    <row r="4925">
      <c r="A4925" s="49">
        <v>44564.83799560185</v>
      </c>
      <c r="B4925" s="50">
        <v>44564.9629756828</v>
      </c>
      <c r="C4925" s="51">
        <v>1.006</v>
      </c>
      <c r="D4925" s="51">
        <v>62.0</v>
      </c>
      <c r="E4925" s="52" t="s">
        <v>25</v>
      </c>
      <c r="F4925" s="52" t="s">
        <v>26</v>
      </c>
      <c r="G4925" s="53"/>
    </row>
    <row r="4926">
      <c r="A4926" s="49">
        <v>44564.84843021991</v>
      </c>
      <c r="B4926" s="50">
        <v>44564.9734088888</v>
      </c>
      <c r="C4926" s="51">
        <v>1.006</v>
      </c>
      <c r="D4926" s="51">
        <v>62.0</v>
      </c>
      <c r="E4926" s="52" t="s">
        <v>25</v>
      </c>
      <c r="F4926" s="52" t="s">
        <v>26</v>
      </c>
      <c r="G4926" s="53"/>
    </row>
    <row r="4927">
      <c r="A4927" s="49">
        <v>44564.85886447917</v>
      </c>
      <c r="B4927" s="50">
        <v>44564.9838427546</v>
      </c>
      <c r="C4927" s="51">
        <v>1.006</v>
      </c>
      <c r="D4927" s="51">
        <v>62.0</v>
      </c>
      <c r="E4927" s="52" t="s">
        <v>25</v>
      </c>
      <c r="F4927" s="52" t="s">
        <v>26</v>
      </c>
      <c r="G4927" s="53"/>
    </row>
    <row r="4928">
      <c r="A4928" s="49">
        <v>44564.869281481486</v>
      </c>
      <c r="B4928" s="50">
        <v>44564.9942649074</v>
      </c>
      <c r="C4928" s="51">
        <v>1.007</v>
      </c>
      <c r="D4928" s="51">
        <v>62.0</v>
      </c>
      <c r="E4928" s="52" t="s">
        <v>25</v>
      </c>
      <c r="F4928" s="52" t="s">
        <v>26</v>
      </c>
      <c r="G4928" s="53"/>
    </row>
    <row r="4929">
      <c r="A4929" s="49">
        <v>44564.87971327546</v>
      </c>
      <c r="B4929" s="50">
        <v>44565.0046885185</v>
      </c>
      <c r="C4929" s="51">
        <v>1.006</v>
      </c>
      <c r="D4929" s="51">
        <v>62.0</v>
      </c>
      <c r="E4929" s="52" t="s">
        <v>25</v>
      </c>
      <c r="F4929" s="52" t="s">
        <v>26</v>
      </c>
      <c r="G4929" s="53"/>
    </row>
    <row r="4930">
      <c r="A4930" s="49">
        <v>44564.89012965278</v>
      </c>
      <c r="B4930" s="50">
        <v>44565.0151078587</v>
      </c>
      <c r="C4930" s="51">
        <v>1.006</v>
      </c>
      <c r="D4930" s="51">
        <v>62.0</v>
      </c>
      <c r="E4930" s="52" t="s">
        <v>25</v>
      </c>
      <c r="F4930" s="52" t="s">
        <v>26</v>
      </c>
      <c r="G4930" s="53"/>
    </row>
    <row r="4931">
      <c r="A4931" s="49">
        <v>44564.90054909722</v>
      </c>
      <c r="B4931" s="50">
        <v>44565.0255301504</v>
      </c>
      <c r="C4931" s="51">
        <v>1.006</v>
      </c>
      <c r="D4931" s="51">
        <v>62.0</v>
      </c>
      <c r="E4931" s="52" t="s">
        <v>25</v>
      </c>
      <c r="F4931" s="52" t="s">
        <v>26</v>
      </c>
      <c r="G4931" s="53"/>
    </row>
    <row r="4932">
      <c r="A4932" s="49">
        <v>44564.91099979167</v>
      </c>
      <c r="B4932" s="50">
        <v>44565.0359741087</v>
      </c>
      <c r="C4932" s="51">
        <v>1.006</v>
      </c>
      <c r="D4932" s="51">
        <v>62.0</v>
      </c>
      <c r="E4932" s="52" t="s">
        <v>25</v>
      </c>
      <c r="F4932" s="52" t="s">
        <v>26</v>
      </c>
      <c r="G4932" s="53"/>
    </row>
    <row r="4933">
      <c r="A4933" s="49">
        <v>44564.92141688657</v>
      </c>
      <c r="B4933" s="50">
        <v>44565.0463963657</v>
      </c>
      <c r="C4933" s="51">
        <v>1.006</v>
      </c>
      <c r="D4933" s="51">
        <v>62.0</v>
      </c>
      <c r="E4933" s="52" t="s">
        <v>25</v>
      </c>
      <c r="F4933" s="52" t="s">
        <v>26</v>
      </c>
      <c r="G4933" s="53"/>
    </row>
    <row r="4934">
      <c r="A4934" s="49">
        <v>44564.93184736111</v>
      </c>
      <c r="B4934" s="50">
        <v>44565.0568286111</v>
      </c>
      <c r="C4934" s="51">
        <v>1.006</v>
      </c>
      <c r="D4934" s="51">
        <v>62.0</v>
      </c>
      <c r="E4934" s="52" t="s">
        <v>25</v>
      </c>
      <c r="F4934" s="52" t="s">
        <v>26</v>
      </c>
      <c r="G4934" s="53"/>
    </row>
    <row r="4935">
      <c r="A4935" s="49">
        <v>44564.94227233796</v>
      </c>
      <c r="B4935" s="50">
        <v>44565.0672505787</v>
      </c>
      <c r="C4935" s="51">
        <v>1.006</v>
      </c>
      <c r="D4935" s="51">
        <v>62.0</v>
      </c>
      <c r="E4935" s="52" t="s">
        <v>25</v>
      </c>
      <c r="F4935" s="52" t="s">
        <v>26</v>
      </c>
      <c r="G4935" s="53"/>
    </row>
    <row r="4936">
      <c r="A4936" s="49">
        <v>44564.952754432874</v>
      </c>
      <c r="B4936" s="50">
        <v>44565.0776713773</v>
      </c>
      <c r="C4936" s="51">
        <v>1.006</v>
      </c>
      <c r="D4936" s="51">
        <v>62.0</v>
      </c>
      <c r="E4936" s="52" t="s">
        <v>25</v>
      </c>
      <c r="F4936" s="52" t="s">
        <v>26</v>
      </c>
      <c r="G4936" s="53"/>
    </row>
    <row r="4937">
      <c r="A4937" s="49">
        <v>44564.963112673606</v>
      </c>
      <c r="B4937" s="50">
        <v>44565.0880917824</v>
      </c>
      <c r="C4937" s="51">
        <v>1.006</v>
      </c>
      <c r="D4937" s="51">
        <v>62.0</v>
      </c>
      <c r="E4937" s="52" t="s">
        <v>25</v>
      </c>
      <c r="F4937" s="52" t="s">
        <v>26</v>
      </c>
      <c r="G4937" s="53"/>
    </row>
    <row r="4938">
      <c r="A4938" s="49">
        <v>44564.973540798615</v>
      </c>
      <c r="B4938" s="50">
        <v>44565.0985142708</v>
      </c>
      <c r="C4938" s="51">
        <v>1.007</v>
      </c>
      <c r="D4938" s="51">
        <v>62.0</v>
      </c>
      <c r="E4938" s="52" t="s">
        <v>25</v>
      </c>
      <c r="F4938" s="52" t="s">
        <v>26</v>
      </c>
      <c r="G4938" s="53"/>
    </row>
    <row r="4939">
      <c r="A4939" s="49">
        <v>44564.983965231484</v>
      </c>
      <c r="B4939" s="50">
        <v>44565.108937118</v>
      </c>
      <c r="C4939" s="51">
        <v>1.006</v>
      </c>
      <c r="D4939" s="51">
        <v>62.0</v>
      </c>
      <c r="E4939" s="52" t="s">
        <v>25</v>
      </c>
      <c r="F4939" s="52" t="s">
        <v>26</v>
      </c>
      <c r="G4939" s="53"/>
    </row>
    <row r="4940">
      <c r="A4940" s="49">
        <v>44564.9943753125</v>
      </c>
      <c r="B4940" s="50">
        <v>44565.1193602893</v>
      </c>
      <c r="C4940" s="51">
        <v>1.006</v>
      </c>
      <c r="D4940" s="51">
        <v>62.0</v>
      </c>
      <c r="E4940" s="52" t="s">
        <v>25</v>
      </c>
      <c r="F4940" s="52" t="s">
        <v>26</v>
      </c>
      <c r="G4940" s="53"/>
    </row>
    <row r="4941">
      <c r="A4941" s="49">
        <v>44565.00479813658</v>
      </c>
      <c r="B4941" s="50">
        <v>44565.1297799074</v>
      </c>
      <c r="C4941" s="51">
        <v>1.006</v>
      </c>
      <c r="D4941" s="51">
        <v>62.0</v>
      </c>
      <c r="E4941" s="52" t="s">
        <v>25</v>
      </c>
      <c r="F4941" s="52" t="s">
        <v>26</v>
      </c>
      <c r="G4941" s="53"/>
    </row>
    <row r="4942">
      <c r="A4942" s="49">
        <v>44565.01523936343</v>
      </c>
      <c r="B4942" s="50">
        <v>44565.1402136111</v>
      </c>
      <c r="C4942" s="51">
        <v>1.006</v>
      </c>
      <c r="D4942" s="51">
        <v>62.0</v>
      </c>
      <c r="E4942" s="52" t="s">
        <v>25</v>
      </c>
      <c r="F4942" s="52" t="s">
        <v>26</v>
      </c>
      <c r="G4942" s="53"/>
    </row>
    <row r="4943">
      <c r="A4943" s="49">
        <v>44565.02566616898</v>
      </c>
      <c r="B4943" s="50">
        <v>44565.1506445138</v>
      </c>
      <c r="C4943" s="51">
        <v>1.006</v>
      </c>
      <c r="D4943" s="51">
        <v>62.0</v>
      </c>
      <c r="E4943" s="52" t="s">
        <v>25</v>
      </c>
      <c r="F4943" s="52" t="s">
        <v>26</v>
      </c>
      <c r="G4943" s="53"/>
    </row>
    <row r="4944">
      <c r="A4944" s="49">
        <v>44565.046507569445</v>
      </c>
      <c r="B4944" s="50">
        <v>44565.171486956</v>
      </c>
      <c r="C4944" s="51">
        <v>1.006</v>
      </c>
      <c r="D4944" s="51">
        <v>62.0</v>
      </c>
      <c r="E4944" s="52" t="s">
        <v>25</v>
      </c>
      <c r="F4944" s="52" t="s">
        <v>26</v>
      </c>
      <c r="G4944" s="53"/>
    </row>
    <row r="4945">
      <c r="A4945" s="49">
        <v>44565.05695854167</v>
      </c>
      <c r="B4945" s="50">
        <v>44565.1819322916</v>
      </c>
      <c r="C4945" s="51">
        <v>1.006</v>
      </c>
      <c r="D4945" s="51">
        <v>62.0</v>
      </c>
      <c r="E4945" s="52" t="s">
        <v>25</v>
      </c>
      <c r="F4945" s="52" t="s">
        <v>26</v>
      </c>
      <c r="G4945" s="53"/>
    </row>
    <row r="4946">
      <c r="A4946" s="49">
        <v>44565.067381747685</v>
      </c>
      <c r="B4946" s="50">
        <v>44565.1923537731</v>
      </c>
      <c r="C4946" s="51">
        <v>1.006</v>
      </c>
      <c r="D4946" s="51">
        <v>62.0</v>
      </c>
      <c r="E4946" s="52" t="s">
        <v>25</v>
      </c>
      <c r="F4946" s="52" t="s">
        <v>26</v>
      </c>
      <c r="G4946" s="53"/>
    </row>
    <row r="4947">
      <c r="A4947" s="49">
        <v>44565.077796990736</v>
      </c>
      <c r="B4947" s="50">
        <v>44565.2027733333</v>
      </c>
      <c r="C4947" s="51">
        <v>1.006</v>
      </c>
      <c r="D4947" s="51">
        <v>62.0</v>
      </c>
      <c r="E4947" s="52" t="s">
        <v>25</v>
      </c>
      <c r="F4947" s="52" t="s">
        <v>26</v>
      </c>
      <c r="G4947" s="53"/>
    </row>
    <row r="4948">
      <c r="A4948" s="49">
        <v>44565.08822958333</v>
      </c>
      <c r="B4948" s="50">
        <v>44565.2131943171</v>
      </c>
      <c r="C4948" s="51">
        <v>1.006</v>
      </c>
      <c r="D4948" s="51">
        <v>62.0</v>
      </c>
      <c r="E4948" s="52" t="s">
        <v>25</v>
      </c>
      <c r="F4948" s="52" t="s">
        <v>26</v>
      </c>
      <c r="G4948" s="53"/>
    </row>
    <row r="4949">
      <c r="A4949" s="49">
        <v>44565.09864480324</v>
      </c>
      <c r="B4949" s="50">
        <v>44565.2236152199</v>
      </c>
      <c r="C4949" s="51">
        <v>1.006</v>
      </c>
      <c r="D4949" s="51">
        <v>62.0</v>
      </c>
      <c r="E4949" s="52" t="s">
        <v>25</v>
      </c>
      <c r="F4949" s="52" t="s">
        <v>26</v>
      </c>
      <c r="G4949" s="53"/>
    </row>
    <row r="4950">
      <c r="A4950" s="49">
        <v>44565.10906260417</v>
      </c>
      <c r="B4950" s="50">
        <v>44565.234035787</v>
      </c>
      <c r="C4950" s="51">
        <v>1.006</v>
      </c>
      <c r="D4950" s="51">
        <v>62.0</v>
      </c>
      <c r="E4950" s="52" t="s">
        <v>25</v>
      </c>
      <c r="F4950" s="52" t="s">
        <v>26</v>
      </c>
      <c r="G4950" s="53"/>
    </row>
    <row r="4951">
      <c r="A4951" s="49">
        <v>44565.119480925925</v>
      </c>
      <c r="B4951" s="50">
        <v>44565.2444562152</v>
      </c>
      <c r="C4951" s="51">
        <v>1.006</v>
      </c>
      <c r="D4951" s="51">
        <v>62.0</v>
      </c>
      <c r="E4951" s="52" t="s">
        <v>25</v>
      </c>
      <c r="F4951" s="52" t="s">
        <v>26</v>
      </c>
      <c r="G4951" s="53"/>
    </row>
    <row r="4952">
      <c r="A4952" s="49">
        <v>44565.12991701389</v>
      </c>
      <c r="B4952" s="50">
        <v>44565.2548896643</v>
      </c>
      <c r="C4952" s="51">
        <v>1.006</v>
      </c>
      <c r="D4952" s="51">
        <v>62.0</v>
      </c>
      <c r="E4952" s="52" t="s">
        <v>25</v>
      </c>
      <c r="F4952" s="52" t="s">
        <v>26</v>
      </c>
      <c r="G4952" s="53"/>
    </row>
    <row r="4953">
      <c r="A4953" s="49">
        <v>44565.14035282408</v>
      </c>
      <c r="B4953" s="50">
        <v>44565.265323206</v>
      </c>
      <c r="C4953" s="51">
        <v>1.006</v>
      </c>
      <c r="D4953" s="51">
        <v>62.0</v>
      </c>
      <c r="E4953" s="52" t="s">
        <v>25</v>
      </c>
      <c r="F4953" s="52" t="s">
        <v>26</v>
      </c>
      <c r="G4953" s="53"/>
    </row>
    <row r="4954">
      <c r="A4954" s="49">
        <v>44565.150770821754</v>
      </c>
      <c r="B4954" s="50">
        <v>44565.275745081</v>
      </c>
      <c r="C4954" s="51">
        <v>1.006</v>
      </c>
      <c r="D4954" s="51">
        <v>62.0</v>
      </c>
      <c r="E4954" s="52" t="s">
        <v>25</v>
      </c>
      <c r="F4954" s="52" t="s">
        <v>26</v>
      </c>
      <c r="G4954" s="53"/>
    </row>
    <row r="4955">
      <c r="A4955" s="49">
        <v>44565.16119238426</v>
      </c>
      <c r="B4955" s="50">
        <v>44565.2861648842</v>
      </c>
      <c r="C4955" s="51">
        <v>1.006</v>
      </c>
      <c r="D4955" s="51">
        <v>62.0</v>
      </c>
      <c r="E4955" s="52" t="s">
        <v>25</v>
      </c>
      <c r="F4955" s="52" t="s">
        <v>26</v>
      </c>
      <c r="G4955" s="53"/>
    </row>
    <row r="4956">
      <c r="A4956" s="49">
        <v>44565.171610335645</v>
      </c>
      <c r="B4956" s="50">
        <v>44565.2965878472</v>
      </c>
      <c r="C4956" s="51">
        <v>1.006</v>
      </c>
      <c r="D4956" s="51">
        <v>62.0</v>
      </c>
      <c r="E4956" s="52" t="s">
        <v>25</v>
      </c>
      <c r="F4956" s="52" t="s">
        <v>26</v>
      </c>
      <c r="G4956" s="53"/>
    </row>
    <row r="4957">
      <c r="A4957" s="49">
        <v>44565.18203622685</v>
      </c>
      <c r="B4957" s="50">
        <v>44565.3070108101</v>
      </c>
      <c r="C4957" s="51">
        <v>1.006</v>
      </c>
      <c r="D4957" s="51">
        <v>62.0</v>
      </c>
      <c r="E4957" s="52" t="s">
        <v>25</v>
      </c>
      <c r="F4957" s="52" t="s">
        <v>26</v>
      </c>
      <c r="G4957" s="53"/>
    </row>
    <row r="4958">
      <c r="A4958" s="49">
        <v>44565.1924565625</v>
      </c>
      <c r="B4958" s="50">
        <v>44565.3174310763</v>
      </c>
      <c r="C4958" s="51">
        <v>1.006</v>
      </c>
      <c r="D4958" s="51">
        <v>62.0</v>
      </c>
      <c r="E4958" s="52" t="s">
        <v>25</v>
      </c>
      <c r="F4958" s="52" t="s">
        <v>26</v>
      </c>
      <c r="G4958" s="53"/>
    </row>
    <row r="4959">
      <c r="A4959" s="49">
        <v>44565.203117592595</v>
      </c>
      <c r="B4959" s="50">
        <v>44565.327853368</v>
      </c>
      <c r="C4959" s="51">
        <v>1.006</v>
      </c>
      <c r="D4959" s="51">
        <v>62.0</v>
      </c>
      <c r="E4959" s="52" t="s">
        <v>25</v>
      </c>
      <c r="F4959" s="52" t="s">
        <v>26</v>
      </c>
      <c r="G4959" s="53"/>
    </row>
    <row r="4960">
      <c r="A4960" s="49">
        <v>44565.21330387732</v>
      </c>
      <c r="B4960" s="50">
        <v>44565.3382843749</v>
      </c>
      <c r="C4960" s="51">
        <v>1.006</v>
      </c>
      <c r="D4960" s="51">
        <v>62.0</v>
      </c>
      <c r="E4960" s="52" t="s">
        <v>25</v>
      </c>
      <c r="F4960" s="52" t="s">
        <v>26</v>
      </c>
      <c r="G4960" s="53"/>
    </row>
    <row r="4961">
      <c r="A4961" s="49">
        <v>44565.22372809028</v>
      </c>
      <c r="B4961" s="50">
        <v>44565.34870603</v>
      </c>
      <c r="C4961" s="51">
        <v>1.006</v>
      </c>
      <c r="D4961" s="51">
        <v>62.0</v>
      </c>
      <c r="E4961" s="52" t="s">
        <v>25</v>
      </c>
      <c r="F4961" s="52" t="s">
        <v>26</v>
      </c>
      <c r="G4961" s="53"/>
    </row>
    <row r="4962">
      <c r="A4962" s="49">
        <v>44565.23416346065</v>
      </c>
      <c r="B4962" s="50">
        <v>44565.3591281712</v>
      </c>
      <c r="C4962" s="51">
        <v>1.006</v>
      </c>
      <c r="D4962" s="51">
        <v>62.0</v>
      </c>
      <c r="E4962" s="52" t="s">
        <v>25</v>
      </c>
      <c r="F4962" s="52" t="s">
        <v>26</v>
      </c>
      <c r="G4962" s="53"/>
    </row>
    <row r="4963">
      <c r="A4963" s="49">
        <v>44565.24468984954</v>
      </c>
      <c r="B4963" s="50">
        <v>44565.3695480902</v>
      </c>
      <c r="C4963" s="51">
        <v>1.006</v>
      </c>
      <c r="D4963" s="51">
        <v>62.0</v>
      </c>
      <c r="E4963" s="52" t="s">
        <v>25</v>
      </c>
      <c r="F4963" s="52" t="s">
        <v>26</v>
      </c>
      <c r="G4963" s="53"/>
    </row>
    <row r="4964">
      <c r="A4964" s="49">
        <v>44565.25501241898</v>
      </c>
      <c r="B4964" s="50">
        <v>44565.3799914467</v>
      </c>
      <c r="C4964" s="51">
        <v>1.006</v>
      </c>
      <c r="D4964" s="51">
        <v>62.0</v>
      </c>
      <c r="E4964" s="52" t="s">
        <v>25</v>
      </c>
      <c r="F4964" s="52" t="s">
        <v>26</v>
      </c>
      <c r="G4964" s="53"/>
    </row>
    <row r="4965">
      <c r="A4965" s="49">
        <v>44565.26559550926</v>
      </c>
      <c r="B4965" s="50">
        <v>44565.3904129398</v>
      </c>
      <c r="C4965" s="51">
        <v>1.006</v>
      </c>
      <c r="D4965" s="51">
        <v>62.0</v>
      </c>
      <c r="E4965" s="52" t="s">
        <v>25</v>
      </c>
      <c r="F4965" s="52" t="s">
        <v>26</v>
      </c>
      <c r="G4965" s="53"/>
    </row>
    <row r="4966">
      <c r="A4966" s="49">
        <v>44565.275878182874</v>
      </c>
      <c r="B4966" s="50">
        <v>44565.4008352662</v>
      </c>
      <c r="C4966" s="51">
        <v>1.006</v>
      </c>
      <c r="D4966" s="51">
        <v>62.0</v>
      </c>
      <c r="E4966" s="52" t="s">
        <v>25</v>
      </c>
      <c r="F4966" s="52" t="s">
        <v>26</v>
      </c>
      <c r="G4966" s="53"/>
    </row>
    <row r="4967">
      <c r="A4967" s="49">
        <v>44565.28628944444</v>
      </c>
      <c r="B4967" s="50">
        <v>44565.4112661689</v>
      </c>
      <c r="C4967" s="51">
        <v>1.006</v>
      </c>
      <c r="D4967" s="51">
        <v>62.0</v>
      </c>
      <c r="E4967" s="52" t="s">
        <v>25</v>
      </c>
      <c r="F4967" s="52" t="s">
        <v>26</v>
      </c>
      <c r="G4967" s="53"/>
    </row>
    <row r="4968">
      <c r="A4968" s="49">
        <v>44565.29670709491</v>
      </c>
      <c r="B4968" s="50">
        <v>44565.4216867476</v>
      </c>
      <c r="C4968" s="51">
        <v>1.006</v>
      </c>
      <c r="D4968" s="51">
        <v>62.0</v>
      </c>
      <c r="E4968" s="52" t="s">
        <v>25</v>
      </c>
      <c r="F4968" s="52" t="s">
        <v>26</v>
      </c>
      <c r="G4968" s="53"/>
    </row>
    <row r="4969">
      <c r="A4969" s="49">
        <v>44565.30713710648</v>
      </c>
      <c r="B4969" s="50">
        <v>44565.4321086342</v>
      </c>
      <c r="C4969" s="51">
        <v>1.006</v>
      </c>
      <c r="D4969" s="51">
        <v>62.0</v>
      </c>
      <c r="E4969" s="52" t="s">
        <v>25</v>
      </c>
      <c r="F4969" s="52" t="s">
        <v>26</v>
      </c>
      <c r="G4969" s="53"/>
    </row>
    <row r="4970">
      <c r="A4970" s="49">
        <v>44565.31755252315</v>
      </c>
      <c r="B4970" s="50">
        <v>44565.4425302662</v>
      </c>
      <c r="C4970" s="51">
        <v>1.006</v>
      </c>
      <c r="D4970" s="51">
        <v>62.0</v>
      </c>
      <c r="E4970" s="52" t="s">
        <v>25</v>
      </c>
      <c r="F4970" s="52" t="s">
        <v>26</v>
      </c>
      <c r="G4970" s="53"/>
    </row>
    <row r="4971">
      <c r="A4971" s="49">
        <v>44565.327977824076</v>
      </c>
      <c r="B4971" s="50">
        <v>44565.4529511574</v>
      </c>
      <c r="C4971" s="51">
        <v>1.006</v>
      </c>
      <c r="D4971" s="51">
        <v>62.0</v>
      </c>
      <c r="E4971" s="52" t="s">
        <v>25</v>
      </c>
      <c r="F4971" s="52" t="s">
        <v>26</v>
      </c>
      <c r="G4971" s="53"/>
    </row>
    <row r="4972">
      <c r="A4972" s="49">
        <v>44565.33840934028</v>
      </c>
      <c r="B4972" s="50">
        <v>44565.4633842592</v>
      </c>
      <c r="C4972" s="51">
        <v>1.006</v>
      </c>
      <c r="D4972" s="51">
        <v>62.0</v>
      </c>
      <c r="E4972" s="52" t="s">
        <v>25</v>
      </c>
      <c r="F4972" s="52" t="s">
        <v>26</v>
      </c>
      <c r="G4972" s="53"/>
    </row>
    <row r="4973">
      <c r="A4973" s="49">
        <v>44565.3488509375</v>
      </c>
      <c r="B4973" s="50">
        <v>44565.4738051388</v>
      </c>
      <c r="C4973" s="51">
        <v>1.006</v>
      </c>
      <c r="D4973" s="51">
        <v>62.0</v>
      </c>
      <c r="E4973" s="52" t="s">
        <v>25</v>
      </c>
      <c r="F4973" s="52" t="s">
        <v>26</v>
      </c>
      <c r="G4973" s="53"/>
    </row>
    <row r="4974">
      <c r="A4974" s="49">
        <v>44565.359265439816</v>
      </c>
      <c r="B4974" s="50">
        <v>44565.4842380324</v>
      </c>
      <c r="C4974" s="51">
        <v>1.006</v>
      </c>
      <c r="D4974" s="51">
        <v>62.0</v>
      </c>
      <c r="E4974" s="52" t="s">
        <v>25</v>
      </c>
      <c r="F4974" s="52" t="s">
        <v>26</v>
      </c>
      <c r="G4974" s="53"/>
    </row>
    <row r="4975">
      <c r="A4975" s="49">
        <v>44565.36968674768</v>
      </c>
      <c r="B4975" s="50">
        <v>44565.4946607986</v>
      </c>
      <c r="C4975" s="51">
        <v>1.006</v>
      </c>
      <c r="D4975" s="51">
        <v>62.0</v>
      </c>
      <c r="E4975" s="52" t="s">
        <v>25</v>
      </c>
      <c r="F4975" s="52" t="s">
        <v>26</v>
      </c>
      <c r="G4975" s="53"/>
    </row>
    <row r="4976">
      <c r="A4976" s="49">
        <v>44565.380109861115</v>
      </c>
      <c r="B4976" s="50">
        <v>44565.5050811805</v>
      </c>
      <c r="C4976" s="51">
        <v>1.006</v>
      </c>
      <c r="D4976" s="51">
        <v>62.0</v>
      </c>
      <c r="E4976" s="52" t="s">
        <v>25</v>
      </c>
      <c r="F4976" s="52" t="s">
        <v>26</v>
      </c>
      <c r="G4976" s="53"/>
    </row>
    <row r="4977">
      <c r="A4977" s="49">
        <v>44565.39053582176</v>
      </c>
      <c r="B4977" s="50">
        <v>44565.5155151041</v>
      </c>
      <c r="C4977" s="51">
        <v>1.006</v>
      </c>
      <c r="D4977" s="51">
        <v>62.0</v>
      </c>
      <c r="E4977" s="52" t="s">
        <v>25</v>
      </c>
      <c r="F4977" s="52" t="s">
        <v>26</v>
      </c>
      <c r="G4977" s="53"/>
    </row>
    <row r="4978">
      <c r="A4978" s="49">
        <v>44565.40096104167</v>
      </c>
      <c r="B4978" s="50">
        <v>44565.5259368287</v>
      </c>
      <c r="C4978" s="51">
        <v>1.006</v>
      </c>
      <c r="D4978" s="51">
        <v>62.0</v>
      </c>
      <c r="E4978" s="52" t="s">
        <v>25</v>
      </c>
      <c r="F4978" s="52" t="s">
        <v>26</v>
      </c>
      <c r="G4978" s="53"/>
    </row>
    <row r="4979">
      <c r="A4979" s="49">
        <v>44565.411388946755</v>
      </c>
      <c r="B4979" s="50">
        <v>44565.5363686921</v>
      </c>
      <c r="C4979" s="51">
        <v>1.006</v>
      </c>
      <c r="D4979" s="51">
        <v>62.0</v>
      </c>
      <c r="E4979" s="52" t="s">
        <v>25</v>
      </c>
      <c r="F4979" s="52" t="s">
        <v>26</v>
      </c>
      <c r="G4979" s="53"/>
    </row>
    <row r="4980">
      <c r="A4980" s="49">
        <v>44565.421827604165</v>
      </c>
      <c r="B4980" s="50">
        <v>44565.5467999884</v>
      </c>
      <c r="C4980" s="51">
        <v>1.006</v>
      </c>
      <c r="D4980" s="51">
        <v>62.0</v>
      </c>
      <c r="E4980" s="52" t="s">
        <v>25</v>
      </c>
      <c r="F4980" s="52" t="s">
        <v>26</v>
      </c>
      <c r="G4980" s="53"/>
    </row>
    <row r="4981">
      <c r="A4981" s="49">
        <v>44565.432275810184</v>
      </c>
      <c r="B4981" s="50">
        <v>44565.5572205208</v>
      </c>
      <c r="C4981" s="51">
        <v>1.006</v>
      </c>
      <c r="D4981" s="51">
        <v>62.0</v>
      </c>
      <c r="E4981" s="52" t="s">
        <v>25</v>
      </c>
      <c r="F4981" s="52" t="s">
        <v>26</v>
      </c>
      <c r="G4981" s="53"/>
    </row>
    <row r="4982">
      <c r="A4982" s="49">
        <v>44565.442664456015</v>
      </c>
      <c r="B4982" s="50">
        <v>44565.56764</v>
      </c>
      <c r="C4982" s="51">
        <v>1.006</v>
      </c>
      <c r="D4982" s="51">
        <v>62.0</v>
      </c>
      <c r="E4982" s="52" t="s">
        <v>25</v>
      </c>
      <c r="F4982" s="52" t="s">
        <v>26</v>
      </c>
      <c r="G4982" s="53"/>
    </row>
    <row r="4983">
      <c r="A4983" s="49">
        <v>44565.45307592592</v>
      </c>
      <c r="B4983" s="50">
        <v>44565.5780595949</v>
      </c>
      <c r="C4983" s="51">
        <v>1.006</v>
      </c>
      <c r="D4983" s="51">
        <v>62.0</v>
      </c>
      <c r="E4983" s="52" t="s">
        <v>25</v>
      </c>
      <c r="F4983" s="52" t="s">
        <v>26</v>
      </c>
      <c r="G4983" s="53"/>
    </row>
    <row r="4984">
      <c r="A4984" s="49">
        <v>44565.46351239583</v>
      </c>
      <c r="B4984" s="50">
        <v>44565.5884800925</v>
      </c>
      <c r="C4984" s="51">
        <v>1.006</v>
      </c>
      <c r="D4984" s="51">
        <v>62.0</v>
      </c>
      <c r="E4984" s="52" t="s">
        <v>25</v>
      </c>
      <c r="F4984" s="52" t="s">
        <v>26</v>
      </c>
      <c r="G4984" s="53"/>
    </row>
    <row r="4985">
      <c r="A4985" s="49">
        <v>44565.47418793981</v>
      </c>
      <c r="B4985" s="50">
        <v>44565.5989036574</v>
      </c>
      <c r="C4985" s="51">
        <v>1.006</v>
      </c>
      <c r="D4985" s="51">
        <v>62.0</v>
      </c>
      <c r="E4985" s="52" t="s">
        <v>25</v>
      </c>
      <c r="F4985" s="52" t="s">
        <v>26</v>
      </c>
      <c r="G4985" s="53"/>
    </row>
    <row r="4986">
      <c r="A4986" s="49">
        <v>44565.48434952546</v>
      </c>
      <c r="B4986" s="50">
        <v>44565.6093247453</v>
      </c>
      <c r="C4986" s="51">
        <v>1.006</v>
      </c>
      <c r="D4986" s="51">
        <v>62.0</v>
      </c>
      <c r="E4986" s="52" t="s">
        <v>25</v>
      </c>
      <c r="F4986" s="52" t="s">
        <v>26</v>
      </c>
      <c r="G4986" s="53"/>
    </row>
    <row r="4987">
      <c r="A4987" s="49">
        <v>44565.494762476854</v>
      </c>
      <c r="B4987" s="50">
        <v>44565.6197450694</v>
      </c>
      <c r="C4987" s="51">
        <v>1.006</v>
      </c>
      <c r="D4987" s="51">
        <v>62.0</v>
      </c>
      <c r="E4987" s="52" t="s">
        <v>25</v>
      </c>
      <c r="F4987" s="52" t="s">
        <v>26</v>
      </c>
      <c r="G4987" s="53"/>
    </row>
    <row r="4988">
      <c r="A4988" s="49">
        <v>44565.5051841088</v>
      </c>
      <c r="B4988" s="50">
        <v>44565.6301660648</v>
      </c>
      <c r="C4988" s="51">
        <v>1.006</v>
      </c>
      <c r="D4988" s="51">
        <v>62.0</v>
      </c>
      <c r="E4988" s="52" t="s">
        <v>25</v>
      </c>
      <c r="F4988" s="52" t="s">
        <v>26</v>
      </c>
      <c r="G4988" s="53"/>
    </row>
    <row r="4989">
      <c r="A4989" s="49">
        <v>44565.515646886575</v>
      </c>
      <c r="B4989" s="50">
        <v>44565.6406106712</v>
      </c>
      <c r="C4989" s="51">
        <v>1.006</v>
      </c>
      <c r="D4989" s="51">
        <v>62.0</v>
      </c>
      <c r="E4989" s="52" t="s">
        <v>25</v>
      </c>
      <c r="F4989" s="52" t="s">
        <v>26</v>
      </c>
      <c r="G4989" s="53"/>
    </row>
    <row r="4990">
      <c r="A4990" s="49">
        <v>44565.52606920138</v>
      </c>
      <c r="B4990" s="50">
        <v>44565.6510424537</v>
      </c>
      <c r="C4990" s="51">
        <v>1.006</v>
      </c>
      <c r="D4990" s="51">
        <v>62.0</v>
      </c>
      <c r="E4990" s="52" t="s">
        <v>25</v>
      </c>
      <c r="F4990" s="52" t="s">
        <v>26</v>
      </c>
      <c r="G4990" s="53"/>
    </row>
    <row r="4991">
      <c r="A4991" s="49">
        <v>44565.53649533565</v>
      </c>
      <c r="B4991" s="50">
        <v>44565.6614634838</v>
      </c>
      <c r="C4991" s="51">
        <v>1.006</v>
      </c>
      <c r="D4991" s="51">
        <v>62.0</v>
      </c>
      <c r="E4991" s="52" t="s">
        <v>25</v>
      </c>
      <c r="F4991" s="52" t="s">
        <v>26</v>
      </c>
      <c r="G4991" s="53"/>
    </row>
    <row r="4992">
      <c r="A4992" s="49">
        <v>44565.54690725694</v>
      </c>
      <c r="B4992" s="50">
        <v>44565.6718836111</v>
      </c>
      <c r="C4992" s="51">
        <v>1.006</v>
      </c>
      <c r="D4992" s="51">
        <v>62.0</v>
      </c>
      <c r="E4992" s="52" t="s">
        <v>25</v>
      </c>
      <c r="F4992" s="52" t="s">
        <v>26</v>
      </c>
      <c r="G4992" s="53"/>
    </row>
    <row r="4993">
      <c r="A4993" s="49">
        <v>44565.5573353125</v>
      </c>
      <c r="B4993" s="50">
        <v>44565.6823050115</v>
      </c>
      <c r="C4993" s="51">
        <v>1.006</v>
      </c>
      <c r="D4993" s="51">
        <v>62.0</v>
      </c>
      <c r="E4993" s="52" t="s">
        <v>25</v>
      </c>
      <c r="F4993" s="52" t="s">
        <v>26</v>
      </c>
      <c r="G4993" s="53"/>
    </row>
    <row r="4994">
      <c r="A4994" s="49">
        <v>44565.567747430556</v>
      </c>
      <c r="B4994" s="50">
        <v>44565.6927270138</v>
      </c>
      <c r="C4994" s="51">
        <v>1.006</v>
      </c>
      <c r="D4994" s="51">
        <v>62.0</v>
      </c>
      <c r="E4994" s="52" t="s">
        <v>25</v>
      </c>
      <c r="F4994" s="52" t="s">
        <v>26</v>
      </c>
      <c r="G4994" s="53"/>
    </row>
    <row r="4995">
      <c r="A4995" s="49">
        <v>44565.57817857639</v>
      </c>
      <c r="B4995" s="50">
        <v>44565.70316</v>
      </c>
      <c r="C4995" s="51">
        <v>1.006</v>
      </c>
      <c r="D4995" s="51">
        <v>62.0</v>
      </c>
      <c r="E4995" s="52" t="s">
        <v>25</v>
      </c>
      <c r="F4995" s="52" t="s">
        <v>26</v>
      </c>
      <c r="G4995" s="53"/>
    </row>
    <row r="4996">
      <c r="A4996" s="49">
        <v>44565.58862739583</v>
      </c>
      <c r="B4996" s="50">
        <v>44565.7136025462</v>
      </c>
      <c r="C4996" s="51">
        <v>1.006</v>
      </c>
      <c r="D4996" s="51">
        <v>62.0</v>
      </c>
      <c r="E4996" s="52" t="s">
        <v>25</v>
      </c>
      <c r="F4996" s="52" t="s">
        <v>26</v>
      </c>
      <c r="G4996" s="53"/>
    </row>
    <row r="4997">
      <c r="A4997" s="49">
        <v>44565.5990475</v>
      </c>
      <c r="B4997" s="50">
        <v>44565.7240244328</v>
      </c>
      <c r="C4997" s="51">
        <v>1.006</v>
      </c>
      <c r="D4997" s="51">
        <v>62.0</v>
      </c>
      <c r="E4997" s="52" t="s">
        <v>25</v>
      </c>
      <c r="F4997" s="52" t="s">
        <v>26</v>
      </c>
      <c r="G4997" s="53"/>
    </row>
    <row r="4998">
      <c r="A4998" s="49">
        <v>44565.60963456018</v>
      </c>
      <c r="B4998" s="50">
        <v>44565.7344560879</v>
      </c>
      <c r="C4998" s="51">
        <v>1.006</v>
      </c>
      <c r="D4998" s="51">
        <v>62.0</v>
      </c>
      <c r="E4998" s="52" t="s">
        <v>25</v>
      </c>
      <c r="F4998" s="52" t="s">
        <v>26</v>
      </c>
      <c r="G4998" s="53"/>
    </row>
    <row r="4999">
      <c r="A4999" s="49">
        <v>44565.619914016206</v>
      </c>
      <c r="B4999" s="50">
        <v>44565.7448884722</v>
      </c>
      <c r="C4999" s="51">
        <v>1.006</v>
      </c>
      <c r="D4999" s="51">
        <v>62.0</v>
      </c>
      <c r="E4999" s="52" t="s">
        <v>25</v>
      </c>
      <c r="F4999" s="52" t="s">
        <v>26</v>
      </c>
      <c r="G4999" s="53"/>
    </row>
    <row r="5000">
      <c r="A5000" s="49">
        <v>44565.63033616898</v>
      </c>
      <c r="B5000" s="50">
        <v>44565.7553103472</v>
      </c>
      <c r="C5000" s="51">
        <v>1.006</v>
      </c>
      <c r="D5000" s="51">
        <v>62.0</v>
      </c>
      <c r="E5000" s="52" t="s">
        <v>25</v>
      </c>
      <c r="F5000" s="52" t="s">
        <v>26</v>
      </c>
      <c r="G5000" s="53"/>
    </row>
    <row r="5001">
      <c r="A5001" s="49">
        <v>44565.64076047453</v>
      </c>
      <c r="B5001" s="50">
        <v>44565.76573125</v>
      </c>
      <c r="C5001" s="51">
        <v>1.006</v>
      </c>
      <c r="D5001" s="51">
        <v>62.0</v>
      </c>
      <c r="E5001" s="52" t="s">
        <v>25</v>
      </c>
      <c r="F5001" s="52" t="s">
        <v>26</v>
      </c>
      <c r="G5001" s="53"/>
    </row>
    <row r="5002">
      <c r="A5002" s="49">
        <v>44565.65119561343</v>
      </c>
      <c r="B5002" s="50">
        <v>44565.7761760185</v>
      </c>
      <c r="C5002" s="51">
        <v>1.006</v>
      </c>
      <c r="D5002" s="51">
        <v>62.0</v>
      </c>
      <c r="E5002" s="52" t="s">
        <v>25</v>
      </c>
      <c r="F5002" s="52" t="s">
        <v>26</v>
      </c>
      <c r="G5002" s="53"/>
    </row>
    <row r="5003">
      <c r="A5003" s="49">
        <v>44565.661626875</v>
      </c>
      <c r="B5003" s="50">
        <v>44565.7865979513</v>
      </c>
      <c r="C5003" s="51">
        <v>1.006</v>
      </c>
      <c r="D5003" s="51">
        <v>62.0</v>
      </c>
      <c r="E5003" s="52" t="s">
        <v>25</v>
      </c>
      <c r="F5003" s="52" t="s">
        <v>26</v>
      </c>
      <c r="G5003" s="53"/>
    </row>
    <row r="5004">
      <c r="A5004" s="49">
        <v>44565.67204496528</v>
      </c>
      <c r="B5004" s="50">
        <v>44565.7970184606</v>
      </c>
      <c r="C5004" s="51">
        <v>1.006</v>
      </c>
      <c r="D5004" s="51">
        <v>62.0</v>
      </c>
      <c r="E5004" s="52" t="s">
        <v>25</v>
      </c>
      <c r="F5004" s="52" t="s">
        <v>26</v>
      </c>
      <c r="G5004" s="53"/>
    </row>
    <row r="5005">
      <c r="A5005" s="49">
        <v>44565.68246733796</v>
      </c>
      <c r="B5005" s="50">
        <v>44565.8074398032</v>
      </c>
      <c r="C5005" s="51">
        <v>1.006</v>
      </c>
      <c r="D5005" s="51">
        <v>62.0</v>
      </c>
      <c r="E5005" s="52" t="s">
        <v>25</v>
      </c>
      <c r="F5005" s="52" t="s">
        <v>26</v>
      </c>
      <c r="G5005" s="53"/>
    </row>
    <row r="5006">
      <c r="A5006" s="49">
        <v>44565.69288440973</v>
      </c>
      <c r="B5006" s="50">
        <v>44565.817860324</v>
      </c>
      <c r="C5006" s="51">
        <v>1.006</v>
      </c>
      <c r="D5006" s="51">
        <v>62.0</v>
      </c>
      <c r="E5006" s="52" t="s">
        <v>25</v>
      </c>
      <c r="F5006" s="52" t="s">
        <v>26</v>
      </c>
      <c r="G5006" s="53"/>
    </row>
    <row r="5007">
      <c r="A5007" s="49">
        <v>44565.703311377314</v>
      </c>
      <c r="B5007" s="50">
        <v>44565.828280868</v>
      </c>
      <c r="C5007" s="51">
        <v>1.006</v>
      </c>
      <c r="D5007" s="51">
        <v>62.0</v>
      </c>
      <c r="E5007" s="52" t="s">
        <v>25</v>
      </c>
      <c r="F5007" s="52" t="s">
        <v>26</v>
      </c>
      <c r="G5007" s="53"/>
    </row>
    <row r="5008">
      <c r="A5008" s="49">
        <v>44565.71374328704</v>
      </c>
      <c r="B5008" s="50">
        <v>44565.8387241435</v>
      </c>
      <c r="C5008" s="51">
        <v>1.006</v>
      </c>
      <c r="D5008" s="51">
        <v>62.0</v>
      </c>
      <c r="E5008" s="52" t="s">
        <v>25</v>
      </c>
      <c r="F5008" s="52" t="s">
        <v>26</v>
      </c>
      <c r="G5008" s="53"/>
    </row>
    <row r="5009">
      <c r="A5009" s="49">
        <v>44565.724170636575</v>
      </c>
      <c r="B5009" s="50">
        <v>44565.8491456018</v>
      </c>
      <c r="C5009" s="51">
        <v>1.006</v>
      </c>
      <c r="D5009" s="51">
        <v>62.0</v>
      </c>
      <c r="E5009" s="52" t="s">
        <v>25</v>
      </c>
      <c r="F5009" s="52" t="s">
        <v>26</v>
      </c>
      <c r="G5009" s="53"/>
    </row>
    <row r="5010">
      <c r="A5010" s="49">
        <v>44565.734586782404</v>
      </c>
      <c r="B5010" s="50">
        <v>44565.8595685532</v>
      </c>
      <c r="C5010" s="51">
        <v>1.006</v>
      </c>
      <c r="D5010" s="51">
        <v>62.0</v>
      </c>
      <c r="E5010" s="52" t="s">
        <v>25</v>
      </c>
      <c r="F5010" s="52" t="s">
        <v>26</v>
      </c>
      <c r="G5010" s="53"/>
    </row>
    <row r="5011">
      <c r="A5011" s="49">
        <v>44565.745036990746</v>
      </c>
      <c r="B5011" s="50">
        <v>44565.8700015161</v>
      </c>
      <c r="C5011" s="51">
        <v>1.006</v>
      </c>
      <c r="D5011" s="51">
        <v>62.0</v>
      </c>
      <c r="E5011" s="52" t="s">
        <v>25</v>
      </c>
      <c r="F5011" s="52" t="s">
        <v>26</v>
      </c>
      <c r="G5011" s="53"/>
    </row>
    <row r="5012">
      <c r="A5012" s="49">
        <v>44565.75544335648</v>
      </c>
      <c r="B5012" s="50">
        <v>44565.8804229282</v>
      </c>
      <c r="C5012" s="51">
        <v>1.006</v>
      </c>
      <c r="D5012" s="51">
        <v>62.0</v>
      </c>
      <c r="E5012" s="52" t="s">
        <v>25</v>
      </c>
      <c r="F5012" s="52" t="s">
        <v>26</v>
      </c>
      <c r="G5012" s="53"/>
    </row>
    <row r="5013">
      <c r="A5013" s="49">
        <v>44565.76586179398</v>
      </c>
      <c r="B5013" s="50">
        <v>44565.8908423611</v>
      </c>
      <c r="C5013" s="51">
        <v>1.006</v>
      </c>
      <c r="D5013" s="51">
        <v>62.0</v>
      </c>
      <c r="E5013" s="52" t="s">
        <v>25</v>
      </c>
      <c r="F5013" s="52" t="s">
        <v>26</v>
      </c>
      <c r="G5013" s="53"/>
    </row>
    <row r="5014">
      <c r="A5014" s="49">
        <v>44565.77628449074</v>
      </c>
      <c r="B5014" s="50">
        <v>44565.9012632986</v>
      </c>
      <c r="C5014" s="51">
        <v>1.006</v>
      </c>
      <c r="D5014" s="51">
        <v>62.0</v>
      </c>
      <c r="E5014" s="52" t="s">
        <v>25</v>
      </c>
      <c r="F5014" s="52" t="s">
        <v>26</v>
      </c>
      <c r="G5014" s="53"/>
    </row>
    <row r="5015">
      <c r="A5015" s="49">
        <v>44565.78670315973</v>
      </c>
      <c r="B5015" s="50">
        <v>44565.9116839467</v>
      </c>
      <c r="C5015" s="51">
        <v>1.006</v>
      </c>
      <c r="D5015" s="51">
        <v>62.0</v>
      </c>
      <c r="E5015" s="52" t="s">
        <v>25</v>
      </c>
      <c r="F5015" s="52" t="s">
        <v>26</v>
      </c>
      <c r="G5015" s="53"/>
    </row>
    <row r="5016">
      <c r="A5016" s="49">
        <v>44565.797133518514</v>
      </c>
      <c r="B5016" s="50">
        <v>44565.9221070601</v>
      </c>
      <c r="C5016" s="51">
        <v>1.006</v>
      </c>
      <c r="D5016" s="51">
        <v>62.0</v>
      </c>
      <c r="E5016" s="52" t="s">
        <v>25</v>
      </c>
      <c r="F5016" s="52" t="s">
        <v>26</v>
      </c>
      <c r="G5016" s="53"/>
    </row>
    <row r="5017">
      <c r="A5017" s="49">
        <v>44565.807547592594</v>
      </c>
      <c r="B5017" s="50">
        <v>44565.932529456</v>
      </c>
      <c r="C5017" s="51">
        <v>1.006</v>
      </c>
      <c r="D5017" s="51">
        <v>62.0</v>
      </c>
      <c r="E5017" s="52" t="s">
        <v>25</v>
      </c>
      <c r="F5017" s="52" t="s">
        <v>26</v>
      </c>
      <c r="G5017" s="53"/>
    </row>
    <row r="5018">
      <c r="A5018" s="49">
        <v>44565.81799217593</v>
      </c>
      <c r="B5018" s="50">
        <v>44565.9429505092</v>
      </c>
      <c r="C5018" s="51">
        <v>1.006</v>
      </c>
      <c r="D5018" s="51">
        <v>62.0</v>
      </c>
      <c r="E5018" s="52" t="s">
        <v>25</v>
      </c>
      <c r="F5018" s="52" t="s">
        <v>26</v>
      </c>
      <c r="G5018" s="53"/>
    </row>
    <row r="5019">
      <c r="A5019" s="49">
        <v>44565.82839131945</v>
      </c>
      <c r="B5019" s="50">
        <v>44565.9533727662</v>
      </c>
      <c r="C5019" s="51">
        <v>1.006</v>
      </c>
      <c r="D5019" s="51">
        <v>62.0</v>
      </c>
      <c r="E5019" s="52" t="s">
        <v>25</v>
      </c>
      <c r="F5019" s="52" t="s">
        <v>26</v>
      </c>
      <c r="G5019" s="53"/>
    </row>
    <row r="5020">
      <c r="A5020" s="49">
        <v>44565.83882333333</v>
      </c>
      <c r="B5020" s="50">
        <v>44565.9637935763</v>
      </c>
      <c r="C5020" s="51">
        <v>1.006</v>
      </c>
      <c r="D5020" s="51">
        <v>62.0</v>
      </c>
      <c r="E5020" s="52" t="s">
        <v>25</v>
      </c>
      <c r="F5020" s="52" t="s">
        <v>26</v>
      </c>
      <c r="G5020" s="53"/>
    </row>
    <row r="5021">
      <c r="A5021" s="49">
        <v>44565.84923890047</v>
      </c>
      <c r="B5021" s="50">
        <v>44565.9742137731</v>
      </c>
      <c r="C5021" s="51">
        <v>1.006</v>
      </c>
      <c r="D5021" s="51">
        <v>62.0</v>
      </c>
      <c r="E5021" s="52" t="s">
        <v>25</v>
      </c>
      <c r="F5021" s="52" t="s">
        <v>26</v>
      </c>
      <c r="G5021" s="53"/>
    </row>
    <row r="5022">
      <c r="A5022" s="49">
        <v>44565.859680127316</v>
      </c>
      <c r="B5022" s="50">
        <v>44565.9846577777</v>
      </c>
      <c r="C5022" s="51">
        <v>1.006</v>
      </c>
      <c r="D5022" s="51">
        <v>62.0</v>
      </c>
      <c r="E5022" s="52" t="s">
        <v>25</v>
      </c>
      <c r="F5022" s="52" t="s">
        <v>26</v>
      </c>
      <c r="G5022" s="53"/>
    </row>
    <row r="5023">
      <c r="A5023" s="49">
        <v>44565.8701046875</v>
      </c>
      <c r="B5023" s="50">
        <v>44565.9950786226</v>
      </c>
      <c r="C5023" s="51">
        <v>1.006</v>
      </c>
      <c r="D5023" s="51">
        <v>62.0</v>
      </c>
      <c r="E5023" s="52" t="s">
        <v>25</v>
      </c>
      <c r="F5023" s="52" t="s">
        <v>26</v>
      </c>
      <c r="G5023" s="53"/>
    </row>
    <row r="5024">
      <c r="A5024" s="49">
        <v>44565.88052269676</v>
      </c>
      <c r="B5024" s="50">
        <v>44566.0054992129</v>
      </c>
      <c r="C5024" s="51">
        <v>1.006</v>
      </c>
      <c r="D5024" s="51">
        <v>62.0</v>
      </c>
      <c r="E5024" s="52" t="s">
        <v>25</v>
      </c>
      <c r="F5024" s="52" t="s">
        <v>26</v>
      </c>
      <c r="G5024" s="53"/>
    </row>
    <row r="5025">
      <c r="A5025" s="49">
        <v>44565.89095259259</v>
      </c>
      <c r="B5025" s="50">
        <v>44566.0159316319</v>
      </c>
      <c r="C5025" s="51">
        <v>1.006</v>
      </c>
      <c r="D5025" s="51">
        <v>62.0</v>
      </c>
      <c r="E5025" s="52" t="s">
        <v>25</v>
      </c>
      <c r="F5025" s="52" t="s">
        <v>26</v>
      </c>
      <c r="G5025" s="53"/>
    </row>
    <row r="5026">
      <c r="A5026" s="49">
        <v>44565.90138149305</v>
      </c>
      <c r="B5026" s="50">
        <v>44566.0263633333</v>
      </c>
      <c r="C5026" s="51">
        <v>1.006</v>
      </c>
      <c r="D5026" s="51">
        <v>62.0</v>
      </c>
      <c r="E5026" s="52" t="s">
        <v>25</v>
      </c>
      <c r="F5026" s="52" t="s">
        <v>26</v>
      </c>
      <c r="G5026" s="53"/>
    </row>
    <row r="5027">
      <c r="A5027" s="49">
        <v>44565.91182228009</v>
      </c>
      <c r="B5027" s="50">
        <v>44566.036797199</v>
      </c>
      <c r="C5027" s="51">
        <v>1.006</v>
      </c>
      <c r="D5027" s="51">
        <v>62.0</v>
      </c>
      <c r="E5027" s="52" t="s">
        <v>25</v>
      </c>
      <c r="F5027" s="52" t="s">
        <v>26</v>
      </c>
      <c r="G5027" s="53"/>
    </row>
    <row r="5028">
      <c r="A5028" s="49">
        <v>44565.922254282406</v>
      </c>
      <c r="B5028" s="50">
        <v>44566.0472184606</v>
      </c>
      <c r="C5028" s="51">
        <v>1.006</v>
      </c>
      <c r="D5028" s="51">
        <v>62.0</v>
      </c>
      <c r="E5028" s="52" t="s">
        <v>25</v>
      </c>
      <c r="F5028" s="52" t="s">
        <v>26</v>
      </c>
      <c r="G5028" s="53"/>
    </row>
    <row r="5029">
      <c r="A5029" s="49">
        <v>44565.93267045139</v>
      </c>
      <c r="B5029" s="50">
        <v>44566.0576505208</v>
      </c>
      <c r="C5029" s="51">
        <v>1.006</v>
      </c>
      <c r="D5029" s="51">
        <v>62.0</v>
      </c>
      <c r="E5029" s="52" t="s">
        <v>25</v>
      </c>
      <c r="F5029" s="52" t="s">
        <v>26</v>
      </c>
      <c r="G5029" s="53"/>
    </row>
    <row r="5030">
      <c r="A5030" s="49">
        <v>44565.94308815972</v>
      </c>
      <c r="B5030" s="50">
        <v>44566.0680711689</v>
      </c>
      <c r="C5030" s="51">
        <v>1.006</v>
      </c>
      <c r="D5030" s="51">
        <v>62.0</v>
      </c>
      <c r="E5030" s="52" t="s">
        <v>25</v>
      </c>
      <c r="F5030" s="52" t="s">
        <v>26</v>
      </c>
      <c r="G5030" s="53"/>
    </row>
    <row r="5031">
      <c r="A5031" s="49">
        <v>44565.953515636575</v>
      </c>
      <c r="B5031" s="50">
        <v>44566.0784929629</v>
      </c>
      <c r="C5031" s="51">
        <v>1.006</v>
      </c>
      <c r="D5031" s="51">
        <v>62.0</v>
      </c>
      <c r="E5031" s="52" t="s">
        <v>25</v>
      </c>
      <c r="F5031" s="52" t="s">
        <v>26</v>
      </c>
      <c r="G5031" s="53"/>
    </row>
    <row r="5032">
      <c r="A5032" s="49">
        <v>44565.96394570602</v>
      </c>
      <c r="B5032" s="50">
        <v>44566.0889263078</v>
      </c>
      <c r="C5032" s="51">
        <v>1.006</v>
      </c>
      <c r="D5032" s="51">
        <v>62.0</v>
      </c>
      <c r="E5032" s="52" t="s">
        <v>25</v>
      </c>
      <c r="F5032" s="52" t="s">
        <v>26</v>
      </c>
      <c r="G5032" s="53"/>
    </row>
    <row r="5033">
      <c r="A5033" s="49">
        <v>44565.97437707176</v>
      </c>
      <c r="B5033" s="50">
        <v>44566.099358449</v>
      </c>
      <c r="C5033" s="51">
        <v>1.006</v>
      </c>
      <c r="D5033" s="51">
        <v>62.0</v>
      </c>
      <c r="E5033" s="52" t="s">
        <v>25</v>
      </c>
      <c r="F5033" s="52" t="s">
        <v>26</v>
      </c>
      <c r="G5033" s="53"/>
    </row>
    <row r="5034">
      <c r="A5034" s="49">
        <v>44565.98481491898</v>
      </c>
      <c r="B5034" s="50">
        <v>44566.1097915393</v>
      </c>
      <c r="C5034" s="51">
        <v>1.006</v>
      </c>
      <c r="D5034" s="51">
        <v>62.0</v>
      </c>
      <c r="E5034" s="52" t="s">
        <v>25</v>
      </c>
      <c r="F5034" s="52" t="s">
        <v>26</v>
      </c>
      <c r="G5034" s="53"/>
    </row>
    <row r="5035">
      <c r="A5035" s="49">
        <v>44565.995236030096</v>
      </c>
      <c r="B5035" s="50">
        <v>44566.1202143402</v>
      </c>
      <c r="C5035" s="51">
        <v>1.006</v>
      </c>
      <c r="D5035" s="51">
        <v>62.0</v>
      </c>
      <c r="E5035" s="52" t="s">
        <v>25</v>
      </c>
      <c r="F5035" s="52" t="s">
        <v>26</v>
      </c>
      <c r="G5035" s="53"/>
    </row>
    <row r="5036">
      <c r="A5036" s="49">
        <v>44566.00566800926</v>
      </c>
      <c r="B5036" s="50">
        <v>44566.1306358449</v>
      </c>
      <c r="C5036" s="51">
        <v>1.006</v>
      </c>
      <c r="D5036" s="51">
        <v>62.0</v>
      </c>
      <c r="E5036" s="52" t="s">
        <v>25</v>
      </c>
      <c r="F5036" s="52" t="s">
        <v>26</v>
      </c>
      <c r="G5036" s="53"/>
    </row>
    <row r="5037">
      <c r="A5037" s="49">
        <v>44566.01607855324</v>
      </c>
      <c r="B5037" s="50">
        <v>44566.1410571296</v>
      </c>
      <c r="C5037" s="51">
        <v>1.006</v>
      </c>
      <c r="D5037" s="51">
        <v>62.0</v>
      </c>
      <c r="E5037" s="52" t="s">
        <v>25</v>
      </c>
      <c r="F5037" s="52" t="s">
        <v>26</v>
      </c>
      <c r="G5037" s="53"/>
    </row>
    <row r="5038">
      <c r="A5038" s="49">
        <v>44566.026494398146</v>
      </c>
      <c r="B5038" s="50">
        <v>44566.151478831</v>
      </c>
      <c r="C5038" s="51">
        <v>1.006</v>
      </c>
      <c r="D5038" s="51">
        <v>62.0</v>
      </c>
      <c r="E5038" s="52" t="s">
        <v>25</v>
      </c>
      <c r="F5038" s="52" t="s">
        <v>26</v>
      </c>
      <c r="G5038" s="53"/>
    </row>
    <row r="5039">
      <c r="A5039" s="49">
        <v>44566.03692409722</v>
      </c>
      <c r="B5039" s="50">
        <v>44566.1619002314</v>
      </c>
      <c r="C5039" s="51">
        <v>1.006</v>
      </c>
      <c r="D5039" s="51">
        <v>62.0</v>
      </c>
      <c r="E5039" s="52" t="s">
        <v>25</v>
      </c>
      <c r="F5039" s="52" t="s">
        <v>26</v>
      </c>
      <c r="G5039" s="53"/>
    </row>
    <row r="5040">
      <c r="A5040" s="49">
        <v>44566.04734334491</v>
      </c>
      <c r="B5040" s="50">
        <v>44566.1723209837</v>
      </c>
      <c r="C5040" s="51">
        <v>1.006</v>
      </c>
      <c r="D5040" s="51">
        <v>61.0</v>
      </c>
      <c r="E5040" s="52" t="s">
        <v>25</v>
      </c>
      <c r="F5040" s="52" t="s">
        <v>26</v>
      </c>
      <c r="G5040" s="53"/>
    </row>
    <row r="5041">
      <c r="A5041" s="49">
        <v>44566.05776969907</v>
      </c>
      <c r="B5041" s="50">
        <v>44566.1827421296</v>
      </c>
      <c r="C5041" s="51">
        <v>1.006</v>
      </c>
      <c r="D5041" s="51">
        <v>61.0</v>
      </c>
      <c r="E5041" s="52" t="s">
        <v>25</v>
      </c>
      <c r="F5041" s="52" t="s">
        <v>26</v>
      </c>
      <c r="G5041" s="53"/>
    </row>
    <row r="5042">
      <c r="A5042" s="49">
        <v>44566.068190555554</v>
      </c>
      <c r="B5042" s="50">
        <v>44566.1931630208</v>
      </c>
      <c r="C5042" s="51">
        <v>1.006</v>
      </c>
      <c r="D5042" s="51">
        <v>61.0</v>
      </c>
      <c r="E5042" s="52" t="s">
        <v>25</v>
      </c>
      <c r="F5042" s="52" t="s">
        <v>26</v>
      </c>
      <c r="G5042" s="53"/>
    </row>
    <row r="5043">
      <c r="A5043" s="49">
        <v>44566.0786074537</v>
      </c>
      <c r="B5043" s="50">
        <v>44566.2035836111</v>
      </c>
      <c r="C5043" s="51">
        <v>1.006</v>
      </c>
      <c r="D5043" s="51">
        <v>61.0</v>
      </c>
      <c r="E5043" s="52" t="s">
        <v>25</v>
      </c>
      <c r="F5043" s="52" t="s">
        <v>26</v>
      </c>
      <c r="G5043" s="53"/>
    </row>
    <row r="5044">
      <c r="A5044" s="49">
        <v>44566.089022141205</v>
      </c>
      <c r="B5044" s="50">
        <v>44566.214004537</v>
      </c>
      <c r="C5044" s="51">
        <v>1.006</v>
      </c>
      <c r="D5044" s="51">
        <v>62.0</v>
      </c>
      <c r="E5044" s="52" t="s">
        <v>25</v>
      </c>
      <c r="F5044" s="52" t="s">
        <v>26</v>
      </c>
      <c r="G5044" s="53"/>
    </row>
    <row r="5045">
      <c r="A5045" s="49">
        <v>44566.099451863425</v>
      </c>
      <c r="B5045" s="50">
        <v>44566.2244238773</v>
      </c>
      <c r="C5045" s="51">
        <v>1.006</v>
      </c>
      <c r="D5045" s="51">
        <v>61.0</v>
      </c>
      <c r="E5045" s="52" t="s">
        <v>25</v>
      </c>
      <c r="F5045" s="52" t="s">
        <v>26</v>
      </c>
      <c r="G5045" s="53"/>
    </row>
    <row r="5046">
      <c r="A5046" s="49">
        <v>44566.10987162037</v>
      </c>
      <c r="B5046" s="50">
        <v>44566.2348467129</v>
      </c>
      <c r="C5046" s="51">
        <v>1.006</v>
      </c>
      <c r="D5046" s="51">
        <v>61.0</v>
      </c>
      <c r="E5046" s="52" t="s">
        <v>25</v>
      </c>
      <c r="F5046" s="52" t="s">
        <v>26</v>
      </c>
      <c r="G5046" s="53"/>
    </row>
    <row r="5047">
      <c r="A5047" s="49">
        <v>44566.12028826389</v>
      </c>
      <c r="B5047" s="50">
        <v>44566.2452670138</v>
      </c>
      <c r="C5047" s="51">
        <v>1.006</v>
      </c>
      <c r="D5047" s="51">
        <v>61.0</v>
      </c>
      <c r="E5047" s="52" t="s">
        <v>25</v>
      </c>
      <c r="F5047" s="52" t="s">
        <v>26</v>
      </c>
      <c r="G5047" s="53"/>
    </row>
    <row r="5048">
      <c r="A5048" s="49">
        <v>44566.130707222226</v>
      </c>
      <c r="B5048" s="50">
        <v>44566.2556879745</v>
      </c>
      <c r="C5048" s="51">
        <v>1.006</v>
      </c>
      <c r="D5048" s="51">
        <v>61.0</v>
      </c>
      <c r="E5048" s="52" t="s">
        <v>25</v>
      </c>
      <c r="F5048" s="52" t="s">
        <v>26</v>
      </c>
      <c r="G5048" s="53"/>
    </row>
    <row r="5049">
      <c r="A5049" s="49">
        <v>44566.14119417824</v>
      </c>
      <c r="B5049" s="50">
        <v>44566.2661091435</v>
      </c>
      <c r="C5049" s="51">
        <v>1.006</v>
      </c>
      <c r="D5049" s="51">
        <v>61.0</v>
      </c>
      <c r="E5049" s="52" t="s">
        <v>25</v>
      </c>
      <c r="F5049" s="52" t="s">
        <v>26</v>
      </c>
      <c r="G5049" s="53"/>
    </row>
    <row r="5050">
      <c r="A5050" s="49">
        <v>44566.151551400464</v>
      </c>
      <c r="B5050" s="50">
        <v>44566.2765308101</v>
      </c>
      <c r="C5050" s="51">
        <v>1.006</v>
      </c>
      <c r="D5050" s="51">
        <v>61.0</v>
      </c>
      <c r="E5050" s="52" t="s">
        <v>25</v>
      </c>
      <c r="F5050" s="52" t="s">
        <v>26</v>
      </c>
      <c r="G5050" s="53"/>
    </row>
    <row r="5051">
      <c r="A5051" s="49">
        <v>44566.1619765625</v>
      </c>
      <c r="B5051" s="50">
        <v>44566.2869530324</v>
      </c>
      <c r="C5051" s="51">
        <v>1.006</v>
      </c>
      <c r="D5051" s="51">
        <v>62.0</v>
      </c>
      <c r="E5051" s="52" t="s">
        <v>25</v>
      </c>
      <c r="F5051" s="52" t="s">
        <v>26</v>
      </c>
      <c r="G5051" s="53"/>
    </row>
    <row r="5052">
      <c r="A5052" s="49">
        <v>44566.1723980324</v>
      </c>
      <c r="B5052" s="50">
        <v>44566.2973743518</v>
      </c>
      <c r="C5052" s="51">
        <v>1.006</v>
      </c>
      <c r="D5052" s="51">
        <v>62.0</v>
      </c>
      <c r="E5052" s="52" t="s">
        <v>25</v>
      </c>
      <c r="F5052" s="52" t="s">
        <v>26</v>
      </c>
      <c r="G5052" s="53"/>
    </row>
    <row r="5053">
      <c r="A5053" s="49">
        <v>44566.18281462963</v>
      </c>
      <c r="B5053" s="50">
        <v>44566.3077958449</v>
      </c>
      <c r="C5053" s="51">
        <v>1.006</v>
      </c>
      <c r="D5053" s="51">
        <v>62.0</v>
      </c>
      <c r="E5053" s="52" t="s">
        <v>25</v>
      </c>
      <c r="F5053" s="52" t="s">
        <v>26</v>
      </c>
      <c r="G5053" s="53"/>
    </row>
    <row r="5054">
      <c r="A5054" s="49">
        <v>44566.19323653935</v>
      </c>
      <c r="B5054" s="50">
        <v>44566.3182165972</v>
      </c>
      <c r="C5054" s="51">
        <v>1.006</v>
      </c>
      <c r="D5054" s="51">
        <v>63.0</v>
      </c>
      <c r="E5054" s="52" t="s">
        <v>25</v>
      </c>
      <c r="F5054" s="52" t="s">
        <v>26</v>
      </c>
      <c r="G5054" s="53"/>
    </row>
    <row r="5055">
      <c r="A5055" s="49">
        <v>44566.20369299769</v>
      </c>
      <c r="B5055" s="50">
        <v>44566.3286372453</v>
      </c>
      <c r="C5055" s="51">
        <v>1.006</v>
      </c>
      <c r="D5055" s="51">
        <v>63.0</v>
      </c>
      <c r="E5055" s="52" t="s">
        <v>25</v>
      </c>
      <c r="F5055" s="52" t="s">
        <v>26</v>
      </c>
      <c r="G5055" s="53"/>
    </row>
    <row r="5056">
      <c r="A5056" s="49">
        <v>44566.214086493055</v>
      </c>
      <c r="B5056" s="50">
        <v>44566.3390605208</v>
      </c>
      <c r="C5056" s="51">
        <v>1.006</v>
      </c>
      <c r="D5056" s="51">
        <v>64.0</v>
      </c>
      <c r="E5056" s="52" t="s">
        <v>25</v>
      </c>
      <c r="F5056" s="52" t="s">
        <v>26</v>
      </c>
      <c r="G5056" s="53"/>
    </row>
    <row r="5057">
      <c r="A5057" s="49">
        <v>44566.22451289352</v>
      </c>
      <c r="B5057" s="50">
        <v>44566.3494914351</v>
      </c>
      <c r="C5057" s="51">
        <v>1.006</v>
      </c>
      <c r="D5057" s="51">
        <v>64.0</v>
      </c>
      <c r="E5057" s="52" t="s">
        <v>25</v>
      </c>
      <c r="F5057" s="52" t="s">
        <v>26</v>
      </c>
      <c r="G5057" s="53"/>
    </row>
    <row r="5058">
      <c r="A5058" s="49">
        <v>44566.23494167824</v>
      </c>
      <c r="B5058" s="50">
        <v>44566.3599231481</v>
      </c>
      <c r="C5058" s="51">
        <v>1.006</v>
      </c>
      <c r="D5058" s="51">
        <v>65.0</v>
      </c>
      <c r="E5058" s="52" t="s">
        <v>25</v>
      </c>
      <c r="F5058" s="52" t="s">
        <v>26</v>
      </c>
      <c r="G5058" s="53"/>
    </row>
    <row r="5059">
      <c r="A5059" s="49">
        <v>44566.24537268518</v>
      </c>
      <c r="B5059" s="50">
        <v>44566.3703459259</v>
      </c>
      <c r="C5059" s="51">
        <v>1.006</v>
      </c>
      <c r="D5059" s="51">
        <v>65.0</v>
      </c>
      <c r="E5059" s="52" t="s">
        <v>25</v>
      </c>
      <c r="F5059" s="52" t="s">
        <v>26</v>
      </c>
      <c r="G5059" s="53"/>
    </row>
    <row r="5060">
      <c r="A5060" s="49">
        <v>44566.255827581015</v>
      </c>
      <c r="B5060" s="50">
        <v>44566.3807891435</v>
      </c>
      <c r="C5060" s="51">
        <v>1.005</v>
      </c>
      <c r="D5060" s="51">
        <v>65.0</v>
      </c>
      <c r="E5060" s="52" t="s">
        <v>25</v>
      </c>
      <c r="F5060" s="52" t="s">
        <v>26</v>
      </c>
      <c r="G5060" s="53"/>
    </row>
    <row r="5061">
      <c r="A5061" s="49">
        <v>44566.266231319445</v>
      </c>
      <c r="B5061" s="50">
        <v>44566.3912108564</v>
      </c>
      <c r="C5061" s="51">
        <v>1.005</v>
      </c>
      <c r="D5061" s="51">
        <v>66.0</v>
      </c>
      <c r="E5061" s="52" t="s">
        <v>25</v>
      </c>
      <c r="F5061" s="52" t="s">
        <v>26</v>
      </c>
      <c r="G5061" s="53"/>
    </row>
    <row r="5062">
      <c r="A5062" s="49">
        <v>44566.27664980324</v>
      </c>
      <c r="B5062" s="50">
        <v>44566.4016306365</v>
      </c>
      <c r="C5062" s="51">
        <v>1.005</v>
      </c>
      <c r="D5062" s="51">
        <v>66.0</v>
      </c>
      <c r="E5062" s="52" t="s">
        <v>25</v>
      </c>
      <c r="F5062" s="52" t="s">
        <v>26</v>
      </c>
      <c r="G5062" s="53"/>
    </row>
    <row r="5063">
      <c r="A5063" s="49">
        <v>44566.28707684028</v>
      </c>
      <c r="B5063" s="50">
        <v>44566.4120527546</v>
      </c>
      <c r="C5063" s="51">
        <v>1.005</v>
      </c>
      <c r="D5063" s="51">
        <v>67.0</v>
      </c>
      <c r="E5063" s="52" t="s">
        <v>25</v>
      </c>
      <c r="F5063" s="52" t="s">
        <v>26</v>
      </c>
      <c r="G5063" s="53"/>
    </row>
    <row r="5064">
      <c r="A5064" s="49">
        <v>44566.29749618056</v>
      </c>
      <c r="B5064" s="50">
        <v>44566.4224734838</v>
      </c>
      <c r="C5064" s="51">
        <v>1.005</v>
      </c>
      <c r="D5064" s="51">
        <v>67.0</v>
      </c>
      <c r="E5064" s="52" t="s">
        <v>25</v>
      </c>
      <c r="F5064" s="52" t="s">
        <v>26</v>
      </c>
      <c r="G5064" s="53"/>
    </row>
    <row r="5065">
      <c r="A5065" s="49">
        <v>44566.30791153935</v>
      </c>
      <c r="B5065" s="50">
        <v>44566.4328953935</v>
      </c>
      <c r="C5065" s="51">
        <v>1.005</v>
      </c>
      <c r="D5065" s="51">
        <v>68.0</v>
      </c>
      <c r="E5065" s="52" t="s">
        <v>25</v>
      </c>
      <c r="F5065" s="52" t="s">
        <v>26</v>
      </c>
      <c r="G5065" s="53"/>
    </row>
    <row r="5066">
      <c r="A5066" s="49">
        <v>44566.318337199074</v>
      </c>
      <c r="B5066" s="50">
        <v>44566.4433167013</v>
      </c>
      <c r="C5066" s="51">
        <v>1.005</v>
      </c>
      <c r="D5066" s="51">
        <v>68.0</v>
      </c>
      <c r="E5066" s="52" t="s">
        <v>25</v>
      </c>
      <c r="F5066" s="52" t="s">
        <v>26</v>
      </c>
      <c r="G5066" s="53"/>
    </row>
    <row r="5067">
      <c r="A5067" s="49">
        <v>44566.32876495371</v>
      </c>
      <c r="B5067" s="50">
        <v>44566.4537381365</v>
      </c>
      <c r="C5067" s="51">
        <v>1.005</v>
      </c>
      <c r="D5067" s="51">
        <v>68.0</v>
      </c>
      <c r="E5067" s="52" t="s">
        <v>25</v>
      </c>
      <c r="F5067" s="52" t="s">
        <v>26</v>
      </c>
      <c r="G5067" s="53"/>
    </row>
    <row r="5068">
      <c r="A5068" s="49">
        <v>44566.339190625</v>
      </c>
      <c r="B5068" s="50">
        <v>44566.4641581481</v>
      </c>
      <c r="C5068" s="51">
        <v>1.005</v>
      </c>
      <c r="D5068" s="51">
        <v>68.0</v>
      </c>
      <c r="E5068" s="52" t="s">
        <v>25</v>
      </c>
      <c r="F5068" s="52" t="s">
        <v>26</v>
      </c>
      <c r="G5068" s="53"/>
    </row>
    <row r="5069">
      <c r="A5069" s="49">
        <v>44566.34960622685</v>
      </c>
      <c r="B5069" s="50">
        <v>44566.4745797106</v>
      </c>
      <c r="C5069" s="51">
        <v>1.005</v>
      </c>
      <c r="D5069" s="51">
        <v>68.0</v>
      </c>
      <c r="E5069" s="52" t="s">
        <v>25</v>
      </c>
      <c r="F5069" s="52" t="s">
        <v>26</v>
      </c>
      <c r="G5069" s="53"/>
    </row>
    <row r="5070">
      <c r="A5070" s="49">
        <v>44566.360025682865</v>
      </c>
      <c r="B5070" s="50">
        <v>44566.4850023611</v>
      </c>
      <c r="C5070" s="51">
        <v>1.005</v>
      </c>
      <c r="D5070" s="51">
        <v>68.0</v>
      </c>
      <c r="E5070" s="52" t="s">
        <v>25</v>
      </c>
      <c r="F5070" s="52" t="s">
        <v>26</v>
      </c>
      <c r="G5070" s="53"/>
    </row>
    <row r="5071">
      <c r="A5071" s="49">
        <v>44566.370461921295</v>
      </c>
      <c r="B5071" s="50">
        <v>44566.4954353009</v>
      </c>
      <c r="C5071" s="51">
        <v>1.005</v>
      </c>
      <c r="D5071" s="51">
        <v>68.0</v>
      </c>
      <c r="E5071" s="52" t="s">
        <v>25</v>
      </c>
      <c r="F5071" s="52" t="s">
        <v>26</v>
      </c>
      <c r="G5071" s="53"/>
    </row>
    <row r="5072">
      <c r="A5072" s="49">
        <v>44566.380884513885</v>
      </c>
      <c r="B5072" s="50">
        <v>44566.5058570833</v>
      </c>
      <c r="C5072" s="51">
        <v>1.005</v>
      </c>
      <c r="D5072" s="51">
        <v>68.0</v>
      </c>
      <c r="E5072" s="52" t="s">
        <v>25</v>
      </c>
      <c r="F5072" s="52" t="s">
        <v>26</v>
      </c>
      <c r="G5072" s="53"/>
    </row>
    <row r="5073">
      <c r="A5073" s="49">
        <v>44566.39130394676</v>
      </c>
      <c r="B5073" s="50">
        <v>44566.5162777546</v>
      </c>
      <c r="C5073" s="51">
        <v>1.005</v>
      </c>
      <c r="D5073" s="51">
        <v>67.0</v>
      </c>
      <c r="E5073" s="52" t="s">
        <v>25</v>
      </c>
      <c r="F5073" s="52" t="s">
        <v>26</v>
      </c>
      <c r="G5073" s="53"/>
    </row>
    <row r="5074">
      <c r="A5074" s="49">
        <v>44566.401726701384</v>
      </c>
      <c r="B5074" s="50">
        <v>44566.5266995254</v>
      </c>
      <c r="C5074" s="51">
        <v>1.005</v>
      </c>
      <c r="D5074" s="51">
        <v>67.0</v>
      </c>
      <c r="E5074" s="52" t="s">
        <v>25</v>
      </c>
      <c r="F5074" s="52" t="s">
        <v>26</v>
      </c>
      <c r="G5074" s="53"/>
    </row>
    <row r="5075">
      <c r="A5075" s="49">
        <v>44566.41215234954</v>
      </c>
      <c r="B5075" s="50">
        <v>44566.5371206712</v>
      </c>
      <c r="C5075" s="51">
        <v>1.005</v>
      </c>
      <c r="D5075" s="51">
        <v>67.0</v>
      </c>
      <c r="E5075" s="52" t="s">
        <v>25</v>
      </c>
      <c r="F5075" s="52" t="s">
        <v>26</v>
      </c>
      <c r="G5075" s="53"/>
    </row>
    <row r="5076">
      <c r="A5076" s="49">
        <v>44566.42256332176</v>
      </c>
      <c r="B5076" s="50">
        <v>44566.5475413425</v>
      </c>
      <c r="C5076" s="51">
        <v>1.006</v>
      </c>
      <c r="D5076" s="51">
        <v>67.0</v>
      </c>
      <c r="E5076" s="52" t="s">
        <v>25</v>
      </c>
      <c r="F5076" s="52" t="s">
        <v>26</v>
      </c>
      <c r="G5076" s="53"/>
    </row>
    <row r="5077">
      <c r="A5077" s="49">
        <v>44566.432988726854</v>
      </c>
      <c r="B5077" s="50">
        <v>44566.5579630324</v>
      </c>
      <c r="C5077" s="51">
        <v>1.005</v>
      </c>
      <c r="D5077" s="51">
        <v>67.0</v>
      </c>
      <c r="E5077" s="52" t="s">
        <v>25</v>
      </c>
      <c r="F5077" s="52" t="s">
        <v>26</v>
      </c>
      <c r="G5077" s="53"/>
    </row>
    <row r="5078">
      <c r="A5078" s="49">
        <v>44566.44342030093</v>
      </c>
      <c r="B5078" s="50">
        <v>44566.5683956597</v>
      </c>
      <c r="C5078" s="51">
        <v>1.005</v>
      </c>
      <c r="D5078" s="51">
        <v>67.0</v>
      </c>
      <c r="E5078" s="52" t="s">
        <v>25</v>
      </c>
      <c r="F5078" s="52" t="s">
        <v>26</v>
      </c>
      <c r="G5078" s="53"/>
    </row>
    <row r="5079">
      <c r="A5079" s="49">
        <v>44566.45383890046</v>
      </c>
      <c r="B5079" s="50">
        <v>44566.5788166319</v>
      </c>
      <c r="C5079" s="51">
        <v>1.005</v>
      </c>
      <c r="D5079" s="51">
        <v>67.0</v>
      </c>
      <c r="E5079" s="52" t="s">
        <v>25</v>
      </c>
      <c r="F5079" s="52" t="s">
        <v>26</v>
      </c>
      <c r="G5079" s="53"/>
    </row>
    <row r="5080">
      <c r="A5080" s="49">
        <v>44566.46425982639</v>
      </c>
      <c r="B5080" s="50">
        <v>44566.5892382638</v>
      </c>
      <c r="C5080" s="51">
        <v>1.005</v>
      </c>
      <c r="D5080" s="51">
        <v>67.0</v>
      </c>
      <c r="E5080" s="52" t="s">
        <v>25</v>
      </c>
      <c r="F5080" s="52" t="s">
        <v>26</v>
      </c>
      <c r="G5080" s="53"/>
    </row>
    <row r="5081">
      <c r="A5081" s="49">
        <v>44566.47468756944</v>
      </c>
      <c r="B5081" s="50">
        <v>44566.5996603935</v>
      </c>
      <c r="C5081" s="51">
        <v>1.005</v>
      </c>
      <c r="D5081" s="51">
        <v>67.0</v>
      </c>
      <c r="E5081" s="52" t="s">
        <v>25</v>
      </c>
      <c r="F5081" s="52" t="s">
        <v>26</v>
      </c>
      <c r="G5081" s="53"/>
    </row>
    <row r="5082">
      <c r="A5082" s="49">
        <v>44566.48510723379</v>
      </c>
      <c r="B5082" s="50">
        <v>44566.6100818171</v>
      </c>
      <c r="C5082" s="51">
        <v>1.005</v>
      </c>
      <c r="D5082" s="51">
        <v>67.0</v>
      </c>
      <c r="E5082" s="52" t="s">
        <v>25</v>
      </c>
      <c r="F5082" s="52" t="s">
        <v>26</v>
      </c>
      <c r="G5082" s="53"/>
    </row>
    <row r="5083">
      <c r="A5083" s="49">
        <v>44566.495522384255</v>
      </c>
      <c r="B5083" s="50">
        <v>44566.6205039236</v>
      </c>
      <c r="C5083" s="51">
        <v>1.005</v>
      </c>
      <c r="D5083" s="51">
        <v>67.0</v>
      </c>
      <c r="E5083" s="52" t="s">
        <v>25</v>
      </c>
      <c r="F5083" s="52" t="s">
        <v>26</v>
      </c>
      <c r="G5083" s="53"/>
    </row>
    <row r="5084">
      <c r="A5084" s="49">
        <v>44566.505949976854</v>
      </c>
      <c r="B5084" s="50">
        <v>44566.6309247222</v>
      </c>
      <c r="C5084" s="51">
        <v>1.005</v>
      </c>
      <c r="D5084" s="51">
        <v>67.0</v>
      </c>
      <c r="E5084" s="52" t="s">
        <v>25</v>
      </c>
      <c r="F5084" s="52" t="s">
        <v>26</v>
      </c>
      <c r="G5084" s="53"/>
    </row>
    <row r="5085">
      <c r="A5085" s="49">
        <v>44566.51637203703</v>
      </c>
      <c r="B5085" s="50">
        <v>44566.6413447337</v>
      </c>
      <c r="C5085" s="51">
        <v>1.005</v>
      </c>
      <c r="D5085" s="51">
        <v>67.0</v>
      </c>
      <c r="E5085" s="52" t="s">
        <v>25</v>
      </c>
      <c r="F5085" s="52" t="s">
        <v>26</v>
      </c>
      <c r="G5085" s="53"/>
    </row>
    <row r="5086">
      <c r="A5086" s="49">
        <v>44566.52679013889</v>
      </c>
      <c r="B5086" s="50">
        <v>44566.651765405</v>
      </c>
      <c r="C5086" s="51">
        <v>1.005</v>
      </c>
      <c r="D5086" s="51">
        <v>67.0</v>
      </c>
      <c r="E5086" s="52" t="s">
        <v>25</v>
      </c>
      <c r="F5086" s="52" t="s">
        <v>26</v>
      </c>
      <c r="G5086" s="53"/>
    </row>
    <row r="5087">
      <c r="A5087" s="49">
        <v>44566.537219606485</v>
      </c>
      <c r="B5087" s="50">
        <v>44566.6621985648</v>
      </c>
      <c r="C5087" s="51">
        <v>1.005</v>
      </c>
      <c r="D5087" s="51">
        <v>67.0</v>
      </c>
      <c r="E5087" s="52" t="s">
        <v>25</v>
      </c>
      <c r="F5087" s="52" t="s">
        <v>26</v>
      </c>
      <c r="G5087" s="53"/>
    </row>
    <row r="5088">
      <c r="A5088" s="49">
        <v>44566.54765340278</v>
      </c>
      <c r="B5088" s="50">
        <v>44566.6726198263</v>
      </c>
      <c r="C5088" s="51">
        <v>1.005</v>
      </c>
      <c r="D5088" s="51">
        <v>67.0</v>
      </c>
      <c r="E5088" s="52" t="s">
        <v>25</v>
      </c>
      <c r="F5088" s="52" t="s">
        <v>26</v>
      </c>
      <c r="G5088" s="53"/>
    </row>
    <row r="5089">
      <c r="A5089" s="49">
        <v>44566.55807384259</v>
      </c>
      <c r="B5089" s="50">
        <v>44566.6830526041</v>
      </c>
      <c r="C5089" s="51">
        <v>1.005</v>
      </c>
      <c r="D5089" s="51">
        <v>67.0</v>
      </c>
      <c r="E5089" s="52" t="s">
        <v>25</v>
      </c>
      <c r="F5089" s="52" t="s">
        <v>26</v>
      </c>
      <c r="G5089" s="53"/>
    </row>
    <row r="5090">
      <c r="A5090" s="49">
        <v>44566.568497141205</v>
      </c>
      <c r="B5090" s="50">
        <v>44566.6934745601</v>
      </c>
      <c r="C5090" s="51">
        <v>1.005</v>
      </c>
      <c r="D5090" s="51">
        <v>67.0</v>
      </c>
      <c r="E5090" s="52" t="s">
        <v>25</v>
      </c>
      <c r="F5090" s="52" t="s">
        <v>26</v>
      </c>
      <c r="G5090" s="53"/>
    </row>
    <row r="5091">
      <c r="A5091" s="49">
        <v>44566.57892082176</v>
      </c>
      <c r="B5091" s="50">
        <v>44566.7038952662</v>
      </c>
      <c r="C5091" s="51">
        <v>1.005</v>
      </c>
      <c r="D5091" s="51">
        <v>67.0</v>
      </c>
      <c r="E5091" s="52" t="s">
        <v>25</v>
      </c>
      <c r="F5091" s="52" t="s">
        <v>26</v>
      </c>
      <c r="G5091" s="53"/>
    </row>
    <row r="5092">
      <c r="A5092" s="49">
        <v>44566.58933527778</v>
      </c>
      <c r="B5092" s="50">
        <v>44566.7143167013</v>
      </c>
      <c r="C5092" s="51">
        <v>1.005</v>
      </c>
      <c r="D5092" s="51">
        <v>67.0</v>
      </c>
      <c r="E5092" s="52" t="s">
        <v>25</v>
      </c>
      <c r="F5092" s="52" t="s">
        <v>26</v>
      </c>
      <c r="G5092" s="53"/>
    </row>
    <row r="5093">
      <c r="A5093" s="49">
        <v>44566.599770995366</v>
      </c>
      <c r="B5093" s="50">
        <v>44566.7247498611</v>
      </c>
      <c r="C5093" s="51">
        <v>1.005</v>
      </c>
      <c r="D5093" s="51">
        <v>67.0</v>
      </c>
      <c r="E5093" s="52" t="s">
        <v>25</v>
      </c>
      <c r="F5093" s="52" t="s">
        <v>26</v>
      </c>
      <c r="G5093" s="53"/>
    </row>
    <row r="5094">
      <c r="A5094" s="49">
        <v>44566.61020545139</v>
      </c>
      <c r="B5094" s="50">
        <v>44566.7351832291</v>
      </c>
      <c r="C5094" s="51">
        <v>1.005</v>
      </c>
      <c r="D5094" s="51">
        <v>67.0</v>
      </c>
      <c r="E5094" s="52" t="s">
        <v>25</v>
      </c>
      <c r="F5094" s="52" t="s">
        <v>26</v>
      </c>
      <c r="G5094" s="53"/>
    </row>
    <row r="5095">
      <c r="A5095" s="49">
        <v>44566.620628634264</v>
      </c>
      <c r="B5095" s="50">
        <v>44566.745604618</v>
      </c>
      <c r="C5095" s="51">
        <v>1.005</v>
      </c>
      <c r="D5095" s="51">
        <v>67.0</v>
      </c>
      <c r="E5095" s="52" t="s">
        <v>25</v>
      </c>
      <c r="F5095" s="52" t="s">
        <v>26</v>
      </c>
      <c r="G5095" s="53"/>
    </row>
    <row r="5096">
      <c r="A5096" s="49">
        <v>44566.63105060185</v>
      </c>
      <c r="B5096" s="50">
        <v>44566.7560261574</v>
      </c>
      <c r="C5096" s="51">
        <v>1.005</v>
      </c>
      <c r="D5096" s="51">
        <v>67.0</v>
      </c>
      <c r="E5096" s="52" t="s">
        <v>25</v>
      </c>
      <c r="F5096" s="52" t="s">
        <v>26</v>
      </c>
      <c r="G5096" s="53"/>
    </row>
    <row r="5097">
      <c r="A5097" s="49">
        <v>44566.64147232639</v>
      </c>
      <c r="B5097" s="50">
        <v>44566.7664474537</v>
      </c>
      <c r="C5097" s="51">
        <v>1.005</v>
      </c>
      <c r="D5097" s="51">
        <v>67.0</v>
      </c>
      <c r="E5097" s="52" t="s">
        <v>25</v>
      </c>
      <c r="F5097" s="52" t="s">
        <v>26</v>
      </c>
      <c r="G5097" s="53"/>
    </row>
    <row r="5098">
      <c r="A5098" s="49">
        <v>44566.65188994213</v>
      </c>
      <c r="B5098" s="50">
        <v>44566.7768677546</v>
      </c>
      <c r="C5098" s="51">
        <v>1.005</v>
      </c>
      <c r="D5098" s="51">
        <v>67.0</v>
      </c>
      <c r="E5098" s="52" t="s">
        <v>25</v>
      </c>
      <c r="F5098" s="52" t="s">
        <v>26</v>
      </c>
      <c r="G5098" s="53"/>
    </row>
    <row r="5099">
      <c r="A5099" s="49">
        <v>44566.66231693287</v>
      </c>
      <c r="B5099" s="50">
        <v>44566.7872893287</v>
      </c>
      <c r="C5099" s="51">
        <v>1.005</v>
      </c>
      <c r="D5099" s="51">
        <v>67.0</v>
      </c>
      <c r="E5099" s="52" t="s">
        <v>25</v>
      </c>
      <c r="F5099" s="52" t="s">
        <v>26</v>
      </c>
      <c r="G5099" s="53"/>
    </row>
    <row r="5100">
      <c r="A5100" s="49">
        <v>44566.67273680556</v>
      </c>
      <c r="B5100" s="50">
        <v>44566.7977092361</v>
      </c>
      <c r="C5100" s="51">
        <v>1.005</v>
      </c>
      <c r="D5100" s="51">
        <v>66.0</v>
      </c>
      <c r="E5100" s="52" t="s">
        <v>25</v>
      </c>
      <c r="F5100" s="52" t="s">
        <v>26</v>
      </c>
      <c r="G5100" s="53"/>
    </row>
    <row r="5101">
      <c r="A5101" s="49">
        <v>44566.683156307874</v>
      </c>
      <c r="B5101" s="50">
        <v>44566.808130787</v>
      </c>
      <c r="C5101" s="51">
        <v>1.005</v>
      </c>
      <c r="D5101" s="51">
        <v>66.0</v>
      </c>
      <c r="E5101" s="52" t="s">
        <v>25</v>
      </c>
      <c r="F5101" s="52" t="s">
        <v>26</v>
      </c>
      <c r="G5101" s="53"/>
    </row>
    <row r="5102">
      <c r="A5102" s="49">
        <v>44566.693573344906</v>
      </c>
      <c r="B5102" s="50">
        <v>44566.8185512847</v>
      </c>
      <c r="C5102" s="51">
        <v>1.005</v>
      </c>
      <c r="D5102" s="51">
        <v>66.0</v>
      </c>
      <c r="E5102" s="52" t="s">
        <v>25</v>
      </c>
      <c r="F5102" s="52" t="s">
        <v>26</v>
      </c>
      <c r="G5102" s="53"/>
    </row>
    <row r="5103">
      <c r="A5103" s="49">
        <v>44566.70399576389</v>
      </c>
      <c r="B5103" s="50">
        <v>44566.8289731018</v>
      </c>
      <c r="C5103" s="51">
        <v>1.005</v>
      </c>
      <c r="D5103" s="51">
        <v>66.0</v>
      </c>
      <c r="E5103" s="52" t="s">
        <v>25</v>
      </c>
      <c r="F5103" s="52" t="s">
        <v>26</v>
      </c>
      <c r="G5103" s="53"/>
    </row>
    <row r="5104">
      <c r="A5104" s="49">
        <v>44566.71442278935</v>
      </c>
      <c r="B5104" s="50">
        <v>44566.8393938194</v>
      </c>
      <c r="C5104" s="51">
        <v>1.005</v>
      </c>
      <c r="D5104" s="51">
        <v>66.0</v>
      </c>
      <c r="E5104" s="52" t="s">
        <v>25</v>
      </c>
      <c r="F5104" s="52" t="s">
        <v>26</v>
      </c>
      <c r="G5104" s="53"/>
    </row>
    <row r="5105">
      <c r="A5105" s="49">
        <v>44566.72484141204</v>
      </c>
      <c r="B5105" s="50">
        <v>44566.849816493</v>
      </c>
      <c r="C5105" s="51">
        <v>1.005</v>
      </c>
      <c r="D5105" s="51">
        <v>66.0</v>
      </c>
      <c r="E5105" s="52" t="s">
        <v>25</v>
      </c>
      <c r="F5105" s="52" t="s">
        <v>26</v>
      </c>
      <c r="G5105" s="53"/>
    </row>
    <row r="5106">
      <c r="A5106" s="49">
        <v>44566.73526340278</v>
      </c>
      <c r="B5106" s="50">
        <v>44566.8602378356</v>
      </c>
      <c r="C5106" s="51">
        <v>1.005</v>
      </c>
      <c r="D5106" s="51">
        <v>66.0</v>
      </c>
      <c r="E5106" s="52" t="s">
        <v>25</v>
      </c>
      <c r="F5106" s="52" t="s">
        <v>26</v>
      </c>
      <c r="G5106" s="53"/>
    </row>
    <row r="5107">
      <c r="A5107" s="49">
        <v>44566.74569240741</v>
      </c>
      <c r="B5107" s="50">
        <v>44566.8706695023</v>
      </c>
      <c r="C5107" s="51">
        <v>1.005</v>
      </c>
      <c r="D5107" s="51">
        <v>66.0</v>
      </c>
      <c r="E5107" s="52" t="s">
        <v>25</v>
      </c>
      <c r="F5107" s="52" t="s">
        <v>26</v>
      </c>
      <c r="G5107" s="53"/>
    </row>
    <row r="5108">
      <c r="A5108" s="49">
        <v>44566.756122928244</v>
      </c>
      <c r="B5108" s="50">
        <v>44566.8810925347</v>
      </c>
      <c r="C5108" s="51">
        <v>1.005</v>
      </c>
      <c r="D5108" s="51">
        <v>66.0</v>
      </c>
      <c r="E5108" s="52" t="s">
        <v>25</v>
      </c>
      <c r="F5108" s="52" t="s">
        <v>26</v>
      </c>
      <c r="G5108" s="53"/>
    </row>
    <row r="5109">
      <c r="A5109" s="49">
        <v>44566.7665318287</v>
      </c>
      <c r="B5109" s="50">
        <v>44566.8915129166</v>
      </c>
      <c r="C5109" s="51">
        <v>1.005</v>
      </c>
      <c r="D5109" s="51">
        <v>66.0</v>
      </c>
      <c r="E5109" s="52" t="s">
        <v>25</v>
      </c>
      <c r="F5109" s="52" t="s">
        <v>26</v>
      </c>
      <c r="G5109" s="53"/>
    </row>
    <row r="5110">
      <c r="A5110" s="49">
        <v>44566.77696200232</v>
      </c>
      <c r="B5110" s="50">
        <v>44566.9019343865</v>
      </c>
      <c r="C5110" s="51">
        <v>1.005</v>
      </c>
      <c r="D5110" s="51">
        <v>66.0</v>
      </c>
      <c r="E5110" s="52" t="s">
        <v>25</v>
      </c>
      <c r="F5110" s="52" t="s">
        <v>26</v>
      </c>
      <c r="G5110" s="53"/>
    </row>
    <row r="5111">
      <c r="A5111" s="49">
        <v>44566.78738944445</v>
      </c>
      <c r="B5111" s="50">
        <v>44566.9123550231</v>
      </c>
      <c r="C5111" s="51">
        <v>1.005</v>
      </c>
      <c r="D5111" s="51">
        <v>66.0</v>
      </c>
      <c r="E5111" s="52" t="s">
        <v>25</v>
      </c>
      <c r="F5111" s="52" t="s">
        <v>26</v>
      </c>
      <c r="G5111" s="53"/>
    </row>
    <row r="5112">
      <c r="A5112" s="49">
        <v>44566.79780346065</v>
      </c>
      <c r="B5112" s="50">
        <v>44566.9227778819</v>
      </c>
      <c r="C5112" s="51">
        <v>1.005</v>
      </c>
      <c r="D5112" s="51">
        <v>66.0</v>
      </c>
      <c r="E5112" s="52" t="s">
        <v>25</v>
      </c>
      <c r="F5112" s="52" t="s">
        <v>26</v>
      </c>
      <c r="G5112" s="53"/>
    </row>
    <row r="5113">
      <c r="A5113" s="49">
        <v>44566.808237916666</v>
      </c>
      <c r="B5113" s="50">
        <v>44566.9332109143</v>
      </c>
      <c r="C5113" s="51">
        <v>1.005</v>
      </c>
      <c r="D5113" s="51">
        <v>66.0</v>
      </c>
      <c r="E5113" s="52" t="s">
        <v>25</v>
      </c>
      <c r="F5113" s="52" t="s">
        <v>26</v>
      </c>
      <c r="G5113" s="53"/>
    </row>
    <row r="5114">
      <c r="A5114" s="49">
        <v>44566.818651180554</v>
      </c>
      <c r="B5114" s="50">
        <v>44566.943631574</v>
      </c>
      <c r="C5114" s="51">
        <v>1.005</v>
      </c>
      <c r="D5114" s="51">
        <v>66.0</v>
      </c>
      <c r="E5114" s="52" t="s">
        <v>25</v>
      </c>
      <c r="F5114" s="52" t="s">
        <v>26</v>
      </c>
      <c r="G5114" s="53"/>
    </row>
    <row r="5115">
      <c r="A5115" s="49">
        <v>44566.82909309027</v>
      </c>
      <c r="B5115" s="50">
        <v>44566.9540636921</v>
      </c>
      <c r="C5115" s="51">
        <v>1.005</v>
      </c>
      <c r="D5115" s="51">
        <v>66.0</v>
      </c>
      <c r="E5115" s="52" t="s">
        <v>25</v>
      </c>
      <c r="F5115" s="52" t="s">
        <v>26</v>
      </c>
      <c r="G5115" s="53"/>
    </row>
    <row r="5116">
      <c r="A5116" s="49">
        <v>44566.83950980324</v>
      </c>
      <c r="B5116" s="50">
        <v>44566.9644861689</v>
      </c>
      <c r="C5116" s="51">
        <v>1.005</v>
      </c>
      <c r="D5116" s="51">
        <v>66.0</v>
      </c>
      <c r="E5116" s="52" t="s">
        <v>25</v>
      </c>
      <c r="F5116" s="52" t="s">
        <v>26</v>
      </c>
      <c r="G5116" s="53"/>
    </row>
    <row r="5117">
      <c r="A5117" s="49">
        <v>44566.84993328704</v>
      </c>
      <c r="B5117" s="50">
        <v>44566.9749076504</v>
      </c>
      <c r="C5117" s="51">
        <v>1.005</v>
      </c>
      <c r="D5117" s="51">
        <v>66.0</v>
      </c>
      <c r="E5117" s="52" t="s">
        <v>25</v>
      </c>
      <c r="F5117" s="52" t="s">
        <v>26</v>
      </c>
      <c r="G5117" s="53"/>
    </row>
    <row r="5118">
      <c r="A5118" s="49">
        <v>44566.86038021991</v>
      </c>
      <c r="B5118" s="50">
        <v>44566.9853535648</v>
      </c>
      <c r="C5118" s="51">
        <v>1.005</v>
      </c>
      <c r="D5118" s="51">
        <v>66.0</v>
      </c>
      <c r="E5118" s="52" t="s">
        <v>25</v>
      </c>
      <c r="F5118" s="52" t="s">
        <v>26</v>
      </c>
      <c r="G5118" s="53"/>
    </row>
    <row r="5119">
      <c r="A5119" s="49">
        <v>44566.87079270833</v>
      </c>
      <c r="B5119" s="50">
        <v>44566.9957749884</v>
      </c>
      <c r="C5119" s="51">
        <v>1.005</v>
      </c>
      <c r="D5119" s="51">
        <v>66.0</v>
      </c>
      <c r="E5119" s="52" t="s">
        <v>25</v>
      </c>
      <c r="F5119" s="52" t="s">
        <v>26</v>
      </c>
      <c r="G5119" s="53"/>
    </row>
    <row r="5120">
      <c r="A5120" s="49">
        <v>44566.88122039352</v>
      </c>
      <c r="B5120" s="50">
        <v>44567.0061949884</v>
      </c>
      <c r="C5120" s="51">
        <v>1.005</v>
      </c>
      <c r="D5120" s="51">
        <v>66.0</v>
      </c>
      <c r="E5120" s="52" t="s">
        <v>25</v>
      </c>
      <c r="F5120" s="52" t="s">
        <v>26</v>
      </c>
      <c r="G5120" s="53"/>
    </row>
    <row r="5121">
      <c r="A5121" s="49">
        <v>44566.89163435185</v>
      </c>
      <c r="B5121" s="50">
        <v>44567.0166143865</v>
      </c>
      <c r="C5121" s="51">
        <v>1.005</v>
      </c>
      <c r="D5121" s="51">
        <v>66.0</v>
      </c>
      <c r="E5121" s="52" t="s">
        <v>25</v>
      </c>
      <c r="F5121" s="52" t="s">
        <v>26</v>
      </c>
      <c r="G5121" s="53"/>
    </row>
    <row r="5122">
      <c r="A5122" s="49">
        <v>44566.90205974537</v>
      </c>
      <c r="B5122" s="50">
        <v>44567.027034618</v>
      </c>
      <c r="C5122" s="51">
        <v>1.005</v>
      </c>
      <c r="D5122" s="51">
        <v>66.0</v>
      </c>
      <c r="E5122" s="52" t="s">
        <v>25</v>
      </c>
      <c r="F5122" s="52" t="s">
        <v>26</v>
      </c>
      <c r="G5122" s="53"/>
    </row>
    <row r="5123">
      <c r="A5123" s="49">
        <v>44566.9124768287</v>
      </c>
      <c r="B5123" s="50">
        <v>44567.0374548148</v>
      </c>
      <c r="C5123" s="51">
        <v>1.005</v>
      </c>
      <c r="D5123" s="51">
        <v>66.0</v>
      </c>
      <c r="E5123" s="52" t="s">
        <v>25</v>
      </c>
      <c r="F5123" s="52" t="s">
        <v>26</v>
      </c>
      <c r="G5123" s="53"/>
    </row>
    <row r="5124">
      <c r="A5124" s="49">
        <v>44566.92289997685</v>
      </c>
      <c r="B5124" s="50">
        <v>44567.0478742361</v>
      </c>
      <c r="C5124" s="51">
        <v>1.005</v>
      </c>
      <c r="D5124" s="51">
        <v>66.0</v>
      </c>
      <c r="E5124" s="52" t="s">
        <v>25</v>
      </c>
      <c r="F5124" s="52" t="s">
        <v>26</v>
      </c>
      <c r="G5124" s="53"/>
    </row>
    <row r="5125">
      <c r="A5125" s="49">
        <v>44566.93331813657</v>
      </c>
      <c r="B5125" s="50">
        <v>44567.0582959953</v>
      </c>
      <c r="C5125" s="51">
        <v>1.005</v>
      </c>
      <c r="D5125" s="51">
        <v>66.0</v>
      </c>
      <c r="E5125" s="52" t="s">
        <v>25</v>
      </c>
      <c r="F5125" s="52" t="s">
        <v>26</v>
      </c>
      <c r="G5125" s="53"/>
    </row>
    <row r="5126">
      <c r="A5126" s="49">
        <v>44566.94373078704</v>
      </c>
      <c r="B5126" s="50">
        <v>44567.0687171527</v>
      </c>
      <c r="C5126" s="51">
        <v>1.005</v>
      </c>
      <c r="D5126" s="51">
        <v>66.0</v>
      </c>
      <c r="E5126" s="52" t="s">
        <v>25</v>
      </c>
      <c r="F5126" s="52" t="s">
        <v>26</v>
      </c>
      <c r="G5126" s="53"/>
    </row>
    <row r="5127">
      <c r="A5127" s="49">
        <v>44566.95415422454</v>
      </c>
      <c r="B5127" s="50">
        <v>44567.0791376388</v>
      </c>
      <c r="C5127" s="51">
        <v>1.005</v>
      </c>
      <c r="D5127" s="51">
        <v>66.0</v>
      </c>
      <c r="E5127" s="52" t="s">
        <v>25</v>
      </c>
      <c r="F5127" s="52" t="s">
        <v>26</v>
      </c>
      <c r="G5127" s="53"/>
    </row>
    <row r="5128">
      <c r="A5128" s="49">
        <v>44566.96458690972</v>
      </c>
      <c r="B5128" s="50">
        <v>44567.0895699074</v>
      </c>
      <c r="C5128" s="51">
        <v>1.005</v>
      </c>
      <c r="D5128" s="51">
        <v>66.0</v>
      </c>
      <c r="E5128" s="52" t="s">
        <v>25</v>
      </c>
      <c r="F5128" s="52" t="s">
        <v>26</v>
      </c>
      <c r="G5128" s="53"/>
    </row>
    <row r="5129">
      <c r="A5129" s="49">
        <v>44566.97501688657</v>
      </c>
      <c r="B5129" s="50">
        <v>44567.1000020023</v>
      </c>
      <c r="C5129" s="51">
        <v>1.006</v>
      </c>
      <c r="D5129" s="51">
        <v>66.0</v>
      </c>
      <c r="E5129" s="52" t="s">
        <v>25</v>
      </c>
      <c r="F5129" s="52" t="s">
        <v>26</v>
      </c>
      <c r="G5129" s="53"/>
    </row>
    <row r="5130">
      <c r="A5130" s="49">
        <v>44566.98544962963</v>
      </c>
      <c r="B5130" s="50">
        <v>44567.1104240162</v>
      </c>
      <c r="C5130" s="51">
        <v>1.005</v>
      </c>
      <c r="D5130" s="51">
        <v>66.0</v>
      </c>
      <c r="E5130" s="52" t="s">
        <v>25</v>
      </c>
      <c r="F5130" s="52" t="s">
        <v>26</v>
      </c>
      <c r="G5130" s="53"/>
    </row>
    <row r="5131">
      <c r="A5131" s="49">
        <v>44566.99586530092</v>
      </c>
      <c r="B5131" s="50">
        <v>44567.1208442361</v>
      </c>
      <c r="C5131" s="51">
        <v>1.005</v>
      </c>
      <c r="D5131" s="51">
        <v>66.0</v>
      </c>
      <c r="E5131" s="52" t="s">
        <v>25</v>
      </c>
      <c r="F5131" s="52" t="s">
        <v>26</v>
      </c>
      <c r="G5131" s="53"/>
    </row>
    <row r="5132">
      <c r="A5132" s="49">
        <v>44567.006284375</v>
      </c>
      <c r="B5132" s="50">
        <v>44567.1312645138</v>
      </c>
      <c r="C5132" s="51">
        <v>1.005</v>
      </c>
      <c r="D5132" s="51">
        <v>66.0</v>
      </c>
      <c r="E5132" s="52" t="s">
        <v>25</v>
      </c>
      <c r="F5132" s="52" t="s">
        <v>26</v>
      </c>
      <c r="G5132" s="53"/>
    </row>
    <row r="5133">
      <c r="A5133" s="49">
        <v>44567.01672114583</v>
      </c>
      <c r="B5133" s="50">
        <v>44567.1416961226</v>
      </c>
      <c r="C5133" s="51">
        <v>1.005</v>
      </c>
      <c r="D5133" s="51">
        <v>66.0</v>
      </c>
      <c r="E5133" s="52" t="s">
        <v>25</v>
      </c>
      <c r="F5133" s="52" t="s">
        <v>26</v>
      </c>
      <c r="G5133" s="53"/>
    </row>
    <row r="5134">
      <c r="A5134" s="49">
        <v>44567.02714445602</v>
      </c>
      <c r="B5134" s="50">
        <v>44567.1521160763</v>
      </c>
      <c r="C5134" s="51">
        <v>1.005</v>
      </c>
      <c r="D5134" s="51">
        <v>66.0</v>
      </c>
      <c r="E5134" s="52" t="s">
        <v>25</v>
      </c>
      <c r="F5134" s="52" t="s">
        <v>26</v>
      </c>
      <c r="G5134" s="53"/>
    </row>
    <row r="5135">
      <c r="A5135" s="49">
        <v>44567.03756415509</v>
      </c>
      <c r="B5135" s="50">
        <v>44567.1625365277</v>
      </c>
      <c r="C5135" s="51">
        <v>1.006</v>
      </c>
      <c r="D5135" s="51">
        <v>66.0</v>
      </c>
      <c r="E5135" s="52" t="s">
        <v>25</v>
      </c>
      <c r="F5135" s="52" t="s">
        <v>26</v>
      </c>
      <c r="G5135" s="53"/>
    </row>
    <row r="5136">
      <c r="A5136" s="49">
        <v>44567.04797932871</v>
      </c>
      <c r="B5136" s="50">
        <v>44567.1729571412</v>
      </c>
      <c r="C5136" s="51">
        <v>1.005</v>
      </c>
      <c r="D5136" s="51">
        <v>65.0</v>
      </c>
      <c r="E5136" s="52" t="s">
        <v>25</v>
      </c>
      <c r="F5136" s="52" t="s">
        <v>26</v>
      </c>
      <c r="G5136" s="53"/>
    </row>
    <row r="5137">
      <c r="A5137" s="49">
        <v>44567.058404641204</v>
      </c>
      <c r="B5137" s="50">
        <v>44567.1833785185</v>
      </c>
      <c r="C5137" s="51">
        <v>1.005</v>
      </c>
      <c r="D5137" s="51">
        <v>65.0</v>
      </c>
      <c r="E5137" s="52" t="s">
        <v>25</v>
      </c>
      <c r="F5137" s="52" t="s">
        <v>26</v>
      </c>
      <c r="G5137" s="53"/>
    </row>
    <row r="5138">
      <c r="A5138" s="49">
        <v>44567.06882849537</v>
      </c>
      <c r="B5138" s="50">
        <v>44567.1938013425</v>
      </c>
      <c r="C5138" s="51">
        <v>1.005</v>
      </c>
      <c r="D5138" s="51">
        <v>65.0</v>
      </c>
      <c r="E5138" s="52" t="s">
        <v>25</v>
      </c>
      <c r="F5138" s="52" t="s">
        <v>26</v>
      </c>
      <c r="G5138" s="53"/>
    </row>
    <row r="5139">
      <c r="A5139" s="49">
        <v>44567.0792515625</v>
      </c>
      <c r="B5139" s="50">
        <v>44567.2042231944</v>
      </c>
      <c r="C5139" s="51">
        <v>1.006</v>
      </c>
      <c r="D5139" s="51">
        <v>65.0</v>
      </c>
      <c r="E5139" s="52" t="s">
        <v>25</v>
      </c>
      <c r="F5139" s="52" t="s">
        <v>26</v>
      </c>
      <c r="G5139" s="53"/>
    </row>
    <row r="5140">
      <c r="A5140" s="49">
        <v>44567.08966960648</v>
      </c>
      <c r="B5140" s="50">
        <v>44567.2146443981</v>
      </c>
      <c r="C5140" s="51">
        <v>1.005</v>
      </c>
      <c r="D5140" s="51">
        <v>65.0</v>
      </c>
      <c r="E5140" s="52" t="s">
        <v>25</v>
      </c>
      <c r="F5140" s="52" t="s">
        <v>26</v>
      </c>
      <c r="G5140" s="53"/>
    </row>
    <row r="5141">
      <c r="A5141" s="49">
        <v>44567.10009770833</v>
      </c>
      <c r="B5141" s="50">
        <v>44567.2250666666</v>
      </c>
      <c r="C5141" s="51">
        <v>1.005</v>
      </c>
      <c r="D5141" s="51">
        <v>65.0</v>
      </c>
      <c r="E5141" s="52" t="s">
        <v>25</v>
      </c>
      <c r="F5141" s="52" t="s">
        <v>26</v>
      </c>
      <c r="G5141" s="53"/>
    </row>
    <row r="5142">
      <c r="A5142" s="49">
        <v>44567.11051936343</v>
      </c>
      <c r="B5142" s="50">
        <v>44567.2354988194</v>
      </c>
      <c r="C5142" s="51">
        <v>1.005</v>
      </c>
      <c r="D5142" s="51">
        <v>65.0</v>
      </c>
      <c r="E5142" s="52" t="s">
        <v>25</v>
      </c>
      <c r="F5142" s="52" t="s">
        <v>26</v>
      </c>
      <c r="G5142" s="53"/>
    </row>
    <row r="5143">
      <c r="A5143" s="49">
        <v>44567.12093942129</v>
      </c>
      <c r="B5143" s="50">
        <v>44567.245919456</v>
      </c>
      <c r="C5143" s="51">
        <v>1.005</v>
      </c>
      <c r="D5143" s="51">
        <v>65.0</v>
      </c>
      <c r="E5143" s="52" t="s">
        <v>25</v>
      </c>
      <c r="F5143" s="52" t="s">
        <v>26</v>
      </c>
      <c r="G5143" s="53"/>
    </row>
    <row r="5144">
      <c r="A5144" s="49">
        <v>44567.13136530093</v>
      </c>
      <c r="B5144" s="50">
        <v>44567.2563406481</v>
      </c>
      <c r="C5144" s="51">
        <v>1.005</v>
      </c>
      <c r="D5144" s="51">
        <v>65.0</v>
      </c>
      <c r="E5144" s="52" t="s">
        <v>25</v>
      </c>
      <c r="F5144" s="52" t="s">
        <v>26</v>
      </c>
      <c r="G5144" s="53"/>
    </row>
    <row r="5145">
      <c r="A5145" s="49">
        <v>44567.141780509264</v>
      </c>
      <c r="B5145" s="50">
        <v>44567.2667623032</v>
      </c>
      <c r="C5145" s="51">
        <v>1.005</v>
      </c>
      <c r="D5145" s="51">
        <v>65.0</v>
      </c>
      <c r="E5145" s="52" t="s">
        <v>25</v>
      </c>
      <c r="F5145" s="52" t="s">
        <v>26</v>
      </c>
      <c r="G5145" s="53"/>
    </row>
    <row r="5146">
      <c r="A5146" s="49">
        <v>44567.152248784725</v>
      </c>
      <c r="B5146" s="50">
        <v>44567.2772192476</v>
      </c>
      <c r="C5146" s="51">
        <v>1.005</v>
      </c>
      <c r="D5146" s="51">
        <v>65.0</v>
      </c>
      <c r="E5146" s="52" t="s">
        <v>25</v>
      </c>
      <c r="F5146" s="52" t="s">
        <v>26</v>
      </c>
      <c r="G5146" s="53"/>
    </row>
    <row r="5147">
      <c r="A5147" s="49">
        <v>44567.162658622685</v>
      </c>
      <c r="B5147" s="50">
        <v>44567.2876400231</v>
      </c>
      <c r="C5147" s="51">
        <v>1.005</v>
      </c>
      <c r="D5147" s="51">
        <v>65.0</v>
      </c>
      <c r="E5147" s="52" t="s">
        <v>25</v>
      </c>
      <c r="F5147" s="52" t="s">
        <v>26</v>
      </c>
      <c r="G5147" s="53"/>
    </row>
    <row r="5148">
      <c r="A5148" s="49">
        <v>44567.173102789355</v>
      </c>
      <c r="B5148" s="50">
        <v>44567.2980611574</v>
      </c>
      <c r="C5148" s="51">
        <v>1.005</v>
      </c>
      <c r="D5148" s="51">
        <v>65.0</v>
      </c>
      <c r="E5148" s="52" t="s">
        <v>25</v>
      </c>
      <c r="F5148" s="52" t="s">
        <v>26</v>
      </c>
      <c r="G5148" s="53"/>
    </row>
    <row r="5149">
      <c r="A5149" s="49">
        <v>44567.18353519676</v>
      </c>
      <c r="B5149" s="50">
        <v>44567.3085047916</v>
      </c>
      <c r="C5149" s="51">
        <v>1.006</v>
      </c>
      <c r="D5149" s="51">
        <v>65.0</v>
      </c>
      <c r="E5149" s="52" t="s">
        <v>25</v>
      </c>
      <c r="F5149" s="52" t="s">
        <v>26</v>
      </c>
      <c r="G5149" s="53"/>
    </row>
    <row r="5150">
      <c r="A5150" s="49">
        <v>44567.1939527662</v>
      </c>
      <c r="B5150" s="50">
        <v>44567.3189258911</v>
      </c>
      <c r="C5150" s="51">
        <v>1.006</v>
      </c>
      <c r="D5150" s="51">
        <v>65.0</v>
      </c>
      <c r="E5150" s="52" t="s">
        <v>25</v>
      </c>
      <c r="F5150" s="52" t="s">
        <v>26</v>
      </c>
      <c r="G5150" s="53"/>
    </row>
    <row r="5151">
      <c r="A5151" s="49">
        <v>44567.204367349535</v>
      </c>
      <c r="B5151" s="50">
        <v>44567.3293467476</v>
      </c>
      <c r="C5151" s="51">
        <v>1.005</v>
      </c>
      <c r="D5151" s="51">
        <v>65.0</v>
      </c>
      <c r="E5151" s="52" t="s">
        <v>25</v>
      </c>
      <c r="F5151" s="52" t="s">
        <v>26</v>
      </c>
      <c r="G5151" s="53"/>
    </row>
    <row r="5152">
      <c r="A5152" s="49">
        <v>44567.21478743055</v>
      </c>
      <c r="B5152" s="50">
        <v>44567.3397671527</v>
      </c>
      <c r="C5152" s="51">
        <v>1.005</v>
      </c>
      <c r="D5152" s="51">
        <v>65.0</v>
      </c>
      <c r="E5152" s="52" t="s">
        <v>25</v>
      </c>
      <c r="F5152" s="52" t="s">
        <v>26</v>
      </c>
      <c r="G5152" s="53"/>
    </row>
    <row r="5153">
      <c r="A5153" s="49">
        <v>44567.22522111111</v>
      </c>
      <c r="B5153" s="50">
        <v>44567.3501900462</v>
      </c>
      <c r="C5153" s="51">
        <v>1.005</v>
      </c>
      <c r="D5153" s="51">
        <v>65.0</v>
      </c>
      <c r="E5153" s="52" t="s">
        <v>25</v>
      </c>
      <c r="F5153" s="52" t="s">
        <v>26</v>
      </c>
      <c r="G5153" s="53"/>
    </row>
    <row r="5154">
      <c r="A5154" s="49">
        <v>44567.235645347224</v>
      </c>
      <c r="B5154" s="50">
        <v>44567.3606228125</v>
      </c>
      <c r="C5154" s="51">
        <v>1.006</v>
      </c>
      <c r="D5154" s="51">
        <v>65.0</v>
      </c>
      <c r="E5154" s="52" t="s">
        <v>25</v>
      </c>
      <c r="F5154" s="52" t="s">
        <v>26</v>
      </c>
      <c r="G5154" s="53"/>
    </row>
    <row r="5155">
      <c r="A5155" s="49">
        <v>44567.246064837964</v>
      </c>
      <c r="B5155" s="50">
        <v>44567.3710440277</v>
      </c>
      <c r="C5155" s="51">
        <v>1.005</v>
      </c>
      <c r="D5155" s="51">
        <v>65.0</v>
      </c>
      <c r="E5155" s="52" t="s">
        <v>25</v>
      </c>
      <c r="F5155" s="52" t="s">
        <v>26</v>
      </c>
      <c r="G5155" s="53"/>
    </row>
    <row r="5156">
      <c r="A5156" s="49">
        <v>44567.25649151621</v>
      </c>
      <c r="B5156" s="50">
        <v>44567.3814641782</v>
      </c>
      <c r="C5156" s="51">
        <v>1.005</v>
      </c>
      <c r="D5156" s="51">
        <v>65.0</v>
      </c>
      <c r="E5156" s="52" t="s">
        <v>25</v>
      </c>
      <c r="F5156" s="52" t="s">
        <v>26</v>
      </c>
      <c r="G5156" s="53"/>
    </row>
    <row r="5157">
      <c r="A5157" s="49">
        <v>44567.26691474537</v>
      </c>
      <c r="B5157" s="50">
        <v>44567.3918864351</v>
      </c>
      <c r="C5157" s="51">
        <v>1.005</v>
      </c>
      <c r="D5157" s="51">
        <v>65.0</v>
      </c>
      <c r="E5157" s="52" t="s">
        <v>25</v>
      </c>
      <c r="F5157" s="52" t="s">
        <v>26</v>
      </c>
      <c r="G5157" s="53"/>
    </row>
    <row r="5158">
      <c r="A5158" s="49">
        <v>44567.27733351852</v>
      </c>
      <c r="B5158" s="50">
        <v>44567.402307824</v>
      </c>
      <c r="C5158" s="51">
        <v>1.005</v>
      </c>
      <c r="D5158" s="51">
        <v>65.0</v>
      </c>
      <c r="E5158" s="52" t="s">
        <v>25</v>
      </c>
      <c r="F5158" s="52" t="s">
        <v>26</v>
      </c>
      <c r="G5158" s="53"/>
    </row>
    <row r="5159">
      <c r="A5159" s="49">
        <v>44567.28776101852</v>
      </c>
      <c r="B5159" s="50">
        <v>44567.4127394097</v>
      </c>
      <c r="C5159" s="51">
        <v>1.006</v>
      </c>
      <c r="D5159" s="51">
        <v>65.0</v>
      </c>
      <c r="E5159" s="52" t="s">
        <v>25</v>
      </c>
      <c r="F5159" s="52" t="s">
        <v>26</v>
      </c>
      <c r="G5159" s="53"/>
    </row>
    <row r="5160">
      <c r="A5160" s="49">
        <v>44567.298188113426</v>
      </c>
      <c r="B5160" s="50">
        <v>44567.423161574</v>
      </c>
      <c r="C5160" s="51">
        <v>1.005</v>
      </c>
      <c r="D5160" s="51">
        <v>65.0</v>
      </c>
      <c r="E5160" s="52" t="s">
        <v>25</v>
      </c>
      <c r="F5160" s="52" t="s">
        <v>26</v>
      </c>
      <c r="G5160" s="53"/>
    </row>
    <row r="5161">
      <c r="A5161" s="49">
        <v>44567.30860849537</v>
      </c>
      <c r="B5161" s="50">
        <v>44567.4335827662</v>
      </c>
      <c r="C5161" s="51">
        <v>1.006</v>
      </c>
      <c r="D5161" s="51">
        <v>65.0</v>
      </c>
      <c r="E5161" s="52" t="s">
        <v>25</v>
      </c>
      <c r="F5161" s="52" t="s">
        <v>26</v>
      </c>
      <c r="G5161" s="53"/>
    </row>
    <row r="5162">
      <c r="A5162" s="49">
        <v>44567.31903796297</v>
      </c>
      <c r="B5162" s="50">
        <v>44567.4440162847</v>
      </c>
      <c r="C5162" s="51">
        <v>1.005</v>
      </c>
      <c r="D5162" s="51">
        <v>65.0</v>
      </c>
      <c r="E5162" s="52" t="s">
        <v>25</v>
      </c>
      <c r="F5162" s="52" t="s">
        <v>26</v>
      </c>
      <c r="G5162" s="53"/>
    </row>
    <row r="5163">
      <c r="A5163" s="49">
        <v>44567.32947524305</v>
      </c>
      <c r="B5163" s="50">
        <v>44567.4544494907</v>
      </c>
      <c r="C5163" s="51">
        <v>1.006</v>
      </c>
      <c r="D5163" s="51">
        <v>65.0</v>
      </c>
      <c r="E5163" s="52" t="s">
        <v>25</v>
      </c>
      <c r="F5163" s="52" t="s">
        <v>26</v>
      </c>
      <c r="G5163" s="53"/>
    </row>
    <row r="5164">
      <c r="A5164" s="49">
        <v>44567.33989903935</v>
      </c>
      <c r="B5164" s="50">
        <v>44567.4648819097</v>
      </c>
      <c r="C5164" s="51">
        <v>1.005</v>
      </c>
      <c r="D5164" s="51">
        <v>65.0</v>
      </c>
      <c r="E5164" s="52" t="s">
        <v>25</v>
      </c>
      <c r="F5164" s="52" t="s">
        <v>26</v>
      </c>
      <c r="G5164" s="53"/>
    </row>
    <row r="5165">
      <c r="A5165" s="49">
        <v>44567.3503291088</v>
      </c>
      <c r="B5165" s="50">
        <v>44567.4753031944</v>
      </c>
      <c r="C5165" s="51">
        <v>1.005</v>
      </c>
      <c r="D5165" s="51">
        <v>65.0</v>
      </c>
      <c r="E5165" s="52" t="s">
        <v>25</v>
      </c>
      <c r="F5165" s="52" t="s">
        <v>26</v>
      </c>
      <c r="G5165" s="53"/>
    </row>
    <row r="5166">
      <c r="A5166" s="49">
        <v>44567.360783344906</v>
      </c>
      <c r="B5166" s="50">
        <v>44567.4857231828</v>
      </c>
      <c r="C5166" s="51">
        <v>1.005</v>
      </c>
      <c r="D5166" s="51">
        <v>65.0</v>
      </c>
      <c r="E5166" s="52" t="s">
        <v>25</v>
      </c>
      <c r="F5166" s="52" t="s">
        <v>26</v>
      </c>
      <c r="G5166" s="53"/>
    </row>
    <row r="5167">
      <c r="A5167" s="49">
        <v>44567.3711653125</v>
      </c>
      <c r="B5167" s="50">
        <v>44567.4961446064</v>
      </c>
      <c r="C5167" s="51">
        <v>1.005</v>
      </c>
      <c r="D5167" s="51">
        <v>65.0</v>
      </c>
      <c r="E5167" s="52" t="s">
        <v>25</v>
      </c>
      <c r="F5167" s="52" t="s">
        <v>26</v>
      </c>
      <c r="G5167" s="53"/>
    </row>
    <row r="5168">
      <c r="A5168" s="49">
        <v>44567.381581712965</v>
      </c>
      <c r="B5168" s="50">
        <v>44567.5065638194</v>
      </c>
      <c r="C5168" s="51">
        <v>1.005</v>
      </c>
      <c r="D5168" s="51">
        <v>65.0</v>
      </c>
      <c r="E5168" s="52" t="s">
        <v>25</v>
      </c>
      <c r="F5168" s="52" t="s">
        <v>26</v>
      </c>
      <c r="G5168" s="53"/>
    </row>
    <row r="5169">
      <c r="A5169" s="49">
        <v>44567.3920116088</v>
      </c>
      <c r="B5169" s="50">
        <v>44567.5169852662</v>
      </c>
      <c r="C5169" s="51">
        <v>1.005</v>
      </c>
      <c r="D5169" s="51">
        <v>65.0</v>
      </c>
      <c r="E5169" s="52" t="s">
        <v>25</v>
      </c>
      <c r="F5169" s="52" t="s">
        <v>26</v>
      </c>
      <c r="G5169" s="53"/>
    </row>
    <row r="5170">
      <c r="A5170" s="49">
        <v>44567.40242670139</v>
      </c>
      <c r="B5170" s="50">
        <v>44567.5274067939</v>
      </c>
      <c r="C5170" s="51">
        <v>1.005</v>
      </c>
      <c r="D5170" s="51">
        <v>65.0</v>
      </c>
      <c r="E5170" s="52" t="s">
        <v>25</v>
      </c>
      <c r="F5170" s="52" t="s">
        <v>26</v>
      </c>
      <c r="G5170" s="53"/>
    </row>
    <row r="5171">
      <c r="A5171" s="49">
        <v>44567.41286247685</v>
      </c>
      <c r="B5171" s="50">
        <v>44567.5378405208</v>
      </c>
      <c r="C5171" s="51">
        <v>1.005</v>
      </c>
      <c r="D5171" s="51">
        <v>64.0</v>
      </c>
      <c r="E5171" s="52" t="s">
        <v>25</v>
      </c>
      <c r="F5171" s="52" t="s">
        <v>26</v>
      </c>
      <c r="G5171" s="53"/>
    </row>
    <row r="5172">
      <c r="A5172" s="49">
        <v>44567.42329450231</v>
      </c>
      <c r="B5172" s="50">
        <v>44567.5482741898</v>
      </c>
      <c r="C5172" s="51">
        <v>1.005</v>
      </c>
      <c r="D5172" s="51">
        <v>65.0</v>
      </c>
      <c r="E5172" s="52" t="s">
        <v>25</v>
      </c>
      <c r="F5172" s="52" t="s">
        <v>26</v>
      </c>
      <c r="G5172" s="53"/>
    </row>
    <row r="5173">
      <c r="A5173" s="49">
        <v>44567.43372328704</v>
      </c>
      <c r="B5173" s="50">
        <v>44567.5586972916</v>
      </c>
      <c r="C5173" s="51">
        <v>1.006</v>
      </c>
      <c r="D5173" s="51">
        <v>64.0</v>
      </c>
      <c r="E5173" s="52" t="s">
        <v>25</v>
      </c>
      <c r="F5173" s="52" t="s">
        <v>26</v>
      </c>
      <c r="G5173" s="53"/>
    </row>
    <row r="5174">
      <c r="A5174" s="49">
        <v>44567.44413858796</v>
      </c>
      <c r="B5174" s="50">
        <v>44567.569116875</v>
      </c>
      <c r="C5174" s="51">
        <v>1.005</v>
      </c>
      <c r="D5174" s="51">
        <v>64.0</v>
      </c>
      <c r="E5174" s="52" t="s">
        <v>25</v>
      </c>
      <c r="F5174" s="52" t="s">
        <v>26</v>
      </c>
      <c r="G5174" s="53"/>
    </row>
    <row r="5175">
      <c r="A5175" s="49">
        <v>44567.4545669213</v>
      </c>
      <c r="B5175" s="50">
        <v>44567.5795380555</v>
      </c>
      <c r="C5175" s="51">
        <v>1.005</v>
      </c>
      <c r="D5175" s="51">
        <v>64.0</v>
      </c>
      <c r="E5175" s="52" t="s">
        <v>25</v>
      </c>
      <c r="F5175" s="52" t="s">
        <v>26</v>
      </c>
      <c r="G5175" s="53"/>
    </row>
    <row r="5176">
      <c r="A5176" s="49">
        <v>44567.46498726852</v>
      </c>
      <c r="B5176" s="50">
        <v>44567.5899585532</v>
      </c>
      <c r="C5176" s="51">
        <v>1.005</v>
      </c>
      <c r="D5176" s="51">
        <v>64.0</v>
      </c>
      <c r="E5176" s="52" t="s">
        <v>25</v>
      </c>
      <c r="F5176" s="52" t="s">
        <v>26</v>
      </c>
      <c r="G5176" s="53"/>
    </row>
    <row r="5177">
      <c r="A5177" s="49">
        <v>44567.475401041665</v>
      </c>
      <c r="B5177" s="50">
        <v>44567.6003800462</v>
      </c>
      <c r="C5177" s="51">
        <v>1.005</v>
      </c>
      <c r="D5177" s="51">
        <v>64.0</v>
      </c>
      <c r="E5177" s="52" t="s">
        <v>25</v>
      </c>
      <c r="F5177" s="52" t="s">
        <v>26</v>
      </c>
      <c r="G5177" s="53"/>
    </row>
    <row r="5178">
      <c r="A5178" s="49">
        <v>44567.48581643519</v>
      </c>
      <c r="B5178" s="50">
        <v>44567.6107996064</v>
      </c>
      <c r="C5178" s="51">
        <v>1.006</v>
      </c>
      <c r="D5178" s="51">
        <v>64.0</v>
      </c>
      <c r="E5178" s="52" t="s">
        <v>25</v>
      </c>
      <c r="F5178" s="52" t="s">
        <v>26</v>
      </c>
      <c r="G5178" s="53"/>
    </row>
    <row r="5179">
      <c r="A5179" s="49">
        <v>44567.49624396991</v>
      </c>
      <c r="B5179" s="50">
        <v>44567.6212209953</v>
      </c>
      <c r="C5179" s="51">
        <v>1.005</v>
      </c>
      <c r="D5179" s="51">
        <v>64.0</v>
      </c>
      <c r="E5179" s="52" t="s">
        <v>25</v>
      </c>
      <c r="F5179" s="52" t="s">
        <v>26</v>
      </c>
      <c r="G5179" s="53"/>
    </row>
    <row r="5180">
      <c r="A5180" s="49">
        <v>44567.50666486111</v>
      </c>
      <c r="B5180" s="50">
        <v>44567.6316402662</v>
      </c>
      <c r="C5180" s="51">
        <v>1.005</v>
      </c>
      <c r="D5180" s="51">
        <v>64.0</v>
      </c>
      <c r="E5180" s="52" t="s">
        <v>25</v>
      </c>
      <c r="F5180" s="52" t="s">
        <v>26</v>
      </c>
      <c r="G5180" s="53"/>
    </row>
    <row r="5181">
      <c r="A5181" s="49">
        <v>44567.51708712963</v>
      </c>
      <c r="B5181" s="50">
        <v>44567.6420628009</v>
      </c>
      <c r="C5181" s="51">
        <v>1.005</v>
      </c>
      <c r="D5181" s="51">
        <v>64.0</v>
      </c>
      <c r="E5181" s="52" t="s">
        <v>25</v>
      </c>
      <c r="F5181" s="52" t="s">
        <v>26</v>
      </c>
      <c r="G5181" s="53"/>
    </row>
    <row r="5182">
      <c r="A5182" s="49">
        <v>44567.52754052084</v>
      </c>
      <c r="B5182" s="50">
        <v>44567.6525190393</v>
      </c>
      <c r="C5182" s="51">
        <v>1.005</v>
      </c>
      <c r="D5182" s="51">
        <v>64.0</v>
      </c>
      <c r="E5182" s="52" t="s">
        <v>25</v>
      </c>
      <c r="F5182" s="52" t="s">
        <v>26</v>
      </c>
      <c r="G5182" s="53"/>
    </row>
    <row r="5183">
      <c r="A5183" s="49">
        <v>44567.537968564815</v>
      </c>
      <c r="B5183" s="50">
        <v>44567.662940405</v>
      </c>
      <c r="C5183" s="51">
        <v>1.005</v>
      </c>
      <c r="D5183" s="51">
        <v>64.0</v>
      </c>
      <c r="E5183" s="52" t="s">
        <v>25</v>
      </c>
      <c r="F5183" s="52" t="s">
        <v>26</v>
      </c>
      <c r="G5183" s="53"/>
    </row>
    <row r="5184">
      <c r="A5184" s="49">
        <v>44567.54838533565</v>
      </c>
      <c r="B5184" s="50">
        <v>44567.6733617245</v>
      </c>
      <c r="C5184" s="51">
        <v>1.005</v>
      </c>
      <c r="D5184" s="51">
        <v>64.0</v>
      </c>
      <c r="E5184" s="52" t="s">
        <v>25</v>
      </c>
      <c r="F5184" s="52" t="s">
        <v>26</v>
      </c>
      <c r="G5184" s="53"/>
    </row>
    <row r="5185">
      <c r="A5185" s="49">
        <v>44567.558798240745</v>
      </c>
      <c r="B5185" s="50">
        <v>44567.6837829282</v>
      </c>
      <c r="C5185" s="51">
        <v>1.005</v>
      </c>
      <c r="D5185" s="51">
        <v>64.0</v>
      </c>
      <c r="E5185" s="52" t="s">
        <v>25</v>
      </c>
      <c r="F5185" s="52" t="s">
        <v>26</v>
      </c>
      <c r="G5185" s="53"/>
    </row>
    <row r="5186">
      <c r="A5186" s="49">
        <v>44567.569227430555</v>
      </c>
      <c r="B5186" s="50">
        <v>44567.6942040509</v>
      </c>
      <c r="C5186" s="51">
        <v>1.005</v>
      </c>
      <c r="D5186" s="51">
        <v>64.0</v>
      </c>
      <c r="E5186" s="52" t="s">
        <v>25</v>
      </c>
      <c r="F5186" s="52" t="s">
        <v>26</v>
      </c>
      <c r="G5186" s="53"/>
    </row>
    <row r="5187">
      <c r="A5187" s="49">
        <v>44567.579644074074</v>
      </c>
      <c r="B5187" s="50">
        <v>44567.7046248148</v>
      </c>
      <c r="C5187" s="51">
        <v>1.005</v>
      </c>
      <c r="D5187" s="51">
        <v>64.0</v>
      </c>
      <c r="E5187" s="52" t="s">
        <v>25</v>
      </c>
      <c r="F5187" s="52" t="s">
        <v>26</v>
      </c>
      <c r="G5187" s="53"/>
    </row>
    <row r="5188">
      <c r="A5188" s="49">
        <v>44567.59007287037</v>
      </c>
      <c r="B5188" s="50">
        <v>44567.7150455671</v>
      </c>
      <c r="C5188" s="51">
        <v>1.005</v>
      </c>
      <c r="D5188" s="51">
        <v>64.0</v>
      </c>
      <c r="E5188" s="52" t="s">
        <v>25</v>
      </c>
      <c r="F5188" s="52" t="s">
        <v>26</v>
      </c>
      <c r="G5188" s="53"/>
    </row>
    <row r="5189">
      <c r="A5189" s="49">
        <v>44567.6004925</v>
      </c>
      <c r="B5189" s="50">
        <v>44567.7254654282</v>
      </c>
      <c r="C5189" s="51">
        <v>1.005</v>
      </c>
      <c r="D5189" s="51">
        <v>64.0</v>
      </c>
      <c r="E5189" s="52" t="s">
        <v>25</v>
      </c>
      <c r="F5189" s="52" t="s">
        <v>26</v>
      </c>
      <c r="G5189" s="53"/>
    </row>
    <row r="5190">
      <c r="A5190" s="49">
        <v>44567.610907372684</v>
      </c>
      <c r="B5190" s="50">
        <v>44567.7358858912</v>
      </c>
      <c r="C5190" s="51">
        <v>1.005</v>
      </c>
      <c r="D5190" s="51">
        <v>64.0</v>
      </c>
      <c r="E5190" s="52" t="s">
        <v>25</v>
      </c>
      <c r="F5190" s="52" t="s">
        <v>26</v>
      </c>
      <c r="G5190" s="53"/>
    </row>
    <row r="5191">
      <c r="A5191" s="49">
        <v>44567.62132643518</v>
      </c>
      <c r="B5191" s="50">
        <v>44567.7463063425</v>
      </c>
      <c r="C5191" s="51">
        <v>1.005</v>
      </c>
      <c r="D5191" s="51">
        <v>64.0</v>
      </c>
      <c r="E5191" s="52" t="s">
        <v>25</v>
      </c>
      <c r="F5191" s="52" t="s">
        <v>26</v>
      </c>
      <c r="G5191" s="53"/>
    </row>
    <row r="5192">
      <c r="A5192" s="49">
        <v>44567.631752939815</v>
      </c>
      <c r="B5192" s="50">
        <v>44567.7567287384</v>
      </c>
      <c r="C5192" s="51">
        <v>1.005</v>
      </c>
      <c r="D5192" s="51">
        <v>64.0</v>
      </c>
      <c r="E5192" s="52" t="s">
        <v>25</v>
      </c>
      <c r="F5192" s="52" t="s">
        <v>26</v>
      </c>
      <c r="G5192" s="53"/>
    </row>
    <row r="5193">
      <c r="A5193" s="49">
        <v>44567.64216908565</v>
      </c>
      <c r="B5193" s="50">
        <v>44567.7671507638</v>
      </c>
      <c r="C5193" s="51">
        <v>1.005</v>
      </c>
      <c r="D5193" s="51">
        <v>64.0</v>
      </c>
      <c r="E5193" s="52" t="s">
        <v>25</v>
      </c>
      <c r="F5193" s="52" t="s">
        <v>26</v>
      </c>
      <c r="G5193" s="53"/>
    </row>
    <row r="5194">
      <c r="A5194" s="49">
        <v>44567.65259627315</v>
      </c>
      <c r="B5194" s="50">
        <v>44567.7775712384</v>
      </c>
      <c r="C5194" s="51">
        <v>1.005</v>
      </c>
      <c r="D5194" s="51">
        <v>64.0</v>
      </c>
      <c r="E5194" s="52" t="s">
        <v>25</v>
      </c>
      <c r="F5194" s="52" t="s">
        <v>26</v>
      </c>
      <c r="G5194" s="53"/>
    </row>
    <row r="5195">
      <c r="A5195" s="49">
        <v>44567.66301605324</v>
      </c>
      <c r="B5195" s="50">
        <v>44567.7879917245</v>
      </c>
      <c r="C5195" s="51">
        <v>1.005</v>
      </c>
      <c r="D5195" s="51">
        <v>64.0</v>
      </c>
      <c r="E5195" s="52" t="s">
        <v>25</v>
      </c>
      <c r="F5195" s="52" t="s">
        <v>26</v>
      </c>
      <c r="G5195" s="53"/>
    </row>
    <row r="5196">
      <c r="A5196" s="49">
        <v>44567.67343811343</v>
      </c>
      <c r="B5196" s="50">
        <v>44567.7984132638</v>
      </c>
      <c r="C5196" s="51">
        <v>1.005</v>
      </c>
      <c r="D5196" s="51">
        <v>64.0</v>
      </c>
      <c r="E5196" s="52" t="s">
        <v>25</v>
      </c>
      <c r="F5196" s="52" t="s">
        <v>26</v>
      </c>
      <c r="G5196" s="53"/>
    </row>
    <row r="5197">
      <c r="A5197" s="49">
        <v>44567.68385944444</v>
      </c>
      <c r="B5197" s="50">
        <v>44567.8088352546</v>
      </c>
      <c r="C5197" s="51">
        <v>1.005</v>
      </c>
      <c r="D5197" s="51">
        <v>64.0</v>
      </c>
      <c r="E5197" s="52" t="s">
        <v>25</v>
      </c>
      <c r="F5197" s="52" t="s">
        <v>26</v>
      </c>
      <c r="G5197" s="53"/>
    </row>
    <row r="5198">
      <c r="A5198" s="49">
        <v>44567.69427385417</v>
      </c>
      <c r="B5198" s="50">
        <v>44567.8192567592</v>
      </c>
      <c r="C5198" s="51">
        <v>1.005</v>
      </c>
      <c r="D5198" s="51">
        <v>64.0</v>
      </c>
      <c r="E5198" s="52" t="s">
        <v>25</v>
      </c>
      <c r="F5198" s="52" t="s">
        <v>26</v>
      </c>
      <c r="G5198" s="53"/>
    </row>
    <row r="5199">
      <c r="A5199" s="49">
        <v>44567.704699953705</v>
      </c>
      <c r="B5199" s="50">
        <v>44567.8296786805</v>
      </c>
      <c r="C5199" s="51">
        <v>1.005</v>
      </c>
      <c r="D5199" s="51">
        <v>64.0</v>
      </c>
      <c r="E5199" s="52" t="s">
        <v>25</v>
      </c>
      <c r="F5199" s="52" t="s">
        <v>26</v>
      </c>
      <c r="G5199" s="53"/>
    </row>
    <row r="5200">
      <c r="A5200" s="49">
        <v>44567.715130625</v>
      </c>
      <c r="B5200" s="50">
        <v>44567.8400992592</v>
      </c>
      <c r="C5200" s="51">
        <v>1.005</v>
      </c>
      <c r="D5200" s="51">
        <v>64.0</v>
      </c>
      <c r="E5200" s="52" t="s">
        <v>25</v>
      </c>
      <c r="F5200" s="52" t="s">
        <v>26</v>
      </c>
      <c r="G5200" s="53"/>
    </row>
    <row r="5201">
      <c r="A5201" s="49">
        <v>44567.725544409725</v>
      </c>
      <c r="B5201" s="50">
        <v>44567.8505225462</v>
      </c>
      <c r="C5201" s="51">
        <v>1.005</v>
      </c>
      <c r="D5201" s="51">
        <v>64.0</v>
      </c>
      <c r="E5201" s="52" t="s">
        <v>25</v>
      </c>
      <c r="F5201" s="52" t="s">
        <v>26</v>
      </c>
      <c r="G5201" s="53"/>
    </row>
    <row r="5202">
      <c r="A5202" s="49">
        <v>44567.73597296297</v>
      </c>
      <c r="B5202" s="50">
        <v>44567.8609451504</v>
      </c>
      <c r="C5202" s="51">
        <v>1.005</v>
      </c>
      <c r="D5202" s="51">
        <v>64.0</v>
      </c>
      <c r="E5202" s="52" t="s">
        <v>25</v>
      </c>
      <c r="F5202" s="52" t="s">
        <v>26</v>
      </c>
      <c r="G5202" s="53"/>
    </row>
    <row r="5203">
      <c r="A5203" s="49">
        <v>44567.74638819444</v>
      </c>
      <c r="B5203" s="50">
        <v>44567.8713678125</v>
      </c>
      <c r="C5203" s="51">
        <v>1.005</v>
      </c>
      <c r="D5203" s="51">
        <v>64.0</v>
      </c>
      <c r="E5203" s="52" t="s">
        <v>25</v>
      </c>
      <c r="F5203" s="52" t="s">
        <v>26</v>
      </c>
      <c r="G5203" s="53"/>
    </row>
    <row r="5204">
      <c r="A5204" s="49">
        <v>44567.75681047454</v>
      </c>
      <c r="B5204" s="50">
        <v>44567.8817908912</v>
      </c>
      <c r="C5204" s="51">
        <v>1.005</v>
      </c>
      <c r="D5204" s="51">
        <v>64.0</v>
      </c>
      <c r="E5204" s="52" t="s">
        <v>25</v>
      </c>
      <c r="F5204" s="52" t="s">
        <v>26</v>
      </c>
      <c r="G5204" s="53"/>
    </row>
    <row r="5205">
      <c r="A5205" s="49">
        <v>44567.767251909725</v>
      </c>
      <c r="B5205" s="50">
        <v>44567.8922367245</v>
      </c>
      <c r="C5205" s="51">
        <v>1.005</v>
      </c>
      <c r="D5205" s="51">
        <v>64.0</v>
      </c>
      <c r="E5205" s="52" t="s">
        <v>25</v>
      </c>
      <c r="F5205" s="52" t="s">
        <v>26</v>
      </c>
      <c r="G5205" s="53"/>
    </row>
    <row r="5206">
      <c r="A5206" s="49">
        <v>44567.77767755787</v>
      </c>
      <c r="B5206" s="50">
        <v>44567.9026570486</v>
      </c>
      <c r="C5206" s="51">
        <v>1.005</v>
      </c>
      <c r="D5206" s="51">
        <v>64.0</v>
      </c>
      <c r="E5206" s="52" t="s">
        <v>25</v>
      </c>
      <c r="F5206" s="52" t="s">
        <v>26</v>
      </c>
      <c r="G5206" s="53"/>
    </row>
    <row r="5207">
      <c r="A5207" s="49">
        <v>44567.78810839121</v>
      </c>
      <c r="B5207" s="50">
        <v>44567.9130779629</v>
      </c>
      <c r="C5207" s="51">
        <v>1.005</v>
      </c>
      <c r="D5207" s="51">
        <v>64.0</v>
      </c>
      <c r="E5207" s="52" t="s">
        <v>25</v>
      </c>
      <c r="F5207" s="52" t="s">
        <v>26</v>
      </c>
      <c r="G5207" s="53"/>
    </row>
    <row r="5208">
      <c r="A5208" s="49">
        <v>44567.798525694445</v>
      </c>
      <c r="B5208" s="50">
        <v>44567.9234998611</v>
      </c>
      <c r="C5208" s="51">
        <v>1.005</v>
      </c>
      <c r="D5208" s="51">
        <v>64.0</v>
      </c>
      <c r="E5208" s="52" t="s">
        <v>25</v>
      </c>
      <c r="F5208" s="52" t="s">
        <v>26</v>
      </c>
      <c r="G5208" s="53"/>
    </row>
    <row r="5209">
      <c r="A5209" s="49">
        <v>44567.808946377314</v>
      </c>
      <c r="B5209" s="50">
        <v>44567.9339221875</v>
      </c>
      <c r="C5209" s="51">
        <v>1.005</v>
      </c>
      <c r="D5209" s="51">
        <v>64.0</v>
      </c>
      <c r="E5209" s="52" t="s">
        <v>25</v>
      </c>
      <c r="F5209" s="52" t="s">
        <v>26</v>
      </c>
      <c r="G5209" s="53"/>
    </row>
    <row r="5210">
      <c r="A5210" s="49">
        <v>44567.81936158564</v>
      </c>
      <c r="B5210" s="50">
        <v>44567.944341412</v>
      </c>
      <c r="C5210" s="51">
        <v>1.005</v>
      </c>
      <c r="D5210" s="51">
        <v>64.0</v>
      </c>
      <c r="E5210" s="52" t="s">
        <v>25</v>
      </c>
      <c r="F5210" s="52" t="s">
        <v>26</v>
      </c>
      <c r="G5210" s="53"/>
    </row>
    <row r="5211">
      <c r="A5211" s="49">
        <v>44567.82979081018</v>
      </c>
      <c r="B5211" s="50">
        <v>44567.9547627546</v>
      </c>
      <c r="C5211" s="51">
        <v>1.005</v>
      </c>
      <c r="D5211" s="51">
        <v>64.0</v>
      </c>
      <c r="E5211" s="52" t="s">
        <v>25</v>
      </c>
      <c r="F5211" s="52" t="s">
        <v>26</v>
      </c>
      <c r="G5211" s="53"/>
    </row>
    <row r="5212">
      <c r="A5212" s="49">
        <v>44567.840215868055</v>
      </c>
      <c r="B5212" s="50">
        <v>44567.9651831481</v>
      </c>
      <c r="C5212" s="51">
        <v>1.005</v>
      </c>
      <c r="D5212" s="51">
        <v>64.0</v>
      </c>
      <c r="E5212" s="52" t="s">
        <v>25</v>
      </c>
      <c r="F5212" s="52" t="s">
        <v>26</v>
      </c>
      <c r="G5212" s="53"/>
    </row>
    <row r="5213">
      <c r="A5213" s="49">
        <v>44567.85063246528</v>
      </c>
      <c r="B5213" s="50">
        <v>44567.9756045023</v>
      </c>
      <c r="C5213" s="51">
        <v>1.005</v>
      </c>
      <c r="D5213" s="51">
        <v>64.0</v>
      </c>
      <c r="E5213" s="52" t="s">
        <v>25</v>
      </c>
      <c r="F5213" s="52" t="s">
        <v>26</v>
      </c>
      <c r="G5213" s="53"/>
    </row>
    <row r="5214">
      <c r="A5214" s="49">
        <v>44567.86105201389</v>
      </c>
      <c r="B5214" s="50">
        <v>44567.9860266087</v>
      </c>
      <c r="C5214" s="51">
        <v>1.005</v>
      </c>
      <c r="D5214" s="51">
        <v>64.0</v>
      </c>
      <c r="E5214" s="52" t="s">
        <v>25</v>
      </c>
      <c r="F5214" s="52" t="s">
        <v>26</v>
      </c>
      <c r="G5214" s="53"/>
    </row>
    <row r="5215">
      <c r="A5215" s="49">
        <v>44567.871469756945</v>
      </c>
      <c r="B5215" s="50">
        <v>44567.9964475463</v>
      </c>
      <c r="C5215" s="51">
        <v>1.005</v>
      </c>
      <c r="D5215" s="51">
        <v>64.0</v>
      </c>
      <c r="E5215" s="52" t="s">
        <v>25</v>
      </c>
      <c r="F5215" s="52" t="s">
        <v>26</v>
      </c>
      <c r="G5215" s="53"/>
    </row>
    <row r="5216">
      <c r="A5216" s="49">
        <v>44567.88188528935</v>
      </c>
      <c r="B5216" s="50">
        <v>44568.0068691087</v>
      </c>
      <c r="C5216" s="51">
        <v>1.005</v>
      </c>
      <c r="D5216" s="51">
        <v>64.0</v>
      </c>
      <c r="E5216" s="52" t="s">
        <v>25</v>
      </c>
      <c r="F5216" s="52" t="s">
        <v>26</v>
      </c>
      <c r="G5216" s="53"/>
    </row>
    <row r="5217">
      <c r="A5217" s="49">
        <v>44567.89232716435</v>
      </c>
      <c r="B5217" s="50">
        <v>44568.0173024305</v>
      </c>
      <c r="C5217" s="51">
        <v>1.005</v>
      </c>
      <c r="D5217" s="51">
        <v>64.0</v>
      </c>
      <c r="E5217" s="52" t="s">
        <v>25</v>
      </c>
      <c r="F5217" s="52" t="s">
        <v>26</v>
      </c>
      <c r="G5217" s="53"/>
    </row>
    <row r="5218">
      <c r="A5218" s="49">
        <v>44567.90274806713</v>
      </c>
      <c r="B5218" s="50">
        <v>44568.0277243287</v>
      </c>
      <c r="C5218" s="51">
        <v>1.005</v>
      </c>
      <c r="D5218" s="51">
        <v>64.0</v>
      </c>
      <c r="E5218" s="52" t="s">
        <v>25</v>
      </c>
      <c r="F5218" s="52" t="s">
        <v>26</v>
      </c>
      <c r="G5218" s="53"/>
    </row>
    <row r="5219">
      <c r="A5219" s="49">
        <v>44567.91317532407</v>
      </c>
      <c r="B5219" s="50">
        <v>44568.0381555208</v>
      </c>
      <c r="C5219" s="51">
        <v>1.005</v>
      </c>
      <c r="D5219" s="51">
        <v>64.0</v>
      </c>
      <c r="E5219" s="52" t="s">
        <v>25</v>
      </c>
      <c r="F5219" s="52" t="s">
        <v>26</v>
      </c>
      <c r="G5219" s="53"/>
    </row>
    <row r="5220">
      <c r="A5220" s="49">
        <v>44567.923592453706</v>
      </c>
      <c r="B5220" s="50">
        <v>44568.0485749652</v>
      </c>
      <c r="C5220" s="51">
        <v>1.005</v>
      </c>
      <c r="D5220" s="51">
        <v>64.0</v>
      </c>
      <c r="E5220" s="52" t="s">
        <v>25</v>
      </c>
      <c r="F5220" s="52" t="s">
        <v>26</v>
      </c>
      <c r="G5220" s="53"/>
    </row>
    <row r="5221">
      <c r="A5221" s="49">
        <v>44567.93403643518</v>
      </c>
      <c r="B5221" s="50">
        <v>44568.0590084838</v>
      </c>
      <c r="C5221" s="51">
        <v>1.005</v>
      </c>
      <c r="D5221" s="51">
        <v>64.0</v>
      </c>
      <c r="E5221" s="52" t="s">
        <v>25</v>
      </c>
      <c r="F5221" s="52" t="s">
        <v>26</v>
      </c>
      <c r="G5221" s="53"/>
    </row>
    <row r="5222">
      <c r="A5222" s="49">
        <v>44567.944456446756</v>
      </c>
      <c r="B5222" s="50">
        <v>44568.0694304745</v>
      </c>
      <c r="C5222" s="51">
        <v>1.005</v>
      </c>
      <c r="D5222" s="51">
        <v>64.0</v>
      </c>
      <c r="E5222" s="52" t="s">
        <v>25</v>
      </c>
      <c r="F5222" s="52" t="s">
        <v>26</v>
      </c>
      <c r="G5222" s="53"/>
    </row>
    <row r="5223">
      <c r="A5223" s="49">
        <v>44567.954868553235</v>
      </c>
      <c r="B5223" s="50">
        <v>44568.0798515277</v>
      </c>
      <c r="C5223" s="51">
        <v>1.005</v>
      </c>
      <c r="D5223" s="51">
        <v>64.0</v>
      </c>
      <c r="E5223" s="52" t="s">
        <v>25</v>
      </c>
      <c r="F5223" s="52" t="s">
        <v>26</v>
      </c>
      <c r="G5223" s="53"/>
    </row>
    <row r="5224">
      <c r="A5224" s="49">
        <v>44567.965290532404</v>
      </c>
      <c r="B5224" s="50">
        <v>44568.0902713425</v>
      </c>
      <c r="C5224" s="51">
        <v>1.005</v>
      </c>
      <c r="D5224" s="51">
        <v>63.0</v>
      </c>
      <c r="E5224" s="52" t="s">
        <v>25</v>
      </c>
      <c r="F5224" s="52" t="s">
        <v>26</v>
      </c>
      <c r="G5224" s="53"/>
    </row>
    <row r="5225">
      <c r="A5225" s="49">
        <v>44567.97571993056</v>
      </c>
      <c r="B5225" s="50">
        <v>44568.1006918865</v>
      </c>
      <c r="C5225" s="51">
        <v>1.005</v>
      </c>
      <c r="D5225" s="51">
        <v>64.0</v>
      </c>
      <c r="E5225" s="52" t="s">
        <v>25</v>
      </c>
      <c r="F5225" s="52" t="s">
        <v>26</v>
      </c>
      <c r="G5225" s="53"/>
    </row>
    <row r="5226">
      <c r="A5226" s="49">
        <v>44567.98615440972</v>
      </c>
      <c r="B5226" s="50">
        <v>44568.1111239699</v>
      </c>
      <c r="C5226" s="51">
        <v>1.005</v>
      </c>
      <c r="D5226" s="51">
        <v>63.0</v>
      </c>
      <c r="E5226" s="52" t="s">
        <v>25</v>
      </c>
      <c r="F5226" s="52" t="s">
        <v>26</v>
      </c>
      <c r="G5226" s="53"/>
    </row>
    <row r="5227">
      <c r="A5227" s="49">
        <v>44567.99656417824</v>
      </c>
      <c r="B5227" s="50">
        <v>44568.121544537</v>
      </c>
      <c r="C5227" s="51">
        <v>1.005</v>
      </c>
      <c r="D5227" s="51">
        <v>63.0</v>
      </c>
      <c r="E5227" s="52" t="s">
        <v>25</v>
      </c>
      <c r="F5227" s="52" t="s">
        <v>26</v>
      </c>
      <c r="G5227" s="53"/>
    </row>
    <row r="5228">
      <c r="A5228" s="49">
        <v>44568.00698658565</v>
      </c>
      <c r="B5228" s="50">
        <v>44568.1319663541</v>
      </c>
      <c r="C5228" s="51">
        <v>1.005</v>
      </c>
      <c r="D5228" s="51">
        <v>63.0</v>
      </c>
      <c r="E5228" s="52" t="s">
        <v>25</v>
      </c>
      <c r="F5228" s="52" t="s">
        <v>26</v>
      </c>
      <c r="G5228" s="53"/>
    </row>
    <row r="5229">
      <c r="A5229" s="49">
        <v>44568.017424652775</v>
      </c>
      <c r="B5229" s="50">
        <v>44568.1423979976</v>
      </c>
      <c r="C5229" s="51">
        <v>1.005</v>
      </c>
      <c r="D5229" s="51">
        <v>63.0</v>
      </c>
      <c r="E5229" s="52" t="s">
        <v>25</v>
      </c>
      <c r="F5229" s="52" t="s">
        <v>26</v>
      </c>
      <c r="G5229" s="53"/>
    </row>
    <row r="5230">
      <c r="A5230" s="49">
        <v>44568.0278428125</v>
      </c>
      <c r="B5230" s="50">
        <v>44568.1528201388</v>
      </c>
      <c r="C5230" s="51">
        <v>1.005</v>
      </c>
      <c r="D5230" s="51">
        <v>63.0</v>
      </c>
      <c r="E5230" s="52" t="s">
        <v>25</v>
      </c>
      <c r="F5230" s="52" t="s">
        <v>26</v>
      </c>
      <c r="G5230" s="53"/>
    </row>
    <row r="5231">
      <c r="A5231" s="49">
        <v>44568.03826946759</v>
      </c>
      <c r="B5231" s="50">
        <v>44568.1632540162</v>
      </c>
      <c r="C5231" s="51">
        <v>1.005</v>
      </c>
      <c r="D5231" s="51">
        <v>63.0</v>
      </c>
      <c r="E5231" s="52" t="s">
        <v>25</v>
      </c>
      <c r="F5231" s="52" t="s">
        <v>26</v>
      </c>
      <c r="G5231" s="53"/>
    </row>
    <row r="5232">
      <c r="A5232" s="49">
        <v>44568.04869814815</v>
      </c>
      <c r="B5232" s="50">
        <v>44568.1736774999</v>
      </c>
      <c r="C5232" s="51">
        <v>1.005</v>
      </c>
      <c r="D5232" s="51">
        <v>63.0</v>
      </c>
      <c r="E5232" s="52" t="s">
        <v>25</v>
      </c>
      <c r="F5232" s="52" t="s">
        <v>26</v>
      </c>
      <c r="G5232" s="53"/>
    </row>
    <row r="5233">
      <c r="A5233" s="49">
        <v>44568.05911883102</v>
      </c>
      <c r="B5233" s="50">
        <v>44568.1840989351</v>
      </c>
      <c r="C5233" s="51">
        <v>1.005</v>
      </c>
      <c r="D5233" s="51">
        <v>63.0</v>
      </c>
      <c r="E5233" s="52" t="s">
        <v>25</v>
      </c>
      <c r="F5233" s="52" t="s">
        <v>26</v>
      </c>
      <c r="G5233" s="53"/>
    </row>
    <row r="5234">
      <c r="A5234" s="49">
        <v>44568.06955703704</v>
      </c>
      <c r="B5234" s="50">
        <v>44568.1945318518</v>
      </c>
      <c r="C5234" s="51">
        <v>1.005</v>
      </c>
      <c r="D5234" s="51">
        <v>63.0</v>
      </c>
      <c r="E5234" s="52" t="s">
        <v>25</v>
      </c>
      <c r="F5234" s="52" t="s">
        <v>26</v>
      </c>
      <c r="G5234" s="53"/>
    </row>
    <row r="5235">
      <c r="A5235" s="49">
        <v>44568.079978379625</v>
      </c>
      <c r="B5235" s="50">
        <v>44568.2049525</v>
      </c>
      <c r="C5235" s="51">
        <v>1.005</v>
      </c>
      <c r="D5235" s="51">
        <v>63.0</v>
      </c>
      <c r="E5235" s="52" t="s">
        <v>25</v>
      </c>
      <c r="F5235" s="52" t="s">
        <v>26</v>
      </c>
      <c r="G5235" s="53"/>
    </row>
    <row r="5236">
      <c r="A5236" s="49">
        <v>44568.09044533565</v>
      </c>
      <c r="B5236" s="50">
        <v>44568.2154194791</v>
      </c>
      <c r="C5236" s="51">
        <v>1.005</v>
      </c>
      <c r="D5236" s="51">
        <v>63.0</v>
      </c>
      <c r="E5236" s="52" t="s">
        <v>25</v>
      </c>
      <c r="F5236" s="52" t="s">
        <v>26</v>
      </c>
      <c r="G5236" s="53"/>
    </row>
    <row r="5237">
      <c r="A5237" s="49">
        <v>44568.10087751158</v>
      </c>
      <c r="B5237" s="50">
        <v>44568.2258547337</v>
      </c>
      <c r="C5237" s="51">
        <v>1.005</v>
      </c>
      <c r="D5237" s="51">
        <v>63.0</v>
      </c>
      <c r="E5237" s="52" t="s">
        <v>25</v>
      </c>
      <c r="F5237" s="52" t="s">
        <v>26</v>
      </c>
      <c r="G5237" s="53"/>
    </row>
    <row r="5238">
      <c r="A5238" s="49">
        <v>44568.11130377315</v>
      </c>
      <c r="B5238" s="50">
        <v>44568.2362769213</v>
      </c>
      <c r="C5238" s="51">
        <v>1.005</v>
      </c>
      <c r="D5238" s="51">
        <v>63.0</v>
      </c>
      <c r="E5238" s="52" t="s">
        <v>25</v>
      </c>
      <c r="F5238" s="52" t="s">
        <v>26</v>
      </c>
      <c r="G5238" s="53"/>
    </row>
    <row r="5239">
      <c r="A5239" s="49">
        <v>44568.1217241088</v>
      </c>
      <c r="B5239" s="50">
        <v>44568.2466993287</v>
      </c>
      <c r="C5239" s="51">
        <v>1.005</v>
      </c>
      <c r="D5239" s="51">
        <v>63.0</v>
      </c>
      <c r="E5239" s="52" t="s">
        <v>25</v>
      </c>
      <c r="F5239" s="52" t="s">
        <v>26</v>
      </c>
      <c r="G5239" s="53"/>
    </row>
    <row r="5240">
      <c r="A5240" s="49">
        <v>44568.132149212965</v>
      </c>
      <c r="B5240" s="50">
        <v>44568.2571206944</v>
      </c>
      <c r="C5240" s="51">
        <v>1.005</v>
      </c>
      <c r="D5240" s="51">
        <v>63.0</v>
      </c>
      <c r="E5240" s="52" t="s">
        <v>25</v>
      </c>
      <c r="F5240" s="52" t="s">
        <v>26</v>
      </c>
      <c r="G5240" s="53"/>
    </row>
    <row r="5241">
      <c r="A5241" s="49">
        <v>44568.14257119213</v>
      </c>
      <c r="B5241" s="50">
        <v>44568.267541412</v>
      </c>
      <c r="C5241" s="51">
        <v>1.005</v>
      </c>
      <c r="D5241" s="51">
        <v>63.0</v>
      </c>
      <c r="E5241" s="52" t="s">
        <v>25</v>
      </c>
      <c r="F5241" s="52" t="s">
        <v>26</v>
      </c>
      <c r="G5241" s="53"/>
    </row>
    <row r="5242">
      <c r="A5242" s="49">
        <v>44568.15298400463</v>
      </c>
      <c r="B5242" s="50">
        <v>44568.2779621875</v>
      </c>
      <c r="C5242" s="51">
        <v>1.005</v>
      </c>
      <c r="D5242" s="51">
        <v>63.0</v>
      </c>
      <c r="E5242" s="52" t="s">
        <v>25</v>
      </c>
      <c r="F5242" s="52" t="s">
        <v>26</v>
      </c>
      <c r="G5242" s="53"/>
    </row>
    <row r="5243">
      <c r="A5243" s="49">
        <v>44568.163408946755</v>
      </c>
      <c r="B5243" s="50">
        <v>44568.2883842708</v>
      </c>
      <c r="C5243" s="51">
        <v>1.005</v>
      </c>
      <c r="D5243" s="51">
        <v>63.0</v>
      </c>
      <c r="E5243" s="52" t="s">
        <v>25</v>
      </c>
      <c r="F5243" s="52" t="s">
        <v>26</v>
      </c>
      <c r="G5243" s="53"/>
    </row>
    <row r="5244">
      <c r="A5244" s="49">
        <v>44568.173830127314</v>
      </c>
      <c r="B5244" s="50">
        <v>44568.2988064699</v>
      </c>
      <c r="C5244" s="51">
        <v>1.005</v>
      </c>
      <c r="D5244" s="51">
        <v>63.0</v>
      </c>
      <c r="E5244" s="52" t="s">
        <v>25</v>
      </c>
      <c r="F5244" s="52" t="s">
        <v>26</v>
      </c>
      <c r="G5244" s="53"/>
    </row>
    <row r="5245">
      <c r="A5245" s="49">
        <v>44568.18426019676</v>
      </c>
      <c r="B5245" s="50">
        <v>44568.3092281365</v>
      </c>
      <c r="C5245" s="51">
        <v>1.005</v>
      </c>
      <c r="D5245" s="51">
        <v>63.0</v>
      </c>
      <c r="E5245" s="52" t="s">
        <v>25</v>
      </c>
      <c r="F5245" s="52" t="s">
        <v>26</v>
      </c>
      <c r="G5245" s="53"/>
    </row>
    <row r="5246">
      <c r="A5246" s="49">
        <v>44568.19467582176</v>
      </c>
      <c r="B5246" s="50">
        <v>44568.3196501504</v>
      </c>
      <c r="C5246" s="51">
        <v>1.005</v>
      </c>
      <c r="D5246" s="51">
        <v>63.0</v>
      </c>
      <c r="E5246" s="52" t="s">
        <v>25</v>
      </c>
      <c r="F5246" s="52" t="s">
        <v>26</v>
      </c>
      <c r="G5246" s="53"/>
    </row>
    <row r="5247">
      <c r="A5247" s="49">
        <v>44568.20508834491</v>
      </c>
      <c r="B5247" s="50">
        <v>44568.3300719444</v>
      </c>
      <c r="C5247" s="51">
        <v>1.005</v>
      </c>
      <c r="D5247" s="51">
        <v>63.0</v>
      </c>
      <c r="E5247" s="52" t="s">
        <v>25</v>
      </c>
      <c r="F5247" s="52" t="s">
        <v>26</v>
      </c>
      <c r="G5247" s="53"/>
    </row>
    <row r="5248">
      <c r="A5248" s="49">
        <v>44568.21552965278</v>
      </c>
      <c r="B5248" s="50">
        <v>44568.3405051273</v>
      </c>
      <c r="C5248" s="51">
        <v>1.005</v>
      </c>
      <c r="D5248" s="51">
        <v>63.0</v>
      </c>
      <c r="E5248" s="52" t="s">
        <v>25</v>
      </c>
      <c r="F5248" s="52" t="s">
        <v>26</v>
      </c>
      <c r="G5248" s="53"/>
    </row>
    <row r="5249">
      <c r="A5249" s="49">
        <v>44568.22595137732</v>
      </c>
      <c r="B5249" s="50">
        <v>44568.3509260648</v>
      </c>
      <c r="C5249" s="51">
        <v>1.005</v>
      </c>
      <c r="D5249" s="51">
        <v>63.0</v>
      </c>
      <c r="E5249" s="52" t="s">
        <v>25</v>
      </c>
      <c r="F5249" s="52" t="s">
        <v>26</v>
      </c>
      <c r="G5249" s="53"/>
    </row>
    <row r="5250">
      <c r="A5250" s="49">
        <v>44568.23637387731</v>
      </c>
      <c r="B5250" s="50">
        <v>44568.3613472338</v>
      </c>
      <c r="C5250" s="51">
        <v>1.005</v>
      </c>
      <c r="D5250" s="51">
        <v>63.0</v>
      </c>
      <c r="E5250" s="52" t="s">
        <v>25</v>
      </c>
      <c r="F5250" s="52" t="s">
        <v>26</v>
      </c>
      <c r="G5250" s="53"/>
    </row>
    <row r="5251">
      <c r="A5251" s="49">
        <v>44568.246787870376</v>
      </c>
      <c r="B5251" s="50">
        <v>44568.3717681481</v>
      </c>
      <c r="C5251" s="51">
        <v>1.005</v>
      </c>
      <c r="D5251" s="51">
        <v>63.0</v>
      </c>
      <c r="E5251" s="52" t="s">
        <v>25</v>
      </c>
      <c r="F5251" s="52" t="s">
        <v>26</v>
      </c>
      <c r="G5251" s="53"/>
    </row>
    <row r="5252">
      <c r="A5252" s="49">
        <v>44568.25721116898</v>
      </c>
      <c r="B5252" s="50">
        <v>44568.3821900578</v>
      </c>
      <c r="C5252" s="51">
        <v>1.005</v>
      </c>
      <c r="D5252" s="51">
        <v>63.0</v>
      </c>
      <c r="E5252" s="52" t="s">
        <v>25</v>
      </c>
      <c r="F5252" s="52" t="s">
        <v>26</v>
      </c>
      <c r="G5252" s="53"/>
    </row>
    <row r="5253">
      <c r="A5253" s="49">
        <v>44568.267639722224</v>
      </c>
      <c r="B5253" s="50">
        <v>44568.3926103935</v>
      </c>
      <c r="C5253" s="51">
        <v>1.005</v>
      </c>
      <c r="D5253" s="51">
        <v>63.0</v>
      </c>
      <c r="E5253" s="52" t="s">
        <v>25</v>
      </c>
      <c r="F5253" s="52" t="s">
        <v>26</v>
      </c>
      <c r="G5253" s="53"/>
    </row>
    <row r="5254">
      <c r="A5254" s="49">
        <v>44568.278074594906</v>
      </c>
      <c r="B5254" s="50">
        <v>44568.4030322685</v>
      </c>
      <c r="C5254" s="51">
        <v>1.005</v>
      </c>
      <c r="D5254" s="51">
        <v>63.0</v>
      </c>
      <c r="E5254" s="52" t="s">
        <v>25</v>
      </c>
      <c r="F5254" s="52" t="s">
        <v>26</v>
      </c>
      <c r="G5254" s="53"/>
    </row>
    <row r="5255">
      <c r="A5255" s="49">
        <v>44568.288472581015</v>
      </c>
      <c r="B5255" s="50">
        <v>44568.4134517476</v>
      </c>
      <c r="C5255" s="51">
        <v>1.005</v>
      </c>
      <c r="D5255" s="51">
        <v>63.0</v>
      </c>
      <c r="E5255" s="52" t="s">
        <v>25</v>
      </c>
      <c r="F5255" s="52" t="s">
        <v>26</v>
      </c>
      <c r="G5255" s="53"/>
    </row>
    <row r="5256">
      <c r="A5256" s="49">
        <v>44568.29890164352</v>
      </c>
      <c r="B5256" s="50">
        <v>44568.4238733333</v>
      </c>
      <c r="C5256" s="51">
        <v>1.005</v>
      </c>
      <c r="D5256" s="51">
        <v>63.0</v>
      </c>
      <c r="E5256" s="52" t="s">
        <v>25</v>
      </c>
      <c r="F5256" s="52" t="s">
        <v>26</v>
      </c>
      <c r="G5256" s="53"/>
    </row>
    <row r="5257">
      <c r="A5257" s="49">
        <v>44568.30931996528</v>
      </c>
      <c r="B5257" s="50">
        <v>44568.4342953588</v>
      </c>
      <c r="C5257" s="51">
        <v>1.005</v>
      </c>
      <c r="D5257" s="51">
        <v>63.0</v>
      </c>
      <c r="E5257" s="52" t="s">
        <v>25</v>
      </c>
      <c r="F5257" s="52" t="s">
        <v>26</v>
      </c>
      <c r="G5257" s="53"/>
    </row>
    <row r="5258">
      <c r="A5258" s="49">
        <v>44568.319744837965</v>
      </c>
      <c r="B5258" s="50">
        <v>44568.4447166782</v>
      </c>
      <c r="C5258" s="51">
        <v>1.005</v>
      </c>
      <c r="D5258" s="51">
        <v>63.0</v>
      </c>
      <c r="E5258" s="52" t="s">
        <v>25</v>
      </c>
      <c r="F5258" s="52" t="s">
        <v>26</v>
      </c>
      <c r="G5258" s="53"/>
    </row>
    <row r="5259">
      <c r="A5259" s="49">
        <v>44568.33016405093</v>
      </c>
      <c r="B5259" s="50">
        <v>44568.4551379166</v>
      </c>
      <c r="C5259" s="51">
        <v>1.006</v>
      </c>
      <c r="D5259" s="51">
        <v>63.0</v>
      </c>
      <c r="E5259" s="52" t="s">
        <v>25</v>
      </c>
      <c r="F5259" s="52" t="s">
        <v>26</v>
      </c>
      <c r="G5259" s="53"/>
    </row>
    <row r="5260">
      <c r="A5260" s="49">
        <v>44568.340577939816</v>
      </c>
      <c r="B5260" s="50">
        <v>44568.4655610879</v>
      </c>
      <c r="C5260" s="51">
        <v>1.005</v>
      </c>
      <c r="D5260" s="51">
        <v>63.0</v>
      </c>
      <c r="E5260" s="52" t="s">
        <v>25</v>
      </c>
      <c r="F5260" s="52" t="s">
        <v>26</v>
      </c>
      <c r="G5260" s="53"/>
    </row>
    <row r="5261">
      <c r="A5261" s="49">
        <v>44568.35100917824</v>
      </c>
      <c r="B5261" s="50">
        <v>44568.4759817129</v>
      </c>
      <c r="C5261" s="51">
        <v>1.005</v>
      </c>
      <c r="D5261" s="51">
        <v>63.0</v>
      </c>
      <c r="E5261" s="52" t="s">
        <v>25</v>
      </c>
      <c r="F5261" s="52" t="s">
        <v>26</v>
      </c>
      <c r="G5261" s="53"/>
    </row>
    <row r="5262">
      <c r="A5262" s="49">
        <v>44568.361428564815</v>
      </c>
      <c r="B5262" s="50">
        <v>44568.4864027777</v>
      </c>
      <c r="C5262" s="51">
        <v>1.005</v>
      </c>
      <c r="D5262" s="51">
        <v>63.0</v>
      </c>
      <c r="E5262" s="52" t="s">
        <v>25</v>
      </c>
      <c r="F5262" s="52" t="s">
        <v>26</v>
      </c>
      <c r="G5262" s="53"/>
    </row>
    <row r="5263">
      <c r="A5263" s="49">
        <v>44568.37184363426</v>
      </c>
      <c r="B5263" s="50">
        <v>44568.4968237268</v>
      </c>
      <c r="C5263" s="51">
        <v>1.005</v>
      </c>
      <c r="D5263" s="51">
        <v>63.0</v>
      </c>
      <c r="E5263" s="52" t="s">
        <v>25</v>
      </c>
      <c r="F5263" s="52" t="s">
        <v>26</v>
      </c>
      <c r="G5263" s="53"/>
    </row>
    <row r="5264">
      <c r="A5264" s="49">
        <v>44568.38227212963</v>
      </c>
      <c r="B5264" s="50">
        <v>44568.5072445138</v>
      </c>
      <c r="C5264" s="51">
        <v>1.005</v>
      </c>
      <c r="D5264" s="51">
        <v>63.0</v>
      </c>
      <c r="E5264" s="52" t="s">
        <v>25</v>
      </c>
      <c r="F5264" s="52" t="s">
        <v>26</v>
      </c>
      <c r="G5264" s="53"/>
    </row>
    <row r="5265">
      <c r="A5265" s="49">
        <v>44568.39268392361</v>
      </c>
      <c r="B5265" s="50">
        <v>44568.5176645023</v>
      </c>
      <c r="C5265" s="51">
        <v>1.005</v>
      </c>
      <c r="D5265" s="51">
        <v>63.0</v>
      </c>
      <c r="E5265" s="52" t="s">
        <v>25</v>
      </c>
      <c r="F5265" s="52" t="s">
        <v>26</v>
      </c>
      <c r="G5265" s="53"/>
    </row>
    <row r="5266">
      <c r="A5266" s="49">
        <v>44568.40310555555</v>
      </c>
      <c r="B5266" s="50">
        <v>44568.5280857175</v>
      </c>
      <c r="C5266" s="51">
        <v>1.005</v>
      </c>
      <c r="D5266" s="51">
        <v>63.0</v>
      </c>
      <c r="E5266" s="52" t="s">
        <v>25</v>
      </c>
      <c r="F5266" s="52" t="s">
        <v>26</v>
      </c>
      <c r="G5266" s="53"/>
    </row>
    <row r="5267">
      <c r="A5267" s="49">
        <v>44568.413532418985</v>
      </c>
      <c r="B5267" s="50">
        <v>44568.5385065972</v>
      </c>
      <c r="C5267" s="51">
        <v>1.005</v>
      </c>
      <c r="D5267" s="51">
        <v>63.0</v>
      </c>
      <c r="E5267" s="52" t="s">
        <v>25</v>
      </c>
      <c r="F5267" s="52" t="s">
        <v>26</v>
      </c>
      <c r="G5267" s="53"/>
    </row>
    <row r="5268">
      <c r="A5268" s="49">
        <v>44568.423950439814</v>
      </c>
      <c r="B5268" s="50">
        <v>44568.5489281597</v>
      </c>
      <c r="C5268" s="51">
        <v>1.005</v>
      </c>
      <c r="D5268" s="51">
        <v>63.0</v>
      </c>
      <c r="E5268" s="52" t="s">
        <v>25</v>
      </c>
      <c r="F5268" s="52" t="s">
        <v>26</v>
      </c>
      <c r="G5268" s="53"/>
    </row>
    <row r="5269">
      <c r="A5269" s="49">
        <v>44568.43437368056</v>
      </c>
      <c r="B5269" s="50">
        <v>44568.559350081</v>
      </c>
      <c r="C5269" s="51">
        <v>1.005</v>
      </c>
      <c r="D5269" s="51">
        <v>63.0</v>
      </c>
      <c r="E5269" s="52" t="s">
        <v>25</v>
      </c>
      <c r="F5269" s="52" t="s">
        <v>26</v>
      </c>
      <c r="G5269" s="53"/>
    </row>
    <row r="5270">
      <c r="A5270" s="49">
        <v>44568.44479699074</v>
      </c>
      <c r="B5270" s="50">
        <v>44568.5697708564</v>
      </c>
      <c r="C5270" s="51">
        <v>1.005</v>
      </c>
      <c r="D5270" s="51">
        <v>63.0</v>
      </c>
      <c r="E5270" s="52" t="s">
        <v>25</v>
      </c>
      <c r="F5270" s="52" t="s">
        <v>26</v>
      </c>
      <c r="G5270" s="53"/>
    </row>
    <row r="5271">
      <c r="A5271" s="49">
        <v>44568.455231342596</v>
      </c>
      <c r="B5271" s="50">
        <v>44568.5802147916</v>
      </c>
      <c r="C5271" s="51">
        <v>1.005</v>
      </c>
      <c r="D5271" s="51">
        <v>63.0</v>
      </c>
      <c r="E5271" s="52" t="s">
        <v>25</v>
      </c>
      <c r="F5271" s="52" t="s">
        <v>26</v>
      </c>
      <c r="G5271" s="53"/>
    </row>
    <row r="5272">
      <c r="A5272" s="49">
        <v>44568.46567061343</v>
      </c>
      <c r="B5272" s="50">
        <v>44568.5906477662</v>
      </c>
      <c r="C5272" s="51">
        <v>1.005</v>
      </c>
      <c r="D5272" s="51">
        <v>63.0</v>
      </c>
      <c r="E5272" s="52" t="s">
        <v>25</v>
      </c>
      <c r="F5272" s="52" t="s">
        <v>26</v>
      </c>
      <c r="G5272" s="53"/>
    </row>
    <row r="5273">
      <c r="A5273" s="49">
        <v>44568.476097418985</v>
      </c>
      <c r="B5273" s="50">
        <v>44568.6010698148</v>
      </c>
      <c r="C5273" s="51">
        <v>1.005</v>
      </c>
      <c r="D5273" s="51">
        <v>63.0</v>
      </c>
      <c r="E5273" s="52" t="s">
        <v>25</v>
      </c>
      <c r="F5273" s="52" t="s">
        <v>26</v>
      </c>
      <c r="G5273" s="53"/>
    </row>
    <row r="5274">
      <c r="A5274" s="49">
        <v>44568.48652140047</v>
      </c>
      <c r="B5274" s="50">
        <v>44568.611492743</v>
      </c>
      <c r="C5274" s="51">
        <v>1.005</v>
      </c>
      <c r="D5274" s="51">
        <v>63.0</v>
      </c>
      <c r="E5274" s="52" t="s">
        <v>25</v>
      </c>
      <c r="F5274" s="52" t="s">
        <v>26</v>
      </c>
      <c r="G5274" s="53"/>
    </row>
    <row r="5275">
      <c r="A5275" s="49">
        <v>44568.49693850694</v>
      </c>
      <c r="B5275" s="50">
        <v>44568.6219140046</v>
      </c>
      <c r="C5275" s="51">
        <v>1.005</v>
      </c>
      <c r="D5275" s="51">
        <v>63.0</v>
      </c>
      <c r="E5275" s="52" t="s">
        <v>25</v>
      </c>
      <c r="F5275" s="52" t="s">
        <v>26</v>
      </c>
      <c r="G5275" s="53"/>
    </row>
    <row r="5276">
      <c r="A5276" s="49">
        <v>44568.507363321754</v>
      </c>
      <c r="B5276" s="50">
        <v>44568.6323343634</v>
      </c>
      <c r="C5276" s="51">
        <v>1.005</v>
      </c>
      <c r="D5276" s="51">
        <v>63.0</v>
      </c>
      <c r="E5276" s="52" t="s">
        <v>25</v>
      </c>
      <c r="F5276" s="52" t="s">
        <v>26</v>
      </c>
      <c r="G5276" s="53"/>
    </row>
    <row r="5277">
      <c r="A5277" s="49">
        <v>44568.51778222222</v>
      </c>
      <c r="B5277" s="50">
        <v>44568.6427542245</v>
      </c>
      <c r="C5277" s="51">
        <v>1.005</v>
      </c>
      <c r="D5277" s="51">
        <v>63.0</v>
      </c>
      <c r="E5277" s="52" t="s">
        <v>25</v>
      </c>
      <c r="F5277" s="52" t="s">
        <v>26</v>
      </c>
      <c r="G5277" s="53"/>
    </row>
    <row r="5278">
      <c r="A5278" s="49">
        <v>44568.528204120375</v>
      </c>
      <c r="B5278" s="50">
        <v>44568.6531764814</v>
      </c>
      <c r="C5278" s="51">
        <v>1.005</v>
      </c>
      <c r="D5278" s="51">
        <v>63.0</v>
      </c>
      <c r="E5278" s="52" t="s">
        <v>25</v>
      </c>
      <c r="F5278" s="52" t="s">
        <v>26</v>
      </c>
      <c r="G5278" s="53"/>
    </row>
    <row r="5279">
      <c r="A5279" s="49">
        <v>44568.53862313657</v>
      </c>
      <c r="B5279" s="50">
        <v>44568.6635980092</v>
      </c>
      <c r="C5279" s="51">
        <v>1.005</v>
      </c>
      <c r="D5279" s="51">
        <v>63.0</v>
      </c>
      <c r="E5279" s="52" t="s">
        <v>25</v>
      </c>
      <c r="F5279" s="52" t="s">
        <v>26</v>
      </c>
      <c r="G5279" s="53"/>
    </row>
    <row r="5280">
      <c r="A5280" s="49">
        <v>44568.549047430555</v>
      </c>
      <c r="B5280" s="50">
        <v>44568.6740190972</v>
      </c>
      <c r="C5280" s="51">
        <v>1.005</v>
      </c>
      <c r="D5280" s="51">
        <v>63.0</v>
      </c>
      <c r="E5280" s="52" t="s">
        <v>25</v>
      </c>
      <c r="F5280" s="52" t="s">
        <v>26</v>
      </c>
      <c r="G5280" s="53"/>
    </row>
    <row r="5281">
      <c r="A5281" s="49">
        <v>44568.55947792824</v>
      </c>
      <c r="B5281" s="50">
        <v>44568.6844406597</v>
      </c>
      <c r="C5281" s="51">
        <v>1.005</v>
      </c>
      <c r="D5281" s="51">
        <v>63.0</v>
      </c>
      <c r="E5281" s="52" t="s">
        <v>25</v>
      </c>
      <c r="F5281" s="52" t="s">
        <v>26</v>
      </c>
      <c r="G5281" s="53"/>
    </row>
    <row r="5282">
      <c r="A5282" s="49">
        <v>44568.569879131945</v>
      </c>
      <c r="B5282" s="50">
        <v>44568.6948609143</v>
      </c>
      <c r="C5282" s="51">
        <v>1.005</v>
      </c>
      <c r="D5282" s="51">
        <v>62.0</v>
      </c>
      <c r="E5282" s="52" t="s">
        <v>25</v>
      </c>
      <c r="F5282" s="52" t="s">
        <v>26</v>
      </c>
      <c r="G5282" s="53"/>
    </row>
    <row r="5283">
      <c r="A5283" s="49">
        <v>44568.58029967593</v>
      </c>
      <c r="B5283" s="50">
        <v>44568.7052810879</v>
      </c>
      <c r="C5283" s="51">
        <v>1.005</v>
      </c>
      <c r="D5283" s="51">
        <v>63.0</v>
      </c>
      <c r="E5283" s="52" t="s">
        <v>25</v>
      </c>
      <c r="F5283" s="52" t="s">
        <v>26</v>
      </c>
      <c r="G5283" s="53"/>
    </row>
    <row r="5284">
      <c r="A5284" s="49">
        <v>44568.59073170139</v>
      </c>
      <c r="B5284" s="50">
        <v>44568.7157022916</v>
      </c>
      <c r="C5284" s="51">
        <v>1.005</v>
      </c>
      <c r="D5284" s="51">
        <v>62.0</v>
      </c>
      <c r="E5284" s="52" t="s">
        <v>25</v>
      </c>
      <c r="F5284" s="52" t="s">
        <v>26</v>
      </c>
      <c r="G5284" s="53"/>
    </row>
    <row r="5285">
      <c r="A5285" s="49">
        <v>44568.60115138889</v>
      </c>
      <c r="B5285" s="50">
        <v>44568.7261352777</v>
      </c>
      <c r="C5285" s="51">
        <v>1.005</v>
      </c>
      <c r="D5285" s="51">
        <v>62.0</v>
      </c>
      <c r="E5285" s="52" t="s">
        <v>25</v>
      </c>
      <c r="F5285" s="52" t="s">
        <v>26</v>
      </c>
      <c r="G5285" s="53"/>
    </row>
    <row r="5286">
      <c r="A5286" s="49">
        <v>44568.61158483796</v>
      </c>
      <c r="B5286" s="50">
        <v>44568.7365568634</v>
      </c>
      <c r="C5286" s="51">
        <v>1.005</v>
      </c>
      <c r="D5286" s="51">
        <v>62.0</v>
      </c>
      <c r="E5286" s="52" t="s">
        <v>25</v>
      </c>
      <c r="F5286" s="52" t="s">
        <v>26</v>
      </c>
      <c r="G5286" s="53"/>
    </row>
    <row r="5287">
      <c r="A5287" s="49">
        <v>44568.62199803241</v>
      </c>
      <c r="B5287" s="50">
        <v>44568.746978206</v>
      </c>
      <c r="C5287" s="51">
        <v>1.005</v>
      </c>
      <c r="D5287" s="51">
        <v>62.0</v>
      </c>
      <c r="E5287" s="52" t="s">
        <v>25</v>
      </c>
      <c r="F5287" s="52" t="s">
        <v>26</v>
      </c>
      <c r="G5287" s="53"/>
    </row>
    <row r="5288">
      <c r="A5288" s="49">
        <v>44568.63241986111</v>
      </c>
      <c r="B5288" s="50">
        <v>44568.757398993</v>
      </c>
      <c r="C5288" s="51">
        <v>1.005</v>
      </c>
      <c r="D5288" s="51">
        <v>62.0</v>
      </c>
      <c r="E5288" s="52" t="s">
        <v>25</v>
      </c>
      <c r="F5288" s="52" t="s">
        <v>26</v>
      </c>
      <c r="G5288" s="53"/>
    </row>
    <row r="5289">
      <c r="A5289" s="49">
        <v>44568.642845208335</v>
      </c>
      <c r="B5289" s="50">
        <v>44568.7678202546</v>
      </c>
      <c r="C5289" s="51">
        <v>1.005</v>
      </c>
      <c r="D5289" s="51">
        <v>62.0</v>
      </c>
      <c r="E5289" s="52" t="s">
        <v>25</v>
      </c>
      <c r="F5289" s="52" t="s">
        <v>26</v>
      </c>
      <c r="G5289" s="53"/>
    </row>
    <row r="5290">
      <c r="A5290" s="49">
        <v>44568.65326608796</v>
      </c>
      <c r="B5290" s="50">
        <v>44568.7782406134</v>
      </c>
      <c r="C5290" s="51">
        <v>1.005</v>
      </c>
      <c r="D5290" s="51">
        <v>62.0</v>
      </c>
      <c r="E5290" s="52" t="s">
        <v>25</v>
      </c>
      <c r="F5290" s="52" t="s">
        <v>26</v>
      </c>
      <c r="G5290" s="53"/>
    </row>
    <row r="5291">
      <c r="A5291" s="49">
        <v>44568.66368099537</v>
      </c>
      <c r="B5291" s="50">
        <v>44568.7886600925</v>
      </c>
      <c r="C5291" s="51">
        <v>1.005</v>
      </c>
      <c r="D5291" s="51">
        <v>62.0</v>
      </c>
      <c r="E5291" s="52" t="s">
        <v>25</v>
      </c>
      <c r="F5291" s="52" t="s">
        <v>26</v>
      </c>
      <c r="G5291" s="53"/>
    </row>
    <row r="5292">
      <c r="A5292" s="49">
        <v>44568.674103425925</v>
      </c>
      <c r="B5292" s="50">
        <v>44568.7990829629</v>
      </c>
      <c r="C5292" s="51">
        <v>1.005</v>
      </c>
      <c r="D5292" s="51">
        <v>62.0</v>
      </c>
      <c r="E5292" s="52" t="s">
        <v>25</v>
      </c>
      <c r="F5292" s="52" t="s">
        <v>26</v>
      </c>
      <c r="G5292" s="53"/>
    </row>
    <row r="5293">
      <c r="A5293" s="49">
        <v>44568.68451947917</v>
      </c>
      <c r="B5293" s="50">
        <v>44568.8095044444</v>
      </c>
      <c r="C5293" s="51">
        <v>1.005</v>
      </c>
      <c r="D5293" s="51">
        <v>62.0</v>
      </c>
      <c r="E5293" s="52" t="s">
        <v>25</v>
      </c>
      <c r="F5293" s="52" t="s">
        <v>26</v>
      </c>
      <c r="G5293" s="53"/>
    </row>
    <row r="5294">
      <c r="A5294" s="49">
        <v>44568.69494149306</v>
      </c>
      <c r="B5294" s="50">
        <v>44568.8199268865</v>
      </c>
      <c r="C5294" s="51">
        <v>1.005</v>
      </c>
      <c r="D5294" s="51">
        <v>62.0</v>
      </c>
      <c r="E5294" s="52" t="s">
        <v>25</v>
      </c>
      <c r="F5294" s="52" t="s">
        <v>26</v>
      </c>
      <c r="G5294" s="53"/>
    </row>
    <row r="5295">
      <c r="A5295" s="49">
        <v>44568.70537054398</v>
      </c>
      <c r="B5295" s="50">
        <v>44568.8303488541</v>
      </c>
      <c r="C5295" s="51">
        <v>1.005</v>
      </c>
      <c r="D5295" s="51">
        <v>62.0</v>
      </c>
      <c r="E5295" s="52" t="s">
        <v>25</v>
      </c>
      <c r="F5295" s="52" t="s">
        <v>26</v>
      </c>
      <c r="G5295" s="53"/>
    </row>
    <row r="5296">
      <c r="A5296" s="49">
        <v>44568.715795578704</v>
      </c>
      <c r="B5296" s="50">
        <v>44568.8407686574</v>
      </c>
      <c r="C5296" s="51">
        <v>1.005</v>
      </c>
      <c r="D5296" s="51">
        <v>62.0</v>
      </c>
      <c r="E5296" s="52" t="s">
        <v>25</v>
      </c>
      <c r="F5296" s="52" t="s">
        <v>26</v>
      </c>
      <c r="G5296" s="53"/>
    </row>
    <row r="5297">
      <c r="A5297" s="49">
        <v>44568.72620990741</v>
      </c>
      <c r="B5297" s="50">
        <v>44568.8511896412</v>
      </c>
      <c r="C5297" s="51">
        <v>1.005</v>
      </c>
      <c r="D5297" s="51">
        <v>62.0</v>
      </c>
      <c r="E5297" s="52" t="s">
        <v>25</v>
      </c>
      <c r="F5297" s="52" t="s">
        <v>26</v>
      </c>
      <c r="G5297" s="53"/>
    </row>
    <row r="5298">
      <c r="A5298" s="49">
        <v>44568.736633645836</v>
      </c>
      <c r="B5298" s="50">
        <v>44568.8616112152</v>
      </c>
      <c r="C5298" s="51">
        <v>1.005</v>
      </c>
      <c r="D5298" s="51">
        <v>62.0</v>
      </c>
      <c r="E5298" s="52" t="s">
        <v>25</v>
      </c>
      <c r="F5298" s="52" t="s">
        <v>26</v>
      </c>
      <c r="G5298" s="53"/>
    </row>
    <row r="5299">
      <c r="A5299" s="49">
        <v>44568.74705619213</v>
      </c>
      <c r="B5299" s="50">
        <v>44568.8720314814</v>
      </c>
      <c r="C5299" s="51">
        <v>1.005</v>
      </c>
      <c r="D5299" s="51">
        <v>62.0</v>
      </c>
      <c r="E5299" s="52" t="s">
        <v>25</v>
      </c>
      <c r="F5299" s="52" t="s">
        <v>26</v>
      </c>
      <c r="G5299" s="53"/>
    </row>
    <row r="5300">
      <c r="A5300" s="49">
        <v>44568.76791712963</v>
      </c>
      <c r="B5300" s="50">
        <v>44568.8928974884</v>
      </c>
      <c r="C5300" s="51">
        <v>1.005</v>
      </c>
      <c r="D5300" s="51">
        <v>62.0</v>
      </c>
      <c r="E5300" s="52" t="s">
        <v>25</v>
      </c>
      <c r="F5300" s="52" t="s">
        <v>26</v>
      </c>
      <c r="G5300" s="53"/>
    </row>
    <row r="5301">
      <c r="A5301" s="49">
        <v>44568.778348692125</v>
      </c>
      <c r="B5301" s="50">
        <v>44568.9033187499</v>
      </c>
      <c r="C5301" s="51">
        <v>1.005</v>
      </c>
      <c r="D5301" s="51">
        <v>62.0</v>
      </c>
      <c r="E5301" s="52" t="s">
        <v>25</v>
      </c>
      <c r="F5301" s="52" t="s">
        <v>26</v>
      </c>
      <c r="G5301" s="53"/>
    </row>
    <row r="5302">
      <c r="A5302" s="49">
        <v>44568.78876925926</v>
      </c>
      <c r="B5302" s="50">
        <v>44568.913740405</v>
      </c>
      <c r="C5302" s="51">
        <v>1.005</v>
      </c>
      <c r="D5302" s="51">
        <v>62.0</v>
      </c>
      <c r="E5302" s="52" t="s">
        <v>25</v>
      </c>
      <c r="F5302" s="52" t="s">
        <v>26</v>
      </c>
      <c r="G5302" s="53"/>
    </row>
    <row r="5303">
      <c r="A5303" s="49">
        <v>44568.79920364583</v>
      </c>
      <c r="B5303" s="50">
        <v>44568.9241732754</v>
      </c>
      <c r="C5303" s="51">
        <v>1.005</v>
      </c>
      <c r="D5303" s="51">
        <v>62.0</v>
      </c>
      <c r="E5303" s="52" t="s">
        <v>25</v>
      </c>
      <c r="F5303" s="52" t="s">
        <v>26</v>
      </c>
      <c r="G5303" s="53"/>
    </row>
    <row r="5304">
      <c r="A5304" s="49">
        <v>44568.8096237037</v>
      </c>
      <c r="B5304" s="50">
        <v>44568.9345933449</v>
      </c>
      <c r="C5304" s="51">
        <v>1.005</v>
      </c>
      <c r="D5304" s="51">
        <v>62.0</v>
      </c>
      <c r="E5304" s="52" t="s">
        <v>25</v>
      </c>
      <c r="F5304" s="52" t="s">
        <v>26</v>
      </c>
      <c r="G5304" s="53"/>
    </row>
    <row r="5305">
      <c r="A5305" s="49">
        <v>44568.82005260416</v>
      </c>
      <c r="B5305" s="50">
        <v>44568.9450256712</v>
      </c>
      <c r="C5305" s="51">
        <v>1.005</v>
      </c>
      <c r="D5305" s="51">
        <v>62.0</v>
      </c>
      <c r="E5305" s="52" t="s">
        <v>25</v>
      </c>
      <c r="F5305" s="52" t="s">
        <v>26</v>
      </c>
      <c r="G5305" s="53"/>
    </row>
    <row r="5306">
      <c r="A5306" s="49">
        <v>44568.8304700463</v>
      </c>
      <c r="B5306" s="50">
        <v>44568.9554458449</v>
      </c>
      <c r="C5306" s="51">
        <v>1.005</v>
      </c>
      <c r="D5306" s="51">
        <v>62.0</v>
      </c>
      <c r="E5306" s="52" t="s">
        <v>25</v>
      </c>
      <c r="F5306" s="52" t="s">
        <v>26</v>
      </c>
      <c r="G5306" s="53"/>
    </row>
    <row r="5307">
      <c r="A5307" s="49">
        <v>44568.84089054399</v>
      </c>
      <c r="B5307" s="50">
        <v>44568.9658669444</v>
      </c>
      <c r="C5307" s="51">
        <v>1.005</v>
      </c>
      <c r="D5307" s="51">
        <v>62.0</v>
      </c>
      <c r="E5307" s="52" t="s">
        <v>25</v>
      </c>
      <c r="F5307" s="52" t="s">
        <v>26</v>
      </c>
      <c r="G5307" s="53"/>
    </row>
    <row r="5308">
      <c r="A5308" s="49">
        <v>44568.85134177083</v>
      </c>
      <c r="B5308" s="50">
        <v>44568.9763106944</v>
      </c>
      <c r="C5308" s="51">
        <v>1.005</v>
      </c>
      <c r="D5308" s="51">
        <v>62.0</v>
      </c>
      <c r="E5308" s="52" t="s">
        <v>25</v>
      </c>
      <c r="F5308" s="52" t="s">
        <v>26</v>
      </c>
      <c r="G5308" s="53"/>
    </row>
    <row r="5309">
      <c r="A5309" s="49">
        <v>44568.86175863426</v>
      </c>
      <c r="B5309" s="50">
        <v>44568.9867307523</v>
      </c>
      <c r="C5309" s="51">
        <v>1.005</v>
      </c>
      <c r="D5309" s="51">
        <v>62.0</v>
      </c>
      <c r="E5309" s="52" t="s">
        <v>25</v>
      </c>
      <c r="F5309" s="52" t="s">
        <v>26</v>
      </c>
      <c r="G5309" s="53"/>
    </row>
    <row r="5310">
      <c r="A5310" s="49">
        <v>44568.87217524306</v>
      </c>
      <c r="B5310" s="50">
        <v>44568.9971511111</v>
      </c>
      <c r="C5310" s="51">
        <v>1.005</v>
      </c>
      <c r="D5310" s="51">
        <v>62.0</v>
      </c>
      <c r="E5310" s="52" t="s">
        <v>25</v>
      </c>
      <c r="F5310" s="52" t="s">
        <v>26</v>
      </c>
      <c r="G5310" s="53"/>
    </row>
    <row r="5311">
      <c r="A5311" s="49">
        <v>44568.88259577546</v>
      </c>
      <c r="B5311" s="50">
        <v>44569.0075724421</v>
      </c>
      <c r="C5311" s="51">
        <v>1.005</v>
      </c>
      <c r="D5311" s="51">
        <v>62.0</v>
      </c>
      <c r="E5311" s="52" t="s">
        <v>25</v>
      </c>
      <c r="F5311" s="52" t="s">
        <v>26</v>
      </c>
      <c r="G5311" s="53"/>
    </row>
    <row r="5312">
      <c r="A5312" s="49">
        <v>44568.89301479167</v>
      </c>
      <c r="B5312" s="50">
        <v>44569.0179919097</v>
      </c>
      <c r="C5312" s="51">
        <v>1.005</v>
      </c>
      <c r="D5312" s="51">
        <v>62.0</v>
      </c>
      <c r="E5312" s="52" t="s">
        <v>25</v>
      </c>
      <c r="F5312" s="52" t="s">
        <v>26</v>
      </c>
      <c r="G5312" s="53"/>
    </row>
    <row r="5313">
      <c r="A5313" s="49">
        <v>44568.90343471065</v>
      </c>
      <c r="B5313" s="50">
        <v>44569.0284121759</v>
      </c>
      <c r="C5313" s="51">
        <v>1.005</v>
      </c>
      <c r="D5313" s="51">
        <v>62.0</v>
      </c>
      <c r="E5313" s="52" t="s">
        <v>25</v>
      </c>
      <c r="F5313" s="52" t="s">
        <v>26</v>
      </c>
      <c r="G5313" s="53"/>
    </row>
    <row r="5314">
      <c r="A5314" s="49">
        <v>44568.91385578703</v>
      </c>
      <c r="B5314" s="50">
        <v>44569.038831875</v>
      </c>
      <c r="C5314" s="51">
        <v>1.005</v>
      </c>
      <c r="D5314" s="51">
        <v>62.0</v>
      </c>
      <c r="E5314" s="52" t="s">
        <v>25</v>
      </c>
      <c r="F5314" s="52" t="s">
        <v>26</v>
      </c>
      <c r="G5314" s="53"/>
    </row>
    <row r="5315">
      <c r="A5315" s="49">
        <v>44568.92428489584</v>
      </c>
      <c r="B5315" s="50">
        <v>44569.0492522106</v>
      </c>
      <c r="C5315" s="51">
        <v>1.005</v>
      </c>
      <c r="D5315" s="51">
        <v>62.0</v>
      </c>
      <c r="E5315" s="52" t="s">
        <v>25</v>
      </c>
      <c r="F5315" s="52" t="s">
        <v>26</v>
      </c>
      <c r="G5315" s="53"/>
    </row>
    <row r="5316">
      <c r="A5316" s="49">
        <v>44568.934704722225</v>
      </c>
      <c r="B5316" s="50">
        <v>44569.0596723842</v>
      </c>
      <c r="C5316" s="51">
        <v>1.005</v>
      </c>
      <c r="D5316" s="51">
        <v>62.0</v>
      </c>
      <c r="E5316" s="52" t="s">
        <v>25</v>
      </c>
      <c r="F5316" s="52" t="s">
        <v>26</v>
      </c>
      <c r="G5316" s="53"/>
    </row>
    <row r="5317">
      <c r="A5317" s="49">
        <v>44568.94512211806</v>
      </c>
      <c r="B5317" s="50">
        <v>44569.0700914583</v>
      </c>
      <c r="C5317" s="51">
        <v>1.005</v>
      </c>
      <c r="D5317" s="51">
        <v>62.0</v>
      </c>
      <c r="E5317" s="52" t="s">
        <v>25</v>
      </c>
      <c r="F5317" s="52" t="s">
        <v>26</v>
      </c>
      <c r="G5317" s="53"/>
    </row>
    <row r="5318">
      <c r="A5318" s="49">
        <v>44568.95554034722</v>
      </c>
      <c r="B5318" s="50">
        <v>44569.0805133101</v>
      </c>
      <c r="C5318" s="51">
        <v>1.005</v>
      </c>
      <c r="D5318" s="51">
        <v>62.0</v>
      </c>
      <c r="E5318" s="52" t="s">
        <v>25</v>
      </c>
      <c r="F5318" s="52" t="s">
        <v>26</v>
      </c>
      <c r="G5318" s="53"/>
    </row>
    <row r="5319">
      <c r="A5319" s="49">
        <v>44568.96597528935</v>
      </c>
      <c r="B5319" s="50">
        <v>44569.0909435185</v>
      </c>
      <c r="C5319" s="51">
        <v>1.005</v>
      </c>
      <c r="D5319" s="51">
        <v>62.0</v>
      </c>
      <c r="E5319" s="52" t="s">
        <v>25</v>
      </c>
      <c r="F5319" s="52" t="s">
        <v>26</v>
      </c>
      <c r="G5319" s="53"/>
    </row>
    <row r="5320">
      <c r="A5320" s="49">
        <v>44568.97639546296</v>
      </c>
      <c r="B5320" s="50">
        <v>44569.1013629976</v>
      </c>
      <c r="C5320" s="51">
        <v>1.005</v>
      </c>
      <c r="D5320" s="51">
        <v>62.0</v>
      </c>
      <c r="E5320" s="52" t="s">
        <v>25</v>
      </c>
      <c r="F5320" s="52" t="s">
        <v>26</v>
      </c>
      <c r="G5320" s="53"/>
    </row>
    <row r="5321">
      <c r="A5321" s="49">
        <v>44568.98682857639</v>
      </c>
      <c r="B5321" s="50">
        <v>44569.1117945601</v>
      </c>
      <c r="C5321" s="51">
        <v>1.005</v>
      </c>
      <c r="D5321" s="51">
        <v>62.0</v>
      </c>
      <c r="E5321" s="52" t="s">
        <v>25</v>
      </c>
      <c r="F5321" s="52" t="s">
        <v>26</v>
      </c>
      <c r="G5321" s="53"/>
    </row>
    <row r="5322">
      <c r="A5322" s="49">
        <v>44568.99724880787</v>
      </c>
      <c r="B5322" s="50">
        <v>44569.1222160879</v>
      </c>
      <c r="C5322" s="51">
        <v>1.005</v>
      </c>
      <c r="D5322" s="51">
        <v>62.0</v>
      </c>
      <c r="E5322" s="52" t="s">
        <v>25</v>
      </c>
      <c r="F5322" s="52" t="s">
        <v>26</v>
      </c>
      <c r="G5322" s="53"/>
    </row>
    <row r="5323">
      <c r="A5323" s="49">
        <v>44569.00765912037</v>
      </c>
      <c r="B5323" s="50">
        <v>44569.1326370254</v>
      </c>
      <c r="C5323" s="51">
        <v>1.005</v>
      </c>
      <c r="D5323" s="51">
        <v>62.0</v>
      </c>
      <c r="E5323" s="52" t="s">
        <v>25</v>
      </c>
      <c r="F5323" s="52" t="s">
        <v>26</v>
      </c>
      <c r="G5323" s="53"/>
    </row>
    <row r="5324">
      <c r="A5324" s="49">
        <v>44569.0180897338</v>
      </c>
      <c r="B5324" s="50">
        <v>44569.1430572453</v>
      </c>
      <c r="C5324" s="51">
        <v>1.005</v>
      </c>
      <c r="D5324" s="51">
        <v>62.0</v>
      </c>
      <c r="E5324" s="52" t="s">
        <v>25</v>
      </c>
      <c r="F5324" s="52" t="s">
        <v>26</v>
      </c>
      <c r="G5324" s="53"/>
    </row>
    <row r="5325">
      <c r="A5325" s="49">
        <v>44569.02850699074</v>
      </c>
      <c r="B5325" s="50">
        <v>44569.1534797106</v>
      </c>
      <c r="C5325" s="51">
        <v>1.005</v>
      </c>
      <c r="D5325" s="51">
        <v>62.0</v>
      </c>
      <c r="E5325" s="52" t="s">
        <v>25</v>
      </c>
      <c r="F5325" s="52" t="s">
        <v>26</v>
      </c>
      <c r="G5325" s="53"/>
    </row>
    <row r="5326">
      <c r="A5326" s="49">
        <v>44569.03892423611</v>
      </c>
      <c r="B5326" s="50">
        <v>44569.1638994444</v>
      </c>
      <c r="C5326" s="51">
        <v>1.005</v>
      </c>
      <c r="D5326" s="51">
        <v>62.0</v>
      </c>
      <c r="E5326" s="52" t="s">
        <v>25</v>
      </c>
      <c r="F5326" s="52" t="s">
        <v>26</v>
      </c>
      <c r="G5326" s="53"/>
    </row>
    <row r="5327">
      <c r="A5327" s="49">
        <v>44569.04934287037</v>
      </c>
      <c r="B5327" s="50">
        <v>44569.1743198611</v>
      </c>
      <c r="C5327" s="51">
        <v>1.005</v>
      </c>
      <c r="D5327" s="51">
        <v>62.0</v>
      </c>
      <c r="E5327" s="52" t="s">
        <v>25</v>
      </c>
      <c r="F5327" s="52" t="s">
        <v>26</v>
      </c>
      <c r="G5327" s="53"/>
    </row>
    <row r="5328">
      <c r="A5328" s="49">
        <v>44569.05979802083</v>
      </c>
      <c r="B5328" s="50">
        <v>44569.1847636574</v>
      </c>
      <c r="C5328" s="51">
        <v>1.005</v>
      </c>
      <c r="D5328" s="51">
        <v>62.0</v>
      </c>
      <c r="E5328" s="52" t="s">
        <v>25</v>
      </c>
      <c r="F5328" s="52" t="s">
        <v>26</v>
      </c>
      <c r="G5328" s="53"/>
    </row>
    <row r="5329">
      <c r="A5329" s="49">
        <v>44569.07021612268</v>
      </c>
      <c r="B5329" s="50">
        <v>44569.1951855902</v>
      </c>
      <c r="C5329" s="51">
        <v>1.005</v>
      </c>
      <c r="D5329" s="51">
        <v>62.0</v>
      </c>
      <c r="E5329" s="52" t="s">
        <v>25</v>
      </c>
      <c r="F5329" s="52" t="s">
        <v>26</v>
      </c>
      <c r="G5329" s="53"/>
    </row>
    <row r="5330">
      <c r="A5330" s="49">
        <v>44569.08064461805</v>
      </c>
      <c r="B5330" s="50">
        <v>44569.2056180902</v>
      </c>
      <c r="C5330" s="51">
        <v>1.005</v>
      </c>
      <c r="D5330" s="51">
        <v>62.0</v>
      </c>
      <c r="E5330" s="52" t="s">
        <v>25</v>
      </c>
      <c r="F5330" s="52" t="s">
        <v>26</v>
      </c>
      <c r="G5330" s="53"/>
    </row>
    <row r="5331">
      <c r="A5331" s="49">
        <v>44569.09107045139</v>
      </c>
      <c r="B5331" s="50">
        <v>44569.216039155</v>
      </c>
      <c r="C5331" s="51">
        <v>1.005</v>
      </c>
      <c r="D5331" s="51">
        <v>62.0</v>
      </c>
      <c r="E5331" s="52" t="s">
        <v>25</v>
      </c>
      <c r="F5331" s="52" t="s">
        <v>26</v>
      </c>
      <c r="G5331" s="53"/>
    </row>
    <row r="5332">
      <c r="A5332" s="49">
        <v>44569.10148684028</v>
      </c>
      <c r="B5332" s="50">
        <v>44569.2264613078</v>
      </c>
      <c r="C5332" s="51">
        <v>1.005</v>
      </c>
      <c r="D5332" s="51">
        <v>62.0</v>
      </c>
      <c r="E5332" s="52" t="s">
        <v>25</v>
      </c>
      <c r="F5332" s="52" t="s">
        <v>26</v>
      </c>
      <c r="G5332" s="53"/>
    </row>
    <row r="5333">
      <c r="A5333" s="49">
        <v>44569.11190412037</v>
      </c>
      <c r="B5333" s="50">
        <v>44569.2368825925</v>
      </c>
      <c r="C5333" s="51">
        <v>1.005</v>
      </c>
      <c r="D5333" s="51">
        <v>62.0</v>
      </c>
      <c r="E5333" s="52" t="s">
        <v>25</v>
      </c>
      <c r="F5333" s="52" t="s">
        <v>26</v>
      </c>
      <c r="G5333" s="53"/>
    </row>
    <row r="5334">
      <c r="A5334" s="49">
        <v>44569.12233949074</v>
      </c>
      <c r="B5334" s="50">
        <v>44569.2473056713</v>
      </c>
      <c r="C5334" s="51">
        <v>1.005</v>
      </c>
      <c r="D5334" s="51">
        <v>62.0</v>
      </c>
      <c r="E5334" s="52" t="s">
        <v>25</v>
      </c>
      <c r="F5334" s="52" t="s">
        <v>26</v>
      </c>
      <c r="G5334" s="53"/>
    </row>
    <row r="5335">
      <c r="A5335" s="49">
        <v>44569.13275391204</v>
      </c>
      <c r="B5335" s="50">
        <v>44569.257727662</v>
      </c>
      <c r="C5335" s="51">
        <v>1.005</v>
      </c>
      <c r="D5335" s="51">
        <v>62.0</v>
      </c>
      <c r="E5335" s="52" t="s">
        <v>25</v>
      </c>
      <c r="F5335" s="52" t="s">
        <v>26</v>
      </c>
      <c r="G5335" s="53"/>
    </row>
    <row r="5336">
      <c r="A5336" s="49">
        <v>44569.143175219906</v>
      </c>
      <c r="B5336" s="50">
        <v>44569.2681485069</v>
      </c>
      <c r="C5336" s="51">
        <v>1.005</v>
      </c>
      <c r="D5336" s="51">
        <v>62.0</v>
      </c>
      <c r="E5336" s="52" t="s">
        <v>25</v>
      </c>
      <c r="F5336" s="52" t="s">
        <v>26</v>
      </c>
      <c r="G5336" s="53"/>
    </row>
    <row r="5337">
      <c r="A5337" s="49">
        <v>44569.153601909726</v>
      </c>
      <c r="B5337" s="50">
        <v>44569.278570243</v>
      </c>
      <c r="C5337" s="51">
        <v>1.005</v>
      </c>
      <c r="D5337" s="51">
        <v>62.0</v>
      </c>
      <c r="E5337" s="52" t="s">
        <v>25</v>
      </c>
      <c r="F5337" s="52" t="s">
        <v>26</v>
      </c>
      <c r="G5337" s="53"/>
    </row>
    <row r="5338">
      <c r="A5338" s="49">
        <v>44569.164027824074</v>
      </c>
      <c r="B5338" s="50">
        <v>44569.28900353</v>
      </c>
      <c r="C5338" s="51">
        <v>1.005</v>
      </c>
      <c r="D5338" s="51">
        <v>62.0</v>
      </c>
      <c r="E5338" s="52" t="s">
        <v>25</v>
      </c>
      <c r="F5338" s="52" t="s">
        <v>26</v>
      </c>
      <c r="G5338" s="53"/>
    </row>
    <row r="5339">
      <c r="A5339" s="49">
        <v>44569.17445101852</v>
      </c>
      <c r="B5339" s="50">
        <v>44569.2994256365</v>
      </c>
      <c r="C5339" s="51">
        <v>1.005</v>
      </c>
      <c r="D5339" s="51">
        <v>62.0</v>
      </c>
      <c r="E5339" s="52" t="s">
        <v>25</v>
      </c>
      <c r="F5339" s="52" t="s">
        <v>26</v>
      </c>
      <c r="G5339" s="53"/>
    </row>
    <row r="5340">
      <c r="A5340" s="49">
        <v>44569.18487891204</v>
      </c>
      <c r="B5340" s="50">
        <v>44569.3098579166</v>
      </c>
      <c r="C5340" s="51">
        <v>1.005</v>
      </c>
      <c r="D5340" s="51">
        <v>62.0</v>
      </c>
      <c r="E5340" s="52" t="s">
        <v>25</v>
      </c>
      <c r="F5340" s="52" t="s">
        <v>26</v>
      </c>
      <c r="G5340" s="53"/>
    </row>
    <row r="5341">
      <c r="A5341" s="49">
        <v>44569.19529530093</v>
      </c>
      <c r="B5341" s="50">
        <v>44569.3202776967</v>
      </c>
      <c r="C5341" s="51">
        <v>1.005</v>
      </c>
      <c r="D5341" s="51">
        <v>62.0</v>
      </c>
      <c r="E5341" s="52" t="s">
        <v>25</v>
      </c>
      <c r="F5341" s="52" t="s">
        <v>26</v>
      </c>
      <c r="G5341" s="53"/>
    </row>
    <row r="5342">
      <c r="A5342" s="49">
        <v>44569.20571572917</v>
      </c>
      <c r="B5342" s="50">
        <v>44569.3306980324</v>
      </c>
      <c r="C5342" s="51">
        <v>1.005</v>
      </c>
      <c r="D5342" s="51">
        <v>62.0</v>
      </c>
      <c r="E5342" s="52" t="s">
        <v>25</v>
      </c>
      <c r="F5342" s="52" t="s">
        <v>26</v>
      </c>
      <c r="G5342" s="53"/>
    </row>
    <row r="5343">
      <c r="A5343" s="49">
        <v>44569.216145625</v>
      </c>
      <c r="B5343" s="50">
        <v>44569.3411203935</v>
      </c>
      <c r="C5343" s="51">
        <v>1.005</v>
      </c>
      <c r="D5343" s="51">
        <v>62.0</v>
      </c>
      <c r="E5343" s="52" t="s">
        <v>25</v>
      </c>
      <c r="F5343" s="52" t="s">
        <v>26</v>
      </c>
      <c r="G5343" s="53"/>
    </row>
    <row r="5344">
      <c r="A5344" s="49">
        <v>44569.22660541667</v>
      </c>
      <c r="B5344" s="50">
        <v>44569.3515784027</v>
      </c>
      <c r="C5344" s="51">
        <v>1.005</v>
      </c>
      <c r="D5344" s="51">
        <v>62.0</v>
      </c>
      <c r="E5344" s="52" t="s">
        <v>25</v>
      </c>
      <c r="F5344" s="52" t="s">
        <v>26</v>
      </c>
      <c r="G5344" s="53"/>
    </row>
    <row r="5345">
      <c r="A5345" s="49">
        <v>44569.23702488426</v>
      </c>
      <c r="B5345" s="50">
        <v>44569.3619992592</v>
      </c>
      <c r="C5345" s="51">
        <v>1.005</v>
      </c>
      <c r="D5345" s="51">
        <v>62.0</v>
      </c>
      <c r="E5345" s="52" t="s">
        <v>25</v>
      </c>
      <c r="F5345" s="52" t="s">
        <v>26</v>
      </c>
      <c r="G5345" s="53"/>
    </row>
    <row r="5346">
      <c r="A5346" s="49">
        <v>44569.247445671295</v>
      </c>
      <c r="B5346" s="50">
        <v>44569.3724197916</v>
      </c>
      <c r="C5346" s="51">
        <v>1.005</v>
      </c>
      <c r="D5346" s="51">
        <v>62.0</v>
      </c>
      <c r="E5346" s="52" t="s">
        <v>25</v>
      </c>
      <c r="F5346" s="52" t="s">
        <v>26</v>
      </c>
      <c r="G5346" s="53"/>
    </row>
    <row r="5347">
      <c r="A5347" s="49">
        <v>44569.2578806713</v>
      </c>
      <c r="B5347" s="50">
        <v>44569.3828626388</v>
      </c>
      <c r="C5347" s="51">
        <v>1.005</v>
      </c>
      <c r="D5347" s="51">
        <v>62.0</v>
      </c>
      <c r="E5347" s="52" t="s">
        <v>25</v>
      </c>
      <c r="F5347" s="52" t="s">
        <v>26</v>
      </c>
      <c r="G5347" s="53"/>
    </row>
    <row r="5348">
      <c r="A5348" s="49">
        <v>44569.26832368056</v>
      </c>
      <c r="B5348" s="50">
        <v>44569.393285405</v>
      </c>
      <c r="C5348" s="51">
        <v>1.005</v>
      </c>
      <c r="D5348" s="51">
        <v>62.0</v>
      </c>
      <c r="E5348" s="52" t="s">
        <v>25</v>
      </c>
      <c r="F5348" s="52" t="s">
        <v>26</v>
      </c>
      <c r="G5348" s="53"/>
    </row>
    <row r="5349">
      <c r="A5349" s="49">
        <v>44569.27873074074</v>
      </c>
      <c r="B5349" s="50">
        <v>44569.4037071296</v>
      </c>
      <c r="C5349" s="51">
        <v>1.005</v>
      </c>
      <c r="D5349" s="51">
        <v>62.0</v>
      </c>
      <c r="E5349" s="52" t="s">
        <v>25</v>
      </c>
      <c r="F5349" s="52" t="s">
        <v>26</v>
      </c>
      <c r="G5349" s="53"/>
    </row>
    <row r="5350">
      <c r="A5350" s="49">
        <v>44569.28917233796</v>
      </c>
      <c r="B5350" s="50">
        <v>44569.4141404166</v>
      </c>
      <c r="C5350" s="51">
        <v>1.005</v>
      </c>
      <c r="D5350" s="51">
        <v>62.0</v>
      </c>
      <c r="E5350" s="52" t="s">
        <v>25</v>
      </c>
      <c r="F5350" s="52" t="s">
        <v>26</v>
      </c>
      <c r="G5350" s="53"/>
    </row>
    <row r="5351">
      <c r="A5351" s="49">
        <v>44569.29959380787</v>
      </c>
      <c r="B5351" s="50">
        <v>44569.424573206</v>
      </c>
      <c r="C5351" s="51">
        <v>1.005</v>
      </c>
      <c r="D5351" s="51">
        <v>62.0</v>
      </c>
      <c r="E5351" s="52" t="s">
        <v>25</v>
      </c>
      <c r="F5351" s="52" t="s">
        <v>26</v>
      </c>
      <c r="G5351" s="53"/>
    </row>
    <row r="5352">
      <c r="A5352" s="49">
        <v>44569.31002064815</v>
      </c>
      <c r="B5352" s="50">
        <v>44569.4349937268</v>
      </c>
      <c r="C5352" s="51">
        <v>1.005</v>
      </c>
      <c r="D5352" s="51">
        <v>62.0</v>
      </c>
      <c r="E5352" s="52" t="s">
        <v>25</v>
      </c>
      <c r="F5352" s="52" t="s">
        <v>26</v>
      </c>
      <c r="G5352" s="53"/>
    </row>
    <row r="5353">
      <c r="A5353" s="49">
        <v>44569.32044008102</v>
      </c>
      <c r="B5353" s="50">
        <v>44569.4454153125</v>
      </c>
      <c r="C5353" s="51">
        <v>1.005</v>
      </c>
      <c r="D5353" s="51">
        <v>62.0</v>
      </c>
      <c r="E5353" s="52" t="s">
        <v>25</v>
      </c>
      <c r="F5353" s="52" t="s">
        <v>26</v>
      </c>
      <c r="G5353" s="53"/>
    </row>
    <row r="5354">
      <c r="A5354" s="49">
        <v>44569.330862511575</v>
      </c>
      <c r="B5354" s="50">
        <v>44569.4558359259</v>
      </c>
      <c r="C5354" s="51">
        <v>1.005</v>
      </c>
      <c r="D5354" s="51">
        <v>62.0</v>
      </c>
      <c r="E5354" s="52" t="s">
        <v>25</v>
      </c>
      <c r="F5354" s="52" t="s">
        <v>26</v>
      </c>
      <c r="G5354" s="53"/>
    </row>
    <row r="5355">
      <c r="A5355" s="49">
        <v>44569.3412746875</v>
      </c>
      <c r="B5355" s="50">
        <v>44569.4662562615</v>
      </c>
      <c r="C5355" s="51">
        <v>1.005</v>
      </c>
      <c r="D5355" s="51">
        <v>62.0</v>
      </c>
      <c r="E5355" s="52" t="s">
        <v>25</v>
      </c>
      <c r="F5355" s="52" t="s">
        <v>26</v>
      </c>
      <c r="G5355" s="53"/>
    </row>
    <row r="5356">
      <c r="A5356" s="49">
        <v>44569.35171850694</v>
      </c>
      <c r="B5356" s="50">
        <v>44569.4766885879</v>
      </c>
      <c r="C5356" s="51">
        <v>1.005</v>
      </c>
      <c r="D5356" s="51">
        <v>62.0</v>
      </c>
      <c r="E5356" s="52" t="s">
        <v>25</v>
      </c>
      <c r="F5356" s="52" t="s">
        <v>26</v>
      </c>
      <c r="G5356" s="53"/>
    </row>
    <row r="5357">
      <c r="A5357" s="49">
        <v>44569.362177731484</v>
      </c>
      <c r="B5357" s="50">
        <v>44569.4871451041</v>
      </c>
      <c r="C5357" s="51">
        <v>1.005</v>
      </c>
      <c r="D5357" s="51">
        <v>61.0</v>
      </c>
      <c r="E5357" s="52" t="s">
        <v>25</v>
      </c>
      <c r="F5357" s="52" t="s">
        <v>26</v>
      </c>
      <c r="G5357" s="53"/>
    </row>
    <row r="5358">
      <c r="A5358" s="49">
        <v>44569.37260351852</v>
      </c>
      <c r="B5358" s="50">
        <v>44569.4975655439</v>
      </c>
      <c r="C5358" s="51">
        <v>1.005</v>
      </c>
      <c r="D5358" s="51">
        <v>62.0</v>
      </c>
      <c r="E5358" s="52" t="s">
        <v>25</v>
      </c>
      <c r="F5358" s="52" t="s">
        <v>26</v>
      </c>
      <c r="G5358" s="53"/>
    </row>
    <row r="5359">
      <c r="A5359" s="49">
        <v>44569.38300746528</v>
      </c>
      <c r="B5359" s="50">
        <v>44569.5079878009</v>
      </c>
      <c r="C5359" s="51">
        <v>1.005</v>
      </c>
      <c r="D5359" s="51">
        <v>61.0</v>
      </c>
      <c r="E5359" s="52" t="s">
        <v>25</v>
      </c>
      <c r="F5359" s="52" t="s">
        <v>26</v>
      </c>
      <c r="G5359" s="53"/>
    </row>
    <row r="5360">
      <c r="A5360" s="49">
        <v>44569.39343232639</v>
      </c>
      <c r="B5360" s="50">
        <v>44569.5184084027</v>
      </c>
      <c r="C5360" s="51">
        <v>1.005</v>
      </c>
      <c r="D5360" s="51">
        <v>61.0</v>
      </c>
      <c r="E5360" s="52" t="s">
        <v>25</v>
      </c>
      <c r="F5360" s="52" t="s">
        <v>26</v>
      </c>
      <c r="G5360" s="53"/>
    </row>
    <row r="5361">
      <c r="A5361" s="49">
        <v>44569.40386283565</v>
      </c>
      <c r="B5361" s="50">
        <v>44569.528840787</v>
      </c>
      <c r="C5361" s="51">
        <v>1.005</v>
      </c>
      <c r="D5361" s="51">
        <v>61.0</v>
      </c>
      <c r="E5361" s="52" t="s">
        <v>25</v>
      </c>
      <c r="F5361" s="52" t="s">
        <v>26</v>
      </c>
      <c r="G5361" s="53"/>
    </row>
    <row r="5362">
      <c r="A5362" s="49">
        <v>44569.4142799074</v>
      </c>
      <c r="B5362" s="50">
        <v>44569.5392632175</v>
      </c>
      <c r="C5362" s="51">
        <v>1.005</v>
      </c>
      <c r="D5362" s="51">
        <v>61.0</v>
      </c>
      <c r="E5362" s="52" t="s">
        <v>25</v>
      </c>
      <c r="F5362" s="52" t="s">
        <v>26</v>
      </c>
      <c r="G5362" s="53"/>
    </row>
    <row r="5363">
      <c r="A5363" s="49">
        <v>44569.42470052083</v>
      </c>
      <c r="B5363" s="50">
        <v>44569.5496827777</v>
      </c>
      <c r="C5363" s="51">
        <v>1.005</v>
      </c>
      <c r="D5363" s="51">
        <v>61.0</v>
      </c>
      <c r="E5363" s="52" t="s">
        <v>25</v>
      </c>
      <c r="F5363" s="52" t="s">
        <v>26</v>
      </c>
      <c r="G5363" s="53"/>
    </row>
    <row r="5364">
      <c r="A5364" s="49">
        <v>44569.43512026621</v>
      </c>
      <c r="B5364" s="50">
        <v>44569.5601036921</v>
      </c>
      <c r="C5364" s="51">
        <v>1.005</v>
      </c>
      <c r="D5364" s="51">
        <v>61.0</v>
      </c>
      <c r="E5364" s="52" t="s">
        <v>25</v>
      </c>
      <c r="F5364" s="52" t="s">
        <v>26</v>
      </c>
      <c r="G5364" s="53"/>
    </row>
    <row r="5365">
      <c r="A5365" s="49">
        <v>44569.44555222223</v>
      </c>
      <c r="B5365" s="50">
        <v>44569.5705262731</v>
      </c>
      <c r="C5365" s="51">
        <v>1.005</v>
      </c>
      <c r="D5365" s="51">
        <v>61.0</v>
      </c>
      <c r="E5365" s="52" t="s">
        <v>25</v>
      </c>
      <c r="F5365" s="52" t="s">
        <v>26</v>
      </c>
      <c r="G5365" s="53"/>
    </row>
    <row r="5366">
      <c r="A5366" s="49">
        <v>44569.45597186343</v>
      </c>
      <c r="B5366" s="50">
        <v>44569.5809475231</v>
      </c>
      <c r="C5366" s="51">
        <v>1.005</v>
      </c>
      <c r="D5366" s="51">
        <v>61.0</v>
      </c>
      <c r="E5366" s="52" t="s">
        <v>25</v>
      </c>
      <c r="F5366" s="52" t="s">
        <v>26</v>
      </c>
      <c r="G5366" s="53"/>
    </row>
    <row r="5367">
      <c r="A5367" s="49">
        <v>44569.46639408565</v>
      </c>
      <c r="B5367" s="50">
        <v>44569.5913698842</v>
      </c>
      <c r="C5367" s="51">
        <v>1.005</v>
      </c>
      <c r="D5367" s="51">
        <v>62.0</v>
      </c>
      <c r="E5367" s="52" t="s">
        <v>25</v>
      </c>
      <c r="F5367" s="52" t="s">
        <v>26</v>
      </c>
      <c r="G5367" s="53"/>
    </row>
    <row r="5368">
      <c r="A5368" s="49">
        <v>44569.47681853009</v>
      </c>
      <c r="B5368" s="50">
        <v>44569.6017896759</v>
      </c>
      <c r="C5368" s="51">
        <v>1.005</v>
      </c>
      <c r="D5368" s="51">
        <v>62.0</v>
      </c>
      <c r="E5368" s="52" t="s">
        <v>25</v>
      </c>
      <c r="F5368" s="52" t="s">
        <v>26</v>
      </c>
      <c r="G5368" s="53"/>
    </row>
    <row r="5369">
      <c r="A5369" s="49">
        <v>44569.48723053241</v>
      </c>
      <c r="B5369" s="50">
        <v>44569.6122106712</v>
      </c>
      <c r="C5369" s="51">
        <v>1.005</v>
      </c>
      <c r="D5369" s="51">
        <v>62.0</v>
      </c>
      <c r="E5369" s="52" t="s">
        <v>25</v>
      </c>
      <c r="F5369" s="52" t="s">
        <v>26</v>
      </c>
      <c r="G5369" s="53"/>
    </row>
    <row r="5370">
      <c r="A5370" s="49">
        <v>44569.49765747685</v>
      </c>
      <c r="B5370" s="50">
        <v>44569.6226319212</v>
      </c>
      <c r="C5370" s="51">
        <v>1.005</v>
      </c>
      <c r="D5370" s="51">
        <v>63.0</v>
      </c>
      <c r="E5370" s="52" t="s">
        <v>25</v>
      </c>
      <c r="F5370" s="52" t="s">
        <v>26</v>
      </c>
      <c r="G5370" s="53"/>
    </row>
    <row r="5371">
      <c r="A5371" s="49">
        <v>44569.50808605324</v>
      </c>
      <c r="B5371" s="50">
        <v>44569.6330525462</v>
      </c>
      <c r="C5371" s="51">
        <v>1.005</v>
      </c>
      <c r="D5371" s="51">
        <v>63.0</v>
      </c>
      <c r="E5371" s="52" t="s">
        <v>25</v>
      </c>
      <c r="F5371" s="52" t="s">
        <v>26</v>
      </c>
      <c r="G5371" s="53"/>
    </row>
    <row r="5372">
      <c r="A5372" s="49">
        <v>44569.51849945602</v>
      </c>
      <c r="B5372" s="50">
        <v>44569.6434735532</v>
      </c>
      <c r="C5372" s="51">
        <v>1.005</v>
      </c>
      <c r="D5372" s="51">
        <v>64.0</v>
      </c>
      <c r="E5372" s="52" t="s">
        <v>25</v>
      </c>
      <c r="F5372" s="52" t="s">
        <v>26</v>
      </c>
      <c r="G5372" s="53"/>
    </row>
    <row r="5373">
      <c r="A5373" s="49">
        <v>44569.52891517361</v>
      </c>
      <c r="B5373" s="50">
        <v>44569.6538956249</v>
      </c>
      <c r="C5373" s="51">
        <v>1.005</v>
      </c>
      <c r="D5373" s="51">
        <v>64.0</v>
      </c>
      <c r="E5373" s="52" t="s">
        <v>25</v>
      </c>
      <c r="F5373" s="52" t="s">
        <v>26</v>
      </c>
      <c r="G5373" s="53"/>
    </row>
    <row r="5374">
      <c r="A5374" s="49">
        <v>44569.53934283565</v>
      </c>
      <c r="B5374" s="50">
        <v>44569.664316574</v>
      </c>
      <c r="C5374" s="51">
        <v>1.005</v>
      </c>
      <c r="D5374" s="51">
        <v>64.0</v>
      </c>
      <c r="E5374" s="52" t="s">
        <v>25</v>
      </c>
      <c r="F5374" s="52" t="s">
        <v>26</v>
      </c>
      <c r="G5374" s="53"/>
    </row>
    <row r="5375">
      <c r="A5375" s="49">
        <v>44569.549763206014</v>
      </c>
      <c r="B5375" s="50">
        <v>44569.6747366087</v>
      </c>
      <c r="C5375" s="51">
        <v>1.005</v>
      </c>
      <c r="D5375" s="51">
        <v>65.0</v>
      </c>
      <c r="E5375" s="52" t="s">
        <v>25</v>
      </c>
      <c r="F5375" s="52" t="s">
        <v>26</v>
      </c>
      <c r="G5375" s="53"/>
    </row>
    <row r="5376">
      <c r="A5376" s="49">
        <v>44569.560170983794</v>
      </c>
      <c r="B5376" s="50">
        <v>44569.6851569097</v>
      </c>
      <c r="C5376" s="51">
        <v>1.005</v>
      </c>
      <c r="D5376" s="51">
        <v>65.0</v>
      </c>
      <c r="E5376" s="52" t="s">
        <v>25</v>
      </c>
      <c r="F5376" s="52" t="s">
        <v>26</v>
      </c>
      <c r="G5376" s="53"/>
    </row>
    <row r="5377">
      <c r="A5377" s="49">
        <v>44569.570606319445</v>
      </c>
      <c r="B5377" s="50">
        <v>44569.6955886226</v>
      </c>
      <c r="C5377" s="51">
        <v>1.005</v>
      </c>
      <c r="D5377" s="51">
        <v>66.0</v>
      </c>
      <c r="E5377" s="52" t="s">
        <v>25</v>
      </c>
      <c r="F5377" s="52" t="s">
        <v>26</v>
      </c>
      <c r="G5377" s="53"/>
    </row>
    <row r="5378">
      <c r="A5378" s="49">
        <v>44569.58105840278</v>
      </c>
      <c r="B5378" s="50">
        <v>44569.7060328935</v>
      </c>
      <c r="C5378" s="51">
        <v>1.004</v>
      </c>
      <c r="D5378" s="51">
        <v>66.0</v>
      </c>
      <c r="E5378" s="52" t="s">
        <v>25</v>
      </c>
      <c r="F5378" s="52" t="s">
        <v>26</v>
      </c>
      <c r="G5378" s="53"/>
    </row>
    <row r="5379">
      <c r="A5379" s="49">
        <v>44569.59148054398</v>
      </c>
      <c r="B5379" s="50">
        <v>44569.716453912</v>
      </c>
      <c r="C5379" s="51">
        <v>1.004</v>
      </c>
      <c r="D5379" s="51">
        <v>66.0</v>
      </c>
      <c r="E5379" s="52" t="s">
        <v>25</v>
      </c>
      <c r="F5379" s="52" t="s">
        <v>26</v>
      </c>
      <c r="G5379" s="53"/>
    </row>
    <row r="5380">
      <c r="A5380" s="49">
        <v>44569.60189605324</v>
      </c>
      <c r="B5380" s="50">
        <v>44569.7268740972</v>
      </c>
      <c r="C5380" s="51">
        <v>1.004</v>
      </c>
      <c r="D5380" s="51">
        <v>67.0</v>
      </c>
      <c r="E5380" s="52" t="s">
        <v>25</v>
      </c>
      <c r="F5380" s="52" t="s">
        <v>26</v>
      </c>
      <c r="G5380" s="53"/>
    </row>
    <row r="5381">
      <c r="A5381" s="49">
        <v>44569.61232390047</v>
      </c>
      <c r="B5381" s="50">
        <v>44569.737295949</v>
      </c>
      <c r="C5381" s="51">
        <v>1.004</v>
      </c>
      <c r="D5381" s="51">
        <v>67.0</v>
      </c>
      <c r="E5381" s="52" t="s">
        <v>25</v>
      </c>
      <c r="F5381" s="52" t="s">
        <v>26</v>
      </c>
      <c r="G5381" s="53"/>
    </row>
    <row r="5382">
      <c r="A5382" s="49">
        <v>44569.62274071759</v>
      </c>
      <c r="B5382" s="50">
        <v>44569.747715162</v>
      </c>
      <c r="C5382" s="51">
        <v>1.004</v>
      </c>
      <c r="D5382" s="51">
        <v>68.0</v>
      </c>
      <c r="E5382" s="52" t="s">
        <v>25</v>
      </c>
      <c r="F5382" s="52" t="s">
        <v>26</v>
      </c>
      <c r="G5382" s="53"/>
    </row>
    <row r="5383">
      <c r="A5383" s="49">
        <v>44569.633174525465</v>
      </c>
      <c r="B5383" s="50">
        <v>44569.7581481828</v>
      </c>
      <c r="C5383" s="51">
        <v>1.005</v>
      </c>
      <c r="D5383" s="51">
        <v>68.0</v>
      </c>
      <c r="E5383" s="52" t="s">
        <v>25</v>
      </c>
      <c r="F5383" s="52" t="s">
        <v>26</v>
      </c>
      <c r="G5383" s="53"/>
    </row>
    <row r="5384">
      <c r="A5384" s="49">
        <v>44569.643594189816</v>
      </c>
      <c r="B5384" s="50">
        <v>44569.7685691087</v>
      </c>
      <c r="C5384" s="51">
        <v>1.004</v>
      </c>
      <c r="D5384" s="51">
        <v>68.0</v>
      </c>
      <c r="E5384" s="52" t="s">
        <v>25</v>
      </c>
      <c r="F5384" s="52" t="s">
        <v>26</v>
      </c>
      <c r="G5384" s="53"/>
    </row>
    <row r="5385">
      <c r="A5385" s="49">
        <v>44569.654065173614</v>
      </c>
      <c r="B5385" s="50">
        <v>44569.7790377777</v>
      </c>
      <c r="C5385" s="51">
        <v>1.004</v>
      </c>
      <c r="D5385" s="51">
        <v>68.0</v>
      </c>
      <c r="E5385" s="52" t="s">
        <v>25</v>
      </c>
      <c r="F5385" s="52" t="s">
        <v>26</v>
      </c>
      <c r="G5385" s="53"/>
    </row>
    <row r="5386">
      <c r="A5386" s="49">
        <v>44569.66447960648</v>
      </c>
      <c r="B5386" s="50">
        <v>44569.7894583912</v>
      </c>
      <c r="C5386" s="51">
        <v>1.004</v>
      </c>
      <c r="D5386" s="51">
        <v>68.0</v>
      </c>
      <c r="E5386" s="52" t="s">
        <v>25</v>
      </c>
      <c r="F5386" s="52" t="s">
        <v>26</v>
      </c>
      <c r="G5386" s="53"/>
    </row>
    <row r="5387">
      <c r="A5387" s="49">
        <v>44569.67491076389</v>
      </c>
      <c r="B5387" s="50">
        <v>44569.799880625</v>
      </c>
      <c r="C5387" s="51">
        <v>1.004</v>
      </c>
      <c r="D5387" s="51">
        <v>68.0</v>
      </c>
      <c r="E5387" s="52" t="s">
        <v>25</v>
      </c>
      <c r="F5387" s="52" t="s">
        <v>26</v>
      </c>
      <c r="G5387" s="53"/>
    </row>
    <row r="5388">
      <c r="A5388" s="49">
        <v>44569.68532585648</v>
      </c>
      <c r="B5388" s="50">
        <v>44569.8103009027</v>
      </c>
      <c r="C5388" s="51">
        <v>1.004</v>
      </c>
      <c r="D5388" s="51">
        <v>67.0</v>
      </c>
      <c r="E5388" s="52" t="s">
        <v>25</v>
      </c>
      <c r="F5388" s="52" t="s">
        <v>26</v>
      </c>
      <c r="G5388" s="53"/>
    </row>
    <row r="5389">
      <c r="A5389" s="49">
        <v>44569.69575706018</v>
      </c>
      <c r="B5389" s="50">
        <v>44569.8207216782</v>
      </c>
      <c r="C5389" s="51">
        <v>1.004</v>
      </c>
      <c r="D5389" s="51">
        <v>67.0</v>
      </c>
      <c r="E5389" s="52" t="s">
        <v>25</v>
      </c>
      <c r="F5389" s="52" t="s">
        <v>26</v>
      </c>
      <c r="G5389" s="53"/>
    </row>
    <row r="5390">
      <c r="A5390" s="49">
        <v>44569.70616969907</v>
      </c>
      <c r="B5390" s="50">
        <v>44569.831144537</v>
      </c>
      <c r="C5390" s="51">
        <v>1.004</v>
      </c>
      <c r="D5390" s="51">
        <v>67.0</v>
      </c>
      <c r="E5390" s="52" t="s">
        <v>25</v>
      </c>
      <c r="F5390" s="52" t="s">
        <v>26</v>
      </c>
      <c r="G5390" s="53"/>
    </row>
    <row r="5391">
      <c r="A5391" s="49">
        <v>44569.7165908912</v>
      </c>
      <c r="B5391" s="50">
        <v>44569.8415661342</v>
      </c>
      <c r="C5391" s="51">
        <v>1.004</v>
      </c>
      <c r="D5391" s="51">
        <v>67.0</v>
      </c>
      <c r="E5391" s="52" t="s">
        <v>25</v>
      </c>
      <c r="F5391" s="52" t="s">
        <v>26</v>
      </c>
      <c r="G5391" s="53"/>
    </row>
    <row r="5392">
      <c r="A5392" s="49">
        <v>44569.72701325231</v>
      </c>
      <c r="B5392" s="50">
        <v>44569.851985243</v>
      </c>
      <c r="C5392" s="51">
        <v>1.004</v>
      </c>
      <c r="D5392" s="51">
        <v>67.0</v>
      </c>
      <c r="E5392" s="52" t="s">
        <v>25</v>
      </c>
      <c r="F5392" s="52" t="s">
        <v>26</v>
      </c>
      <c r="G5392" s="53"/>
    </row>
    <row r="5393">
      <c r="A5393" s="49">
        <v>44569.73742592592</v>
      </c>
      <c r="B5393" s="50">
        <v>44569.8624069328</v>
      </c>
      <c r="C5393" s="51">
        <v>1.004</v>
      </c>
      <c r="D5393" s="51">
        <v>67.0</v>
      </c>
      <c r="E5393" s="52" t="s">
        <v>25</v>
      </c>
      <c r="F5393" s="52" t="s">
        <v>26</v>
      </c>
      <c r="G5393" s="53"/>
    </row>
    <row r="5394">
      <c r="A5394" s="49">
        <v>44569.74785907408</v>
      </c>
      <c r="B5394" s="50">
        <v>44569.8728286921</v>
      </c>
      <c r="C5394" s="51">
        <v>1.004</v>
      </c>
      <c r="D5394" s="51">
        <v>67.0</v>
      </c>
      <c r="E5394" s="52" t="s">
        <v>25</v>
      </c>
      <c r="F5394" s="52" t="s">
        <v>26</v>
      </c>
      <c r="G5394" s="53"/>
    </row>
    <row r="5395">
      <c r="A5395" s="49">
        <v>44569.7582766088</v>
      </c>
      <c r="B5395" s="50">
        <v>44569.8832481828</v>
      </c>
      <c r="C5395" s="51">
        <v>1.004</v>
      </c>
      <c r="D5395" s="51">
        <v>67.0</v>
      </c>
      <c r="E5395" s="52" t="s">
        <v>25</v>
      </c>
      <c r="F5395" s="52" t="s">
        <v>26</v>
      </c>
      <c r="G5395" s="53"/>
    </row>
    <row r="5396">
      <c r="A5396" s="49">
        <v>44569.768693136575</v>
      </c>
      <c r="B5396" s="50">
        <v>44569.893668912</v>
      </c>
      <c r="C5396" s="51">
        <v>1.004</v>
      </c>
      <c r="D5396" s="51">
        <v>67.0</v>
      </c>
      <c r="E5396" s="52" t="s">
        <v>25</v>
      </c>
      <c r="F5396" s="52" t="s">
        <v>26</v>
      </c>
      <c r="G5396" s="53"/>
    </row>
    <row r="5397">
      <c r="A5397" s="49">
        <v>44569.77911354166</v>
      </c>
      <c r="B5397" s="50">
        <v>44569.9040878356</v>
      </c>
      <c r="C5397" s="51">
        <v>1.005</v>
      </c>
      <c r="D5397" s="51">
        <v>67.0</v>
      </c>
      <c r="E5397" s="52" t="s">
        <v>25</v>
      </c>
      <c r="F5397" s="52" t="s">
        <v>26</v>
      </c>
      <c r="G5397" s="53"/>
    </row>
    <row r="5398">
      <c r="A5398" s="49">
        <v>44569.78953325232</v>
      </c>
      <c r="B5398" s="50">
        <v>44569.9145094097</v>
      </c>
      <c r="C5398" s="51">
        <v>1.004</v>
      </c>
      <c r="D5398" s="51">
        <v>67.0</v>
      </c>
      <c r="E5398" s="52" t="s">
        <v>25</v>
      </c>
      <c r="F5398" s="52" t="s">
        <v>26</v>
      </c>
      <c r="G5398" s="53"/>
    </row>
    <row r="5399">
      <c r="A5399" s="49">
        <v>44569.79996416667</v>
      </c>
      <c r="B5399" s="50">
        <v>44569.9249328588</v>
      </c>
      <c r="C5399" s="51">
        <v>1.004</v>
      </c>
      <c r="D5399" s="51">
        <v>67.0</v>
      </c>
      <c r="E5399" s="52" t="s">
        <v>25</v>
      </c>
      <c r="F5399" s="52" t="s">
        <v>26</v>
      </c>
      <c r="G5399" s="53"/>
    </row>
    <row r="5400">
      <c r="A5400" s="49">
        <v>44569.81037737268</v>
      </c>
      <c r="B5400" s="50">
        <v>44569.9353530439</v>
      </c>
      <c r="C5400" s="51">
        <v>1.004</v>
      </c>
      <c r="D5400" s="51">
        <v>67.0</v>
      </c>
      <c r="E5400" s="52" t="s">
        <v>25</v>
      </c>
      <c r="F5400" s="52" t="s">
        <v>26</v>
      </c>
      <c r="G5400" s="53"/>
    </row>
    <row r="5401">
      <c r="A5401" s="49">
        <v>44569.82079116898</v>
      </c>
      <c r="B5401" s="50">
        <v>44569.9457754282</v>
      </c>
      <c r="C5401" s="51">
        <v>1.004</v>
      </c>
      <c r="D5401" s="51">
        <v>67.0</v>
      </c>
      <c r="E5401" s="52" t="s">
        <v>25</v>
      </c>
      <c r="F5401" s="52" t="s">
        <v>26</v>
      </c>
      <c r="G5401" s="53"/>
    </row>
    <row r="5402">
      <c r="A5402" s="49">
        <v>44569.83122260417</v>
      </c>
      <c r="B5402" s="50">
        <v>44569.9561962499</v>
      </c>
      <c r="C5402" s="51">
        <v>1.004</v>
      </c>
      <c r="D5402" s="51">
        <v>67.0</v>
      </c>
      <c r="E5402" s="52" t="s">
        <v>25</v>
      </c>
      <c r="F5402" s="52" t="s">
        <v>26</v>
      </c>
      <c r="G5402" s="53"/>
    </row>
    <row r="5403">
      <c r="A5403" s="49">
        <v>44569.84164648148</v>
      </c>
      <c r="B5403" s="50">
        <v>44569.9666288425</v>
      </c>
      <c r="C5403" s="51">
        <v>1.004</v>
      </c>
      <c r="D5403" s="51">
        <v>67.0</v>
      </c>
      <c r="E5403" s="52" t="s">
        <v>25</v>
      </c>
      <c r="F5403" s="52" t="s">
        <v>26</v>
      </c>
      <c r="G5403" s="53"/>
    </row>
    <row r="5404">
      <c r="A5404" s="49">
        <v>44569.85208658565</v>
      </c>
      <c r="B5404" s="50">
        <v>44569.9770616782</v>
      </c>
      <c r="C5404" s="51">
        <v>1.004</v>
      </c>
      <c r="D5404" s="51">
        <v>67.0</v>
      </c>
      <c r="E5404" s="52" t="s">
        <v>25</v>
      </c>
      <c r="F5404" s="52" t="s">
        <v>26</v>
      </c>
      <c r="G5404" s="53"/>
    </row>
    <row r="5405">
      <c r="A5405" s="49">
        <v>44569.862502337965</v>
      </c>
      <c r="B5405" s="50">
        <v>44569.9874823379</v>
      </c>
      <c r="C5405" s="51">
        <v>1.004</v>
      </c>
      <c r="D5405" s="51">
        <v>67.0</v>
      </c>
      <c r="E5405" s="52" t="s">
        <v>25</v>
      </c>
      <c r="F5405" s="52" t="s">
        <v>26</v>
      </c>
      <c r="G5405" s="53"/>
    </row>
    <row r="5406">
      <c r="A5406" s="49">
        <v>44569.87292677083</v>
      </c>
      <c r="B5406" s="50">
        <v>44569.9979024884</v>
      </c>
      <c r="C5406" s="51">
        <v>1.004</v>
      </c>
      <c r="D5406" s="51">
        <v>67.0</v>
      </c>
      <c r="E5406" s="52" t="s">
        <v>25</v>
      </c>
      <c r="F5406" s="52" t="s">
        <v>26</v>
      </c>
      <c r="G5406" s="53"/>
    </row>
    <row r="5407">
      <c r="A5407" s="49">
        <v>44569.88334107639</v>
      </c>
      <c r="B5407" s="50">
        <v>44570.0083230671</v>
      </c>
      <c r="C5407" s="51">
        <v>1.004</v>
      </c>
      <c r="D5407" s="51">
        <v>67.0</v>
      </c>
      <c r="E5407" s="52" t="s">
        <v>25</v>
      </c>
      <c r="F5407" s="52" t="s">
        <v>26</v>
      </c>
      <c r="G5407" s="53"/>
    </row>
    <row r="5408">
      <c r="A5408" s="49">
        <v>44569.89376760417</v>
      </c>
      <c r="B5408" s="50">
        <v>44570.0187427199</v>
      </c>
      <c r="C5408" s="51">
        <v>1.004</v>
      </c>
      <c r="D5408" s="51">
        <v>67.0</v>
      </c>
      <c r="E5408" s="52" t="s">
        <v>25</v>
      </c>
      <c r="F5408" s="52" t="s">
        <v>26</v>
      </c>
      <c r="G5408" s="53"/>
    </row>
    <row r="5409">
      <c r="A5409" s="49">
        <v>44569.90419234954</v>
      </c>
      <c r="B5409" s="50">
        <v>44570.0291643981</v>
      </c>
      <c r="C5409" s="51">
        <v>1.004</v>
      </c>
      <c r="D5409" s="51">
        <v>67.0</v>
      </c>
      <c r="E5409" s="52" t="s">
        <v>25</v>
      </c>
      <c r="F5409" s="52" t="s">
        <v>26</v>
      </c>
      <c r="G5409" s="53"/>
    </row>
    <row r="5410">
      <c r="A5410" s="49">
        <v>44569.91460984954</v>
      </c>
      <c r="B5410" s="50">
        <v>44570.0395861689</v>
      </c>
      <c r="C5410" s="51">
        <v>1.004</v>
      </c>
      <c r="D5410" s="51">
        <v>67.0</v>
      </c>
      <c r="E5410" s="52" t="s">
        <v>25</v>
      </c>
      <c r="F5410" s="52" t="s">
        <v>26</v>
      </c>
      <c r="G5410" s="53"/>
    </row>
    <row r="5411">
      <c r="A5411" s="49">
        <v>44569.92503568287</v>
      </c>
      <c r="B5411" s="50">
        <v>44570.0500075462</v>
      </c>
      <c r="C5411" s="51">
        <v>1.005</v>
      </c>
      <c r="D5411" s="51">
        <v>67.0</v>
      </c>
      <c r="E5411" s="52" t="s">
        <v>25</v>
      </c>
      <c r="F5411" s="52" t="s">
        <v>26</v>
      </c>
      <c r="G5411" s="53"/>
    </row>
    <row r="5412">
      <c r="A5412" s="49">
        <v>44569.93546836806</v>
      </c>
      <c r="B5412" s="50">
        <v>44570.0604411111</v>
      </c>
      <c r="C5412" s="51">
        <v>1.004</v>
      </c>
      <c r="D5412" s="51">
        <v>67.0</v>
      </c>
      <c r="E5412" s="52" t="s">
        <v>25</v>
      </c>
      <c r="F5412" s="52" t="s">
        <v>26</v>
      </c>
      <c r="G5412" s="53"/>
    </row>
    <row r="5413">
      <c r="A5413" s="49">
        <v>44569.9458778588</v>
      </c>
      <c r="B5413" s="50">
        <v>44570.0708622222</v>
      </c>
      <c r="C5413" s="51">
        <v>1.004</v>
      </c>
      <c r="D5413" s="51">
        <v>66.0</v>
      </c>
      <c r="E5413" s="52" t="s">
        <v>25</v>
      </c>
      <c r="F5413" s="52" t="s">
        <v>26</v>
      </c>
      <c r="G5413" s="53"/>
    </row>
    <row r="5414">
      <c r="A5414" s="49">
        <v>44569.95632060185</v>
      </c>
      <c r="B5414" s="50">
        <v>44570.0812956249</v>
      </c>
      <c r="C5414" s="51">
        <v>1.004</v>
      </c>
      <c r="D5414" s="51">
        <v>66.0</v>
      </c>
      <c r="E5414" s="52" t="s">
        <v>25</v>
      </c>
      <c r="F5414" s="52" t="s">
        <v>26</v>
      </c>
      <c r="G5414" s="53"/>
    </row>
    <row r="5415">
      <c r="A5415" s="49">
        <v>44569.966749837964</v>
      </c>
      <c r="B5415" s="50">
        <v>44570.0917155092</v>
      </c>
      <c r="C5415" s="51">
        <v>1.004</v>
      </c>
      <c r="D5415" s="51">
        <v>66.0</v>
      </c>
      <c r="E5415" s="52" t="s">
        <v>25</v>
      </c>
      <c r="F5415" s="52" t="s">
        <v>26</v>
      </c>
      <c r="G5415" s="53"/>
    </row>
    <row r="5416">
      <c r="A5416" s="49">
        <v>44569.97715925926</v>
      </c>
      <c r="B5416" s="50">
        <v>44570.1021359838</v>
      </c>
      <c r="C5416" s="51">
        <v>1.004</v>
      </c>
      <c r="D5416" s="51">
        <v>66.0</v>
      </c>
      <c r="E5416" s="52" t="s">
        <v>25</v>
      </c>
      <c r="F5416" s="52" t="s">
        <v>26</v>
      </c>
      <c r="G5416" s="53"/>
    </row>
    <row r="5417">
      <c r="A5417" s="49">
        <v>44569.98758291667</v>
      </c>
      <c r="B5417" s="50">
        <v>44570.112557199</v>
      </c>
      <c r="C5417" s="51">
        <v>1.004</v>
      </c>
      <c r="D5417" s="51">
        <v>66.0</v>
      </c>
      <c r="E5417" s="52" t="s">
        <v>25</v>
      </c>
      <c r="F5417" s="52" t="s">
        <v>26</v>
      </c>
      <c r="G5417" s="53"/>
    </row>
    <row r="5418">
      <c r="A5418" s="49">
        <v>44569.99799916666</v>
      </c>
      <c r="B5418" s="50">
        <v>44570.1229782407</v>
      </c>
      <c r="C5418" s="51">
        <v>1.004</v>
      </c>
      <c r="D5418" s="51">
        <v>66.0</v>
      </c>
      <c r="E5418" s="52" t="s">
        <v>25</v>
      </c>
      <c r="F5418" s="52" t="s">
        <v>26</v>
      </c>
      <c r="G5418" s="53"/>
    </row>
    <row r="5419">
      <c r="A5419" s="49">
        <v>44570.008416400466</v>
      </c>
      <c r="B5419" s="50">
        <v>44570.1333993171</v>
      </c>
      <c r="C5419" s="51">
        <v>1.004</v>
      </c>
      <c r="D5419" s="51">
        <v>66.0</v>
      </c>
      <c r="E5419" s="52" t="s">
        <v>25</v>
      </c>
      <c r="F5419" s="52" t="s">
        <v>26</v>
      </c>
      <c r="G5419" s="53"/>
    </row>
    <row r="5420">
      <c r="A5420" s="49">
        <v>44570.018847534724</v>
      </c>
      <c r="B5420" s="50">
        <v>44570.1438211574</v>
      </c>
      <c r="C5420" s="51">
        <v>1.004</v>
      </c>
      <c r="D5420" s="51">
        <v>66.0</v>
      </c>
      <c r="E5420" s="52" t="s">
        <v>25</v>
      </c>
      <c r="F5420" s="52" t="s">
        <v>26</v>
      </c>
      <c r="G5420" s="53"/>
    </row>
    <row r="5421">
      <c r="A5421" s="49">
        <v>44570.0292627662</v>
      </c>
      <c r="B5421" s="50">
        <v>44570.1542440856</v>
      </c>
      <c r="C5421" s="51">
        <v>1.004</v>
      </c>
      <c r="D5421" s="51">
        <v>66.0</v>
      </c>
      <c r="E5421" s="52" t="s">
        <v>25</v>
      </c>
      <c r="F5421" s="52" t="s">
        <v>26</v>
      </c>
      <c r="G5421" s="53"/>
    </row>
    <row r="5422">
      <c r="A5422" s="49">
        <v>44570.03968913194</v>
      </c>
      <c r="B5422" s="50">
        <v>44570.1646656597</v>
      </c>
      <c r="C5422" s="51">
        <v>1.004</v>
      </c>
      <c r="D5422" s="51">
        <v>66.0</v>
      </c>
      <c r="E5422" s="52" t="s">
        <v>25</v>
      </c>
      <c r="F5422" s="52" t="s">
        <v>26</v>
      </c>
      <c r="G5422" s="53"/>
    </row>
    <row r="5423">
      <c r="A5423" s="49">
        <v>44570.050107337964</v>
      </c>
      <c r="B5423" s="50">
        <v>44570.1750855324</v>
      </c>
      <c r="C5423" s="51">
        <v>1.004</v>
      </c>
      <c r="D5423" s="51">
        <v>66.0</v>
      </c>
      <c r="E5423" s="52" t="s">
        <v>25</v>
      </c>
      <c r="F5423" s="52" t="s">
        <v>26</v>
      </c>
      <c r="G5423" s="53"/>
    </row>
    <row r="5424">
      <c r="A5424" s="49">
        <v>44570.06052663195</v>
      </c>
      <c r="B5424" s="50">
        <v>44570.1855064583</v>
      </c>
      <c r="C5424" s="51">
        <v>1.004</v>
      </c>
      <c r="D5424" s="51">
        <v>66.0</v>
      </c>
      <c r="E5424" s="52" t="s">
        <v>25</v>
      </c>
      <c r="F5424" s="52" t="s">
        <v>26</v>
      </c>
      <c r="G5424" s="53"/>
    </row>
    <row r="5425">
      <c r="A5425" s="49">
        <v>44570.070953946764</v>
      </c>
      <c r="B5425" s="50">
        <v>44570.1959275462</v>
      </c>
      <c r="C5425" s="51">
        <v>1.004</v>
      </c>
      <c r="D5425" s="51">
        <v>66.0</v>
      </c>
      <c r="E5425" s="52" t="s">
        <v>25</v>
      </c>
      <c r="F5425" s="52" t="s">
        <v>26</v>
      </c>
      <c r="G5425" s="53"/>
    </row>
    <row r="5426">
      <c r="A5426" s="49">
        <v>44570.081375532405</v>
      </c>
      <c r="B5426" s="50">
        <v>44570.2063486226</v>
      </c>
      <c r="C5426" s="51">
        <v>1.005</v>
      </c>
      <c r="D5426" s="51">
        <v>66.0</v>
      </c>
      <c r="E5426" s="52" t="s">
        <v>25</v>
      </c>
      <c r="F5426" s="52" t="s">
        <v>26</v>
      </c>
      <c r="G5426" s="53"/>
    </row>
    <row r="5427">
      <c r="A5427" s="49">
        <v>44570.091888310184</v>
      </c>
      <c r="B5427" s="50">
        <v>44570.2168044907</v>
      </c>
      <c r="C5427" s="51">
        <v>1.004</v>
      </c>
      <c r="D5427" s="51">
        <v>66.0</v>
      </c>
      <c r="E5427" s="52" t="s">
        <v>25</v>
      </c>
      <c r="F5427" s="52" t="s">
        <v>26</v>
      </c>
      <c r="G5427" s="53"/>
    </row>
    <row r="5428">
      <c r="A5428" s="49">
        <v>44570.10225181713</v>
      </c>
      <c r="B5428" s="50">
        <v>44570.2272255092</v>
      </c>
      <c r="C5428" s="51">
        <v>1.004</v>
      </c>
      <c r="D5428" s="51">
        <v>66.0</v>
      </c>
      <c r="E5428" s="52" t="s">
        <v>25</v>
      </c>
      <c r="F5428" s="52" t="s">
        <v>26</v>
      </c>
      <c r="G5428" s="53"/>
    </row>
    <row r="5429">
      <c r="A5429" s="49">
        <v>44570.11267625</v>
      </c>
      <c r="B5429" s="50">
        <v>44570.2376479282</v>
      </c>
      <c r="C5429" s="51">
        <v>1.004</v>
      </c>
      <c r="D5429" s="51">
        <v>66.0</v>
      </c>
      <c r="E5429" s="52" t="s">
        <v>25</v>
      </c>
      <c r="F5429" s="52" t="s">
        <v>26</v>
      </c>
      <c r="G5429" s="53"/>
    </row>
    <row r="5430">
      <c r="A5430" s="49">
        <v>44570.12308805555</v>
      </c>
      <c r="B5430" s="50">
        <v>44570.2480703819</v>
      </c>
      <c r="C5430" s="51">
        <v>1.004</v>
      </c>
      <c r="D5430" s="51">
        <v>66.0</v>
      </c>
      <c r="E5430" s="52" t="s">
        <v>25</v>
      </c>
      <c r="F5430" s="52" t="s">
        <v>26</v>
      </c>
      <c r="G5430" s="53"/>
    </row>
    <row r="5431">
      <c r="A5431" s="49">
        <v>44570.13351706018</v>
      </c>
      <c r="B5431" s="50">
        <v>44570.2584909143</v>
      </c>
      <c r="C5431" s="51">
        <v>1.004</v>
      </c>
      <c r="D5431" s="51">
        <v>66.0</v>
      </c>
      <c r="E5431" s="52" t="s">
        <v>25</v>
      </c>
      <c r="F5431" s="52" t="s">
        <v>26</v>
      </c>
      <c r="G5431" s="53"/>
    </row>
    <row r="5432">
      <c r="A5432" s="49">
        <v>44570.143937245375</v>
      </c>
      <c r="B5432" s="50">
        <v>44570.2689136342</v>
      </c>
      <c r="C5432" s="51">
        <v>1.004</v>
      </c>
      <c r="D5432" s="51">
        <v>66.0</v>
      </c>
      <c r="E5432" s="52" t="s">
        <v>25</v>
      </c>
      <c r="F5432" s="52" t="s">
        <v>26</v>
      </c>
      <c r="G5432" s="53"/>
    </row>
    <row r="5433">
      <c r="A5433" s="49">
        <v>44570.154356134255</v>
      </c>
      <c r="B5433" s="50">
        <v>44570.2793359027</v>
      </c>
      <c r="C5433" s="51">
        <v>1.004</v>
      </c>
      <c r="D5433" s="51">
        <v>66.0</v>
      </c>
      <c r="E5433" s="52" t="s">
        <v>25</v>
      </c>
      <c r="F5433" s="52" t="s">
        <v>26</v>
      </c>
      <c r="G5433" s="53"/>
    </row>
    <row r="5434">
      <c r="A5434" s="49">
        <v>44570.16478179398</v>
      </c>
      <c r="B5434" s="50">
        <v>44570.2897572106</v>
      </c>
      <c r="C5434" s="51">
        <v>1.004</v>
      </c>
      <c r="D5434" s="51">
        <v>66.0</v>
      </c>
      <c r="E5434" s="52" t="s">
        <v>25</v>
      </c>
      <c r="F5434" s="52" t="s">
        <v>26</v>
      </c>
      <c r="G5434" s="53"/>
    </row>
    <row r="5435">
      <c r="A5435" s="49">
        <v>44570.17522077546</v>
      </c>
      <c r="B5435" s="50">
        <v>44570.3002004513</v>
      </c>
      <c r="C5435" s="51">
        <v>1.004</v>
      </c>
      <c r="D5435" s="51">
        <v>66.0</v>
      </c>
      <c r="E5435" s="52" t="s">
        <v>25</v>
      </c>
      <c r="F5435" s="52" t="s">
        <v>26</v>
      </c>
      <c r="G5435" s="53"/>
    </row>
    <row r="5436">
      <c r="A5436" s="49">
        <v>44570.18565038194</v>
      </c>
      <c r="B5436" s="50">
        <v>44570.310632199</v>
      </c>
      <c r="C5436" s="51">
        <v>1.004</v>
      </c>
      <c r="D5436" s="51">
        <v>66.0</v>
      </c>
      <c r="E5436" s="52" t="s">
        <v>25</v>
      </c>
      <c r="F5436" s="52" t="s">
        <v>26</v>
      </c>
      <c r="G5436" s="53"/>
    </row>
    <row r="5437">
      <c r="A5437" s="49">
        <v>44570.19607104167</v>
      </c>
      <c r="B5437" s="50">
        <v>44570.3210538194</v>
      </c>
      <c r="C5437" s="51">
        <v>1.004</v>
      </c>
      <c r="D5437" s="51">
        <v>66.0</v>
      </c>
      <c r="E5437" s="52" t="s">
        <v>25</v>
      </c>
      <c r="F5437" s="52" t="s">
        <v>26</v>
      </c>
      <c r="G5437" s="53"/>
    </row>
    <row r="5438">
      <c r="A5438" s="49">
        <v>44570.20649182871</v>
      </c>
      <c r="B5438" s="50">
        <v>44570.3314754166</v>
      </c>
      <c r="C5438" s="51">
        <v>1.004</v>
      </c>
      <c r="D5438" s="51">
        <v>65.0</v>
      </c>
      <c r="E5438" s="52" t="s">
        <v>25</v>
      </c>
      <c r="F5438" s="52" t="s">
        <v>26</v>
      </c>
      <c r="G5438" s="53"/>
    </row>
    <row r="5439">
      <c r="A5439" s="49">
        <v>44570.21690979166</v>
      </c>
      <c r="B5439" s="50">
        <v>44570.3418952777</v>
      </c>
      <c r="C5439" s="51">
        <v>1.004</v>
      </c>
      <c r="D5439" s="51">
        <v>65.0</v>
      </c>
      <c r="E5439" s="52" t="s">
        <v>25</v>
      </c>
      <c r="F5439" s="52" t="s">
        <v>26</v>
      </c>
      <c r="G5439" s="53"/>
    </row>
    <row r="5440">
      <c r="A5440" s="49">
        <v>44570.22734074074</v>
      </c>
      <c r="B5440" s="50">
        <v>44570.3523171296</v>
      </c>
      <c r="C5440" s="51">
        <v>1.005</v>
      </c>
      <c r="D5440" s="51">
        <v>66.0</v>
      </c>
      <c r="E5440" s="52" t="s">
        <v>25</v>
      </c>
      <c r="F5440" s="52" t="s">
        <v>26</v>
      </c>
      <c r="G5440" s="53"/>
    </row>
    <row r="5441">
      <c r="A5441" s="49">
        <v>44570.237759525466</v>
      </c>
      <c r="B5441" s="50">
        <v>44570.3627374884</v>
      </c>
      <c r="C5441" s="51">
        <v>1.004</v>
      </c>
      <c r="D5441" s="51">
        <v>65.0</v>
      </c>
      <c r="E5441" s="52" t="s">
        <v>25</v>
      </c>
      <c r="F5441" s="52" t="s">
        <v>26</v>
      </c>
      <c r="G5441" s="53"/>
    </row>
    <row r="5442">
      <c r="A5442" s="49">
        <v>44570.24818731481</v>
      </c>
      <c r="B5442" s="50">
        <v>44570.3731593402</v>
      </c>
      <c r="C5442" s="51">
        <v>1.004</v>
      </c>
      <c r="D5442" s="51">
        <v>65.0</v>
      </c>
      <c r="E5442" s="52" t="s">
        <v>25</v>
      </c>
      <c r="F5442" s="52" t="s">
        <v>26</v>
      </c>
      <c r="G5442" s="53"/>
    </row>
    <row r="5443">
      <c r="A5443" s="49">
        <v>44570.258599849534</v>
      </c>
      <c r="B5443" s="50">
        <v>44570.3835813541</v>
      </c>
      <c r="C5443" s="51">
        <v>1.004</v>
      </c>
      <c r="D5443" s="51">
        <v>65.0</v>
      </c>
      <c r="E5443" s="52" t="s">
        <v>25</v>
      </c>
      <c r="F5443" s="52" t="s">
        <v>26</v>
      </c>
      <c r="G5443" s="53"/>
    </row>
    <row r="5444">
      <c r="A5444" s="49">
        <v>44570.26905109954</v>
      </c>
      <c r="B5444" s="50">
        <v>44570.3940252199</v>
      </c>
      <c r="C5444" s="51">
        <v>1.005</v>
      </c>
      <c r="D5444" s="51">
        <v>65.0</v>
      </c>
      <c r="E5444" s="52" t="s">
        <v>25</v>
      </c>
      <c r="F5444" s="52" t="s">
        <v>26</v>
      </c>
      <c r="G5444" s="53"/>
    </row>
    <row r="5445">
      <c r="A5445" s="49">
        <v>44570.279481018515</v>
      </c>
      <c r="B5445" s="50">
        <v>44570.4044578935</v>
      </c>
      <c r="C5445" s="51">
        <v>1.005</v>
      </c>
      <c r="D5445" s="51">
        <v>65.0</v>
      </c>
      <c r="E5445" s="52" t="s">
        <v>25</v>
      </c>
      <c r="F5445" s="52" t="s">
        <v>26</v>
      </c>
      <c r="G5445" s="53"/>
    </row>
    <row r="5446">
      <c r="A5446" s="49">
        <v>44570.28989413194</v>
      </c>
      <c r="B5446" s="50">
        <v>44570.4148790393</v>
      </c>
      <c r="C5446" s="51">
        <v>1.004</v>
      </c>
      <c r="D5446" s="51">
        <v>65.0</v>
      </c>
      <c r="E5446" s="52" t="s">
        <v>25</v>
      </c>
      <c r="F5446" s="52" t="s">
        <v>26</v>
      </c>
      <c r="G5446" s="53"/>
    </row>
    <row r="5447">
      <c r="A5447" s="49">
        <v>44570.300331226856</v>
      </c>
      <c r="B5447" s="50">
        <v>44570.4253003587</v>
      </c>
      <c r="C5447" s="51">
        <v>1.004</v>
      </c>
      <c r="D5447" s="51">
        <v>65.0</v>
      </c>
      <c r="E5447" s="52" t="s">
        <v>25</v>
      </c>
      <c r="F5447" s="52" t="s">
        <v>26</v>
      </c>
      <c r="G5447" s="53"/>
    </row>
    <row r="5448">
      <c r="A5448" s="49">
        <v>44570.31073784722</v>
      </c>
      <c r="B5448" s="50">
        <v>44570.4357217592</v>
      </c>
      <c r="C5448" s="51">
        <v>1.004</v>
      </c>
      <c r="D5448" s="51">
        <v>65.0</v>
      </c>
      <c r="E5448" s="52" t="s">
        <v>25</v>
      </c>
      <c r="F5448" s="52" t="s">
        <v>26</v>
      </c>
      <c r="G5448" s="53"/>
    </row>
    <row r="5449">
      <c r="A5449" s="49">
        <v>44570.32116885416</v>
      </c>
      <c r="B5449" s="50">
        <v>44570.4461432638</v>
      </c>
      <c r="C5449" s="51">
        <v>1.004</v>
      </c>
      <c r="D5449" s="51">
        <v>65.0</v>
      </c>
      <c r="E5449" s="52" t="s">
        <v>25</v>
      </c>
      <c r="F5449" s="52" t="s">
        <v>26</v>
      </c>
      <c r="G5449" s="53"/>
    </row>
    <row r="5450">
      <c r="A5450" s="49">
        <v>44570.33158945602</v>
      </c>
      <c r="B5450" s="50">
        <v>44570.456564456</v>
      </c>
      <c r="C5450" s="51">
        <v>1.004</v>
      </c>
      <c r="D5450" s="51">
        <v>65.0</v>
      </c>
      <c r="E5450" s="52" t="s">
        <v>25</v>
      </c>
      <c r="F5450" s="52" t="s">
        <v>26</v>
      </c>
      <c r="G5450" s="53"/>
    </row>
    <row r="5451">
      <c r="A5451" s="49">
        <v>44570.342005949075</v>
      </c>
      <c r="B5451" s="50">
        <v>44570.4669847222</v>
      </c>
      <c r="C5451" s="51">
        <v>1.004</v>
      </c>
      <c r="D5451" s="51">
        <v>65.0</v>
      </c>
      <c r="E5451" s="52" t="s">
        <v>25</v>
      </c>
      <c r="F5451" s="52" t="s">
        <v>26</v>
      </c>
      <c r="G5451" s="53"/>
    </row>
    <row r="5452">
      <c r="A5452" s="49">
        <v>44570.35243075232</v>
      </c>
      <c r="B5452" s="50">
        <v>44570.4774046527</v>
      </c>
      <c r="C5452" s="51">
        <v>1.005</v>
      </c>
      <c r="D5452" s="51">
        <v>65.0</v>
      </c>
      <c r="E5452" s="52" t="s">
        <v>25</v>
      </c>
      <c r="F5452" s="52" t="s">
        <v>26</v>
      </c>
      <c r="G5452" s="53"/>
    </row>
    <row r="5453">
      <c r="A5453" s="49">
        <v>44570.3628458912</v>
      </c>
      <c r="B5453" s="50">
        <v>44570.4878280324</v>
      </c>
      <c r="C5453" s="51">
        <v>1.004</v>
      </c>
      <c r="D5453" s="51">
        <v>65.0</v>
      </c>
      <c r="E5453" s="52" t="s">
        <v>25</v>
      </c>
      <c r="F5453" s="52" t="s">
        <v>26</v>
      </c>
      <c r="G5453" s="53"/>
    </row>
    <row r="5454">
      <c r="A5454" s="49">
        <v>44570.37326577546</v>
      </c>
      <c r="B5454" s="50">
        <v>44570.4982494212</v>
      </c>
      <c r="C5454" s="51">
        <v>1.004</v>
      </c>
      <c r="D5454" s="51">
        <v>65.0</v>
      </c>
      <c r="E5454" s="52" t="s">
        <v>25</v>
      </c>
      <c r="F5454" s="52" t="s">
        <v>26</v>
      </c>
      <c r="G5454" s="53"/>
    </row>
    <row r="5455">
      <c r="A5455" s="49">
        <v>44570.38368608797</v>
      </c>
      <c r="B5455" s="50">
        <v>44570.5086711921</v>
      </c>
      <c r="C5455" s="51">
        <v>1.004</v>
      </c>
      <c r="D5455" s="51">
        <v>65.0</v>
      </c>
      <c r="E5455" s="52" t="s">
        <v>25</v>
      </c>
      <c r="F5455" s="52" t="s">
        <v>26</v>
      </c>
      <c r="G5455" s="53"/>
    </row>
    <row r="5456">
      <c r="A5456" s="49">
        <v>44570.39411149306</v>
      </c>
      <c r="B5456" s="50">
        <v>44570.5190953819</v>
      </c>
      <c r="C5456" s="51">
        <v>1.004</v>
      </c>
      <c r="D5456" s="51">
        <v>65.0</v>
      </c>
      <c r="E5456" s="52" t="s">
        <v>25</v>
      </c>
      <c r="F5456" s="52" t="s">
        <v>26</v>
      </c>
      <c r="G5456" s="53"/>
    </row>
    <row r="5457">
      <c r="A5457" s="49">
        <v>44570.404539247684</v>
      </c>
      <c r="B5457" s="50">
        <v>44570.5295161458</v>
      </c>
      <c r="C5457" s="51">
        <v>1.004</v>
      </c>
      <c r="D5457" s="51">
        <v>65.0</v>
      </c>
      <c r="E5457" s="52" t="s">
        <v>25</v>
      </c>
      <c r="F5457" s="52" t="s">
        <v>26</v>
      </c>
      <c r="G5457" s="53"/>
    </row>
    <row r="5458">
      <c r="A5458" s="49">
        <v>44570.41496487269</v>
      </c>
      <c r="B5458" s="50">
        <v>44570.5399490162</v>
      </c>
      <c r="C5458" s="51">
        <v>1.004</v>
      </c>
      <c r="D5458" s="51">
        <v>65.0</v>
      </c>
      <c r="E5458" s="52" t="s">
        <v>25</v>
      </c>
      <c r="F5458" s="52" t="s">
        <v>26</v>
      </c>
      <c r="G5458" s="53"/>
    </row>
    <row r="5459">
      <c r="A5459" s="49">
        <v>44570.425397349536</v>
      </c>
      <c r="B5459" s="50">
        <v>44570.5503705439</v>
      </c>
      <c r="C5459" s="51">
        <v>1.005</v>
      </c>
      <c r="D5459" s="51">
        <v>65.0</v>
      </c>
      <c r="E5459" s="52" t="s">
        <v>25</v>
      </c>
      <c r="F5459" s="52" t="s">
        <v>26</v>
      </c>
      <c r="G5459" s="53"/>
    </row>
    <row r="5460">
      <c r="A5460" s="49">
        <v>44570.43581969907</v>
      </c>
      <c r="B5460" s="50">
        <v>44570.5608032175</v>
      </c>
      <c r="C5460" s="51">
        <v>1.004</v>
      </c>
      <c r="D5460" s="51">
        <v>65.0</v>
      </c>
      <c r="E5460" s="52" t="s">
        <v>25</v>
      </c>
      <c r="F5460" s="52" t="s">
        <v>26</v>
      </c>
      <c r="G5460" s="53"/>
    </row>
    <row r="5461">
      <c r="A5461" s="49">
        <v>44570.446249953704</v>
      </c>
      <c r="B5461" s="50">
        <v>44570.5712267592</v>
      </c>
      <c r="C5461" s="51">
        <v>1.004</v>
      </c>
      <c r="D5461" s="51">
        <v>65.0</v>
      </c>
      <c r="E5461" s="52" t="s">
        <v>25</v>
      </c>
      <c r="F5461" s="52" t="s">
        <v>26</v>
      </c>
      <c r="G5461" s="53"/>
    </row>
    <row r="5462">
      <c r="A5462" s="49">
        <v>44570.456672500004</v>
      </c>
      <c r="B5462" s="50">
        <v>44570.581648912</v>
      </c>
      <c r="C5462" s="51">
        <v>1.005</v>
      </c>
      <c r="D5462" s="51">
        <v>65.0</v>
      </c>
      <c r="E5462" s="52" t="s">
        <v>25</v>
      </c>
      <c r="F5462" s="52" t="s">
        <v>26</v>
      </c>
      <c r="G5462" s="53"/>
    </row>
    <row r="5463">
      <c r="A5463" s="49">
        <v>44570.467095914355</v>
      </c>
      <c r="B5463" s="50">
        <v>44570.5920814467</v>
      </c>
      <c r="C5463" s="51">
        <v>1.004</v>
      </c>
      <c r="D5463" s="51">
        <v>65.0</v>
      </c>
      <c r="E5463" s="52" t="s">
        <v>25</v>
      </c>
      <c r="F5463" s="52" t="s">
        <v>26</v>
      </c>
      <c r="G5463" s="53"/>
    </row>
    <row r="5464">
      <c r="A5464" s="49">
        <v>44570.4775237037</v>
      </c>
      <c r="B5464" s="50">
        <v>44570.6025022916</v>
      </c>
      <c r="C5464" s="51">
        <v>1.005</v>
      </c>
      <c r="D5464" s="51">
        <v>65.0</v>
      </c>
      <c r="E5464" s="52" t="s">
        <v>25</v>
      </c>
      <c r="F5464" s="52" t="s">
        <v>26</v>
      </c>
      <c r="G5464" s="53"/>
    </row>
    <row r="5465">
      <c r="A5465" s="49">
        <v>44570.4879459375</v>
      </c>
      <c r="B5465" s="50">
        <v>44570.6129222916</v>
      </c>
      <c r="C5465" s="51">
        <v>1.005</v>
      </c>
      <c r="D5465" s="51">
        <v>65.0</v>
      </c>
      <c r="E5465" s="52" t="s">
        <v>25</v>
      </c>
      <c r="F5465" s="52" t="s">
        <v>26</v>
      </c>
      <c r="G5465" s="53"/>
    </row>
    <row r="5466">
      <c r="A5466" s="49">
        <v>44570.49836153935</v>
      </c>
      <c r="B5466" s="50">
        <v>44570.6233429861</v>
      </c>
      <c r="C5466" s="51">
        <v>1.004</v>
      </c>
      <c r="D5466" s="51">
        <v>65.0</v>
      </c>
      <c r="E5466" s="52" t="s">
        <v>25</v>
      </c>
      <c r="F5466" s="52" t="s">
        <v>26</v>
      </c>
      <c r="G5466" s="53"/>
    </row>
    <row r="5467">
      <c r="A5467" s="49">
        <v>44570.50879158565</v>
      </c>
      <c r="B5467" s="50">
        <v>44570.6337625578</v>
      </c>
      <c r="C5467" s="51">
        <v>1.004</v>
      </c>
      <c r="D5467" s="51">
        <v>65.0</v>
      </c>
      <c r="E5467" s="52" t="s">
        <v>25</v>
      </c>
      <c r="F5467" s="52" t="s">
        <v>26</v>
      </c>
      <c r="G5467" s="53"/>
    </row>
    <row r="5468">
      <c r="A5468" s="49">
        <v>44570.519219270835</v>
      </c>
      <c r="B5468" s="50">
        <v>44570.6441950115</v>
      </c>
      <c r="C5468" s="51">
        <v>1.004</v>
      </c>
      <c r="D5468" s="51">
        <v>65.0</v>
      </c>
      <c r="E5468" s="52" t="s">
        <v>25</v>
      </c>
      <c r="F5468" s="52" t="s">
        <v>26</v>
      </c>
      <c r="G5468" s="53"/>
    </row>
    <row r="5469">
      <c r="A5469" s="49">
        <v>44570.52963567129</v>
      </c>
      <c r="B5469" s="50">
        <v>44570.6546163425</v>
      </c>
      <c r="C5469" s="51">
        <v>1.004</v>
      </c>
      <c r="D5469" s="51">
        <v>65.0</v>
      </c>
      <c r="E5469" s="52" t="s">
        <v>25</v>
      </c>
      <c r="F5469" s="52" t="s">
        <v>26</v>
      </c>
      <c r="G5469" s="53"/>
    </row>
    <row r="5470">
      <c r="A5470" s="49">
        <v>44570.54006190972</v>
      </c>
      <c r="B5470" s="50">
        <v>44570.665035949</v>
      </c>
      <c r="C5470" s="51">
        <v>1.004</v>
      </c>
      <c r="D5470" s="51">
        <v>64.0</v>
      </c>
      <c r="E5470" s="52" t="s">
        <v>25</v>
      </c>
      <c r="F5470" s="52" t="s">
        <v>26</v>
      </c>
      <c r="G5470" s="53"/>
    </row>
    <row r="5471">
      <c r="A5471" s="49">
        <v>44570.550494236115</v>
      </c>
      <c r="B5471" s="50">
        <v>44570.6754688425</v>
      </c>
      <c r="C5471" s="51">
        <v>1.005</v>
      </c>
      <c r="D5471" s="51">
        <v>64.0</v>
      </c>
      <c r="E5471" s="52" t="s">
        <v>25</v>
      </c>
      <c r="F5471" s="52" t="s">
        <v>26</v>
      </c>
      <c r="G5471" s="53"/>
    </row>
    <row r="5472">
      <c r="A5472" s="49">
        <v>44570.5609008912</v>
      </c>
      <c r="B5472" s="50">
        <v>44570.6858886805</v>
      </c>
      <c r="C5472" s="51">
        <v>1.004</v>
      </c>
      <c r="D5472" s="51">
        <v>65.0</v>
      </c>
      <c r="E5472" s="52" t="s">
        <v>25</v>
      </c>
      <c r="F5472" s="52" t="s">
        <v>26</v>
      </c>
      <c r="G5472" s="53"/>
    </row>
    <row r="5473">
      <c r="A5473" s="49">
        <v>44570.57133197917</v>
      </c>
      <c r="B5473" s="50">
        <v>44570.6963084606</v>
      </c>
      <c r="C5473" s="51">
        <v>1.004</v>
      </c>
      <c r="D5473" s="51">
        <v>64.0</v>
      </c>
      <c r="E5473" s="52" t="s">
        <v>25</v>
      </c>
      <c r="F5473" s="52" t="s">
        <v>26</v>
      </c>
      <c r="G5473" s="53"/>
    </row>
    <row r="5474">
      <c r="A5474" s="49">
        <v>44570.58177798611</v>
      </c>
      <c r="B5474" s="50">
        <v>44570.7067541087</v>
      </c>
      <c r="C5474" s="51">
        <v>1.005</v>
      </c>
      <c r="D5474" s="51">
        <v>64.0</v>
      </c>
      <c r="E5474" s="52" t="s">
        <v>25</v>
      </c>
      <c r="F5474" s="52" t="s">
        <v>26</v>
      </c>
      <c r="G5474" s="53"/>
    </row>
    <row r="5475">
      <c r="A5475" s="49">
        <v>44570.592196516205</v>
      </c>
      <c r="B5475" s="50">
        <v>44570.7171734143</v>
      </c>
      <c r="C5475" s="51">
        <v>1.004</v>
      </c>
      <c r="D5475" s="51">
        <v>64.0</v>
      </c>
      <c r="E5475" s="52" t="s">
        <v>25</v>
      </c>
      <c r="F5475" s="52" t="s">
        <v>26</v>
      </c>
      <c r="G5475" s="53"/>
    </row>
    <row r="5476">
      <c r="A5476" s="49">
        <v>44570.60261236111</v>
      </c>
      <c r="B5476" s="50">
        <v>44570.7275934259</v>
      </c>
      <c r="C5476" s="51">
        <v>1.004</v>
      </c>
      <c r="D5476" s="51">
        <v>64.0</v>
      </c>
      <c r="E5476" s="52" t="s">
        <v>25</v>
      </c>
      <c r="F5476" s="52" t="s">
        <v>26</v>
      </c>
      <c r="G5476" s="53"/>
    </row>
    <row r="5477">
      <c r="A5477" s="49">
        <v>44570.6130524537</v>
      </c>
      <c r="B5477" s="50">
        <v>44570.738027199</v>
      </c>
      <c r="C5477" s="51">
        <v>1.004</v>
      </c>
      <c r="D5477" s="51">
        <v>64.0</v>
      </c>
      <c r="E5477" s="52" t="s">
        <v>25</v>
      </c>
      <c r="F5477" s="52" t="s">
        <v>26</v>
      </c>
      <c r="G5477" s="53"/>
    </row>
    <row r="5478">
      <c r="A5478" s="49">
        <v>44570.6234665625</v>
      </c>
      <c r="B5478" s="50">
        <v>44570.7484468287</v>
      </c>
      <c r="C5478" s="51">
        <v>1.004</v>
      </c>
      <c r="D5478" s="51">
        <v>64.0</v>
      </c>
      <c r="E5478" s="52" t="s">
        <v>25</v>
      </c>
      <c r="F5478" s="52" t="s">
        <v>26</v>
      </c>
      <c r="G5478" s="53"/>
    </row>
    <row r="5479">
      <c r="A5479" s="49">
        <v>44570.63391153935</v>
      </c>
      <c r="B5479" s="50">
        <v>44570.7588809143</v>
      </c>
      <c r="C5479" s="51">
        <v>1.005</v>
      </c>
      <c r="D5479" s="51">
        <v>64.0</v>
      </c>
      <c r="E5479" s="52" t="s">
        <v>25</v>
      </c>
      <c r="F5479" s="52" t="s">
        <v>26</v>
      </c>
      <c r="G5479" s="53"/>
    </row>
    <row r="5480">
      <c r="A5480" s="49">
        <v>44570.64432146991</v>
      </c>
      <c r="B5480" s="50">
        <v>44570.7693027893</v>
      </c>
      <c r="C5480" s="51">
        <v>1.004</v>
      </c>
      <c r="D5480" s="51">
        <v>64.0</v>
      </c>
      <c r="E5480" s="52" t="s">
        <v>25</v>
      </c>
      <c r="F5480" s="52" t="s">
        <v>26</v>
      </c>
      <c r="G5480" s="53"/>
    </row>
    <row r="5481">
      <c r="A5481" s="49">
        <v>44570.65474741899</v>
      </c>
      <c r="B5481" s="50">
        <v>44570.7797240856</v>
      </c>
      <c r="C5481" s="51">
        <v>1.004</v>
      </c>
      <c r="D5481" s="51">
        <v>64.0</v>
      </c>
      <c r="E5481" s="52" t="s">
        <v>25</v>
      </c>
      <c r="F5481" s="52" t="s">
        <v>26</v>
      </c>
      <c r="G5481" s="53"/>
    </row>
    <row r="5482">
      <c r="A5482" s="49">
        <v>44570.665165150465</v>
      </c>
      <c r="B5482" s="50">
        <v>44570.7901434722</v>
      </c>
      <c r="C5482" s="51">
        <v>1.004</v>
      </c>
      <c r="D5482" s="51">
        <v>64.0</v>
      </c>
      <c r="E5482" s="52" t="s">
        <v>25</v>
      </c>
      <c r="F5482" s="52" t="s">
        <v>26</v>
      </c>
      <c r="G5482" s="53"/>
    </row>
    <row r="5483">
      <c r="A5483" s="49">
        <v>44570.67557869213</v>
      </c>
      <c r="B5483" s="50">
        <v>44570.8005633564</v>
      </c>
      <c r="C5483" s="51">
        <v>1.005</v>
      </c>
      <c r="D5483" s="51">
        <v>64.0</v>
      </c>
      <c r="E5483" s="52" t="s">
        <v>25</v>
      </c>
      <c r="F5483" s="52" t="s">
        <v>26</v>
      </c>
      <c r="G5483" s="53"/>
    </row>
    <row r="5484">
      <c r="A5484" s="49">
        <v>44570.6860297338</v>
      </c>
      <c r="B5484" s="50">
        <v>44570.810995868</v>
      </c>
      <c r="C5484" s="51">
        <v>1.004</v>
      </c>
      <c r="D5484" s="51">
        <v>64.0</v>
      </c>
      <c r="E5484" s="52" t="s">
        <v>25</v>
      </c>
      <c r="F5484" s="52" t="s">
        <v>26</v>
      </c>
      <c r="G5484" s="53"/>
    </row>
    <row r="5485">
      <c r="A5485" s="49">
        <v>44570.696439074076</v>
      </c>
      <c r="B5485" s="50">
        <v>44570.8214159375</v>
      </c>
      <c r="C5485" s="51">
        <v>1.004</v>
      </c>
      <c r="D5485" s="51">
        <v>64.0</v>
      </c>
      <c r="E5485" s="52" t="s">
        <v>25</v>
      </c>
      <c r="F5485" s="52" t="s">
        <v>26</v>
      </c>
      <c r="G5485" s="53"/>
    </row>
    <row r="5486">
      <c r="A5486" s="49">
        <v>44570.70686293981</v>
      </c>
      <c r="B5486" s="50">
        <v>44570.831836655</v>
      </c>
      <c r="C5486" s="51">
        <v>1.004</v>
      </c>
      <c r="D5486" s="51">
        <v>64.0</v>
      </c>
      <c r="E5486" s="52" t="s">
        <v>25</v>
      </c>
      <c r="F5486" s="52" t="s">
        <v>26</v>
      </c>
      <c r="G5486" s="53"/>
    </row>
    <row r="5487">
      <c r="A5487" s="49">
        <v>44570.71729908565</v>
      </c>
      <c r="B5487" s="50">
        <v>44570.8422712499</v>
      </c>
      <c r="C5487" s="51">
        <v>1.005</v>
      </c>
      <c r="D5487" s="51">
        <v>64.0</v>
      </c>
      <c r="E5487" s="52" t="s">
        <v>25</v>
      </c>
      <c r="F5487" s="52" t="s">
        <v>26</v>
      </c>
      <c r="G5487" s="53"/>
    </row>
    <row r="5488">
      <c r="A5488" s="49">
        <v>44570.72770643518</v>
      </c>
      <c r="B5488" s="50">
        <v>44570.8526902777</v>
      </c>
      <c r="C5488" s="51">
        <v>1.004</v>
      </c>
      <c r="D5488" s="51">
        <v>64.0</v>
      </c>
      <c r="E5488" s="52" t="s">
        <v>25</v>
      </c>
      <c r="F5488" s="52" t="s">
        <v>26</v>
      </c>
      <c r="G5488" s="53"/>
    </row>
    <row r="5489">
      <c r="A5489" s="49">
        <v>44570.738127523146</v>
      </c>
      <c r="B5489" s="50">
        <v>44570.863110949</v>
      </c>
      <c r="C5489" s="51">
        <v>1.004</v>
      </c>
      <c r="D5489" s="51">
        <v>64.0</v>
      </c>
      <c r="E5489" s="52" t="s">
        <v>25</v>
      </c>
      <c r="F5489" s="52" t="s">
        <v>26</v>
      </c>
      <c r="G5489" s="53"/>
    </row>
    <row r="5490">
      <c r="A5490" s="49">
        <v>44570.74855615741</v>
      </c>
      <c r="B5490" s="50">
        <v>44570.8735313888</v>
      </c>
      <c r="C5490" s="51">
        <v>1.004</v>
      </c>
      <c r="D5490" s="51">
        <v>64.0</v>
      </c>
      <c r="E5490" s="52" t="s">
        <v>25</v>
      </c>
      <c r="F5490" s="52" t="s">
        <v>26</v>
      </c>
      <c r="G5490" s="53"/>
    </row>
    <row r="5491">
      <c r="A5491" s="49">
        <v>44570.75897783565</v>
      </c>
      <c r="B5491" s="50">
        <v>44570.8839536689</v>
      </c>
      <c r="C5491" s="51">
        <v>1.004</v>
      </c>
      <c r="D5491" s="51">
        <v>64.0</v>
      </c>
      <c r="E5491" s="52" t="s">
        <v>25</v>
      </c>
      <c r="F5491" s="52" t="s">
        <v>26</v>
      </c>
      <c r="G5491" s="53"/>
    </row>
    <row r="5492">
      <c r="A5492" s="49">
        <v>44570.76940438658</v>
      </c>
      <c r="B5492" s="50">
        <v>44570.8943765856</v>
      </c>
      <c r="C5492" s="51">
        <v>1.005</v>
      </c>
      <c r="D5492" s="51">
        <v>64.0</v>
      </c>
      <c r="E5492" s="52" t="s">
        <v>25</v>
      </c>
      <c r="F5492" s="52" t="s">
        <v>26</v>
      </c>
      <c r="G5492" s="53"/>
    </row>
    <row r="5493">
      <c r="A5493" s="49">
        <v>44570.77982228009</v>
      </c>
      <c r="B5493" s="50">
        <v>44570.9047970601</v>
      </c>
      <c r="C5493" s="51">
        <v>1.005</v>
      </c>
      <c r="D5493" s="51">
        <v>64.0</v>
      </c>
      <c r="E5493" s="52" t="s">
        <v>25</v>
      </c>
      <c r="F5493" s="52" t="s">
        <v>26</v>
      </c>
      <c r="G5493" s="53"/>
    </row>
    <row r="5494">
      <c r="A5494" s="49">
        <v>44570.79024428241</v>
      </c>
      <c r="B5494" s="50">
        <v>44570.915220324</v>
      </c>
      <c r="C5494" s="51">
        <v>1.004</v>
      </c>
      <c r="D5494" s="51">
        <v>64.0</v>
      </c>
      <c r="E5494" s="52" t="s">
        <v>25</v>
      </c>
      <c r="F5494" s="52" t="s">
        <v>26</v>
      </c>
      <c r="G5494" s="53"/>
    </row>
    <row r="5495">
      <c r="A5495" s="49">
        <v>44570.80066767361</v>
      </c>
      <c r="B5495" s="50">
        <v>44570.9256535763</v>
      </c>
      <c r="C5495" s="51">
        <v>1.005</v>
      </c>
      <c r="D5495" s="51">
        <v>64.0</v>
      </c>
      <c r="E5495" s="52" t="s">
        <v>25</v>
      </c>
      <c r="F5495" s="52" t="s">
        <v>26</v>
      </c>
      <c r="G5495" s="53"/>
    </row>
    <row r="5496">
      <c r="A5496" s="49">
        <v>44570.81109898148</v>
      </c>
      <c r="B5496" s="50">
        <v>44570.9360748148</v>
      </c>
      <c r="C5496" s="51">
        <v>1.004</v>
      </c>
      <c r="D5496" s="51">
        <v>64.0</v>
      </c>
      <c r="E5496" s="52" t="s">
        <v>25</v>
      </c>
      <c r="F5496" s="52" t="s">
        <v>26</v>
      </c>
      <c r="G5496" s="53"/>
    </row>
    <row r="5497">
      <c r="A5497" s="49">
        <v>44570.82151826389</v>
      </c>
      <c r="B5497" s="50">
        <v>44570.9464952893</v>
      </c>
      <c r="C5497" s="51">
        <v>1.005</v>
      </c>
      <c r="D5497" s="51">
        <v>64.0</v>
      </c>
      <c r="E5497" s="52" t="s">
        <v>25</v>
      </c>
      <c r="F5497" s="52" t="s">
        <v>26</v>
      </c>
      <c r="G5497" s="53"/>
    </row>
    <row r="5498">
      <c r="A5498" s="49">
        <v>44570.83194120371</v>
      </c>
      <c r="B5498" s="50">
        <v>44570.9569164004</v>
      </c>
      <c r="C5498" s="51">
        <v>1.004</v>
      </c>
      <c r="D5498" s="51">
        <v>64.0</v>
      </c>
      <c r="E5498" s="52" t="s">
        <v>25</v>
      </c>
      <c r="F5498" s="52" t="s">
        <v>26</v>
      </c>
      <c r="G5498" s="53"/>
    </row>
    <row r="5499">
      <c r="A5499" s="49">
        <v>44570.84236355324</v>
      </c>
      <c r="B5499" s="50">
        <v>44570.9673374884</v>
      </c>
      <c r="C5499" s="51">
        <v>1.004</v>
      </c>
      <c r="D5499" s="51">
        <v>64.0</v>
      </c>
      <c r="E5499" s="52" t="s">
        <v>25</v>
      </c>
      <c r="F5499" s="52" t="s">
        <v>26</v>
      </c>
      <c r="G5499" s="53"/>
    </row>
    <row r="5500">
      <c r="A5500" s="49">
        <v>44570.85277506945</v>
      </c>
      <c r="B5500" s="50">
        <v>44570.9777598611</v>
      </c>
      <c r="C5500" s="51">
        <v>1.004</v>
      </c>
      <c r="D5500" s="51">
        <v>64.0</v>
      </c>
      <c r="E5500" s="52" t="s">
        <v>25</v>
      </c>
      <c r="F5500" s="52" t="s">
        <v>26</v>
      </c>
      <c r="G5500" s="53"/>
    </row>
    <row r="5501">
      <c r="A5501" s="49">
        <v>44570.86320211805</v>
      </c>
      <c r="B5501" s="50">
        <v>44570.9881797569</v>
      </c>
      <c r="C5501" s="51">
        <v>1.004</v>
      </c>
      <c r="D5501" s="51">
        <v>64.0</v>
      </c>
      <c r="E5501" s="52" t="s">
        <v>25</v>
      </c>
      <c r="F5501" s="52" t="s">
        <v>26</v>
      </c>
      <c r="G5501" s="53"/>
    </row>
    <row r="5502">
      <c r="A5502" s="49">
        <v>44570.87363631945</v>
      </c>
      <c r="B5502" s="50">
        <v>44570.9986131134</v>
      </c>
      <c r="C5502" s="51">
        <v>1.004</v>
      </c>
      <c r="D5502" s="51">
        <v>64.0</v>
      </c>
      <c r="E5502" s="52" t="s">
        <v>25</v>
      </c>
      <c r="F5502" s="52" t="s">
        <v>26</v>
      </c>
      <c r="G5502" s="53"/>
    </row>
    <row r="5503">
      <c r="A5503" s="49">
        <v>44570.88406118056</v>
      </c>
      <c r="B5503" s="50">
        <v>44571.0090348611</v>
      </c>
      <c r="C5503" s="51">
        <v>1.004</v>
      </c>
      <c r="D5503" s="51">
        <v>64.0</v>
      </c>
      <c r="E5503" s="52" t="s">
        <v>25</v>
      </c>
      <c r="F5503" s="52" t="s">
        <v>26</v>
      </c>
      <c r="G5503" s="53"/>
    </row>
    <row r="5504">
      <c r="A5504" s="49">
        <v>44570.8944696875</v>
      </c>
      <c r="B5504" s="50">
        <v>44571.0194566319</v>
      </c>
      <c r="C5504" s="51">
        <v>1.004</v>
      </c>
      <c r="D5504" s="51">
        <v>64.0</v>
      </c>
      <c r="E5504" s="52" t="s">
        <v>25</v>
      </c>
      <c r="F5504" s="52" t="s">
        <v>26</v>
      </c>
      <c r="G5504" s="53"/>
    </row>
    <row r="5505">
      <c r="A5505" s="49">
        <v>44570.90489775463</v>
      </c>
      <c r="B5505" s="50">
        <v>44571.02987875</v>
      </c>
      <c r="C5505" s="51">
        <v>1.004</v>
      </c>
      <c r="D5505" s="51">
        <v>64.0</v>
      </c>
      <c r="E5505" s="52" t="s">
        <v>25</v>
      </c>
      <c r="F5505" s="52" t="s">
        <v>26</v>
      </c>
      <c r="G5505" s="53"/>
    </row>
    <row r="5506">
      <c r="A5506" s="49">
        <v>44570.91532526621</v>
      </c>
      <c r="B5506" s="50">
        <v>44571.0402989467</v>
      </c>
      <c r="C5506" s="51">
        <v>1.005</v>
      </c>
      <c r="D5506" s="51">
        <v>64.0</v>
      </c>
      <c r="E5506" s="52" t="s">
        <v>25</v>
      </c>
      <c r="F5506" s="52" t="s">
        <v>26</v>
      </c>
      <c r="G5506" s="53"/>
    </row>
    <row r="5507">
      <c r="A5507" s="49">
        <v>44570.925732627315</v>
      </c>
      <c r="B5507" s="50">
        <v>44571.0507184259</v>
      </c>
      <c r="C5507" s="51">
        <v>1.005</v>
      </c>
      <c r="D5507" s="51">
        <v>64.0</v>
      </c>
      <c r="E5507" s="52" t="s">
        <v>25</v>
      </c>
      <c r="F5507" s="52" t="s">
        <v>26</v>
      </c>
      <c r="G5507" s="53"/>
    </row>
    <row r="5508">
      <c r="A5508" s="49">
        <v>44570.93617927084</v>
      </c>
      <c r="B5508" s="50">
        <v>44571.0611530208</v>
      </c>
      <c r="C5508" s="51">
        <v>1.004</v>
      </c>
      <c r="D5508" s="51">
        <v>64.0</v>
      </c>
      <c r="E5508" s="52" t="s">
        <v>25</v>
      </c>
      <c r="F5508" s="52" t="s">
        <v>26</v>
      </c>
      <c r="G5508" s="53"/>
    </row>
    <row r="5509">
      <c r="A5509" s="49">
        <v>44570.946601076386</v>
      </c>
      <c r="B5509" s="50">
        <v>44571.0715746759</v>
      </c>
      <c r="C5509" s="51">
        <v>1.004</v>
      </c>
      <c r="D5509" s="51">
        <v>64.0</v>
      </c>
      <c r="E5509" s="52" t="s">
        <v>25</v>
      </c>
      <c r="F5509" s="52" t="s">
        <v>26</v>
      </c>
      <c r="G5509" s="53"/>
    </row>
    <row r="5510">
      <c r="A5510" s="49">
        <v>44570.95703425926</v>
      </c>
      <c r="B5510" s="50">
        <v>44571.0819981828</v>
      </c>
      <c r="C5510" s="51">
        <v>1.005</v>
      </c>
      <c r="D5510" s="51">
        <v>64.0</v>
      </c>
      <c r="E5510" s="52" t="s">
        <v>25</v>
      </c>
      <c r="F5510" s="52" t="s">
        <v>26</v>
      </c>
      <c r="G5510" s="53"/>
    </row>
    <row r="5511">
      <c r="A5511" s="49">
        <v>44570.96744576389</v>
      </c>
      <c r="B5511" s="50">
        <v>44571.0924201967</v>
      </c>
      <c r="C5511" s="51">
        <v>1.005</v>
      </c>
      <c r="D5511" s="51">
        <v>64.0</v>
      </c>
      <c r="E5511" s="52" t="s">
        <v>25</v>
      </c>
      <c r="F5511" s="52" t="s">
        <v>26</v>
      </c>
      <c r="G5511" s="53"/>
    </row>
    <row r="5512">
      <c r="A5512" s="49">
        <v>44570.97786601852</v>
      </c>
      <c r="B5512" s="50">
        <v>44571.1028524999</v>
      </c>
      <c r="C5512" s="51">
        <v>1.005</v>
      </c>
      <c r="D5512" s="51">
        <v>64.0</v>
      </c>
      <c r="E5512" s="52" t="s">
        <v>25</v>
      </c>
      <c r="F5512" s="52" t="s">
        <v>26</v>
      </c>
      <c r="G5512" s="53"/>
    </row>
    <row r="5513">
      <c r="A5513" s="49">
        <v>44570.98828767361</v>
      </c>
      <c r="B5513" s="50">
        <v>44571.1132733101</v>
      </c>
      <c r="C5513" s="51">
        <v>1.004</v>
      </c>
      <c r="D5513" s="51">
        <v>64.0</v>
      </c>
      <c r="E5513" s="52" t="s">
        <v>25</v>
      </c>
      <c r="F5513" s="52" t="s">
        <v>26</v>
      </c>
      <c r="G5513" s="53"/>
    </row>
    <row r="5514">
      <c r="A5514" s="49">
        <v>44570.99871143518</v>
      </c>
      <c r="B5514" s="50">
        <v>44571.1236956828</v>
      </c>
      <c r="C5514" s="51">
        <v>1.004</v>
      </c>
      <c r="D5514" s="51">
        <v>64.0</v>
      </c>
      <c r="E5514" s="52" t="s">
        <v>25</v>
      </c>
      <c r="F5514" s="52" t="s">
        <v>26</v>
      </c>
      <c r="G5514" s="53"/>
    </row>
    <row r="5515">
      <c r="A5515" s="49">
        <v>44571.00915880787</v>
      </c>
      <c r="B5515" s="50">
        <v>44571.1341286111</v>
      </c>
      <c r="C5515" s="51">
        <v>1.005</v>
      </c>
      <c r="D5515" s="51">
        <v>64.0</v>
      </c>
      <c r="E5515" s="52" t="s">
        <v>25</v>
      </c>
      <c r="F5515" s="52" t="s">
        <v>26</v>
      </c>
      <c r="G5515" s="53"/>
    </row>
    <row r="5516">
      <c r="A5516" s="49">
        <v>44571.019588298615</v>
      </c>
      <c r="B5516" s="50">
        <v>44571.1445611458</v>
      </c>
      <c r="C5516" s="51">
        <v>1.005</v>
      </c>
      <c r="D5516" s="51">
        <v>64.0</v>
      </c>
      <c r="E5516" s="52" t="s">
        <v>25</v>
      </c>
      <c r="F5516" s="52" t="s">
        <v>26</v>
      </c>
      <c r="G5516" s="53"/>
    </row>
    <row r="5517">
      <c r="A5517" s="49">
        <v>44571.0300072338</v>
      </c>
      <c r="B5517" s="50">
        <v>44571.1549814814</v>
      </c>
      <c r="C5517" s="51">
        <v>1.004</v>
      </c>
      <c r="D5517" s="51">
        <v>63.0</v>
      </c>
      <c r="E5517" s="52" t="s">
        <v>25</v>
      </c>
      <c r="F5517" s="52" t="s">
        <v>26</v>
      </c>
      <c r="G5517" s="53"/>
    </row>
    <row r="5518">
      <c r="A5518" s="49">
        <v>44571.04041903935</v>
      </c>
      <c r="B5518" s="50">
        <v>44571.1654012152</v>
      </c>
      <c r="C5518" s="51">
        <v>1.004</v>
      </c>
      <c r="D5518" s="51">
        <v>63.0</v>
      </c>
      <c r="E5518" s="52" t="s">
        <v>25</v>
      </c>
      <c r="F5518" s="52" t="s">
        <v>26</v>
      </c>
      <c r="G5518" s="53"/>
    </row>
    <row r="5519">
      <c r="A5519" s="49">
        <v>44571.05084435185</v>
      </c>
      <c r="B5519" s="50">
        <v>44571.1758216666</v>
      </c>
      <c r="C5519" s="51">
        <v>1.004</v>
      </c>
      <c r="D5519" s="51">
        <v>63.0</v>
      </c>
      <c r="E5519" s="52" t="s">
        <v>25</v>
      </c>
      <c r="F5519" s="52" t="s">
        <v>26</v>
      </c>
      <c r="G5519" s="53"/>
    </row>
    <row r="5520">
      <c r="A5520" s="49">
        <v>44571.06126887731</v>
      </c>
      <c r="B5520" s="50">
        <v>44571.1862420601</v>
      </c>
      <c r="C5520" s="51">
        <v>1.004</v>
      </c>
      <c r="D5520" s="51">
        <v>63.0</v>
      </c>
      <c r="E5520" s="52" t="s">
        <v>25</v>
      </c>
      <c r="F5520" s="52" t="s">
        <v>26</v>
      </c>
      <c r="G5520" s="53"/>
    </row>
    <row r="5521">
      <c r="A5521" s="49">
        <v>44571.07167902778</v>
      </c>
      <c r="B5521" s="50">
        <v>44571.1966626388</v>
      </c>
      <c r="C5521" s="51">
        <v>1.004</v>
      </c>
      <c r="D5521" s="51">
        <v>63.0</v>
      </c>
      <c r="E5521" s="52" t="s">
        <v>25</v>
      </c>
      <c r="F5521" s="52" t="s">
        <v>26</v>
      </c>
      <c r="G5521" s="53"/>
    </row>
    <row r="5522">
      <c r="A5522" s="49">
        <v>44571.08210784722</v>
      </c>
      <c r="B5522" s="50">
        <v>44571.2070841435</v>
      </c>
      <c r="C5522" s="51">
        <v>1.004</v>
      </c>
      <c r="D5522" s="51">
        <v>63.0</v>
      </c>
      <c r="E5522" s="52" t="s">
        <v>25</v>
      </c>
      <c r="F5522" s="52" t="s">
        <v>26</v>
      </c>
      <c r="G5522" s="53"/>
    </row>
    <row r="5523">
      <c r="A5523" s="49">
        <v>44571.092538680554</v>
      </c>
      <c r="B5523" s="50">
        <v>44571.2175044212</v>
      </c>
      <c r="C5523" s="51">
        <v>1.004</v>
      </c>
      <c r="D5523" s="51">
        <v>63.0</v>
      </c>
      <c r="E5523" s="52" t="s">
        <v>25</v>
      </c>
      <c r="F5523" s="52" t="s">
        <v>26</v>
      </c>
      <c r="G5523" s="53"/>
    </row>
    <row r="5524">
      <c r="A5524" s="49">
        <v>44571.10294012731</v>
      </c>
      <c r="B5524" s="50">
        <v>44571.2279244444</v>
      </c>
      <c r="C5524" s="51">
        <v>1.004</v>
      </c>
      <c r="D5524" s="51">
        <v>63.0</v>
      </c>
      <c r="E5524" s="52" t="s">
        <v>25</v>
      </c>
      <c r="F5524" s="52" t="s">
        <v>26</v>
      </c>
      <c r="G5524" s="53"/>
    </row>
    <row r="5525">
      <c r="A5525" s="49">
        <v>44571.113390162034</v>
      </c>
      <c r="B5525" s="50">
        <v>44571.2383694907</v>
      </c>
      <c r="C5525" s="51">
        <v>1.004</v>
      </c>
      <c r="D5525" s="51">
        <v>63.0</v>
      </c>
      <c r="E5525" s="52" t="s">
        <v>25</v>
      </c>
      <c r="F5525" s="52" t="s">
        <v>26</v>
      </c>
      <c r="G5525" s="53"/>
    </row>
    <row r="5526">
      <c r="A5526" s="49">
        <v>44571.12380783565</v>
      </c>
      <c r="B5526" s="50">
        <v>44571.2487919212</v>
      </c>
      <c r="C5526" s="51">
        <v>1.004</v>
      </c>
      <c r="D5526" s="51">
        <v>63.0</v>
      </c>
      <c r="E5526" s="52" t="s">
        <v>25</v>
      </c>
      <c r="F5526" s="52" t="s">
        <v>26</v>
      </c>
      <c r="G5526" s="53"/>
    </row>
    <row r="5527">
      <c r="A5527" s="49">
        <v>44571.13423930555</v>
      </c>
      <c r="B5527" s="50">
        <v>44571.2592145138</v>
      </c>
      <c r="C5527" s="51">
        <v>1.004</v>
      </c>
      <c r="D5527" s="51">
        <v>63.0</v>
      </c>
      <c r="E5527" s="52" t="s">
        <v>25</v>
      </c>
      <c r="F5527" s="52" t="s">
        <v>26</v>
      </c>
      <c r="G5527" s="53"/>
    </row>
    <row r="5528">
      <c r="A5528" s="49">
        <v>44571.14467770833</v>
      </c>
      <c r="B5528" s="50">
        <v>44571.269658368</v>
      </c>
      <c r="C5528" s="51">
        <v>1.004</v>
      </c>
      <c r="D5528" s="51">
        <v>63.0</v>
      </c>
      <c r="E5528" s="52" t="s">
        <v>25</v>
      </c>
      <c r="F5528" s="52" t="s">
        <v>26</v>
      </c>
      <c r="G5528" s="53"/>
    </row>
    <row r="5529">
      <c r="A5529" s="49">
        <v>44571.15510258102</v>
      </c>
      <c r="B5529" s="50">
        <v>44571.2800792361</v>
      </c>
      <c r="C5529" s="51">
        <v>1.004</v>
      </c>
      <c r="D5529" s="51">
        <v>63.0</v>
      </c>
      <c r="E5529" s="52" t="s">
        <v>25</v>
      </c>
      <c r="F5529" s="52" t="s">
        <v>26</v>
      </c>
      <c r="G5529" s="53"/>
    </row>
    <row r="5530">
      <c r="A5530" s="49">
        <v>44571.165531238425</v>
      </c>
      <c r="B5530" s="50">
        <v>44571.2905105787</v>
      </c>
      <c r="C5530" s="51">
        <v>1.004</v>
      </c>
      <c r="D5530" s="51">
        <v>63.0</v>
      </c>
      <c r="E5530" s="52" t="s">
        <v>25</v>
      </c>
      <c r="F5530" s="52" t="s">
        <v>26</v>
      </c>
      <c r="G5530" s="53"/>
    </row>
    <row r="5531">
      <c r="A5531" s="49">
        <v>44571.17596879629</v>
      </c>
      <c r="B5531" s="50">
        <v>44571.300942824</v>
      </c>
      <c r="C5531" s="51">
        <v>1.004</v>
      </c>
      <c r="D5531" s="51">
        <v>63.0</v>
      </c>
      <c r="E5531" s="52" t="s">
        <v>25</v>
      </c>
      <c r="F5531" s="52" t="s">
        <v>26</v>
      </c>
      <c r="G5531" s="53"/>
    </row>
    <row r="5532">
      <c r="A5532" s="49">
        <v>44571.186387152775</v>
      </c>
      <c r="B5532" s="50">
        <v>44571.3113640162</v>
      </c>
      <c r="C5532" s="51">
        <v>1.005</v>
      </c>
      <c r="D5532" s="51">
        <v>63.0</v>
      </c>
      <c r="E5532" s="52" t="s">
        <v>25</v>
      </c>
      <c r="F5532" s="52" t="s">
        <v>26</v>
      </c>
      <c r="G5532" s="53"/>
    </row>
    <row r="5533">
      <c r="A5533" s="49">
        <v>44571.19684092593</v>
      </c>
      <c r="B5533" s="50">
        <v>44571.3218182638</v>
      </c>
      <c r="C5533" s="51">
        <v>1.004</v>
      </c>
      <c r="D5533" s="51">
        <v>63.0</v>
      </c>
      <c r="E5533" s="52" t="s">
        <v>25</v>
      </c>
      <c r="F5533" s="52" t="s">
        <v>26</v>
      </c>
      <c r="G5533" s="53"/>
    </row>
    <row r="5534">
      <c r="A5534" s="49">
        <v>44571.20726231481</v>
      </c>
      <c r="B5534" s="50">
        <v>44571.3322411458</v>
      </c>
      <c r="C5534" s="51">
        <v>1.005</v>
      </c>
      <c r="D5534" s="51">
        <v>63.0</v>
      </c>
      <c r="E5534" s="52" t="s">
        <v>25</v>
      </c>
      <c r="F5534" s="52" t="s">
        <v>26</v>
      </c>
      <c r="G5534" s="53"/>
    </row>
    <row r="5535">
      <c r="A5535" s="49">
        <v>44571.217683333336</v>
      </c>
      <c r="B5535" s="50">
        <v>44571.3426610648</v>
      </c>
      <c r="C5535" s="51">
        <v>1.004</v>
      </c>
      <c r="D5535" s="51">
        <v>63.0</v>
      </c>
      <c r="E5535" s="52" t="s">
        <v>25</v>
      </c>
      <c r="F5535" s="52" t="s">
        <v>26</v>
      </c>
      <c r="G5535" s="53"/>
    </row>
    <row r="5536">
      <c r="A5536" s="49">
        <v>44571.22809783564</v>
      </c>
      <c r="B5536" s="50">
        <v>44571.3530809837</v>
      </c>
      <c r="C5536" s="51">
        <v>1.004</v>
      </c>
      <c r="D5536" s="51">
        <v>63.0</v>
      </c>
      <c r="E5536" s="52" t="s">
        <v>25</v>
      </c>
      <c r="F5536" s="52" t="s">
        <v>26</v>
      </c>
      <c r="G5536" s="53"/>
    </row>
    <row r="5537">
      <c r="A5537" s="49">
        <v>44571.238534027776</v>
      </c>
      <c r="B5537" s="50">
        <v>44571.3635121296</v>
      </c>
      <c r="C5537" s="51">
        <v>1.004</v>
      </c>
      <c r="D5537" s="51">
        <v>63.0</v>
      </c>
      <c r="E5537" s="52" t="s">
        <v>25</v>
      </c>
      <c r="F5537" s="52" t="s">
        <v>26</v>
      </c>
      <c r="G5537" s="53"/>
    </row>
    <row r="5538">
      <c r="A5538" s="49">
        <v>44571.24895350695</v>
      </c>
      <c r="B5538" s="50">
        <v>44571.3739337731</v>
      </c>
      <c r="C5538" s="51">
        <v>1.004</v>
      </c>
      <c r="D5538" s="51">
        <v>63.0</v>
      </c>
      <c r="E5538" s="52" t="s">
        <v>25</v>
      </c>
      <c r="F5538" s="52" t="s">
        <v>26</v>
      </c>
      <c r="G5538" s="53"/>
    </row>
    <row r="5539">
      <c r="A5539" s="49">
        <v>44571.259379849536</v>
      </c>
      <c r="B5539" s="50">
        <v>44571.3843552314</v>
      </c>
      <c r="C5539" s="51">
        <v>1.004</v>
      </c>
      <c r="D5539" s="51">
        <v>63.0</v>
      </c>
      <c r="E5539" s="52" t="s">
        <v>25</v>
      </c>
      <c r="F5539" s="52" t="s">
        <v>26</v>
      </c>
      <c r="G5539" s="53"/>
    </row>
    <row r="5540">
      <c r="A5540" s="49">
        <v>44571.26981753472</v>
      </c>
      <c r="B5540" s="50">
        <v>44571.3947775115</v>
      </c>
      <c r="C5540" s="51">
        <v>1.004</v>
      </c>
      <c r="D5540" s="51">
        <v>63.0</v>
      </c>
      <c r="E5540" s="52" t="s">
        <v>25</v>
      </c>
      <c r="F5540" s="52" t="s">
        <v>26</v>
      </c>
      <c r="G5540" s="53"/>
    </row>
    <row r="5541">
      <c r="A5541" s="49">
        <v>44571.28024057871</v>
      </c>
      <c r="B5541" s="50">
        <v>44571.4052098842</v>
      </c>
      <c r="C5541" s="51">
        <v>1.004</v>
      </c>
      <c r="D5541" s="51">
        <v>63.0</v>
      </c>
      <c r="E5541" s="52" t="s">
        <v>25</v>
      </c>
      <c r="F5541" s="52" t="s">
        <v>26</v>
      </c>
      <c r="G5541" s="53"/>
    </row>
    <row r="5542">
      <c r="A5542" s="49">
        <v>44571.29065034722</v>
      </c>
      <c r="B5542" s="50">
        <v>44571.4156295486</v>
      </c>
      <c r="C5542" s="51">
        <v>1.005</v>
      </c>
      <c r="D5542" s="51">
        <v>63.0</v>
      </c>
      <c r="E5542" s="52" t="s">
        <v>25</v>
      </c>
      <c r="F5542" s="52" t="s">
        <v>26</v>
      </c>
      <c r="G5542" s="53"/>
    </row>
    <row r="5543">
      <c r="A5543" s="49">
        <v>44571.301084085644</v>
      </c>
      <c r="B5543" s="50">
        <v>44571.4260608333</v>
      </c>
      <c r="C5543" s="51">
        <v>1.004</v>
      </c>
      <c r="D5543" s="51">
        <v>63.0</v>
      </c>
      <c r="E5543" s="52" t="s">
        <v>25</v>
      </c>
      <c r="F5543" s="52" t="s">
        <v>26</v>
      </c>
      <c r="G5543" s="53"/>
    </row>
    <row r="5544">
      <c r="A5544" s="49">
        <v>44571.311498379626</v>
      </c>
      <c r="B5544" s="50">
        <v>44571.4364808564</v>
      </c>
      <c r="C5544" s="51">
        <v>1.005</v>
      </c>
      <c r="D5544" s="51">
        <v>63.0</v>
      </c>
      <c r="E5544" s="52" t="s">
        <v>25</v>
      </c>
      <c r="F5544" s="52" t="s">
        <v>26</v>
      </c>
      <c r="G5544" s="53"/>
    </row>
    <row r="5545">
      <c r="A5545" s="49">
        <v>44571.32193928241</v>
      </c>
      <c r="B5545" s="50">
        <v>44571.4469009259</v>
      </c>
      <c r="C5545" s="51">
        <v>1.005</v>
      </c>
      <c r="D5545" s="51">
        <v>63.0</v>
      </c>
      <c r="E5545" s="52" t="s">
        <v>25</v>
      </c>
      <c r="F5545" s="52" t="s">
        <v>26</v>
      </c>
      <c r="G5545" s="53"/>
    </row>
    <row r="5546">
      <c r="A5546" s="49">
        <v>44571.33294953704</v>
      </c>
      <c r="B5546" s="50">
        <v>44571.4573232291</v>
      </c>
      <c r="C5546" s="51">
        <v>1.004</v>
      </c>
      <c r="D5546" s="51">
        <v>63.0</v>
      </c>
      <c r="E5546" s="52" t="s">
        <v>25</v>
      </c>
      <c r="F5546" s="52" t="s">
        <v>26</v>
      </c>
      <c r="G5546" s="53"/>
    </row>
    <row r="5547">
      <c r="A5547" s="49">
        <v>44571.342782499996</v>
      </c>
      <c r="B5547" s="50">
        <v>44571.4677435995</v>
      </c>
      <c r="C5547" s="51">
        <v>1.005</v>
      </c>
      <c r="D5547" s="51">
        <v>63.0</v>
      </c>
      <c r="E5547" s="52" t="s">
        <v>25</v>
      </c>
      <c r="F5547" s="52" t="s">
        <v>26</v>
      </c>
      <c r="G5547" s="53"/>
    </row>
    <row r="5548">
      <c r="A5548" s="49">
        <v>44571.35321851852</v>
      </c>
      <c r="B5548" s="50">
        <v>44571.4781665856</v>
      </c>
      <c r="C5548" s="51">
        <v>1.005</v>
      </c>
      <c r="D5548" s="51">
        <v>63.0</v>
      </c>
      <c r="E5548" s="52" t="s">
        <v>25</v>
      </c>
      <c r="F5548" s="52" t="s">
        <v>26</v>
      </c>
      <c r="G5548" s="53"/>
    </row>
    <row r="5549">
      <c r="A5549" s="49">
        <v>44571.36360116898</v>
      </c>
      <c r="B5549" s="50">
        <v>44571.4885877083</v>
      </c>
      <c r="C5549" s="51">
        <v>1.005</v>
      </c>
      <c r="D5549" s="51">
        <v>63.0</v>
      </c>
      <c r="E5549" s="52" t="s">
        <v>25</v>
      </c>
      <c r="F5549" s="52" t="s">
        <v>26</v>
      </c>
      <c r="G5549" s="53"/>
    </row>
    <row r="5550">
      <c r="A5550" s="49">
        <v>44571.374032465275</v>
      </c>
      <c r="B5550" s="50">
        <v>44571.4990096643</v>
      </c>
      <c r="C5550" s="51">
        <v>1.004</v>
      </c>
      <c r="D5550" s="51">
        <v>63.0</v>
      </c>
      <c r="E5550" s="52" t="s">
        <v>25</v>
      </c>
      <c r="F5550" s="52" t="s">
        <v>26</v>
      </c>
      <c r="G5550" s="53"/>
    </row>
    <row r="5551">
      <c r="A5551" s="49">
        <v>44571.384454363426</v>
      </c>
      <c r="B5551" s="50">
        <v>44571.5094306365</v>
      </c>
      <c r="C5551" s="51">
        <v>1.004</v>
      </c>
      <c r="D5551" s="51">
        <v>63.0</v>
      </c>
      <c r="E5551" s="52" t="s">
        <v>25</v>
      </c>
      <c r="F5551" s="52" t="s">
        <v>26</v>
      </c>
      <c r="G5551" s="53"/>
    </row>
    <row r="5552">
      <c r="A5552" s="49">
        <v>44571.39487184028</v>
      </c>
      <c r="B5552" s="50">
        <v>44571.5198523263</v>
      </c>
      <c r="C5552" s="51">
        <v>1.004</v>
      </c>
      <c r="D5552" s="51">
        <v>63.0</v>
      </c>
      <c r="E5552" s="52" t="s">
        <v>25</v>
      </c>
      <c r="F5552" s="52" t="s">
        <v>26</v>
      </c>
      <c r="G5552" s="53"/>
    </row>
    <row r="5553">
      <c r="A5553" s="49">
        <v>44571.40529392361</v>
      </c>
      <c r="B5553" s="50">
        <v>44571.5302724768</v>
      </c>
      <c r="C5553" s="51">
        <v>1.004</v>
      </c>
      <c r="D5553" s="51">
        <v>63.0</v>
      </c>
      <c r="E5553" s="52" t="s">
        <v>25</v>
      </c>
      <c r="F5553" s="52" t="s">
        <v>26</v>
      </c>
      <c r="G5553" s="53"/>
    </row>
    <row r="5554">
      <c r="A5554" s="49">
        <v>44571.41571686343</v>
      </c>
      <c r="B5554" s="50">
        <v>44571.5406933911</v>
      </c>
      <c r="C5554" s="51">
        <v>1.004</v>
      </c>
      <c r="D5554" s="51">
        <v>63.0</v>
      </c>
      <c r="E5554" s="52" t="s">
        <v>25</v>
      </c>
      <c r="F5554" s="52" t="s">
        <v>26</v>
      </c>
      <c r="G5554" s="53"/>
    </row>
    <row r="5555">
      <c r="A5555" s="49">
        <v>44571.426142048615</v>
      </c>
      <c r="B5555" s="50">
        <v>44571.5511124652</v>
      </c>
      <c r="C5555" s="51">
        <v>1.004</v>
      </c>
      <c r="D5555" s="51">
        <v>63.0</v>
      </c>
      <c r="E5555" s="52" t="s">
        <v>25</v>
      </c>
      <c r="F5555" s="52" t="s">
        <v>26</v>
      </c>
      <c r="G5555" s="53"/>
    </row>
    <row r="5556">
      <c r="A5556" s="49">
        <v>44571.43655185185</v>
      </c>
      <c r="B5556" s="50">
        <v>44571.5615325115</v>
      </c>
      <c r="C5556" s="51">
        <v>1.004</v>
      </c>
      <c r="D5556" s="51">
        <v>63.0</v>
      </c>
      <c r="E5556" s="52" t="s">
        <v>25</v>
      </c>
      <c r="F5556" s="52" t="s">
        <v>26</v>
      </c>
      <c r="G5556" s="53"/>
    </row>
    <row r="5557">
      <c r="A5557" s="49">
        <v>44571.44697966435</v>
      </c>
      <c r="B5557" s="50">
        <v>44571.5719552662</v>
      </c>
      <c r="C5557" s="51">
        <v>1.004</v>
      </c>
      <c r="D5557" s="51">
        <v>63.0</v>
      </c>
      <c r="E5557" s="52" t="s">
        <v>25</v>
      </c>
      <c r="F5557" s="52" t="s">
        <v>26</v>
      </c>
      <c r="G5557" s="53"/>
    </row>
    <row r="5558">
      <c r="A5558" s="49">
        <v>44571.45739293982</v>
      </c>
      <c r="B5558" s="50">
        <v>44571.5823775694</v>
      </c>
      <c r="C5558" s="51">
        <v>1.004</v>
      </c>
      <c r="D5558" s="51">
        <v>63.0</v>
      </c>
      <c r="E5558" s="52" t="s">
        <v>25</v>
      </c>
      <c r="F5558" s="52" t="s">
        <v>26</v>
      </c>
      <c r="G5558" s="53"/>
    </row>
    <row r="5559">
      <c r="A5559" s="49">
        <v>44571.46782184028</v>
      </c>
      <c r="B5559" s="50">
        <v>44571.5927982175</v>
      </c>
      <c r="C5559" s="51">
        <v>1.005</v>
      </c>
      <c r="D5559" s="51">
        <v>63.0</v>
      </c>
      <c r="E5559" s="52" t="s">
        <v>25</v>
      </c>
      <c r="F5559" s="52" t="s">
        <v>26</v>
      </c>
      <c r="G5559" s="53"/>
    </row>
    <row r="5560">
      <c r="A5560" s="49">
        <v>44571.47823503472</v>
      </c>
      <c r="B5560" s="50">
        <v>44571.6032188541</v>
      </c>
      <c r="C5560" s="51">
        <v>1.004</v>
      </c>
      <c r="D5560" s="51">
        <v>63.0</v>
      </c>
      <c r="E5560" s="52" t="s">
        <v>25</v>
      </c>
      <c r="F5560" s="52" t="s">
        <v>26</v>
      </c>
      <c r="G5560" s="53"/>
    </row>
    <row r="5561">
      <c r="A5561" s="49">
        <v>44571.488672858795</v>
      </c>
      <c r="B5561" s="50">
        <v>44571.6136410995</v>
      </c>
      <c r="C5561" s="51">
        <v>1.004</v>
      </c>
      <c r="D5561" s="51">
        <v>63.0</v>
      </c>
      <c r="E5561" s="52" t="s">
        <v>25</v>
      </c>
      <c r="F5561" s="52" t="s">
        <v>26</v>
      </c>
      <c r="G5561" s="53"/>
    </row>
    <row r="5562">
      <c r="A5562" s="49">
        <v>44571.49908572917</v>
      </c>
      <c r="B5562" s="50">
        <v>44571.6240597222</v>
      </c>
      <c r="C5562" s="51">
        <v>1.004</v>
      </c>
      <c r="D5562" s="51">
        <v>63.0</v>
      </c>
      <c r="E5562" s="52" t="s">
        <v>25</v>
      </c>
      <c r="F5562" s="52" t="s">
        <v>26</v>
      </c>
      <c r="G5562" s="53"/>
    </row>
    <row r="5563">
      <c r="A5563" s="49">
        <v>44571.509504375004</v>
      </c>
      <c r="B5563" s="50">
        <v>44571.6344794444</v>
      </c>
      <c r="C5563" s="51">
        <v>1.004</v>
      </c>
      <c r="D5563" s="51">
        <v>62.0</v>
      </c>
      <c r="E5563" s="52" t="s">
        <v>25</v>
      </c>
      <c r="F5563" s="52" t="s">
        <v>26</v>
      </c>
      <c r="G5563" s="53"/>
    </row>
    <row r="5564">
      <c r="A5564" s="49">
        <v>44571.519939618054</v>
      </c>
      <c r="B5564" s="50">
        <v>44571.644913287</v>
      </c>
      <c r="C5564" s="51">
        <v>1.004</v>
      </c>
      <c r="D5564" s="51">
        <v>62.0</v>
      </c>
      <c r="E5564" s="52" t="s">
        <v>25</v>
      </c>
      <c r="F5564" s="52" t="s">
        <v>26</v>
      </c>
      <c r="G5564" s="53"/>
    </row>
    <row r="5565">
      <c r="A5565" s="49">
        <v>44571.5303634375</v>
      </c>
      <c r="B5565" s="50">
        <v>44571.6553340856</v>
      </c>
      <c r="C5565" s="51">
        <v>1.004</v>
      </c>
      <c r="D5565" s="51">
        <v>62.0</v>
      </c>
      <c r="E5565" s="52" t="s">
        <v>25</v>
      </c>
      <c r="F5565" s="52" t="s">
        <v>26</v>
      </c>
      <c r="G5565" s="53"/>
    </row>
    <row r="5566">
      <c r="A5566" s="49">
        <v>44571.54078585649</v>
      </c>
      <c r="B5566" s="50">
        <v>44571.6657558796</v>
      </c>
      <c r="C5566" s="51">
        <v>1.004</v>
      </c>
      <c r="D5566" s="51">
        <v>62.0</v>
      </c>
      <c r="E5566" s="52" t="s">
        <v>25</v>
      </c>
      <c r="F5566" s="52" t="s">
        <v>26</v>
      </c>
      <c r="G5566" s="53"/>
    </row>
    <row r="5567">
      <c r="A5567" s="49">
        <v>44571.55120631945</v>
      </c>
      <c r="B5567" s="50">
        <v>44571.6761777199</v>
      </c>
      <c r="C5567" s="51">
        <v>1.004</v>
      </c>
      <c r="D5567" s="51">
        <v>62.0</v>
      </c>
      <c r="E5567" s="52" t="s">
        <v>25</v>
      </c>
      <c r="F5567" s="52" t="s">
        <v>26</v>
      </c>
      <c r="G5567" s="53"/>
    </row>
    <row r="5568">
      <c r="A5568" s="49">
        <v>44571.56162340278</v>
      </c>
      <c r="B5568" s="50">
        <v>44571.686598993</v>
      </c>
      <c r="C5568" s="51">
        <v>1.004</v>
      </c>
      <c r="D5568" s="51">
        <v>62.0</v>
      </c>
      <c r="E5568" s="52" t="s">
        <v>25</v>
      </c>
      <c r="F5568" s="52" t="s">
        <v>26</v>
      </c>
      <c r="G5568" s="53"/>
    </row>
    <row r="5569">
      <c r="A5569" s="49">
        <v>44571.57205984954</v>
      </c>
      <c r="B5569" s="50">
        <v>44571.6970321296</v>
      </c>
      <c r="C5569" s="51">
        <v>1.004</v>
      </c>
      <c r="D5569" s="51">
        <v>62.0</v>
      </c>
      <c r="E5569" s="52" t="s">
        <v>25</v>
      </c>
      <c r="F5569" s="52" t="s">
        <v>26</v>
      </c>
      <c r="G5569" s="53"/>
    </row>
    <row r="5570">
      <c r="A5570" s="49">
        <v>44571.58249564815</v>
      </c>
      <c r="B5570" s="50">
        <v>44571.7074644328</v>
      </c>
      <c r="C5570" s="51">
        <v>1.004</v>
      </c>
      <c r="D5570" s="51">
        <v>62.0</v>
      </c>
      <c r="E5570" s="52" t="s">
        <v>25</v>
      </c>
      <c r="F5570" s="52" t="s">
        <v>26</v>
      </c>
      <c r="G5570" s="53"/>
    </row>
    <row r="5571">
      <c r="A5571" s="49">
        <v>44571.59291357639</v>
      </c>
      <c r="B5571" s="50">
        <v>44571.7178858449</v>
      </c>
      <c r="C5571" s="51">
        <v>1.004</v>
      </c>
      <c r="D5571" s="51">
        <v>62.0</v>
      </c>
      <c r="E5571" s="52" t="s">
        <v>25</v>
      </c>
      <c r="F5571" s="52" t="s">
        <v>26</v>
      </c>
      <c r="G5571" s="53"/>
    </row>
    <row r="5572">
      <c r="A5572" s="49">
        <v>44571.60333385417</v>
      </c>
      <c r="B5572" s="50">
        <v>44571.7283095833</v>
      </c>
      <c r="C5572" s="51">
        <v>1.005</v>
      </c>
      <c r="D5572" s="51">
        <v>62.0</v>
      </c>
      <c r="E5572" s="52" t="s">
        <v>25</v>
      </c>
      <c r="F5572" s="52" t="s">
        <v>26</v>
      </c>
      <c r="G5572" s="53"/>
    </row>
    <row r="5573">
      <c r="A5573" s="49">
        <v>44571.61375924769</v>
      </c>
      <c r="B5573" s="50">
        <v>44571.7387321296</v>
      </c>
      <c r="C5573" s="51">
        <v>1.004</v>
      </c>
      <c r="D5573" s="51">
        <v>62.0</v>
      </c>
      <c r="E5573" s="52" t="s">
        <v>25</v>
      </c>
      <c r="F5573" s="52" t="s">
        <v>26</v>
      </c>
      <c r="G5573" s="53"/>
    </row>
    <row r="5574">
      <c r="A5574" s="49">
        <v>44571.62417377315</v>
      </c>
      <c r="B5574" s="50">
        <v>44571.7491531481</v>
      </c>
      <c r="C5574" s="51">
        <v>1.004</v>
      </c>
      <c r="D5574" s="51">
        <v>62.0</v>
      </c>
      <c r="E5574" s="52" t="s">
        <v>25</v>
      </c>
      <c r="F5574" s="52" t="s">
        <v>26</v>
      </c>
      <c r="G5574" s="53"/>
    </row>
    <row r="5575">
      <c r="A5575" s="49">
        <v>44571.634597048615</v>
      </c>
      <c r="B5575" s="50">
        <v>44571.7595750694</v>
      </c>
      <c r="C5575" s="51">
        <v>1.005</v>
      </c>
      <c r="D5575" s="51">
        <v>62.0</v>
      </c>
      <c r="E5575" s="52" t="s">
        <v>25</v>
      </c>
      <c r="F5575" s="52" t="s">
        <v>26</v>
      </c>
      <c r="G5575" s="53"/>
    </row>
    <row r="5576">
      <c r="A5576" s="49">
        <v>44571.645039166666</v>
      </c>
      <c r="B5576" s="50">
        <v>44571.7700067476</v>
      </c>
      <c r="C5576" s="51">
        <v>1.004</v>
      </c>
      <c r="D5576" s="51">
        <v>62.0</v>
      </c>
      <c r="E5576" s="52" t="s">
        <v>25</v>
      </c>
      <c r="F5576" s="52" t="s">
        <v>26</v>
      </c>
      <c r="G5576" s="53"/>
    </row>
    <row r="5577">
      <c r="A5577" s="49">
        <v>44571.65547222222</v>
      </c>
      <c r="B5577" s="50">
        <v>44571.7804383449</v>
      </c>
      <c r="C5577" s="51">
        <v>1.005</v>
      </c>
      <c r="D5577" s="51">
        <v>62.0</v>
      </c>
      <c r="E5577" s="52" t="s">
        <v>25</v>
      </c>
      <c r="F5577" s="52" t="s">
        <v>26</v>
      </c>
      <c r="G5577" s="53"/>
    </row>
    <row r="5578">
      <c r="A5578" s="49">
        <v>44571.66591149305</v>
      </c>
      <c r="B5578" s="50">
        <v>44571.7908834722</v>
      </c>
      <c r="C5578" s="51">
        <v>1.004</v>
      </c>
      <c r="D5578" s="51">
        <v>62.0</v>
      </c>
      <c r="E5578" s="52" t="s">
        <v>25</v>
      </c>
      <c r="F5578" s="52" t="s">
        <v>26</v>
      </c>
      <c r="G5578" s="53"/>
    </row>
    <row r="5579">
      <c r="A5579" s="49">
        <v>44571.67633690972</v>
      </c>
      <c r="B5579" s="50">
        <v>44571.8013160879</v>
      </c>
      <c r="C5579" s="51">
        <v>1.005</v>
      </c>
      <c r="D5579" s="51">
        <v>62.0</v>
      </c>
      <c r="E5579" s="52" t="s">
        <v>25</v>
      </c>
      <c r="F5579" s="52" t="s">
        <v>26</v>
      </c>
      <c r="G5579" s="53"/>
    </row>
    <row r="5580">
      <c r="A5580" s="49">
        <v>44571.68676165509</v>
      </c>
      <c r="B5580" s="50">
        <v>44571.8117385763</v>
      </c>
      <c r="C5580" s="51">
        <v>1.005</v>
      </c>
      <c r="D5580" s="51">
        <v>62.0</v>
      </c>
      <c r="E5580" s="52" t="s">
        <v>25</v>
      </c>
      <c r="F5580" s="52" t="s">
        <v>26</v>
      </c>
      <c r="G5580" s="53"/>
    </row>
    <row r="5581">
      <c r="A5581" s="49">
        <v>44571.69719219908</v>
      </c>
      <c r="B5581" s="50">
        <v>44571.8221727083</v>
      </c>
      <c r="C5581" s="51">
        <v>1.004</v>
      </c>
      <c r="D5581" s="51">
        <v>62.0</v>
      </c>
      <c r="E5581" s="52" t="s">
        <v>25</v>
      </c>
      <c r="F5581" s="52" t="s">
        <v>26</v>
      </c>
      <c r="G5581" s="53"/>
    </row>
    <row r="5582">
      <c r="A5582" s="49">
        <v>44571.70763052083</v>
      </c>
      <c r="B5582" s="50">
        <v>44571.8326056944</v>
      </c>
      <c r="C5582" s="51">
        <v>1.005</v>
      </c>
      <c r="D5582" s="51">
        <v>62.0</v>
      </c>
      <c r="E5582" s="52" t="s">
        <v>25</v>
      </c>
      <c r="F5582" s="52" t="s">
        <v>26</v>
      </c>
      <c r="G5582" s="53"/>
    </row>
    <row r="5583">
      <c r="A5583" s="49">
        <v>44571.7180474537</v>
      </c>
      <c r="B5583" s="50">
        <v>44571.8430272685</v>
      </c>
      <c r="C5583" s="51">
        <v>1.004</v>
      </c>
      <c r="D5583" s="51">
        <v>62.0</v>
      </c>
      <c r="E5583" s="52" t="s">
        <v>25</v>
      </c>
      <c r="F5583" s="52" t="s">
        <v>26</v>
      </c>
      <c r="G5583" s="53"/>
    </row>
    <row r="5584">
      <c r="A5584" s="49">
        <v>44571.72847770833</v>
      </c>
      <c r="B5584" s="50">
        <v>44571.8534603703</v>
      </c>
      <c r="C5584" s="51">
        <v>1.004</v>
      </c>
      <c r="D5584" s="51">
        <v>62.0</v>
      </c>
      <c r="E5584" s="52" t="s">
        <v>25</v>
      </c>
      <c r="F5584" s="52" t="s">
        <v>26</v>
      </c>
      <c r="G5584" s="53"/>
    </row>
    <row r="5585">
      <c r="A5585" s="49">
        <v>44571.73890415509</v>
      </c>
      <c r="B5585" s="50">
        <v>44571.8638817013</v>
      </c>
      <c r="C5585" s="51">
        <v>1.005</v>
      </c>
      <c r="D5585" s="51">
        <v>62.0</v>
      </c>
      <c r="E5585" s="52" t="s">
        <v>25</v>
      </c>
      <c r="F5585" s="52" t="s">
        <v>26</v>
      </c>
      <c r="G5585" s="53"/>
    </row>
    <row r="5586">
      <c r="A5586" s="49">
        <v>44571.74933788195</v>
      </c>
      <c r="B5586" s="50">
        <v>44571.8743133217</v>
      </c>
      <c r="C5586" s="51">
        <v>1.004</v>
      </c>
      <c r="D5586" s="51">
        <v>62.0</v>
      </c>
      <c r="E5586" s="52" t="s">
        <v>25</v>
      </c>
      <c r="F5586" s="52" t="s">
        <v>26</v>
      </c>
      <c r="G5586" s="53"/>
    </row>
    <row r="5587">
      <c r="A5587" s="49">
        <v>44571.759764386574</v>
      </c>
      <c r="B5587" s="50">
        <v>44571.8847347106</v>
      </c>
      <c r="C5587" s="51">
        <v>1.005</v>
      </c>
      <c r="D5587" s="51">
        <v>62.0</v>
      </c>
      <c r="E5587" s="52" t="s">
        <v>25</v>
      </c>
      <c r="F5587" s="52" t="s">
        <v>26</v>
      </c>
      <c r="G5587" s="53"/>
    </row>
    <row r="5588">
      <c r="A5588" s="49">
        <v>44571.770178252315</v>
      </c>
      <c r="B5588" s="50">
        <v>44571.8951543634</v>
      </c>
      <c r="C5588" s="51">
        <v>1.005</v>
      </c>
      <c r="D5588" s="51">
        <v>62.0</v>
      </c>
      <c r="E5588" s="52" t="s">
        <v>25</v>
      </c>
      <c r="F5588" s="52" t="s">
        <v>26</v>
      </c>
      <c r="G5588" s="53"/>
    </row>
    <row r="5589">
      <c r="A5589" s="49">
        <v>44571.78060539352</v>
      </c>
      <c r="B5589" s="50">
        <v>44571.9055878009</v>
      </c>
      <c r="C5589" s="51">
        <v>1.004</v>
      </c>
      <c r="D5589" s="51">
        <v>62.0</v>
      </c>
      <c r="E5589" s="52" t="s">
        <v>25</v>
      </c>
      <c r="F5589" s="52" t="s">
        <v>26</v>
      </c>
      <c r="G5589" s="53"/>
    </row>
    <row r="5590">
      <c r="A5590" s="49">
        <v>44571.79105702546</v>
      </c>
      <c r="B5590" s="50">
        <v>44571.9160321759</v>
      </c>
      <c r="C5590" s="51">
        <v>1.004</v>
      </c>
      <c r="D5590" s="51">
        <v>62.0</v>
      </c>
      <c r="E5590" s="52" t="s">
        <v>25</v>
      </c>
      <c r="F5590" s="52" t="s">
        <v>26</v>
      </c>
      <c r="G5590" s="53"/>
    </row>
    <row r="5591">
      <c r="A5591" s="49">
        <v>44571.801474583335</v>
      </c>
      <c r="B5591" s="50">
        <v>44571.9264543981</v>
      </c>
      <c r="C5591" s="51">
        <v>1.004</v>
      </c>
      <c r="D5591" s="51">
        <v>62.0</v>
      </c>
      <c r="E5591" s="52" t="s">
        <v>25</v>
      </c>
      <c r="F5591" s="52" t="s">
        <v>26</v>
      </c>
      <c r="G5591" s="53"/>
    </row>
    <row r="5592">
      <c r="A5592" s="49">
        <v>44571.81190238426</v>
      </c>
      <c r="B5592" s="50">
        <v>44571.9368749884</v>
      </c>
      <c r="C5592" s="51">
        <v>1.005</v>
      </c>
      <c r="D5592" s="51">
        <v>62.0</v>
      </c>
      <c r="E5592" s="52" t="s">
        <v>25</v>
      </c>
      <c r="F5592" s="52" t="s">
        <v>26</v>
      </c>
      <c r="G5592" s="53"/>
    </row>
    <row r="5593">
      <c r="A5593" s="49">
        <v>44571.82233369213</v>
      </c>
      <c r="B5593" s="50">
        <v>44571.9473065509</v>
      </c>
      <c r="C5593" s="51">
        <v>1.005</v>
      </c>
      <c r="D5593" s="51">
        <v>62.0</v>
      </c>
      <c r="E5593" s="52" t="s">
        <v>25</v>
      </c>
      <c r="F5593" s="52" t="s">
        <v>26</v>
      </c>
      <c r="G5593" s="53"/>
    </row>
    <row r="5594">
      <c r="A5594" s="49">
        <v>44571.83274828704</v>
      </c>
      <c r="B5594" s="50">
        <v>44571.9577262384</v>
      </c>
      <c r="C5594" s="51">
        <v>1.004</v>
      </c>
      <c r="D5594" s="51">
        <v>62.0</v>
      </c>
      <c r="E5594" s="52" t="s">
        <v>25</v>
      </c>
      <c r="F5594" s="52" t="s">
        <v>26</v>
      </c>
      <c r="G5594" s="53"/>
    </row>
    <row r="5595">
      <c r="A5595" s="49">
        <v>44571.84316376157</v>
      </c>
      <c r="B5595" s="50">
        <v>44571.9681476273</v>
      </c>
      <c r="C5595" s="51">
        <v>1.004</v>
      </c>
      <c r="D5595" s="51">
        <v>62.0</v>
      </c>
      <c r="E5595" s="52" t="s">
        <v>25</v>
      </c>
      <c r="F5595" s="52" t="s">
        <v>26</v>
      </c>
      <c r="G5595" s="53"/>
    </row>
    <row r="5596">
      <c r="A5596" s="49">
        <v>44571.853603587966</v>
      </c>
      <c r="B5596" s="50">
        <v>44571.9785804166</v>
      </c>
      <c r="C5596" s="51">
        <v>1.004</v>
      </c>
      <c r="D5596" s="51">
        <v>62.0</v>
      </c>
      <c r="E5596" s="52" t="s">
        <v>25</v>
      </c>
      <c r="F5596" s="52" t="s">
        <v>26</v>
      </c>
      <c r="G5596" s="53"/>
    </row>
    <row r="5597">
      <c r="A5597" s="49">
        <v>44571.86402512732</v>
      </c>
      <c r="B5597" s="50">
        <v>44571.9890024074</v>
      </c>
      <c r="C5597" s="51">
        <v>1.004</v>
      </c>
      <c r="D5597" s="51">
        <v>62.0</v>
      </c>
      <c r="E5597" s="52" t="s">
        <v>25</v>
      </c>
      <c r="F5597" s="52" t="s">
        <v>26</v>
      </c>
      <c r="G5597" s="53"/>
    </row>
    <row r="5598">
      <c r="A5598" s="49">
        <v>44571.874449675925</v>
      </c>
      <c r="B5598" s="50">
        <v>44571.9994229745</v>
      </c>
      <c r="C5598" s="51">
        <v>1.004</v>
      </c>
      <c r="D5598" s="51">
        <v>62.0</v>
      </c>
      <c r="E5598" s="52" t="s">
        <v>25</v>
      </c>
      <c r="F5598" s="52" t="s">
        <v>26</v>
      </c>
      <c r="G5598" s="53"/>
    </row>
    <row r="5599">
      <c r="A5599" s="49">
        <v>44571.88487928241</v>
      </c>
      <c r="B5599" s="50">
        <v>44572.0098556828</v>
      </c>
      <c r="C5599" s="51">
        <v>1.004</v>
      </c>
      <c r="D5599" s="51">
        <v>62.0</v>
      </c>
      <c r="E5599" s="52" t="s">
        <v>25</v>
      </c>
      <c r="F5599" s="52" t="s">
        <v>26</v>
      </c>
      <c r="G5599" s="53"/>
    </row>
    <row r="5600">
      <c r="A5600" s="49">
        <v>44571.895313692134</v>
      </c>
      <c r="B5600" s="50">
        <v>44572.0202895254</v>
      </c>
      <c r="C5600" s="51">
        <v>1.004</v>
      </c>
      <c r="D5600" s="51">
        <v>62.0</v>
      </c>
      <c r="E5600" s="52" t="s">
        <v>25</v>
      </c>
      <c r="F5600" s="52" t="s">
        <v>26</v>
      </c>
      <c r="G5600" s="53"/>
    </row>
    <row r="5601">
      <c r="A5601" s="49">
        <v>44571.90573482639</v>
      </c>
      <c r="B5601" s="50">
        <v>44572.030710162</v>
      </c>
      <c r="C5601" s="51">
        <v>1.004</v>
      </c>
      <c r="D5601" s="51">
        <v>62.0</v>
      </c>
      <c r="E5601" s="52" t="s">
        <v>25</v>
      </c>
      <c r="F5601" s="52" t="s">
        <v>26</v>
      </c>
      <c r="G5601" s="53"/>
    </row>
    <row r="5602">
      <c r="A5602" s="49">
        <v>44571.9161652662</v>
      </c>
      <c r="B5602" s="50">
        <v>44572.0411316782</v>
      </c>
      <c r="C5602" s="51">
        <v>1.005</v>
      </c>
      <c r="D5602" s="51">
        <v>62.0</v>
      </c>
      <c r="E5602" s="52" t="s">
        <v>25</v>
      </c>
      <c r="F5602" s="52" t="s">
        <v>26</v>
      </c>
      <c r="G5602" s="53"/>
    </row>
    <row r="5603">
      <c r="A5603" s="49">
        <v>44571.92657872685</v>
      </c>
      <c r="B5603" s="50">
        <v>44572.0515529398</v>
      </c>
      <c r="C5603" s="51">
        <v>1.004</v>
      </c>
      <c r="D5603" s="51">
        <v>62.0</v>
      </c>
      <c r="E5603" s="52" t="s">
        <v>25</v>
      </c>
      <c r="F5603" s="52" t="s">
        <v>26</v>
      </c>
      <c r="G5603" s="53"/>
    </row>
    <row r="5604">
      <c r="A5604" s="49">
        <v>44571.93699969907</v>
      </c>
      <c r="B5604" s="50">
        <v>44572.0619747338</v>
      </c>
      <c r="C5604" s="51">
        <v>1.004</v>
      </c>
      <c r="D5604" s="51">
        <v>62.0</v>
      </c>
      <c r="E5604" s="52" t="s">
        <v>25</v>
      </c>
      <c r="F5604" s="52" t="s">
        <v>26</v>
      </c>
      <c r="G5604" s="53"/>
    </row>
    <row r="5605">
      <c r="A5605" s="49">
        <v>44571.94741015046</v>
      </c>
      <c r="B5605" s="50">
        <v>44572.0723954629</v>
      </c>
      <c r="C5605" s="51">
        <v>1.004</v>
      </c>
      <c r="D5605" s="51">
        <v>62.0</v>
      </c>
      <c r="E5605" s="52" t="s">
        <v>25</v>
      </c>
      <c r="F5605" s="52" t="s">
        <v>26</v>
      </c>
      <c r="G5605" s="53"/>
    </row>
    <row r="5606">
      <c r="A5606" s="49">
        <v>44571.95784084491</v>
      </c>
      <c r="B5606" s="50">
        <v>44572.0828167939</v>
      </c>
      <c r="C5606" s="51">
        <v>1.004</v>
      </c>
      <c r="D5606" s="51">
        <v>62.0</v>
      </c>
      <c r="E5606" s="52" t="s">
        <v>25</v>
      </c>
      <c r="F5606" s="52" t="s">
        <v>26</v>
      </c>
      <c r="G5606" s="53"/>
    </row>
    <row r="5607">
      <c r="A5607" s="49">
        <v>44571.968281724534</v>
      </c>
      <c r="B5607" s="50">
        <v>44572.093261412</v>
      </c>
      <c r="C5607" s="51">
        <v>1.004</v>
      </c>
      <c r="D5607" s="51">
        <v>62.0</v>
      </c>
      <c r="E5607" s="52" t="s">
        <v>25</v>
      </c>
      <c r="F5607" s="52" t="s">
        <v>26</v>
      </c>
      <c r="G5607" s="53"/>
    </row>
    <row r="5608">
      <c r="A5608" s="49">
        <v>44571.978698506944</v>
      </c>
      <c r="B5608" s="50">
        <v>44572.1036824305</v>
      </c>
      <c r="C5608" s="51">
        <v>1.004</v>
      </c>
      <c r="D5608" s="51">
        <v>62.0</v>
      </c>
      <c r="E5608" s="52" t="s">
        <v>25</v>
      </c>
      <c r="F5608" s="52" t="s">
        <v>26</v>
      </c>
      <c r="G5608" s="53"/>
    </row>
    <row r="5609">
      <c r="A5609" s="49">
        <v>44571.98912809028</v>
      </c>
      <c r="B5609" s="50">
        <v>44572.1141042939</v>
      </c>
      <c r="C5609" s="51">
        <v>1.004</v>
      </c>
      <c r="D5609" s="51">
        <v>62.0</v>
      </c>
      <c r="E5609" s="52" t="s">
        <v>25</v>
      </c>
      <c r="F5609" s="52" t="s">
        <v>26</v>
      </c>
      <c r="G5609" s="53"/>
    </row>
    <row r="5610">
      <c r="A5610" s="49">
        <v>44571.99954793981</v>
      </c>
      <c r="B5610" s="50">
        <v>44572.1245259374</v>
      </c>
      <c r="C5610" s="51">
        <v>1.005</v>
      </c>
      <c r="D5610" s="51">
        <v>62.0</v>
      </c>
      <c r="E5610" s="52" t="s">
        <v>25</v>
      </c>
      <c r="F5610" s="52" t="s">
        <v>26</v>
      </c>
      <c r="G5610" s="53"/>
    </row>
    <row r="5611">
      <c r="A5611" s="49">
        <v>44572.00998405092</v>
      </c>
      <c r="B5611" s="50">
        <v>44572.1349604513</v>
      </c>
      <c r="C5611" s="51">
        <v>1.004</v>
      </c>
      <c r="D5611" s="51">
        <v>62.0</v>
      </c>
      <c r="E5611" s="52" t="s">
        <v>25</v>
      </c>
      <c r="F5611" s="52" t="s">
        <v>26</v>
      </c>
      <c r="G5611" s="53"/>
    </row>
    <row r="5612">
      <c r="A5612" s="49">
        <v>44572.02041077546</v>
      </c>
      <c r="B5612" s="50">
        <v>44572.1453839236</v>
      </c>
      <c r="C5612" s="51">
        <v>1.004</v>
      </c>
      <c r="D5612" s="51">
        <v>62.0</v>
      </c>
      <c r="E5612" s="52" t="s">
        <v>25</v>
      </c>
      <c r="F5612" s="52" t="s">
        <v>26</v>
      </c>
      <c r="G5612" s="53"/>
    </row>
    <row r="5613">
      <c r="A5613" s="49">
        <v>44572.0308409375</v>
      </c>
      <c r="B5613" s="50">
        <v>44572.1558172106</v>
      </c>
      <c r="C5613" s="51">
        <v>1.004</v>
      </c>
      <c r="D5613" s="51">
        <v>62.0</v>
      </c>
      <c r="E5613" s="52" t="s">
        <v>25</v>
      </c>
      <c r="F5613" s="52" t="s">
        <v>26</v>
      </c>
      <c r="G5613" s="53"/>
    </row>
    <row r="5614">
      <c r="A5614" s="49">
        <v>44572.041256550925</v>
      </c>
      <c r="B5614" s="50">
        <v>44572.1662376736</v>
      </c>
      <c r="C5614" s="51">
        <v>1.004</v>
      </c>
      <c r="D5614" s="51">
        <v>62.0</v>
      </c>
      <c r="E5614" s="52" t="s">
        <v>25</v>
      </c>
      <c r="F5614" s="52" t="s">
        <v>26</v>
      </c>
      <c r="G5614" s="53"/>
    </row>
    <row r="5615">
      <c r="A5615" s="49">
        <v>44572.05168261574</v>
      </c>
      <c r="B5615" s="50">
        <v>44572.1766585648</v>
      </c>
      <c r="C5615" s="51">
        <v>1.004</v>
      </c>
      <c r="D5615" s="51">
        <v>62.0</v>
      </c>
      <c r="E5615" s="52" t="s">
        <v>25</v>
      </c>
      <c r="F5615" s="52" t="s">
        <v>26</v>
      </c>
      <c r="G5615" s="53"/>
    </row>
    <row r="5616">
      <c r="A5616" s="49">
        <v>44572.0621049537</v>
      </c>
      <c r="B5616" s="50">
        <v>44572.1870778009</v>
      </c>
      <c r="C5616" s="51">
        <v>1.004</v>
      </c>
      <c r="D5616" s="51">
        <v>62.0</v>
      </c>
      <c r="E5616" s="52" t="s">
        <v>25</v>
      </c>
      <c r="F5616" s="52" t="s">
        <v>26</v>
      </c>
      <c r="G5616" s="53"/>
    </row>
    <row r="5617">
      <c r="A5617" s="49">
        <v>44572.07252640046</v>
      </c>
      <c r="B5617" s="50">
        <v>44572.1975</v>
      </c>
      <c r="C5617" s="51">
        <v>1.004</v>
      </c>
      <c r="D5617" s="51">
        <v>62.0</v>
      </c>
      <c r="E5617" s="52" t="s">
        <v>25</v>
      </c>
      <c r="F5617" s="52" t="s">
        <v>26</v>
      </c>
      <c r="G5617" s="53"/>
    </row>
    <row r="5618">
      <c r="A5618" s="49">
        <v>44572.08293996528</v>
      </c>
      <c r="B5618" s="50">
        <v>44572.2079202083</v>
      </c>
      <c r="C5618" s="51">
        <v>1.004</v>
      </c>
      <c r="D5618" s="51">
        <v>62.0</v>
      </c>
      <c r="E5618" s="52" t="s">
        <v>25</v>
      </c>
      <c r="F5618" s="52" t="s">
        <v>26</v>
      </c>
      <c r="G5618" s="53"/>
    </row>
    <row r="5619">
      <c r="A5619" s="49">
        <v>44572.09336722222</v>
      </c>
      <c r="B5619" s="50">
        <v>44572.2183409606</v>
      </c>
      <c r="C5619" s="51">
        <v>1.005</v>
      </c>
      <c r="D5619" s="51">
        <v>62.0</v>
      </c>
      <c r="E5619" s="52" t="s">
        <v>25</v>
      </c>
      <c r="F5619" s="52" t="s">
        <v>26</v>
      </c>
      <c r="G5619" s="53"/>
    </row>
    <row r="5620">
      <c r="A5620" s="49">
        <v>44572.10377833333</v>
      </c>
      <c r="B5620" s="50">
        <v>44572.2287620138</v>
      </c>
      <c r="C5620" s="51">
        <v>1.004</v>
      </c>
      <c r="D5620" s="51">
        <v>62.0</v>
      </c>
      <c r="E5620" s="52" t="s">
        <v>25</v>
      </c>
      <c r="F5620" s="52" t="s">
        <v>26</v>
      </c>
      <c r="G5620" s="53"/>
    </row>
    <row r="5621">
      <c r="A5621" s="49">
        <v>44572.11421269676</v>
      </c>
      <c r="B5621" s="50">
        <v>44572.2391949189</v>
      </c>
      <c r="C5621" s="51">
        <v>1.004</v>
      </c>
      <c r="D5621" s="51">
        <v>62.0</v>
      </c>
      <c r="E5621" s="52" t="s">
        <v>25</v>
      </c>
      <c r="F5621" s="52" t="s">
        <v>26</v>
      </c>
      <c r="G5621" s="53"/>
    </row>
    <row r="5622">
      <c r="A5622" s="49">
        <v>44572.12464376158</v>
      </c>
      <c r="B5622" s="50">
        <v>44572.2496144675</v>
      </c>
      <c r="C5622" s="51">
        <v>1.004</v>
      </c>
      <c r="D5622" s="51">
        <v>62.0</v>
      </c>
      <c r="E5622" s="52" t="s">
        <v>25</v>
      </c>
      <c r="F5622" s="52" t="s">
        <v>26</v>
      </c>
      <c r="G5622" s="53"/>
    </row>
    <row r="5623">
      <c r="A5623" s="49">
        <v>44572.13507243055</v>
      </c>
      <c r="B5623" s="50">
        <v>44572.2600465393</v>
      </c>
      <c r="C5623" s="51">
        <v>1.004</v>
      </c>
      <c r="D5623" s="51">
        <v>62.0</v>
      </c>
      <c r="E5623" s="52" t="s">
        <v>25</v>
      </c>
      <c r="F5623" s="52" t="s">
        <v>26</v>
      </c>
      <c r="G5623" s="53"/>
    </row>
    <row r="5624">
      <c r="A5624" s="49">
        <v>44572.145509849535</v>
      </c>
      <c r="B5624" s="50">
        <v>44572.2704795717</v>
      </c>
      <c r="C5624" s="51">
        <v>1.004</v>
      </c>
      <c r="D5624" s="51">
        <v>62.0</v>
      </c>
      <c r="E5624" s="52" t="s">
        <v>25</v>
      </c>
      <c r="F5624" s="52" t="s">
        <v>26</v>
      </c>
      <c r="G5624" s="53"/>
    </row>
    <row r="5625">
      <c r="A5625" s="49">
        <v>44572.15592105324</v>
      </c>
      <c r="B5625" s="50">
        <v>44572.280899074</v>
      </c>
      <c r="C5625" s="51">
        <v>1.004</v>
      </c>
      <c r="D5625" s="51">
        <v>62.0</v>
      </c>
      <c r="E5625" s="52" t="s">
        <v>25</v>
      </c>
      <c r="F5625" s="52" t="s">
        <v>26</v>
      </c>
      <c r="G5625" s="53"/>
    </row>
    <row r="5626">
      <c r="A5626" s="49">
        <v>44572.166340474534</v>
      </c>
      <c r="B5626" s="50">
        <v>44572.2913181713</v>
      </c>
      <c r="C5626" s="51">
        <v>1.004</v>
      </c>
      <c r="D5626" s="51">
        <v>62.0</v>
      </c>
      <c r="E5626" s="52" t="s">
        <v>25</v>
      </c>
      <c r="F5626" s="52" t="s">
        <v>26</v>
      </c>
      <c r="G5626" s="53"/>
    </row>
    <row r="5627">
      <c r="A5627" s="49">
        <v>44572.17676138889</v>
      </c>
      <c r="B5627" s="50">
        <v>44572.3017395138</v>
      </c>
      <c r="C5627" s="51">
        <v>1.004</v>
      </c>
      <c r="D5627" s="51">
        <v>62.0</v>
      </c>
      <c r="E5627" s="52" t="s">
        <v>25</v>
      </c>
      <c r="F5627" s="52" t="s">
        <v>26</v>
      </c>
      <c r="G5627" s="53"/>
    </row>
    <row r="5628">
      <c r="A5628" s="49">
        <v>44572.187187812495</v>
      </c>
      <c r="B5628" s="50">
        <v>44572.3121601504</v>
      </c>
      <c r="C5628" s="51">
        <v>1.004</v>
      </c>
      <c r="D5628" s="51">
        <v>62.0</v>
      </c>
      <c r="E5628" s="52" t="s">
        <v>25</v>
      </c>
      <c r="F5628" s="52" t="s">
        <v>26</v>
      </c>
      <c r="G5628" s="53"/>
    </row>
    <row r="5629">
      <c r="A5629" s="49">
        <v>44572.19761041667</v>
      </c>
      <c r="B5629" s="50">
        <v>44572.322583912</v>
      </c>
      <c r="C5629" s="51">
        <v>1.004</v>
      </c>
      <c r="D5629" s="51">
        <v>62.0</v>
      </c>
      <c r="E5629" s="52" t="s">
        <v>25</v>
      </c>
      <c r="F5629" s="52" t="s">
        <v>26</v>
      </c>
      <c r="G5629" s="53"/>
    </row>
    <row r="5630">
      <c r="A5630" s="49">
        <v>44572.20802928241</v>
      </c>
      <c r="B5630" s="50">
        <v>44572.3330055208</v>
      </c>
      <c r="C5630" s="51">
        <v>1.004</v>
      </c>
      <c r="D5630" s="51">
        <v>62.0</v>
      </c>
      <c r="E5630" s="52" t="s">
        <v>25</v>
      </c>
      <c r="F5630" s="52" t="s">
        <v>26</v>
      </c>
      <c r="G5630" s="53"/>
    </row>
    <row r="5631">
      <c r="A5631" s="49">
        <v>44572.2184550463</v>
      </c>
      <c r="B5631" s="50">
        <v>44572.3434275578</v>
      </c>
      <c r="C5631" s="51">
        <v>1.004</v>
      </c>
      <c r="D5631" s="51">
        <v>62.0</v>
      </c>
      <c r="E5631" s="52" t="s">
        <v>25</v>
      </c>
      <c r="F5631" s="52" t="s">
        <v>26</v>
      </c>
      <c r="G5631" s="53"/>
    </row>
    <row r="5632">
      <c r="A5632" s="49">
        <v>44572.22887510416</v>
      </c>
      <c r="B5632" s="50">
        <v>44572.3538480902</v>
      </c>
      <c r="C5632" s="51">
        <v>1.004</v>
      </c>
      <c r="D5632" s="51">
        <v>62.0</v>
      </c>
      <c r="E5632" s="52" t="s">
        <v>25</v>
      </c>
      <c r="F5632" s="52" t="s">
        <v>26</v>
      </c>
      <c r="G5632" s="53"/>
    </row>
    <row r="5633">
      <c r="A5633" s="49">
        <v>44572.23929631944</v>
      </c>
      <c r="B5633" s="50">
        <v>44572.3642698958</v>
      </c>
      <c r="C5633" s="51">
        <v>1.004</v>
      </c>
      <c r="D5633" s="51">
        <v>62.0</v>
      </c>
      <c r="E5633" s="52" t="s">
        <v>25</v>
      </c>
      <c r="F5633" s="52" t="s">
        <v>26</v>
      </c>
      <c r="G5633" s="53"/>
    </row>
    <row r="5634">
      <c r="A5634" s="49">
        <v>44572.24971959491</v>
      </c>
      <c r="B5634" s="50">
        <v>44572.3746909606</v>
      </c>
      <c r="C5634" s="51">
        <v>1.004</v>
      </c>
      <c r="D5634" s="51">
        <v>62.0</v>
      </c>
      <c r="E5634" s="52" t="s">
        <v>25</v>
      </c>
      <c r="F5634" s="52" t="s">
        <v>26</v>
      </c>
      <c r="G5634" s="53"/>
    </row>
    <row r="5635">
      <c r="A5635" s="49">
        <v>44572.26014064815</v>
      </c>
      <c r="B5635" s="50">
        <v>44572.3851104861</v>
      </c>
      <c r="C5635" s="51">
        <v>1.004</v>
      </c>
      <c r="D5635" s="51">
        <v>61.0</v>
      </c>
      <c r="E5635" s="52" t="s">
        <v>25</v>
      </c>
      <c r="F5635" s="52" t="s">
        <v>26</v>
      </c>
      <c r="G5635" s="53"/>
    </row>
    <row r="5636">
      <c r="A5636" s="49">
        <v>44572.27055634259</v>
      </c>
      <c r="B5636" s="50">
        <v>44572.395531331</v>
      </c>
      <c r="C5636" s="51">
        <v>1.004</v>
      </c>
      <c r="D5636" s="51">
        <v>61.0</v>
      </c>
      <c r="E5636" s="52" t="s">
        <v>25</v>
      </c>
      <c r="F5636" s="52" t="s">
        <v>26</v>
      </c>
      <c r="G5636" s="53"/>
    </row>
    <row r="5637">
      <c r="A5637" s="49">
        <v>44572.281274953704</v>
      </c>
      <c r="B5637" s="50">
        <v>44572.4059533333</v>
      </c>
      <c r="C5637" s="51">
        <v>1.004</v>
      </c>
      <c r="D5637" s="51">
        <v>61.0</v>
      </c>
      <c r="E5637" s="52" t="s">
        <v>25</v>
      </c>
      <c r="F5637" s="52" t="s">
        <v>26</v>
      </c>
      <c r="G5637" s="53"/>
    </row>
    <row r="5638">
      <c r="A5638" s="49">
        <v>44572.29141121528</v>
      </c>
      <c r="B5638" s="50">
        <v>44572.4163859953</v>
      </c>
      <c r="C5638" s="51">
        <v>1.004</v>
      </c>
      <c r="D5638" s="51">
        <v>61.0</v>
      </c>
      <c r="E5638" s="52" t="s">
        <v>25</v>
      </c>
      <c r="F5638" s="52" t="s">
        <v>26</v>
      </c>
      <c r="G5638" s="53"/>
    </row>
    <row r="5639">
      <c r="A5639" s="49">
        <v>44572.30183121528</v>
      </c>
      <c r="B5639" s="50">
        <v>44572.4268073379</v>
      </c>
      <c r="C5639" s="51">
        <v>1.004</v>
      </c>
      <c r="D5639" s="51">
        <v>61.0</v>
      </c>
      <c r="E5639" s="52" t="s">
        <v>25</v>
      </c>
      <c r="F5639" s="52" t="s">
        <v>26</v>
      </c>
      <c r="G5639" s="53"/>
    </row>
    <row r="5640">
      <c r="A5640" s="49">
        <v>44572.312250358795</v>
      </c>
      <c r="B5640" s="50">
        <v>44572.4372283912</v>
      </c>
      <c r="C5640" s="51">
        <v>1.004</v>
      </c>
      <c r="D5640" s="51">
        <v>61.0</v>
      </c>
      <c r="E5640" s="52" t="s">
        <v>25</v>
      </c>
      <c r="F5640" s="52" t="s">
        <v>26</v>
      </c>
      <c r="G5640" s="53"/>
    </row>
    <row r="5641">
      <c r="A5641" s="49">
        <v>44572.32266888889</v>
      </c>
      <c r="B5641" s="50">
        <v>44572.4476504398</v>
      </c>
      <c r="C5641" s="51">
        <v>1.004</v>
      </c>
      <c r="D5641" s="51">
        <v>61.0</v>
      </c>
      <c r="E5641" s="52" t="s">
        <v>25</v>
      </c>
      <c r="F5641" s="52" t="s">
        <v>26</v>
      </c>
      <c r="G5641" s="53"/>
    </row>
    <row r="5642">
      <c r="A5642" s="49">
        <v>44572.33310732638</v>
      </c>
      <c r="B5642" s="50">
        <v>44572.4580711226</v>
      </c>
      <c r="C5642" s="51">
        <v>1.004</v>
      </c>
      <c r="D5642" s="51">
        <v>62.0</v>
      </c>
      <c r="E5642" s="52" t="s">
        <v>25</v>
      </c>
      <c r="F5642" s="52" t="s">
        <v>26</v>
      </c>
      <c r="G5642" s="53"/>
    </row>
    <row r="5643">
      <c r="A5643" s="49">
        <v>44572.34351071759</v>
      </c>
      <c r="B5643" s="50">
        <v>44572.4684920833</v>
      </c>
      <c r="C5643" s="51">
        <v>1.004</v>
      </c>
      <c r="D5643" s="51">
        <v>62.0</v>
      </c>
      <c r="E5643" s="52" t="s">
        <v>25</v>
      </c>
      <c r="F5643" s="52" t="s">
        <v>26</v>
      </c>
      <c r="G5643" s="53"/>
    </row>
    <row r="5644">
      <c r="A5644" s="49">
        <v>44572.35393423611</v>
      </c>
      <c r="B5644" s="50">
        <v>44572.4789127777</v>
      </c>
      <c r="C5644" s="51">
        <v>1.004</v>
      </c>
      <c r="D5644" s="51">
        <v>62.0</v>
      </c>
      <c r="E5644" s="52" t="s">
        <v>25</v>
      </c>
      <c r="F5644" s="52" t="s">
        <v>26</v>
      </c>
      <c r="G5644" s="53"/>
    </row>
    <row r="5645">
      <c r="A5645" s="49">
        <v>44572.364355185186</v>
      </c>
      <c r="B5645" s="50">
        <v>44572.4893335069</v>
      </c>
      <c r="C5645" s="51">
        <v>1.004</v>
      </c>
      <c r="D5645" s="51">
        <v>63.0</v>
      </c>
      <c r="E5645" s="52" t="s">
        <v>25</v>
      </c>
      <c r="F5645" s="52" t="s">
        <v>26</v>
      </c>
      <c r="G5645" s="53"/>
    </row>
    <row r="5646">
      <c r="A5646" s="49">
        <v>44572.37477947917</v>
      </c>
      <c r="B5646" s="50">
        <v>44572.4997542129</v>
      </c>
      <c r="C5646" s="51">
        <v>1.004</v>
      </c>
      <c r="D5646" s="51">
        <v>63.0</v>
      </c>
      <c r="E5646" s="52" t="s">
        <v>25</v>
      </c>
      <c r="F5646" s="52" t="s">
        <v>26</v>
      </c>
      <c r="G5646" s="53"/>
    </row>
    <row r="5647">
      <c r="A5647" s="49">
        <v>44572.38520427083</v>
      </c>
      <c r="B5647" s="50">
        <v>44572.5101760532</v>
      </c>
      <c r="C5647" s="51">
        <v>1.004</v>
      </c>
      <c r="D5647" s="51">
        <v>64.0</v>
      </c>
      <c r="E5647" s="52" t="s">
        <v>25</v>
      </c>
      <c r="F5647" s="52" t="s">
        <v>26</v>
      </c>
      <c r="G5647" s="53"/>
    </row>
    <row r="5648">
      <c r="A5648" s="49">
        <v>44572.395626157406</v>
      </c>
      <c r="B5648" s="50">
        <v>44572.5205981365</v>
      </c>
      <c r="C5648" s="51">
        <v>1.004</v>
      </c>
      <c r="D5648" s="51">
        <v>64.0</v>
      </c>
      <c r="E5648" s="52" t="s">
        <v>25</v>
      </c>
      <c r="F5648" s="52" t="s">
        <v>26</v>
      </c>
      <c r="G5648" s="53"/>
    </row>
    <row r="5649">
      <c r="A5649" s="49">
        <v>44572.40604108796</v>
      </c>
      <c r="B5649" s="50">
        <v>44572.531018912</v>
      </c>
      <c r="C5649" s="51">
        <v>1.004</v>
      </c>
      <c r="D5649" s="51">
        <v>64.0</v>
      </c>
      <c r="E5649" s="52" t="s">
        <v>25</v>
      </c>
      <c r="F5649" s="52" t="s">
        <v>26</v>
      </c>
      <c r="G5649" s="53"/>
    </row>
    <row r="5650">
      <c r="A5650" s="49">
        <v>44572.41647347222</v>
      </c>
      <c r="B5650" s="50">
        <v>44572.5414410648</v>
      </c>
      <c r="C5650" s="51">
        <v>1.004</v>
      </c>
      <c r="D5650" s="51">
        <v>65.0</v>
      </c>
      <c r="E5650" s="52" t="s">
        <v>25</v>
      </c>
      <c r="F5650" s="52" t="s">
        <v>26</v>
      </c>
      <c r="G5650" s="53"/>
    </row>
    <row r="5651">
      <c r="A5651" s="49">
        <v>44572.426887152775</v>
      </c>
      <c r="B5651" s="50">
        <v>44572.5518615625</v>
      </c>
      <c r="C5651" s="51">
        <v>1.004</v>
      </c>
      <c r="D5651" s="51">
        <v>65.0</v>
      </c>
      <c r="E5651" s="52" t="s">
        <v>25</v>
      </c>
      <c r="F5651" s="52" t="s">
        <v>26</v>
      </c>
      <c r="G5651" s="53"/>
    </row>
    <row r="5652">
      <c r="A5652" s="49">
        <v>44572.437310532405</v>
      </c>
      <c r="B5652" s="50">
        <v>44572.562283287</v>
      </c>
      <c r="C5652" s="51">
        <v>1.004</v>
      </c>
      <c r="D5652" s="51">
        <v>66.0</v>
      </c>
      <c r="E5652" s="52" t="s">
        <v>25</v>
      </c>
      <c r="F5652" s="52" t="s">
        <v>26</v>
      </c>
      <c r="G5652" s="53"/>
    </row>
    <row r="5653">
      <c r="A5653" s="49">
        <v>44572.44772818287</v>
      </c>
      <c r="B5653" s="50">
        <v>44572.5727051388</v>
      </c>
      <c r="C5653" s="51">
        <v>1.004</v>
      </c>
      <c r="D5653" s="51">
        <v>66.0</v>
      </c>
      <c r="E5653" s="52" t="s">
        <v>25</v>
      </c>
      <c r="F5653" s="52" t="s">
        <v>26</v>
      </c>
      <c r="G5653" s="53"/>
    </row>
    <row r="5654">
      <c r="A5654" s="49">
        <v>44572.45816145833</v>
      </c>
      <c r="B5654" s="50">
        <v>44572.5831386226</v>
      </c>
      <c r="C5654" s="51">
        <v>1.004</v>
      </c>
      <c r="D5654" s="51">
        <v>67.0</v>
      </c>
      <c r="E5654" s="52" t="s">
        <v>25</v>
      </c>
      <c r="F5654" s="52" t="s">
        <v>26</v>
      </c>
      <c r="G5654" s="53"/>
    </row>
    <row r="5655">
      <c r="A5655" s="49">
        <v>44572.46858799769</v>
      </c>
      <c r="B5655" s="50">
        <v>44572.5935601041</v>
      </c>
      <c r="C5655" s="51">
        <v>1.003</v>
      </c>
      <c r="D5655" s="51">
        <v>67.0</v>
      </c>
      <c r="E5655" s="52" t="s">
        <v>25</v>
      </c>
      <c r="F5655" s="52" t="s">
        <v>26</v>
      </c>
      <c r="G5655" s="53"/>
    </row>
    <row r="5656">
      <c r="A5656" s="49">
        <v>44572.47901253472</v>
      </c>
      <c r="B5656" s="50">
        <v>44572.6039921296</v>
      </c>
      <c r="C5656" s="51">
        <v>1.004</v>
      </c>
      <c r="D5656" s="51">
        <v>67.0</v>
      </c>
      <c r="E5656" s="52" t="s">
        <v>25</v>
      </c>
      <c r="F5656" s="52" t="s">
        <v>26</v>
      </c>
      <c r="G5656" s="53"/>
    </row>
    <row r="5657">
      <c r="A5657" s="49">
        <v>44572.48943641204</v>
      </c>
      <c r="B5657" s="50">
        <v>44572.6144105902</v>
      </c>
      <c r="C5657" s="51">
        <v>1.004</v>
      </c>
      <c r="D5657" s="51">
        <v>68.0</v>
      </c>
      <c r="E5657" s="52" t="s">
        <v>25</v>
      </c>
      <c r="F5657" s="52" t="s">
        <v>26</v>
      </c>
      <c r="G5657" s="53"/>
    </row>
    <row r="5658">
      <c r="A5658" s="49">
        <v>44572.49985907407</v>
      </c>
      <c r="B5658" s="50">
        <v>44572.6248334837</v>
      </c>
      <c r="C5658" s="51">
        <v>1.003</v>
      </c>
      <c r="D5658" s="51">
        <v>68.0</v>
      </c>
      <c r="E5658" s="52" t="s">
        <v>25</v>
      </c>
      <c r="F5658" s="52" t="s">
        <v>26</v>
      </c>
      <c r="G5658" s="53"/>
    </row>
    <row r="5659">
      <c r="A5659" s="49">
        <v>44572.51029319444</v>
      </c>
      <c r="B5659" s="50">
        <v>44572.635265625</v>
      </c>
      <c r="C5659" s="51">
        <v>1.004</v>
      </c>
      <c r="D5659" s="51">
        <v>68.0</v>
      </c>
      <c r="E5659" s="52" t="s">
        <v>25</v>
      </c>
      <c r="F5659" s="52" t="s">
        <v>26</v>
      </c>
      <c r="G5659" s="53"/>
    </row>
    <row r="5660">
      <c r="A5660" s="49">
        <v>44572.520722974536</v>
      </c>
      <c r="B5660" s="50">
        <v>44572.6456878588</v>
      </c>
      <c r="C5660" s="51">
        <v>1.003</v>
      </c>
      <c r="D5660" s="51">
        <v>67.0</v>
      </c>
      <c r="E5660" s="52" t="s">
        <v>25</v>
      </c>
      <c r="F5660" s="52" t="s">
        <v>26</v>
      </c>
      <c r="G5660" s="53"/>
    </row>
    <row r="5661">
      <c r="A5661" s="49">
        <v>44572.531138101855</v>
      </c>
      <c r="B5661" s="50">
        <v>44572.6561094675</v>
      </c>
      <c r="C5661" s="51">
        <v>1.004</v>
      </c>
      <c r="D5661" s="51">
        <v>67.0</v>
      </c>
      <c r="E5661" s="52" t="s">
        <v>25</v>
      </c>
      <c r="F5661" s="52" t="s">
        <v>26</v>
      </c>
      <c r="G5661" s="53"/>
    </row>
    <row r="5662">
      <c r="A5662" s="49">
        <v>44572.54155351852</v>
      </c>
      <c r="B5662" s="50">
        <v>44572.6665294328</v>
      </c>
      <c r="C5662" s="51">
        <v>1.004</v>
      </c>
      <c r="D5662" s="51">
        <v>67.0</v>
      </c>
      <c r="E5662" s="52" t="s">
        <v>25</v>
      </c>
      <c r="F5662" s="52" t="s">
        <v>26</v>
      </c>
      <c r="G5662" s="53"/>
    </row>
    <row r="5663">
      <c r="A5663" s="49">
        <v>44572.55197672454</v>
      </c>
      <c r="B5663" s="50">
        <v>44572.6769498842</v>
      </c>
      <c r="C5663" s="51">
        <v>1.003</v>
      </c>
      <c r="D5663" s="51">
        <v>67.0</v>
      </c>
      <c r="E5663" s="52" t="s">
        <v>25</v>
      </c>
      <c r="F5663" s="52" t="s">
        <v>26</v>
      </c>
      <c r="G5663" s="53"/>
    </row>
    <row r="5664">
      <c r="A5664" s="49">
        <v>44572.56242269676</v>
      </c>
      <c r="B5664" s="50">
        <v>44572.6873711111</v>
      </c>
      <c r="C5664" s="51">
        <v>1.004</v>
      </c>
      <c r="D5664" s="51">
        <v>67.0</v>
      </c>
      <c r="E5664" s="52" t="s">
        <v>25</v>
      </c>
      <c r="F5664" s="52" t="s">
        <v>26</v>
      </c>
      <c r="G5664" s="53"/>
    </row>
    <row r="5665">
      <c r="A5665" s="49">
        <v>44572.572816099535</v>
      </c>
      <c r="B5665" s="50">
        <v>44572.6977937037</v>
      </c>
      <c r="C5665" s="51">
        <v>1.003</v>
      </c>
      <c r="D5665" s="51">
        <v>67.0</v>
      </c>
      <c r="E5665" s="52" t="s">
        <v>25</v>
      </c>
      <c r="F5665" s="52" t="s">
        <v>26</v>
      </c>
      <c r="G5665" s="53"/>
    </row>
    <row r="5666">
      <c r="A5666" s="49">
        <v>44572.583239178246</v>
      </c>
      <c r="B5666" s="50">
        <v>44572.7082149768</v>
      </c>
      <c r="C5666" s="51">
        <v>1.004</v>
      </c>
      <c r="D5666" s="51">
        <v>67.0</v>
      </c>
      <c r="E5666" s="52" t="s">
        <v>25</v>
      </c>
      <c r="F5666" s="52" t="s">
        <v>26</v>
      </c>
      <c r="G5666" s="53"/>
    </row>
    <row r="5667">
      <c r="A5667" s="49">
        <v>44572.59366695602</v>
      </c>
      <c r="B5667" s="50">
        <v>44572.7186367939</v>
      </c>
      <c r="C5667" s="51">
        <v>1.004</v>
      </c>
      <c r="D5667" s="51">
        <v>67.0</v>
      </c>
      <c r="E5667" s="52" t="s">
        <v>25</v>
      </c>
      <c r="F5667" s="52" t="s">
        <v>26</v>
      </c>
      <c r="G5667" s="53"/>
    </row>
    <row r="5668">
      <c r="A5668" s="49">
        <v>44572.60410295139</v>
      </c>
      <c r="B5668" s="50">
        <v>44572.7290798842</v>
      </c>
      <c r="C5668" s="51">
        <v>1.004</v>
      </c>
      <c r="D5668" s="51">
        <v>67.0</v>
      </c>
      <c r="E5668" s="52" t="s">
        <v>25</v>
      </c>
      <c r="F5668" s="52" t="s">
        <v>26</v>
      </c>
      <c r="G5668" s="53"/>
    </row>
    <row r="5669">
      <c r="A5669" s="49">
        <v>44572.614527453705</v>
      </c>
      <c r="B5669" s="50">
        <v>44572.7395016319</v>
      </c>
      <c r="C5669" s="51">
        <v>1.004</v>
      </c>
      <c r="D5669" s="51">
        <v>67.0</v>
      </c>
      <c r="E5669" s="52" t="s">
        <v>25</v>
      </c>
      <c r="F5669" s="52" t="s">
        <v>26</v>
      </c>
      <c r="G5669" s="53"/>
    </row>
    <row r="5670">
      <c r="A5670" s="49">
        <v>44572.62493908565</v>
      </c>
      <c r="B5670" s="50">
        <v>44572.7499194444</v>
      </c>
      <c r="C5670" s="51">
        <v>1.004</v>
      </c>
      <c r="D5670" s="51">
        <v>67.0</v>
      </c>
      <c r="E5670" s="52" t="s">
        <v>25</v>
      </c>
      <c r="F5670" s="52" t="s">
        <v>26</v>
      </c>
      <c r="G5670" s="53"/>
    </row>
    <row r="5671">
      <c r="A5671" s="49">
        <v>44572.635362581015</v>
      </c>
      <c r="B5671" s="50">
        <v>44572.7603396296</v>
      </c>
      <c r="C5671" s="51">
        <v>1.003</v>
      </c>
      <c r="D5671" s="51">
        <v>67.0</v>
      </c>
      <c r="E5671" s="52" t="s">
        <v>25</v>
      </c>
      <c r="F5671" s="52" t="s">
        <v>26</v>
      </c>
      <c r="G5671" s="53"/>
    </row>
    <row r="5672">
      <c r="A5672" s="49">
        <v>44572.64578980324</v>
      </c>
      <c r="B5672" s="50">
        <v>44572.7707724536</v>
      </c>
      <c r="C5672" s="51">
        <v>1.004</v>
      </c>
      <c r="D5672" s="51">
        <v>67.0</v>
      </c>
      <c r="E5672" s="52" t="s">
        <v>25</v>
      </c>
      <c r="F5672" s="52" t="s">
        <v>26</v>
      </c>
      <c r="G5672" s="53"/>
    </row>
    <row r="5673">
      <c r="A5673" s="49">
        <v>44572.65622863426</v>
      </c>
      <c r="B5673" s="50">
        <v>44572.7812059606</v>
      </c>
      <c r="C5673" s="51">
        <v>1.004</v>
      </c>
      <c r="D5673" s="51">
        <v>67.0</v>
      </c>
      <c r="E5673" s="52" t="s">
        <v>25</v>
      </c>
      <c r="F5673" s="52" t="s">
        <v>26</v>
      </c>
      <c r="G5673" s="53"/>
    </row>
    <row r="5674">
      <c r="A5674" s="49">
        <v>44572.666645335645</v>
      </c>
      <c r="B5674" s="50">
        <v>44572.7916278587</v>
      </c>
      <c r="C5674" s="51">
        <v>1.003</v>
      </c>
      <c r="D5674" s="51">
        <v>67.0</v>
      </c>
      <c r="E5674" s="52" t="s">
        <v>25</v>
      </c>
      <c r="F5674" s="52" t="s">
        <v>26</v>
      </c>
      <c r="G5674" s="53"/>
    </row>
    <row r="5675">
      <c r="A5675" s="49">
        <v>44572.67708303241</v>
      </c>
      <c r="B5675" s="50">
        <v>44572.8020608796</v>
      </c>
      <c r="C5675" s="51">
        <v>1.003</v>
      </c>
      <c r="D5675" s="51">
        <v>67.0</v>
      </c>
      <c r="E5675" s="52" t="s">
        <v>25</v>
      </c>
      <c r="F5675" s="52" t="s">
        <v>26</v>
      </c>
      <c r="G5675" s="53"/>
    </row>
    <row r="5676">
      <c r="A5676" s="49">
        <v>44572.68750043982</v>
      </c>
      <c r="B5676" s="50">
        <v>44572.8124820949</v>
      </c>
      <c r="C5676" s="51">
        <v>1.003</v>
      </c>
      <c r="D5676" s="51">
        <v>67.0</v>
      </c>
      <c r="E5676" s="52" t="s">
        <v>25</v>
      </c>
      <c r="F5676" s="52" t="s">
        <v>26</v>
      </c>
      <c r="G5676" s="53"/>
    </row>
    <row r="5677">
      <c r="A5677" s="49">
        <v>44572.69793071759</v>
      </c>
      <c r="B5677" s="50">
        <v>44572.8229044444</v>
      </c>
      <c r="C5677" s="51">
        <v>1.003</v>
      </c>
      <c r="D5677" s="51">
        <v>67.0</v>
      </c>
      <c r="E5677" s="52" t="s">
        <v>25</v>
      </c>
      <c r="F5677" s="52" t="s">
        <v>26</v>
      </c>
      <c r="G5677" s="53"/>
    </row>
    <row r="5678">
      <c r="A5678" s="49">
        <v>44572.708348113425</v>
      </c>
      <c r="B5678" s="50">
        <v>44572.8333247337</v>
      </c>
      <c r="C5678" s="51">
        <v>1.003</v>
      </c>
      <c r="D5678" s="51">
        <v>67.0</v>
      </c>
      <c r="E5678" s="52" t="s">
        <v>25</v>
      </c>
      <c r="F5678" s="52" t="s">
        <v>26</v>
      </c>
      <c r="G5678" s="53"/>
    </row>
    <row r="5679">
      <c r="A5679" s="49">
        <v>44572.71876224537</v>
      </c>
      <c r="B5679" s="50">
        <v>44572.843745</v>
      </c>
      <c r="C5679" s="51">
        <v>1.004</v>
      </c>
      <c r="D5679" s="51">
        <v>67.0</v>
      </c>
      <c r="E5679" s="52" t="s">
        <v>25</v>
      </c>
      <c r="F5679" s="52" t="s">
        <v>26</v>
      </c>
      <c r="G5679" s="53"/>
    </row>
    <row r="5680">
      <c r="A5680" s="49">
        <v>44572.72921644676</v>
      </c>
      <c r="B5680" s="50">
        <v>44572.8541902083</v>
      </c>
      <c r="C5680" s="51">
        <v>1.003</v>
      </c>
      <c r="D5680" s="51">
        <v>67.0</v>
      </c>
      <c r="E5680" s="52" t="s">
        <v>25</v>
      </c>
      <c r="F5680" s="52" t="s">
        <v>26</v>
      </c>
      <c r="G5680" s="53"/>
    </row>
    <row r="5681">
      <c r="A5681" s="49">
        <v>44572.73963200231</v>
      </c>
      <c r="B5681" s="50">
        <v>44572.8646111921</v>
      </c>
      <c r="C5681" s="51">
        <v>1.003</v>
      </c>
      <c r="D5681" s="51">
        <v>67.0</v>
      </c>
      <c r="E5681" s="52" t="s">
        <v>25</v>
      </c>
      <c r="F5681" s="52" t="s">
        <v>26</v>
      </c>
      <c r="G5681" s="53"/>
    </row>
    <row r="5682">
      <c r="A5682" s="49">
        <v>44572.75006284722</v>
      </c>
      <c r="B5682" s="50">
        <v>44572.8750435763</v>
      </c>
      <c r="C5682" s="51">
        <v>1.003</v>
      </c>
      <c r="D5682" s="51">
        <v>67.0</v>
      </c>
      <c r="E5682" s="52" t="s">
        <v>25</v>
      </c>
      <c r="F5682" s="52" t="s">
        <v>26</v>
      </c>
      <c r="G5682" s="53"/>
    </row>
    <row r="5683">
      <c r="A5683" s="49">
        <v>44572.76052510417</v>
      </c>
      <c r="B5683" s="50">
        <v>44572.8854982291</v>
      </c>
      <c r="C5683" s="51">
        <v>1.003</v>
      </c>
      <c r="D5683" s="51">
        <v>67.0</v>
      </c>
      <c r="E5683" s="52" t="s">
        <v>25</v>
      </c>
      <c r="F5683" s="52" t="s">
        <v>26</v>
      </c>
      <c r="G5683" s="53"/>
    </row>
    <row r="5684">
      <c r="A5684" s="49">
        <v>44572.77093462963</v>
      </c>
      <c r="B5684" s="50">
        <v>44572.8959171296</v>
      </c>
      <c r="C5684" s="51">
        <v>1.004</v>
      </c>
      <c r="D5684" s="51">
        <v>67.0</v>
      </c>
      <c r="E5684" s="52" t="s">
        <v>25</v>
      </c>
      <c r="F5684" s="52" t="s">
        <v>26</v>
      </c>
      <c r="G5684" s="53"/>
    </row>
    <row r="5685">
      <c r="A5685" s="49">
        <v>44572.781365462964</v>
      </c>
      <c r="B5685" s="50">
        <v>44572.9063381018</v>
      </c>
      <c r="C5685" s="51">
        <v>1.004</v>
      </c>
      <c r="D5685" s="51">
        <v>66.0</v>
      </c>
      <c r="E5685" s="52" t="s">
        <v>25</v>
      </c>
      <c r="F5685" s="52" t="s">
        <v>26</v>
      </c>
      <c r="G5685" s="53"/>
    </row>
    <row r="5686">
      <c r="A5686" s="49">
        <v>44572.79178951389</v>
      </c>
      <c r="B5686" s="50">
        <v>44572.9167605208</v>
      </c>
      <c r="C5686" s="51">
        <v>1.004</v>
      </c>
      <c r="D5686" s="51">
        <v>66.0</v>
      </c>
      <c r="E5686" s="52" t="s">
        <v>25</v>
      </c>
      <c r="F5686" s="52" t="s">
        <v>26</v>
      </c>
      <c r="G5686" s="53"/>
    </row>
    <row r="5687">
      <c r="A5687" s="49">
        <v>44572.802209155096</v>
      </c>
      <c r="B5687" s="50">
        <v>44572.9271802314</v>
      </c>
      <c r="C5687" s="51">
        <v>1.003</v>
      </c>
      <c r="D5687" s="51">
        <v>66.0</v>
      </c>
      <c r="E5687" s="52" t="s">
        <v>25</v>
      </c>
      <c r="F5687" s="52" t="s">
        <v>26</v>
      </c>
      <c r="G5687" s="53"/>
    </row>
    <row r="5688">
      <c r="A5688" s="49">
        <v>44572.81262643519</v>
      </c>
      <c r="B5688" s="50">
        <v>44572.9376020833</v>
      </c>
      <c r="C5688" s="51">
        <v>1.004</v>
      </c>
      <c r="D5688" s="51">
        <v>66.0</v>
      </c>
      <c r="E5688" s="52" t="s">
        <v>25</v>
      </c>
      <c r="F5688" s="52" t="s">
        <v>26</v>
      </c>
      <c r="G5688" s="53"/>
    </row>
    <row r="5689">
      <c r="A5689" s="49">
        <v>44572.8230652662</v>
      </c>
      <c r="B5689" s="50">
        <v>44572.9480237152</v>
      </c>
      <c r="C5689" s="51">
        <v>1.004</v>
      </c>
      <c r="D5689" s="51">
        <v>66.0</v>
      </c>
      <c r="E5689" s="52" t="s">
        <v>25</v>
      </c>
      <c r="F5689" s="52" t="s">
        <v>26</v>
      </c>
      <c r="G5689" s="53"/>
    </row>
    <row r="5690">
      <c r="A5690" s="49">
        <v>44572.83347216435</v>
      </c>
      <c r="B5690" s="50">
        <v>44572.9584454513</v>
      </c>
      <c r="C5690" s="51">
        <v>1.004</v>
      </c>
      <c r="D5690" s="51">
        <v>66.0</v>
      </c>
      <c r="E5690" s="52" t="s">
        <v>25</v>
      </c>
      <c r="F5690" s="52" t="s">
        <v>26</v>
      </c>
      <c r="G5690" s="53"/>
    </row>
    <row r="5691">
      <c r="A5691" s="49">
        <v>44572.84389322917</v>
      </c>
      <c r="B5691" s="50">
        <v>44572.9688670601</v>
      </c>
      <c r="C5691" s="51">
        <v>1.003</v>
      </c>
      <c r="D5691" s="51">
        <v>66.0</v>
      </c>
      <c r="E5691" s="52" t="s">
        <v>25</v>
      </c>
      <c r="F5691" s="52" t="s">
        <v>26</v>
      </c>
      <c r="G5691" s="53"/>
    </row>
    <row r="5692">
      <c r="A5692" s="49">
        <v>44572.85431293982</v>
      </c>
      <c r="B5692" s="50">
        <v>44572.9792879513</v>
      </c>
      <c r="C5692" s="51">
        <v>1.004</v>
      </c>
      <c r="D5692" s="51">
        <v>66.0</v>
      </c>
      <c r="E5692" s="52" t="s">
        <v>25</v>
      </c>
      <c r="F5692" s="52" t="s">
        <v>26</v>
      </c>
      <c r="G5692" s="53"/>
    </row>
    <row r="5693">
      <c r="A5693" s="49">
        <v>44572.86474453704</v>
      </c>
      <c r="B5693" s="50">
        <v>44572.9897219212</v>
      </c>
      <c r="C5693" s="51">
        <v>1.004</v>
      </c>
      <c r="D5693" s="51">
        <v>66.0</v>
      </c>
      <c r="E5693" s="52" t="s">
        <v>25</v>
      </c>
      <c r="F5693" s="52" t="s">
        <v>26</v>
      </c>
      <c r="G5693" s="53"/>
    </row>
    <row r="5694">
      <c r="A5694" s="49">
        <v>44572.87516476852</v>
      </c>
      <c r="B5694" s="50">
        <v>44573.0001424305</v>
      </c>
      <c r="C5694" s="51">
        <v>1.004</v>
      </c>
      <c r="D5694" s="51">
        <v>66.0</v>
      </c>
      <c r="E5694" s="52" t="s">
        <v>25</v>
      </c>
      <c r="F5694" s="52" t="s">
        <v>26</v>
      </c>
      <c r="G5694" s="53"/>
    </row>
    <row r="5695">
      <c r="A5695" s="49">
        <v>44572.88559898148</v>
      </c>
      <c r="B5695" s="50">
        <v>44573.0105726504</v>
      </c>
      <c r="C5695" s="51">
        <v>1.004</v>
      </c>
      <c r="D5695" s="51">
        <v>66.0</v>
      </c>
      <c r="E5695" s="52" t="s">
        <v>25</v>
      </c>
      <c r="F5695" s="52" t="s">
        <v>26</v>
      </c>
      <c r="G5695" s="53"/>
    </row>
    <row r="5696">
      <c r="A5696" s="49">
        <v>44572.896020370375</v>
      </c>
      <c r="B5696" s="50">
        <v>44573.020995243</v>
      </c>
      <c r="C5696" s="51">
        <v>1.003</v>
      </c>
      <c r="D5696" s="51">
        <v>66.0</v>
      </c>
      <c r="E5696" s="52" t="s">
        <v>25</v>
      </c>
      <c r="F5696" s="52" t="s">
        <v>26</v>
      </c>
      <c r="G5696" s="53"/>
    </row>
    <row r="5697">
      <c r="A5697" s="49">
        <v>44572.90644770833</v>
      </c>
      <c r="B5697" s="50">
        <v>44573.0314166782</v>
      </c>
      <c r="C5697" s="51">
        <v>1.003</v>
      </c>
      <c r="D5697" s="51">
        <v>66.0</v>
      </c>
      <c r="E5697" s="52" t="s">
        <v>25</v>
      </c>
      <c r="F5697" s="52" t="s">
        <v>26</v>
      </c>
      <c r="G5697" s="53"/>
    </row>
    <row r="5698">
      <c r="A5698" s="49">
        <v>44572.91686503473</v>
      </c>
      <c r="B5698" s="50">
        <v>44573.0418377662</v>
      </c>
      <c r="C5698" s="51">
        <v>1.004</v>
      </c>
      <c r="D5698" s="51">
        <v>66.0</v>
      </c>
      <c r="E5698" s="52" t="s">
        <v>25</v>
      </c>
      <c r="F5698" s="52" t="s">
        <v>26</v>
      </c>
      <c r="G5698" s="53"/>
    </row>
    <row r="5699">
      <c r="A5699" s="49">
        <v>44572.927287349536</v>
      </c>
      <c r="B5699" s="50">
        <v>44573.0522599189</v>
      </c>
      <c r="C5699" s="51">
        <v>1.004</v>
      </c>
      <c r="D5699" s="51">
        <v>66.0</v>
      </c>
      <c r="E5699" s="52" t="s">
        <v>25</v>
      </c>
      <c r="F5699" s="52" t="s">
        <v>26</v>
      </c>
      <c r="G5699" s="53"/>
    </row>
    <row r="5700">
      <c r="A5700" s="49">
        <v>44572.93770285879</v>
      </c>
      <c r="B5700" s="50">
        <v>44573.062679537</v>
      </c>
      <c r="C5700" s="51">
        <v>1.004</v>
      </c>
      <c r="D5700" s="51">
        <v>66.0</v>
      </c>
      <c r="E5700" s="52" t="s">
        <v>25</v>
      </c>
      <c r="F5700" s="52" t="s">
        <v>26</v>
      </c>
      <c r="G5700" s="53"/>
    </row>
    <row r="5701">
      <c r="A5701" s="49">
        <v>44572.94814349537</v>
      </c>
      <c r="B5701" s="50">
        <v>44573.073101875</v>
      </c>
      <c r="C5701" s="51">
        <v>1.003</v>
      </c>
      <c r="D5701" s="51">
        <v>66.0</v>
      </c>
      <c r="E5701" s="52" t="s">
        <v>25</v>
      </c>
      <c r="F5701" s="52" t="s">
        <v>26</v>
      </c>
      <c r="G5701" s="53"/>
    </row>
    <row r="5702">
      <c r="A5702" s="49">
        <v>44572.95854006945</v>
      </c>
      <c r="B5702" s="50">
        <v>44573.0835237847</v>
      </c>
      <c r="C5702" s="51">
        <v>1.004</v>
      </c>
      <c r="D5702" s="51">
        <v>66.0</v>
      </c>
      <c r="E5702" s="52" t="s">
        <v>25</v>
      </c>
      <c r="F5702" s="52" t="s">
        <v>26</v>
      </c>
      <c r="G5702" s="53"/>
    </row>
    <row r="5703">
      <c r="A5703" s="49">
        <v>44572.968978414356</v>
      </c>
      <c r="B5703" s="50">
        <v>44573.093956493</v>
      </c>
      <c r="C5703" s="51">
        <v>1.003</v>
      </c>
      <c r="D5703" s="51">
        <v>66.0</v>
      </c>
      <c r="E5703" s="52" t="s">
        <v>25</v>
      </c>
      <c r="F5703" s="52" t="s">
        <v>26</v>
      </c>
      <c r="G5703" s="53"/>
    </row>
    <row r="5704">
      <c r="A5704" s="49">
        <v>44572.97939734954</v>
      </c>
      <c r="B5704" s="50">
        <v>44573.1043762615</v>
      </c>
      <c r="C5704" s="51">
        <v>1.003</v>
      </c>
      <c r="D5704" s="51">
        <v>66.0</v>
      </c>
      <c r="E5704" s="52" t="s">
        <v>25</v>
      </c>
      <c r="F5704" s="52" t="s">
        <v>26</v>
      </c>
      <c r="G5704" s="53"/>
    </row>
    <row r="5705">
      <c r="A5705" s="49">
        <v>44572.98981777778</v>
      </c>
      <c r="B5705" s="50">
        <v>44573.114798993</v>
      </c>
      <c r="C5705" s="51">
        <v>1.003</v>
      </c>
      <c r="D5705" s="51">
        <v>66.0</v>
      </c>
      <c r="E5705" s="52" t="s">
        <v>25</v>
      </c>
      <c r="F5705" s="52" t="s">
        <v>26</v>
      </c>
      <c r="G5705" s="53"/>
    </row>
    <row r="5706">
      <c r="A5706" s="49">
        <v>44573.000242361115</v>
      </c>
      <c r="B5706" s="50">
        <v>44573.1252205555</v>
      </c>
      <c r="C5706" s="51">
        <v>1.003</v>
      </c>
      <c r="D5706" s="51">
        <v>66.0</v>
      </c>
      <c r="E5706" s="52" t="s">
        <v>25</v>
      </c>
      <c r="F5706" s="52" t="s">
        <v>26</v>
      </c>
      <c r="G5706" s="53"/>
    </row>
    <row r="5707">
      <c r="A5707" s="49">
        <v>44573.010673425924</v>
      </c>
      <c r="B5707" s="50">
        <v>44573.1356403819</v>
      </c>
      <c r="C5707" s="51">
        <v>1.004</v>
      </c>
      <c r="D5707" s="51">
        <v>66.0</v>
      </c>
      <c r="E5707" s="52" t="s">
        <v>25</v>
      </c>
      <c r="F5707" s="52" t="s">
        <v>26</v>
      </c>
      <c r="G5707" s="53"/>
    </row>
    <row r="5708">
      <c r="A5708" s="49">
        <v>44573.02110324074</v>
      </c>
      <c r="B5708" s="50">
        <v>44573.1460844328</v>
      </c>
      <c r="C5708" s="51">
        <v>1.004</v>
      </c>
      <c r="D5708" s="51">
        <v>65.0</v>
      </c>
      <c r="E5708" s="52" t="s">
        <v>25</v>
      </c>
      <c r="F5708" s="52" t="s">
        <v>26</v>
      </c>
      <c r="G5708" s="53"/>
    </row>
    <row r="5709">
      <c r="A5709" s="49">
        <v>44573.03153020833</v>
      </c>
      <c r="B5709" s="50">
        <v>44573.156505949</v>
      </c>
      <c r="C5709" s="51">
        <v>1.003</v>
      </c>
      <c r="D5709" s="51">
        <v>65.0</v>
      </c>
      <c r="E5709" s="52" t="s">
        <v>25</v>
      </c>
      <c r="F5709" s="52" t="s">
        <v>26</v>
      </c>
      <c r="G5709" s="53"/>
    </row>
    <row r="5710">
      <c r="A5710" s="49">
        <v>44573.04198222222</v>
      </c>
      <c r="B5710" s="50">
        <v>44573.1669505092</v>
      </c>
      <c r="C5710" s="51">
        <v>1.004</v>
      </c>
      <c r="D5710" s="51">
        <v>65.0</v>
      </c>
      <c r="E5710" s="52" t="s">
        <v>25</v>
      </c>
      <c r="F5710" s="52" t="s">
        <v>26</v>
      </c>
      <c r="G5710" s="53"/>
    </row>
    <row r="5711">
      <c r="A5711" s="49">
        <v>44573.052390462966</v>
      </c>
      <c r="B5711" s="50">
        <v>44573.1773732754</v>
      </c>
      <c r="C5711" s="51">
        <v>1.004</v>
      </c>
      <c r="D5711" s="51">
        <v>65.0</v>
      </c>
      <c r="E5711" s="52" t="s">
        <v>25</v>
      </c>
      <c r="F5711" s="52" t="s">
        <v>26</v>
      </c>
      <c r="G5711" s="53"/>
    </row>
    <row r="5712">
      <c r="A5712" s="49">
        <v>44573.06282016204</v>
      </c>
      <c r="B5712" s="50">
        <v>44573.1877945254</v>
      </c>
      <c r="C5712" s="51">
        <v>1.004</v>
      </c>
      <c r="D5712" s="51">
        <v>65.0</v>
      </c>
      <c r="E5712" s="52" t="s">
        <v>25</v>
      </c>
      <c r="F5712" s="52" t="s">
        <v>26</v>
      </c>
      <c r="G5712" s="53"/>
    </row>
    <row r="5713">
      <c r="A5713" s="49">
        <v>44573.07324172454</v>
      </c>
      <c r="B5713" s="50">
        <v>44573.1982156018</v>
      </c>
      <c r="C5713" s="51">
        <v>1.004</v>
      </c>
      <c r="D5713" s="51">
        <v>65.0</v>
      </c>
      <c r="E5713" s="52" t="s">
        <v>25</v>
      </c>
      <c r="F5713" s="52" t="s">
        <v>26</v>
      </c>
      <c r="G5713" s="53"/>
    </row>
    <row r="5714">
      <c r="A5714" s="49">
        <v>44573.08366607639</v>
      </c>
      <c r="B5714" s="50">
        <v>44573.2086376388</v>
      </c>
      <c r="C5714" s="51">
        <v>1.004</v>
      </c>
      <c r="D5714" s="51">
        <v>65.0</v>
      </c>
      <c r="E5714" s="52" t="s">
        <v>25</v>
      </c>
      <c r="F5714" s="52" t="s">
        <v>26</v>
      </c>
      <c r="G5714" s="53"/>
    </row>
    <row r="5715">
      <c r="A5715" s="49">
        <v>44573.09409752315</v>
      </c>
      <c r="B5715" s="50">
        <v>44573.219060405</v>
      </c>
      <c r="C5715" s="51">
        <v>1.004</v>
      </c>
      <c r="D5715" s="51">
        <v>65.0</v>
      </c>
      <c r="E5715" s="52" t="s">
        <v>25</v>
      </c>
      <c r="F5715" s="52" t="s">
        <v>26</v>
      </c>
      <c r="G5715" s="53"/>
    </row>
    <row r="5716">
      <c r="A5716" s="49">
        <v>44573.10450747685</v>
      </c>
      <c r="B5716" s="50">
        <v>44573.2294805787</v>
      </c>
      <c r="C5716" s="51">
        <v>1.004</v>
      </c>
      <c r="D5716" s="51">
        <v>65.0</v>
      </c>
      <c r="E5716" s="52" t="s">
        <v>25</v>
      </c>
      <c r="F5716" s="52" t="s">
        <v>26</v>
      </c>
      <c r="G5716" s="53"/>
    </row>
    <row r="5717">
      <c r="A5717" s="49">
        <v>44573.11491891203</v>
      </c>
      <c r="B5717" s="50">
        <v>44573.2399016435</v>
      </c>
      <c r="C5717" s="51">
        <v>1.004</v>
      </c>
      <c r="D5717" s="51">
        <v>65.0</v>
      </c>
      <c r="E5717" s="52" t="s">
        <v>25</v>
      </c>
      <c r="F5717" s="52" t="s">
        <v>26</v>
      </c>
      <c r="G5717" s="53"/>
    </row>
    <row r="5718">
      <c r="A5718" s="49">
        <v>44573.12534951389</v>
      </c>
      <c r="B5718" s="50">
        <v>44573.250321493</v>
      </c>
      <c r="C5718" s="51">
        <v>1.004</v>
      </c>
      <c r="D5718" s="51">
        <v>65.0</v>
      </c>
      <c r="E5718" s="52" t="s">
        <v>25</v>
      </c>
      <c r="F5718" s="52" t="s">
        <v>26</v>
      </c>
      <c r="G5718" s="53"/>
    </row>
    <row r="5719">
      <c r="A5719" s="49">
        <v>44573.13579638889</v>
      </c>
      <c r="B5719" s="50">
        <v>44573.260765949</v>
      </c>
      <c r="C5719" s="51">
        <v>1.004</v>
      </c>
      <c r="D5719" s="51">
        <v>65.0</v>
      </c>
      <c r="E5719" s="52" t="s">
        <v>25</v>
      </c>
      <c r="F5719" s="52" t="s">
        <v>26</v>
      </c>
      <c r="G5719" s="53"/>
    </row>
    <row r="5720">
      <c r="A5720" s="49">
        <v>44573.14621828704</v>
      </c>
      <c r="B5720" s="50">
        <v>44573.2711883912</v>
      </c>
      <c r="C5720" s="51">
        <v>1.004</v>
      </c>
      <c r="D5720" s="51">
        <v>65.0</v>
      </c>
      <c r="E5720" s="52" t="s">
        <v>25</v>
      </c>
      <c r="F5720" s="52" t="s">
        <v>26</v>
      </c>
      <c r="G5720" s="53"/>
    </row>
    <row r="5721">
      <c r="A5721" s="49">
        <v>44573.156665902774</v>
      </c>
      <c r="B5721" s="50">
        <v>44573.2816433101</v>
      </c>
      <c r="C5721" s="51">
        <v>1.004</v>
      </c>
      <c r="D5721" s="51">
        <v>65.0</v>
      </c>
      <c r="E5721" s="52" t="s">
        <v>25</v>
      </c>
      <c r="F5721" s="52" t="s">
        <v>26</v>
      </c>
      <c r="G5721" s="53"/>
    </row>
    <row r="5722">
      <c r="A5722" s="49">
        <v>44573.16708474537</v>
      </c>
      <c r="B5722" s="50">
        <v>44573.2920634953</v>
      </c>
      <c r="C5722" s="51">
        <v>1.003</v>
      </c>
      <c r="D5722" s="51">
        <v>65.0</v>
      </c>
      <c r="E5722" s="52" t="s">
        <v>25</v>
      </c>
      <c r="F5722" s="52" t="s">
        <v>26</v>
      </c>
      <c r="G5722" s="53"/>
    </row>
    <row r="5723">
      <c r="A5723" s="49">
        <v>44573.17750446759</v>
      </c>
      <c r="B5723" s="50">
        <v>44573.3024848148</v>
      </c>
      <c r="C5723" s="51">
        <v>1.003</v>
      </c>
      <c r="D5723" s="51">
        <v>65.0</v>
      </c>
      <c r="E5723" s="52" t="s">
        <v>25</v>
      </c>
      <c r="F5723" s="52" t="s">
        <v>26</v>
      </c>
      <c r="G5723" s="53"/>
    </row>
    <row r="5724">
      <c r="A5724" s="49">
        <v>44573.18792453704</v>
      </c>
      <c r="B5724" s="50">
        <v>44573.3129055324</v>
      </c>
      <c r="C5724" s="51">
        <v>1.003</v>
      </c>
      <c r="D5724" s="51">
        <v>65.0</v>
      </c>
      <c r="E5724" s="52" t="s">
        <v>25</v>
      </c>
      <c r="F5724" s="52" t="s">
        <v>26</v>
      </c>
      <c r="G5724" s="53"/>
    </row>
    <row r="5725">
      <c r="A5725" s="49">
        <v>44573.1983503588</v>
      </c>
      <c r="B5725" s="50">
        <v>44573.3233277199</v>
      </c>
      <c r="C5725" s="51">
        <v>1.004</v>
      </c>
      <c r="D5725" s="51">
        <v>65.0</v>
      </c>
      <c r="E5725" s="52" t="s">
        <v>25</v>
      </c>
      <c r="F5725" s="52" t="s">
        <v>26</v>
      </c>
      <c r="G5725" s="53"/>
    </row>
    <row r="5726">
      <c r="A5726" s="49">
        <v>44573.20877557871</v>
      </c>
      <c r="B5726" s="50">
        <v>44573.3337477199</v>
      </c>
      <c r="C5726" s="51">
        <v>1.004</v>
      </c>
      <c r="D5726" s="51">
        <v>65.0</v>
      </c>
      <c r="E5726" s="52" t="s">
        <v>25</v>
      </c>
      <c r="F5726" s="52" t="s">
        <v>26</v>
      </c>
      <c r="G5726" s="53"/>
    </row>
    <row r="5727">
      <c r="A5727" s="49">
        <v>44573.219192557866</v>
      </c>
      <c r="B5727" s="50">
        <v>44573.3441694791</v>
      </c>
      <c r="C5727" s="51">
        <v>1.004</v>
      </c>
      <c r="D5727" s="51">
        <v>65.0</v>
      </c>
      <c r="E5727" s="52" t="s">
        <v>25</v>
      </c>
      <c r="F5727" s="52" t="s">
        <v>26</v>
      </c>
      <c r="G5727" s="53"/>
    </row>
    <row r="5728">
      <c r="A5728" s="49">
        <v>44573.22962532408</v>
      </c>
      <c r="B5728" s="50">
        <v>44573.3546018055</v>
      </c>
      <c r="C5728" s="51">
        <v>1.003</v>
      </c>
      <c r="D5728" s="51">
        <v>65.0</v>
      </c>
      <c r="E5728" s="52" t="s">
        <v>25</v>
      </c>
      <c r="F5728" s="52" t="s">
        <v>26</v>
      </c>
      <c r="G5728" s="53"/>
    </row>
    <row r="5729">
      <c r="A5729" s="49">
        <v>44573.240050312495</v>
      </c>
      <c r="B5729" s="50">
        <v>44573.3650220717</v>
      </c>
      <c r="C5729" s="51">
        <v>1.004</v>
      </c>
      <c r="D5729" s="51">
        <v>65.0</v>
      </c>
      <c r="E5729" s="52" t="s">
        <v>25</v>
      </c>
      <c r="F5729" s="52" t="s">
        <v>26</v>
      </c>
      <c r="G5729" s="53"/>
    </row>
    <row r="5730">
      <c r="A5730" s="49">
        <v>44573.25048200232</v>
      </c>
      <c r="B5730" s="50">
        <v>44573.3754545486</v>
      </c>
      <c r="C5730" s="51">
        <v>1.004</v>
      </c>
      <c r="D5730" s="51">
        <v>65.0</v>
      </c>
      <c r="E5730" s="52" t="s">
        <v>25</v>
      </c>
      <c r="F5730" s="52" t="s">
        <v>26</v>
      </c>
      <c r="G5730" s="53"/>
    </row>
    <row r="5731">
      <c r="A5731" s="49">
        <v>44573.26091282407</v>
      </c>
      <c r="B5731" s="50">
        <v>44573.385875</v>
      </c>
      <c r="C5731" s="51">
        <v>1.004</v>
      </c>
      <c r="D5731" s="51">
        <v>65.0</v>
      </c>
      <c r="E5731" s="52" t="s">
        <v>25</v>
      </c>
      <c r="F5731" s="52" t="s">
        <v>26</v>
      </c>
      <c r="G5731" s="53"/>
    </row>
    <row r="5732">
      <c r="A5732" s="49">
        <v>44573.271338032406</v>
      </c>
      <c r="B5732" s="50">
        <v>44573.396307824</v>
      </c>
      <c r="C5732" s="51">
        <v>1.004</v>
      </c>
      <c r="D5732" s="51">
        <v>65.0</v>
      </c>
      <c r="E5732" s="52" t="s">
        <v>25</v>
      </c>
      <c r="F5732" s="52" t="s">
        <v>26</v>
      </c>
      <c r="G5732" s="53"/>
    </row>
    <row r="5733">
      <c r="A5733" s="49">
        <v>44573.28177325231</v>
      </c>
      <c r="B5733" s="50">
        <v>44573.4067522222</v>
      </c>
      <c r="C5733" s="51">
        <v>1.004</v>
      </c>
      <c r="D5733" s="51">
        <v>65.0</v>
      </c>
      <c r="E5733" s="52" t="s">
        <v>25</v>
      </c>
      <c r="F5733" s="52" t="s">
        <v>26</v>
      </c>
      <c r="G5733" s="53"/>
    </row>
    <row r="5734">
      <c r="A5734" s="49">
        <v>44573.29222591435</v>
      </c>
      <c r="B5734" s="50">
        <v>44573.4171971759</v>
      </c>
      <c r="C5734" s="51">
        <v>1.004</v>
      </c>
      <c r="D5734" s="51">
        <v>65.0</v>
      </c>
      <c r="E5734" s="52" t="s">
        <v>25</v>
      </c>
      <c r="F5734" s="52" t="s">
        <v>26</v>
      </c>
      <c r="G5734" s="53"/>
    </row>
    <row r="5735">
      <c r="A5735" s="49">
        <v>44573.302646261574</v>
      </c>
      <c r="B5735" s="50">
        <v>44573.4276164236</v>
      </c>
      <c r="C5735" s="51">
        <v>1.004</v>
      </c>
      <c r="D5735" s="51">
        <v>64.0</v>
      </c>
      <c r="E5735" s="52" t="s">
        <v>25</v>
      </c>
      <c r="F5735" s="52" t="s">
        <v>26</v>
      </c>
      <c r="G5735" s="53"/>
    </row>
    <row r="5736">
      <c r="A5736" s="49">
        <v>44573.3130624537</v>
      </c>
      <c r="B5736" s="50">
        <v>44573.4380365277</v>
      </c>
      <c r="C5736" s="51">
        <v>1.004</v>
      </c>
      <c r="D5736" s="51">
        <v>65.0</v>
      </c>
      <c r="E5736" s="52" t="s">
        <v>25</v>
      </c>
      <c r="F5736" s="52" t="s">
        <v>26</v>
      </c>
      <c r="G5736" s="53"/>
    </row>
    <row r="5737">
      <c r="A5737" s="49">
        <v>44573.32348369213</v>
      </c>
      <c r="B5737" s="50">
        <v>44573.4484572222</v>
      </c>
      <c r="C5737" s="51">
        <v>1.004</v>
      </c>
      <c r="D5737" s="51">
        <v>64.0</v>
      </c>
      <c r="E5737" s="52" t="s">
        <v>25</v>
      </c>
      <c r="F5737" s="52" t="s">
        <v>26</v>
      </c>
      <c r="G5737" s="53"/>
    </row>
    <row r="5738">
      <c r="A5738" s="49">
        <v>44573.33389362269</v>
      </c>
      <c r="B5738" s="50">
        <v>44573.4588778124</v>
      </c>
      <c r="C5738" s="51">
        <v>1.004</v>
      </c>
      <c r="D5738" s="51">
        <v>64.0</v>
      </c>
      <c r="E5738" s="52" t="s">
        <v>25</v>
      </c>
      <c r="F5738" s="52" t="s">
        <v>26</v>
      </c>
      <c r="G5738" s="53"/>
    </row>
    <row r="5739">
      <c r="A5739" s="49">
        <v>44573.344321689816</v>
      </c>
      <c r="B5739" s="50">
        <v>44573.4692985185</v>
      </c>
      <c r="C5739" s="51">
        <v>1.004</v>
      </c>
      <c r="D5739" s="51">
        <v>64.0</v>
      </c>
      <c r="E5739" s="52" t="s">
        <v>25</v>
      </c>
      <c r="F5739" s="52" t="s">
        <v>26</v>
      </c>
      <c r="G5739" s="53"/>
    </row>
    <row r="5740">
      <c r="A5740" s="49">
        <v>44573.35473898148</v>
      </c>
      <c r="B5740" s="50">
        <v>44573.4797202546</v>
      </c>
      <c r="C5740" s="51">
        <v>1.004</v>
      </c>
      <c r="D5740" s="51">
        <v>64.0</v>
      </c>
      <c r="E5740" s="52" t="s">
        <v>25</v>
      </c>
      <c r="F5740" s="52" t="s">
        <v>26</v>
      </c>
      <c r="G5740" s="53"/>
    </row>
    <row r="5741">
      <c r="A5741" s="49">
        <v>44573.365167337965</v>
      </c>
      <c r="B5741" s="50">
        <v>44573.4901412847</v>
      </c>
      <c r="C5741" s="51">
        <v>1.004</v>
      </c>
      <c r="D5741" s="51">
        <v>64.0</v>
      </c>
      <c r="E5741" s="52" t="s">
        <v>25</v>
      </c>
      <c r="F5741" s="52" t="s">
        <v>26</v>
      </c>
      <c r="G5741" s="53"/>
    </row>
    <row r="5742">
      <c r="A5742" s="49">
        <v>44573.37558547454</v>
      </c>
      <c r="B5742" s="50">
        <v>44573.5005617013</v>
      </c>
      <c r="C5742" s="51">
        <v>1.004</v>
      </c>
      <c r="D5742" s="51">
        <v>64.0</v>
      </c>
      <c r="E5742" s="52" t="s">
        <v>25</v>
      </c>
      <c r="F5742" s="52" t="s">
        <v>26</v>
      </c>
      <c r="G5742" s="53"/>
    </row>
    <row r="5743">
      <c r="A5743" s="49">
        <v>44573.38601756944</v>
      </c>
      <c r="B5743" s="50">
        <v>44573.5109951388</v>
      </c>
      <c r="C5743" s="51">
        <v>1.004</v>
      </c>
      <c r="D5743" s="51">
        <v>64.0</v>
      </c>
      <c r="E5743" s="52" t="s">
        <v>25</v>
      </c>
      <c r="F5743" s="52" t="s">
        <v>26</v>
      </c>
      <c r="G5743" s="53"/>
    </row>
    <row r="5744">
      <c r="A5744" s="49">
        <v>44573.3964483912</v>
      </c>
      <c r="B5744" s="50">
        <v>44573.5214179282</v>
      </c>
      <c r="C5744" s="51">
        <v>1.003</v>
      </c>
      <c r="D5744" s="51">
        <v>64.0</v>
      </c>
      <c r="E5744" s="52" t="s">
        <v>25</v>
      </c>
      <c r="F5744" s="52" t="s">
        <v>26</v>
      </c>
      <c r="G5744" s="53"/>
    </row>
    <row r="5745">
      <c r="A5745" s="49">
        <v>44573.40687131944</v>
      </c>
      <c r="B5745" s="50">
        <v>44573.5318496296</v>
      </c>
      <c r="C5745" s="51">
        <v>1.004</v>
      </c>
      <c r="D5745" s="51">
        <v>64.0</v>
      </c>
      <c r="E5745" s="52" t="s">
        <v>25</v>
      </c>
      <c r="F5745" s="52" t="s">
        <v>26</v>
      </c>
      <c r="G5745" s="53"/>
    </row>
    <row r="5746">
      <c r="A5746" s="49">
        <v>44573.41728645834</v>
      </c>
      <c r="B5746" s="50">
        <v>44573.5422692476</v>
      </c>
      <c r="C5746" s="51">
        <v>1.003</v>
      </c>
      <c r="D5746" s="51">
        <v>64.0</v>
      </c>
      <c r="E5746" s="52" t="s">
        <v>25</v>
      </c>
      <c r="F5746" s="52" t="s">
        <v>26</v>
      </c>
      <c r="G5746" s="53"/>
    </row>
    <row r="5747">
      <c r="A5747" s="49">
        <v>44573.427714606485</v>
      </c>
      <c r="B5747" s="50">
        <v>44573.5526909953</v>
      </c>
      <c r="C5747" s="51">
        <v>1.004</v>
      </c>
      <c r="D5747" s="51">
        <v>64.0</v>
      </c>
      <c r="E5747" s="52" t="s">
        <v>25</v>
      </c>
      <c r="F5747" s="52" t="s">
        <v>26</v>
      </c>
      <c r="G5747" s="53"/>
    </row>
    <row r="5748">
      <c r="A5748" s="49">
        <v>44573.438133379634</v>
      </c>
      <c r="B5748" s="50">
        <v>44573.5631110416</v>
      </c>
      <c r="C5748" s="51">
        <v>1.003</v>
      </c>
      <c r="D5748" s="51">
        <v>64.0</v>
      </c>
      <c r="E5748" s="52" t="s">
        <v>25</v>
      </c>
      <c r="F5748" s="52" t="s">
        <v>26</v>
      </c>
      <c r="G5748" s="53"/>
    </row>
    <row r="5749">
      <c r="A5749" s="49">
        <v>44573.44855410879</v>
      </c>
      <c r="B5749" s="50">
        <v>44573.5735313194</v>
      </c>
      <c r="C5749" s="51">
        <v>1.004</v>
      </c>
      <c r="D5749" s="51">
        <v>64.0</v>
      </c>
      <c r="E5749" s="52" t="s">
        <v>25</v>
      </c>
      <c r="F5749" s="52" t="s">
        <v>26</v>
      </c>
      <c r="G5749" s="53"/>
    </row>
    <row r="5750">
      <c r="A5750" s="49">
        <v>44573.45899554398</v>
      </c>
      <c r="B5750" s="50">
        <v>44573.5839753472</v>
      </c>
      <c r="C5750" s="51">
        <v>1.003</v>
      </c>
      <c r="D5750" s="51">
        <v>64.0</v>
      </c>
      <c r="E5750" s="52" t="s">
        <v>25</v>
      </c>
      <c r="F5750" s="52" t="s">
        <v>26</v>
      </c>
      <c r="G5750" s="53"/>
    </row>
    <row r="5751">
      <c r="A5751" s="49">
        <v>44573.4694297338</v>
      </c>
      <c r="B5751" s="50">
        <v>44573.5944056713</v>
      </c>
      <c r="C5751" s="51">
        <v>1.004</v>
      </c>
      <c r="D5751" s="51">
        <v>64.0</v>
      </c>
      <c r="E5751" s="52" t="s">
        <v>25</v>
      </c>
      <c r="F5751" s="52" t="s">
        <v>26</v>
      </c>
      <c r="G5751" s="53"/>
    </row>
    <row r="5752">
      <c r="A5752" s="49">
        <v>44573.47987834491</v>
      </c>
      <c r="B5752" s="50">
        <v>44573.6048504282</v>
      </c>
      <c r="C5752" s="51">
        <v>1.003</v>
      </c>
      <c r="D5752" s="51">
        <v>64.0</v>
      </c>
      <c r="E5752" s="52" t="s">
        <v>25</v>
      </c>
      <c r="F5752" s="52" t="s">
        <v>26</v>
      </c>
      <c r="G5752" s="53"/>
    </row>
    <row r="5753">
      <c r="A5753" s="49">
        <v>44573.49029857639</v>
      </c>
      <c r="B5753" s="50">
        <v>44573.6152719907</v>
      </c>
      <c r="C5753" s="51">
        <v>1.003</v>
      </c>
      <c r="D5753" s="51">
        <v>64.0</v>
      </c>
      <c r="E5753" s="52" t="s">
        <v>25</v>
      </c>
      <c r="F5753" s="52" t="s">
        <v>26</v>
      </c>
      <c r="G5753" s="53"/>
    </row>
    <row r="5754">
      <c r="A5754" s="49">
        <v>44573.500716875</v>
      </c>
      <c r="B5754" s="50">
        <v>44573.6256917824</v>
      </c>
      <c r="C5754" s="51">
        <v>1.004</v>
      </c>
      <c r="D5754" s="51">
        <v>64.0</v>
      </c>
      <c r="E5754" s="52" t="s">
        <v>25</v>
      </c>
      <c r="F5754" s="52" t="s">
        <v>26</v>
      </c>
      <c r="G5754" s="53"/>
    </row>
    <row r="5755">
      <c r="A5755" s="49">
        <v>44573.51114797454</v>
      </c>
      <c r="B5755" s="50">
        <v>44573.6361270717</v>
      </c>
      <c r="C5755" s="51">
        <v>1.004</v>
      </c>
      <c r="D5755" s="51">
        <v>64.0</v>
      </c>
      <c r="E5755" s="52" t="s">
        <v>25</v>
      </c>
      <c r="F5755" s="52" t="s">
        <v>26</v>
      </c>
      <c r="G5755" s="53"/>
    </row>
    <row r="5756">
      <c r="A5756" s="49">
        <v>44573.52157596065</v>
      </c>
      <c r="B5756" s="50">
        <v>44573.646549074</v>
      </c>
      <c r="C5756" s="51">
        <v>1.004</v>
      </c>
      <c r="D5756" s="51">
        <v>64.0</v>
      </c>
      <c r="E5756" s="52" t="s">
        <v>25</v>
      </c>
      <c r="F5756" s="52" t="s">
        <v>26</v>
      </c>
      <c r="G5756" s="53"/>
    </row>
    <row r="5757">
      <c r="A5757" s="49">
        <v>44573.53199135417</v>
      </c>
      <c r="B5757" s="50">
        <v>44573.6569702777</v>
      </c>
      <c r="C5757" s="51">
        <v>1.004</v>
      </c>
      <c r="D5757" s="51">
        <v>64.0</v>
      </c>
      <c r="E5757" s="52" t="s">
        <v>25</v>
      </c>
      <c r="F5757" s="52" t="s">
        <v>26</v>
      </c>
      <c r="G5757" s="53"/>
    </row>
    <row r="5758">
      <c r="A5758" s="49">
        <v>44573.542419097226</v>
      </c>
      <c r="B5758" s="50">
        <v>44573.6673921064</v>
      </c>
      <c r="C5758" s="51">
        <v>1.004</v>
      </c>
      <c r="D5758" s="51">
        <v>64.0</v>
      </c>
      <c r="E5758" s="52" t="s">
        <v>25</v>
      </c>
      <c r="F5758" s="52" t="s">
        <v>26</v>
      </c>
      <c r="G5758" s="53"/>
    </row>
    <row r="5759">
      <c r="A5759" s="49">
        <v>44573.55283608796</v>
      </c>
      <c r="B5759" s="50">
        <v>44573.6778139699</v>
      </c>
      <c r="C5759" s="51">
        <v>1.004</v>
      </c>
      <c r="D5759" s="51">
        <v>64.0</v>
      </c>
      <c r="E5759" s="52" t="s">
        <v>25</v>
      </c>
      <c r="F5759" s="52" t="s">
        <v>26</v>
      </c>
      <c r="G5759" s="53"/>
    </row>
    <row r="5760">
      <c r="A5760" s="49">
        <v>44573.563262766205</v>
      </c>
      <c r="B5760" s="50">
        <v>44573.6882342939</v>
      </c>
      <c r="C5760" s="51">
        <v>1.004</v>
      </c>
      <c r="D5760" s="51">
        <v>64.0</v>
      </c>
      <c r="E5760" s="52" t="s">
        <v>25</v>
      </c>
      <c r="F5760" s="52" t="s">
        <v>26</v>
      </c>
      <c r="G5760" s="53"/>
    </row>
    <row r="5761">
      <c r="A5761" s="49">
        <v>44573.57368339121</v>
      </c>
      <c r="B5761" s="50">
        <v>44573.6986575578</v>
      </c>
      <c r="C5761" s="51">
        <v>1.004</v>
      </c>
      <c r="D5761" s="51">
        <v>64.0</v>
      </c>
      <c r="E5761" s="52" t="s">
        <v>25</v>
      </c>
      <c r="F5761" s="52" t="s">
        <v>26</v>
      </c>
      <c r="G5761" s="53"/>
    </row>
    <row r="5762">
      <c r="A5762" s="49">
        <v>44573.584103437504</v>
      </c>
      <c r="B5762" s="50">
        <v>44573.7090774305</v>
      </c>
      <c r="C5762" s="51">
        <v>1.004</v>
      </c>
      <c r="D5762" s="51">
        <v>64.0</v>
      </c>
      <c r="E5762" s="52" t="s">
        <v>25</v>
      </c>
      <c r="F5762" s="52" t="s">
        <v>26</v>
      </c>
      <c r="G5762" s="53"/>
    </row>
    <row r="5763">
      <c r="A5763" s="49">
        <v>44573.59453070602</v>
      </c>
      <c r="B5763" s="50">
        <v>44573.7195107754</v>
      </c>
      <c r="C5763" s="51">
        <v>1.004</v>
      </c>
      <c r="D5763" s="51">
        <v>64.0</v>
      </c>
      <c r="E5763" s="52" t="s">
        <v>25</v>
      </c>
      <c r="F5763" s="52" t="s">
        <v>26</v>
      </c>
      <c r="G5763" s="53"/>
    </row>
    <row r="5764">
      <c r="A5764" s="49">
        <v>44573.6049627662</v>
      </c>
      <c r="B5764" s="50">
        <v>44573.7299317939</v>
      </c>
      <c r="C5764" s="51">
        <v>1.004</v>
      </c>
      <c r="D5764" s="51">
        <v>64.0</v>
      </c>
      <c r="E5764" s="52" t="s">
        <v>25</v>
      </c>
      <c r="F5764" s="52" t="s">
        <v>26</v>
      </c>
      <c r="G5764" s="53"/>
    </row>
    <row r="5765">
      <c r="A5765" s="49">
        <v>44573.61537614583</v>
      </c>
      <c r="B5765" s="50">
        <v>44573.7403536111</v>
      </c>
      <c r="C5765" s="51">
        <v>1.004</v>
      </c>
      <c r="D5765" s="51">
        <v>64.0</v>
      </c>
      <c r="E5765" s="52" t="s">
        <v>25</v>
      </c>
      <c r="F5765" s="52" t="s">
        <v>26</v>
      </c>
      <c r="G5765" s="53"/>
    </row>
    <row r="5766">
      <c r="A5766" s="49">
        <v>44573.625792465275</v>
      </c>
      <c r="B5766" s="50">
        <v>44573.7507744097</v>
      </c>
      <c r="C5766" s="51">
        <v>1.003</v>
      </c>
      <c r="D5766" s="51">
        <v>64.0</v>
      </c>
      <c r="E5766" s="52" t="s">
        <v>25</v>
      </c>
      <c r="F5766" s="52" t="s">
        <v>26</v>
      </c>
      <c r="G5766" s="53"/>
    </row>
    <row r="5767">
      <c r="A5767" s="49">
        <v>44573.63623975695</v>
      </c>
      <c r="B5767" s="50">
        <v>44573.7612068749</v>
      </c>
      <c r="C5767" s="51">
        <v>1.004</v>
      </c>
      <c r="D5767" s="51">
        <v>64.0</v>
      </c>
      <c r="E5767" s="52" t="s">
        <v>25</v>
      </c>
      <c r="F5767" s="52" t="s">
        <v>26</v>
      </c>
      <c r="G5767" s="53"/>
    </row>
    <row r="5768">
      <c r="A5768" s="49">
        <v>44573.64665679398</v>
      </c>
      <c r="B5768" s="50">
        <v>44573.7716261111</v>
      </c>
      <c r="C5768" s="51">
        <v>1.004</v>
      </c>
      <c r="D5768" s="51">
        <v>63.0</v>
      </c>
      <c r="E5768" s="52" t="s">
        <v>25</v>
      </c>
      <c r="F5768" s="52" t="s">
        <v>26</v>
      </c>
      <c r="G5768" s="53"/>
    </row>
    <row r="5769">
      <c r="A5769" s="49">
        <v>44573.65707177084</v>
      </c>
      <c r="B5769" s="50">
        <v>44573.7820468518</v>
      </c>
      <c r="C5769" s="51">
        <v>1.004</v>
      </c>
      <c r="D5769" s="51">
        <v>64.0</v>
      </c>
      <c r="E5769" s="52" t="s">
        <v>25</v>
      </c>
      <c r="F5769" s="52" t="s">
        <v>26</v>
      </c>
      <c r="G5769" s="53"/>
    </row>
    <row r="5770">
      <c r="A5770" s="49">
        <v>44573.667490567124</v>
      </c>
      <c r="B5770" s="50">
        <v>44573.7924685416</v>
      </c>
      <c r="C5770" s="51">
        <v>1.004</v>
      </c>
      <c r="D5770" s="51">
        <v>63.0</v>
      </c>
      <c r="E5770" s="52" t="s">
        <v>25</v>
      </c>
      <c r="F5770" s="52" t="s">
        <v>26</v>
      </c>
      <c r="G5770" s="53"/>
    </row>
    <row r="5771">
      <c r="A5771" s="49">
        <v>44573.677913865744</v>
      </c>
      <c r="B5771" s="50">
        <v>44573.8028894328</v>
      </c>
      <c r="C5771" s="51">
        <v>1.004</v>
      </c>
      <c r="D5771" s="51">
        <v>63.0</v>
      </c>
      <c r="E5771" s="52" t="s">
        <v>25</v>
      </c>
      <c r="F5771" s="52" t="s">
        <v>26</v>
      </c>
      <c r="G5771" s="53"/>
    </row>
    <row r="5772">
      <c r="A5772" s="49">
        <v>44573.688334756946</v>
      </c>
      <c r="B5772" s="50">
        <v>44573.8133111458</v>
      </c>
      <c r="C5772" s="51">
        <v>1.004</v>
      </c>
      <c r="D5772" s="51">
        <v>63.0</v>
      </c>
      <c r="E5772" s="52" t="s">
        <v>25</v>
      </c>
      <c r="F5772" s="52" t="s">
        <v>26</v>
      </c>
      <c r="G5772" s="53"/>
    </row>
    <row r="5773">
      <c r="A5773" s="49">
        <v>44573.69875818287</v>
      </c>
      <c r="B5773" s="50">
        <v>44573.8237327314</v>
      </c>
      <c r="C5773" s="51">
        <v>1.004</v>
      </c>
      <c r="D5773" s="51">
        <v>63.0</v>
      </c>
      <c r="E5773" s="52" t="s">
        <v>25</v>
      </c>
      <c r="F5773" s="52" t="s">
        <v>26</v>
      </c>
      <c r="G5773" s="53"/>
    </row>
    <row r="5774">
      <c r="A5774" s="49">
        <v>44573.70921541667</v>
      </c>
      <c r="B5774" s="50">
        <v>44573.8341887152</v>
      </c>
      <c r="C5774" s="51">
        <v>1.004</v>
      </c>
      <c r="D5774" s="51">
        <v>63.0</v>
      </c>
      <c r="E5774" s="52" t="s">
        <v>25</v>
      </c>
      <c r="F5774" s="52" t="s">
        <v>26</v>
      </c>
      <c r="G5774" s="53"/>
    </row>
    <row r="5775">
      <c r="A5775" s="49">
        <v>44573.71964704861</v>
      </c>
      <c r="B5775" s="50">
        <v>44573.8446209259</v>
      </c>
      <c r="C5775" s="51">
        <v>1.004</v>
      </c>
      <c r="D5775" s="51">
        <v>63.0</v>
      </c>
      <c r="E5775" s="52" t="s">
        <v>25</v>
      </c>
      <c r="F5775" s="52" t="s">
        <v>26</v>
      </c>
      <c r="G5775" s="53"/>
    </row>
    <row r="5776">
      <c r="A5776" s="49">
        <v>44573.730069375</v>
      </c>
      <c r="B5776" s="50">
        <v>44573.8550432407</v>
      </c>
      <c r="C5776" s="51">
        <v>1.004</v>
      </c>
      <c r="D5776" s="51">
        <v>63.0</v>
      </c>
      <c r="E5776" s="52" t="s">
        <v>25</v>
      </c>
      <c r="F5776" s="52" t="s">
        <v>26</v>
      </c>
      <c r="G5776" s="53"/>
    </row>
    <row r="5777">
      <c r="A5777" s="49">
        <v>44573.74048988426</v>
      </c>
      <c r="B5777" s="50">
        <v>44573.8654625462</v>
      </c>
      <c r="C5777" s="51">
        <v>1.004</v>
      </c>
      <c r="D5777" s="51">
        <v>63.0</v>
      </c>
      <c r="E5777" s="52" t="s">
        <v>25</v>
      </c>
      <c r="F5777" s="52" t="s">
        <v>26</v>
      </c>
      <c r="G5777" s="53"/>
    </row>
    <row r="5778">
      <c r="A5778" s="49">
        <v>44573.75092554398</v>
      </c>
      <c r="B5778" s="50">
        <v>44573.8758947569</v>
      </c>
      <c r="C5778" s="51">
        <v>1.004</v>
      </c>
      <c r="D5778" s="51">
        <v>63.0</v>
      </c>
      <c r="E5778" s="52" t="s">
        <v>25</v>
      </c>
      <c r="F5778" s="52" t="s">
        <v>26</v>
      </c>
      <c r="G5778" s="53"/>
    </row>
    <row r="5779">
      <c r="A5779" s="49">
        <v>44573.761340868055</v>
      </c>
      <c r="B5779" s="50">
        <v>44573.8863162847</v>
      </c>
      <c r="C5779" s="51">
        <v>1.004</v>
      </c>
      <c r="D5779" s="51">
        <v>63.0</v>
      </c>
      <c r="E5779" s="52" t="s">
        <v>25</v>
      </c>
      <c r="F5779" s="52" t="s">
        <v>26</v>
      </c>
      <c r="G5779" s="53"/>
    </row>
    <row r="5780">
      <c r="A5780" s="49">
        <v>44573.77178760417</v>
      </c>
      <c r="B5780" s="50">
        <v>44573.8967614004</v>
      </c>
      <c r="C5780" s="51">
        <v>1.004</v>
      </c>
      <c r="D5780" s="51">
        <v>63.0</v>
      </c>
      <c r="E5780" s="52" t="s">
        <v>25</v>
      </c>
      <c r="F5780" s="52" t="s">
        <v>26</v>
      </c>
      <c r="G5780" s="53"/>
    </row>
    <row r="5781">
      <c r="A5781" s="49">
        <v>44573.78221229167</v>
      </c>
      <c r="B5781" s="50">
        <v>44573.9071828935</v>
      </c>
      <c r="C5781" s="51">
        <v>1.003</v>
      </c>
      <c r="D5781" s="51">
        <v>63.0</v>
      </c>
      <c r="E5781" s="52" t="s">
        <v>25</v>
      </c>
      <c r="F5781" s="52" t="s">
        <v>26</v>
      </c>
      <c r="G5781" s="53"/>
    </row>
    <row r="5782">
      <c r="A5782" s="49">
        <v>44573.79262579861</v>
      </c>
      <c r="B5782" s="50">
        <v>44573.917604699</v>
      </c>
      <c r="C5782" s="51">
        <v>1.004</v>
      </c>
      <c r="D5782" s="51">
        <v>63.0</v>
      </c>
      <c r="E5782" s="52" t="s">
        <v>25</v>
      </c>
      <c r="F5782" s="52" t="s">
        <v>26</v>
      </c>
      <c r="G5782" s="53"/>
    </row>
    <row r="5783">
      <c r="A5783" s="49">
        <v>44573.80307019676</v>
      </c>
      <c r="B5783" s="50">
        <v>44573.9280362731</v>
      </c>
      <c r="C5783" s="51">
        <v>1.004</v>
      </c>
      <c r="D5783" s="51">
        <v>63.0</v>
      </c>
      <c r="E5783" s="52" t="s">
        <v>25</v>
      </c>
      <c r="F5783" s="52" t="s">
        <v>26</v>
      </c>
      <c r="G5783" s="53"/>
    </row>
    <row r="5784">
      <c r="A5784" s="49">
        <v>44573.8134905787</v>
      </c>
      <c r="B5784" s="50">
        <v>44573.9384567708</v>
      </c>
      <c r="C5784" s="51">
        <v>1.004</v>
      </c>
      <c r="D5784" s="51">
        <v>63.0</v>
      </c>
      <c r="E5784" s="52" t="s">
        <v>25</v>
      </c>
      <c r="F5784" s="52" t="s">
        <v>26</v>
      </c>
      <c r="G5784" s="53"/>
    </row>
    <row r="5785">
      <c r="A5785" s="49">
        <v>44573.823921828705</v>
      </c>
      <c r="B5785" s="50">
        <v>44573.9488893865</v>
      </c>
      <c r="C5785" s="51">
        <v>1.004</v>
      </c>
      <c r="D5785" s="51">
        <v>63.0</v>
      </c>
      <c r="E5785" s="52" t="s">
        <v>25</v>
      </c>
      <c r="F5785" s="52" t="s">
        <v>26</v>
      </c>
      <c r="G5785" s="53"/>
    </row>
    <row r="5786">
      <c r="A5786" s="49">
        <v>44573.83432892361</v>
      </c>
      <c r="B5786" s="50">
        <v>44573.9593106712</v>
      </c>
      <c r="C5786" s="51">
        <v>1.004</v>
      </c>
      <c r="D5786" s="51">
        <v>63.0</v>
      </c>
      <c r="E5786" s="52" t="s">
        <v>25</v>
      </c>
      <c r="F5786" s="52" t="s">
        <v>26</v>
      </c>
      <c r="G5786" s="53"/>
    </row>
    <row r="5787">
      <c r="A5787" s="49">
        <v>44573.84476611111</v>
      </c>
      <c r="B5787" s="50">
        <v>44573.9697436458</v>
      </c>
      <c r="C5787" s="51">
        <v>1.004</v>
      </c>
      <c r="D5787" s="51">
        <v>63.0</v>
      </c>
      <c r="E5787" s="52" t="s">
        <v>25</v>
      </c>
      <c r="F5787" s="52" t="s">
        <v>26</v>
      </c>
      <c r="G5787" s="53"/>
    </row>
    <row r="5788">
      <c r="A5788" s="49">
        <v>44573.85518626157</v>
      </c>
      <c r="B5788" s="50">
        <v>44573.980166412</v>
      </c>
      <c r="C5788" s="51">
        <v>1.004</v>
      </c>
      <c r="D5788" s="51">
        <v>63.0</v>
      </c>
      <c r="E5788" s="52" t="s">
        <v>25</v>
      </c>
      <c r="F5788" s="52" t="s">
        <v>26</v>
      </c>
      <c r="G5788" s="53"/>
    </row>
    <row r="5789">
      <c r="A5789" s="49">
        <v>44573.86564207176</v>
      </c>
      <c r="B5789" s="50">
        <v>44573.9906109027</v>
      </c>
      <c r="C5789" s="51">
        <v>1.003</v>
      </c>
      <c r="D5789" s="51">
        <v>63.0</v>
      </c>
      <c r="E5789" s="52" t="s">
        <v>25</v>
      </c>
      <c r="F5789" s="52" t="s">
        <v>26</v>
      </c>
      <c r="G5789" s="53"/>
    </row>
    <row r="5790">
      <c r="A5790" s="49">
        <v>44573.87606347223</v>
      </c>
      <c r="B5790" s="50">
        <v>44574.0010321759</v>
      </c>
      <c r="C5790" s="51">
        <v>1.004</v>
      </c>
      <c r="D5790" s="51">
        <v>63.0</v>
      </c>
      <c r="E5790" s="52" t="s">
        <v>25</v>
      </c>
      <c r="F5790" s="52" t="s">
        <v>26</v>
      </c>
      <c r="G5790" s="53"/>
    </row>
    <row r="5791">
      <c r="A5791" s="49">
        <v>44573.88650280093</v>
      </c>
      <c r="B5791" s="50">
        <v>44574.0114774421</v>
      </c>
      <c r="C5791" s="51">
        <v>1.003</v>
      </c>
      <c r="D5791" s="51">
        <v>63.0</v>
      </c>
      <c r="E5791" s="52" t="s">
        <v>25</v>
      </c>
      <c r="F5791" s="52" t="s">
        <v>26</v>
      </c>
      <c r="G5791" s="53"/>
    </row>
    <row r="5792">
      <c r="A5792" s="49">
        <v>44573.89693158565</v>
      </c>
      <c r="B5792" s="50">
        <v>44574.0219104976</v>
      </c>
      <c r="C5792" s="51">
        <v>1.004</v>
      </c>
      <c r="D5792" s="51">
        <v>63.0</v>
      </c>
      <c r="E5792" s="52" t="s">
        <v>25</v>
      </c>
      <c r="F5792" s="52" t="s">
        <v>26</v>
      </c>
      <c r="G5792" s="53"/>
    </row>
    <row r="5793">
      <c r="A5793" s="49">
        <v>44573.90736078704</v>
      </c>
      <c r="B5793" s="50">
        <v>44574.0323317476</v>
      </c>
      <c r="C5793" s="51">
        <v>1.004</v>
      </c>
      <c r="D5793" s="51">
        <v>63.0</v>
      </c>
      <c r="E5793" s="52" t="s">
        <v>25</v>
      </c>
      <c r="F5793" s="52" t="s">
        <v>26</v>
      </c>
      <c r="G5793" s="53"/>
    </row>
    <row r="5794">
      <c r="A5794" s="49">
        <v>44573.91778334491</v>
      </c>
      <c r="B5794" s="50">
        <v>44574.0427528819</v>
      </c>
      <c r="C5794" s="51">
        <v>1.004</v>
      </c>
      <c r="D5794" s="51">
        <v>63.0</v>
      </c>
      <c r="E5794" s="52" t="s">
        <v>25</v>
      </c>
      <c r="F5794" s="52" t="s">
        <v>26</v>
      </c>
      <c r="G5794" s="53"/>
    </row>
    <row r="5795">
      <c r="A5795" s="49">
        <v>44573.928195925924</v>
      </c>
      <c r="B5795" s="50">
        <v>44574.053174537</v>
      </c>
      <c r="C5795" s="51">
        <v>1.004</v>
      </c>
      <c r="D5795" s="51">
        <v>63.0</v>
      </c>
      <c r="E5795" s="52" t="s">
        <v>25</v>
      </c>
      <c r="F5795" s="52" t="s">
        <v>26</v>
      </c>
      <c r="G5795" s="53"/>
    </row>
    <row r="5796">
      <c r="A5796" s="49">
        <v>44573.93862598379</v>
      </c>
      <c r="B5796" s="50">
        <v>44574.0636058912</v>
      </c>
      <c r="C5796" s="51">
        <v>1.004</v>
      </c>
      <c r="D5796" s="51">
        <v>63.0</v>
      </c>
      <c r="E5796" s="52" t="s">
        <v>25</v>
      </c>
      <c r="F5796" s="52" t="s">
        <v>26</v>
      </c>
      <c r="G5796" s="53"/>
    </row>
    <row r="5797">
      <c r="A5797" s="49">
        <v>44573.94905851852</v>
      </c>
      <c r="B5797" s="50">
        <v>44574.0740276157</v>
      </c>
      <c r="C5797" s="51">
        <v>1.004</v>
      </c>
      <c r="D5797" s="51">
        <v>63.0</v>
      </c>
      <c r="E5797" s="52" t="s">
        <v>25</v>
      </c>
      <c r="F5797" s="52" t="s">
        <v>26</v>
      </c>
      <c r="G5797" s="53"/>
    </row>
    <row r="5798">
      <c r="A5798" s="49">
        <v>44573.95947376157</v>
      </c>
      <c r="B5798" s="50">
        <v>44574.084449456</v>
      </c>
      <c r="C5798" s="51">
        <v>1.004</v>
      </c>
      <c r="D5798" s="51">
        <v>63.0</v>
      </c>
      <c r="E5798" s="52" t="s">
        <v>25</v>
      </c>
      <c r="F5798" s="52" t="s">
        <v>26</v>
      </c>
      <c r="G5798" s="53"/>
    </row>
    <row r="5799">
      <c r="A5799" s="49">
        <v>44573.969890243054</v>
      </c>
      <c r="B5799" s="50">
        <v>44574.0948704976</v>
      </c>
      <c r="C5799" s="51">
        <v>1.003</v>
      </c>
      <c r="D5799" s="51">
        <v>63.0</v>
      </c>
      <c r="E5799" s="52" t="s">
        <v>25</v>
      </c>
      <c r="F5799" s="52" t="s">
        <v>26</v>
      </c>
      <c r="G5799" s="53"/>
    </row>
    <row r="5800">
      <c r="A5800" s="49">
        <v>44573.98031905093</v>
      </c>
      <c r="B5800" s="50">
        <v>44574.1052901273</v>
      </c>
      <c r="C5800" s="51">
        <v>1.004</v>
      </c>
      <c r="D5800" s="51">
        <v>63.0</v>
      </c>
      <c r="E5800" s="52" t="s">
        <v>25</v>
      </c>
      <c r="F5800" s="52" t="s">
        <v>26</v>
      </c>
      <c r="G5800" s="53"/>
    </row>
    <row r="5801">
      <c r="A5801" s="49">
        <v>44573.99073554398</v>
      </c>
      <c r="B5801" s="50">
        <v>44574.1157118518</v>
      </c>
      <c r="C5801" s="51">
        <v>1.004</v>
      </c>
      <c r="D5801" s="51">
        <v>63.0</v>
      </c>
      <c r="E5801" s="52" t="s">
        <v>25</v>
      </c>
      <c r="F5801" s="52" t="s">
        <v>26</v>
      </c>
      <c r="G5801" s="53"/>
    </row>
    <row r="5802">
      <c r="A5802" s="49">
        <v>44574.00117108796</v>
      </c>
      <c r="B5802" s="50">
        <v>44574.1261355787</v>
      </c>
      <c r="C5802" s="51">
        <v>1.004</v>
      </c>
      <c r="D5802" s="51">
        <v>63.0</v>
      </c>
      <c r="E5802" s="52" t="s">
        <v>25</v>
      </c>
      <c r="F5802" s="52" t="s">
        <v>26</v>
      </c>
      <c r="G5802" s="53"/>
    </row>
    <row r="5803">
      <c r="A5803" s="49">
        <v>44574.011573842596</v>
      </c>
      <c r="B5803" s="50">
        <v>44574.1365564351</v>
      </c>
      <c r="C5803" s="51">
        <v>1.004</v>
      </c>
      <c r="D5803" s="51">
        <v>63.0</v>
      </c>
      <c r="E5803" s="52" t="s">
        <v>25</v>
      </c>
      <c r="F5803" s="52" t="s">
        <v>26</v>
      </c>
      <c r="G5803" s="53"/>
    </row>
    <row r="5804">
      <c r="A5804" s="49">
        <v>44574.02201209491</v>
      </c>
      <c r="B5804" s="50">
        <v>44574.1469787268</v>
      </c>
      <c r="C5804" s="51">
        <v>1.003</v>
      </c>
      <c r="D5804" s="51">
        <v>63.0</v>
      </c>
      <c r="E5804" s="52" t="s">
        <v>25</v>
      </c>
      <c r="F5804" s="52" t="s">
        <v>26</v>
      </c>
      <c r="G5804" s="53"/>
    </row>
    <row r="5805">
      <c r="A5805" s="49">
        <v>44574.032431203705</v>
      </c>
      <c r="B5805" s="50">
        <v>44574.1574011342</v>
      </c>
      <c r="C5805" s="51">
        <v>1.004</v>
      </c>
      <c r="D5805" s="51">
        <v>62.0</v>
      </c>
      <c r="E5805" s="52" t="s">
        <v>25</v>
      </c>
      <c r="F5805" s="52" t="s">
        <v>26</v>
      </c>
      <c r="G5805" s="53"/>
    </row>
    <row r="5806">
      <c r="A5806" s="49">
        <v>44574.04285427083</v>
      </c>
      <c r="B5806" s="50">
        <v>44574.1678339699</v>
      </c>
      <c r="C5806" s="51">
        <v>1.004</v>
      </c>
      <c r="D5806" s="51">
        <v>62.0</v>
      </c>
      <c r="E5806" s="52" t="s">
        <v>25</v>
      </c>
      <c r="F5806" s="52" t="s">
        <v>26</v>
      </c>
      <c r="G5806" s="53"/>
    </row>
    <row r="5807">
      <c r="A5807" s="49">
        <v>44574.05328175926</v>
      </c>
      <c r="B5807" s="50">
        <v>44574.178255706</v>
      </c>
      <c r="C5807" s="51">
        <v>1.004</v>
      </c>
      <c r="D5807" s="51">
        <v>62.0</v>
      </c>
      <c r="E5807" s="52" t="s">
        <v>25</v>
      </c>
      <c r="F5807" s="52" t="s">
        <v>26</v>
      </c>
      <c r="G5807" s="53"/>
    </row>
    <row r="5808">
      <c r="A5808" s="49">
        <v>44574.06375803241</v>
      </c>
      <c r="B5808" s="50">
        <v>44574.1887113888</v>
      </c>
      <c r="C5808" s="51">
        <v>1.004</v>
      </c>
      <c r="D5808" s="51">
        <v>62.0</v>
      </c>
      <c r="E5808" s="52" t="s">
        <v>25</v>
      </c>
      <c r="F5808" s="52" t="s">
        <v>26</v>
      </c>
      <c r="G5808" s="53"/>
    </row>
    <row r="5809">
      <c r="A5809" s="49">
        <v>44574.07416859954</v>
      </c>
      <c r="B5809" s="50">
        <v>44574.1991311921</v>
      </c>
      <c r="C5809" s="51">
        <v>1.004</v>
      </c>
      <c r="D5809" s="51">
        <v>62.0</v>
      </c>
      <c r="E5809" s="52" t="s">
        <v>25</v>
      </c>
      <c r="F5809" s="52" t="s">
        <v>26</v>
      </c>
      <c r="G5809" s="53"/>
    </row>
    <row r="5810">
      <c r="A5810" s="49">
        <v>44574.0845859838</v>
      </c>
      <c r="B5810" s="50">
        <v>44574.2095514351</v>
      </c>
      <c r="C5810" s="51">
        <v>1.004</v>
      </c>
      <c r="D5810" s="51">
        <v>62.0</v>
      </c>
      <c r="E5810" s="52" t="s">
        <v>25</v>
      </c>
      <c r="F5810" s="52" t="s">
        <v>26</v>
      </c>
      <c r="G5810" s="53"/>
    </row>
    <row r="5811">
      <c r="A5811" s="49">
        <v>44574.094994872685</v>
      </c>
      <c r="B5811" s="50">
        <v>44574.2199726504</v>
      </c>
      <c r="C5811" s="51">
        <v>1.004</v>
      </c>
      <c r="D5811" s="51">
        <v>62.0</v>
      </c>
      <c r="E5811" s="52" t="s">
        <v>25</v>
      </c>
      <c r="F5811" s="52" t="s">
        <v>26</v>
      </c>
      <c r="G5811" s="53"/>
    </row>
    <row r="5812">
      <c r="A5812" s="49">
        <v>44574.10544494213</v>
      </c>
      <c r="B5812" s="50">
        <v>44574.230417199</v>
      </c>
      <c r="C5812" s="51">
        <v>1.004</v>
      </c>
      <c r="D5812" s="51">
        <v>62.0</v>
      </c>
      <c r="E5812" s="52" t="s">
        <v>25</v>
      </c>
      <c r="F5812" s="52" t="s">
        <v>26</v>
      </c>
      <c r="G5812" s="53"/>
    </row>
    <row r="5813">
      <c r="A5813" s="49">
        <v>44574.11585931713</v>
      </c>
      <c r="B5813" s="50">
        <v>44574.2408378935</v>
      </c>
      <c r="C5813" s="51">
        <v>1.003</v>
      </c>
      <c r="D5813" s="51">
        <v>62.0</v>
      </c>
      <c r="E5813" s="52" t="s">
        <v>25</v>
      </c>
      <c r="F5813" s="52" t="s">
        <v>26</v>
      </c>
      <c r="G5813" s="53"/>
    </row>
    <row r="5814">
      <c r="A5814" s="49">
        <v>44574.126285844904</v>
      </c>
      <c r="B5814" s="50">
        <v>44574.2512581365</v>
      </c>
      <c r="C5814" s="51">
        <v>1.004</v>
      </c>
      <c r="D5814" s="51">
        <v>62.0</v>
      </c>
      <c r="E5814" s="52" t="s">
        <v>25</v>
      </c>
      <c r="F5814" s="52" t="s">
        <v>26</v>
      </c>
      <c r="G5814" s="53"/>
    </row>
    <row r="5815">
      <c r="A5815" s="49">
        <v>44574.13670840277</v>
      </c>
      <c r="B5815" s="50">
        <v>44574.2616797222</v>
      </c>
      <c r="C5815" s="51">
        <v>1.004</v>
      </c>
      <c r="D5815" s="51">
        <v>62.0</v>
      </c>
      <c r="E5815" s="52" t="s">
        <v>25</v>
      </c>
      <c r="F5815" s="52" t="s">
        <v>26</v>
      </c>
      <c r="G5815" s="53"/>
    </row>
    <row r="5816">
      <c r="A5816" s="49">
        <v>44574.1471378125</v>
      </c>
      <c r="B5816" s="50">
        <v>44574.2721124652</v>
      </c>
      <c r="C5816" s="51">
        <v>1.004</v>
      </c>
      <c r="D5816" s="51">
        <v>62.0</v>
      </c>
      <c r="E5816" s="52" t="s">
        <v>25</v>
      </c>
      <c r="F5816" s="52" t="s">
        <v>26</v>
      </c>
      <c r="G5816" s="53"/>
    </row>
    <row r="5817">
      <c r="A5817" s="49">
        <v>44574.157573923614</v>
      </c>
      <c r="B5817" s="50">
        <v>44574.2825460532</v>
      </c>
      <c r="C5817" s="51">
        <v>1.004</v>
      </c>
      <c r="D5817" s="51">
        <v>62.0</v>
      </c>
      <c r="E5817" s="52" t="s">
        <v>25</v>
      </c>
      <c r="F5817" s="52" t="s">
        <v>26</v>
      </c>
      <c r="G5817" s="53"/>
    </row>
    <row r="5818">
      <c r="A5818" s="49">
        <v>44574.167997013894</v>
      </c>
      <c r="B5818" s="50">
        <v>44574.2929693981</v>
      </c>
      <c r="C5818" s="51">
        <v>1.004</v>
      </c>
      <c r="D5818" s="51">
        <v>62.0</v>
      </c>
      <c r="E5818" s="52" t="s">
        <v>25</v>
      </c>
      <c r="F5818" s="52" t="s">
        <v>26</v>
      </c>
      <c r="G5818" s="53"/>
    </row>
    <row r="5819">
      <c r="A5819" s="49">
        <v>44574.17841728009</v>
      </c>
      <c r="B5819" s="50">
        <v>44574.303390949</v>
      </c>
      <c r="C5819" s="51">
        <v>1.004</v>
      </c>
      <c r="D5819" s="51">
        <v>62.0</v>
      </c>
      <c r="E5819" s="52" t="s">
        <v>25</v>
      </c>
      <c r="F5819" s="52" t="s">
        <v>26</v>
      </c>
      <c r="G5819" s="53"/>
    </row>
    <row r="5820">
      <c r="A5820" s="49">
        <v>44574.1888280787</v>
      </c>
      <c r="B5820" s="50">
        <v>44574.3138108333</v>
      </c>
      <c r="C5820" s="51">
        <v>1.004</v>
      </c>
      <c r="D5820" s="51">
        <v>62.0</v>
      </c>
      <c r="E5820" s="52" t="s">
        <v>25</v>
      </c>
      <c r="F5820" s="52" t="s">
        <v>26</v>
      </c>
      <c r="G5820" s="53"/>
    </row>
    <row r="5821">
      <c r="A5821" s="49">
        <v>44574.199258657405</v>
      </c>
      <c r="B5821" s="50">
        <v>44574.3242331828</v>
      </c>
      <c r="C5821" s="51">
        <v>1.004</v>
      </c>
      <c r="D5821" s="51">
        <v>62.0</v>
      </c>
      <c r="E5821" s="52" t="s">
        <v>25</v>
      </c>
      <c r="F5821" s="52" t="s">
        <v>26</v>
      </c>
      <c r="G5821" s="53"/>
    </row>
    <row r="5822">
      <c r="A5822" s="49">
        <v>44574.209690069445</v>
      </c>
      <c r="B5822" s="50">
        <v>44574.334653449</v>
      </c>
      <c r="C5822" s="51">
        <v>1.003</v>
      </c>
      <c r="D5822" s="51">
        <v>62.0</v>
      </c>
      <c r="E5822" s="52" t="s">
        <v>25</v>
      </c>
      <c r="F5822" s="52" t="s">
        <v>26</v>
      </c>
      <c r="G5822" s="53"/>
    </row>
    <row r="5823">
      <c r="A5823" s="49">
        <v>44574.22012835648</v>
      </c>
      <c r="B5823" s="50">
        <v>44574.3450968981</v>
      </c>
      <c r="C5823" s="51">
        <v>1.004</v>
      </c>
      <c r="D5823" s="51">
        <v>62.0</v>
      </c>
      <c r="E5823" s="52" t="s">
        <v>25</v>
      </c>
      <c r="F5823" s="52" t="s">
        <v>26</v>
      </c>
      <c r="G5823" s="53"/>
    </row>
    <row r="5824">
      <c r="A5824" s="49">
        <v>44574.23054857639</v>
      </c>
      <c r="B5824" s="50">
        <v>44574.3555168981</v>
      </c>
      <c r="C5824" s="51">
        <v>1.004</v>
      </c>
      <c r="D5824" s="51">
        <v>62.0</v>
      </c>
      <c r="E5824" s="52" t="s">
        <v>25</v>
      </c>
      <c r="F5824" s="52" t="s">
        <v>26</v>
      </c>
      <c r="G5824" s="53"/>
    </row>
    <row r="5825">
      <c r="A5825" s="49">
        <v>44574.24098513889</v>
      </c>
      <c r="B5825" s="50">
        <v>44574.3659489583</v>
      </c>
      <c r="C5825" s="51">
        <v>1.004</v>
      </c>
      <c r="D5825" s="51">
        <v>62.0</v>
      </c>
      <c r="E5825" s="52" t="s">
        <v>25</v>
      </c>
      <c r="F5825" s="52" t="s">
        <v>26</v>
      </c>
      <c r="G5825" s="53"/>
    </row>
    <row r="5826">
      <c r="A5826" s="49">
        <v>44574.25140096065</v>
      </c>
      <c r="B5826" s="50">
        <v>44574.3763684143</v>
      </c>
      <c r="C5826" s="51">
        <v>1.004</v>
      </c>
      <c r="D5826" s="51">
        <v>62.0</v>
      </c>
      <c r="E5826" s="52" t="s">
        <v>25</v>
      </c>
      <c r="F5826" s="52" t="s">
        <v>26</v>
      </c>
      <c r="G5826" s="53"/>
    </row>
    <row r="5827">
      <c r="A5827" s="49">
        <v>44574.261820266205</v>
      </c>
      <c r="B5827" s="50">
        <v>44574.3867898958</v>
      </c>
      <c r="C5827" s="51">
        <v>1.003</v>
      </c>
      <c r="D5827" s="51">
        <v>62.0</v>
      </c>
      <c r="E5827" s="52" t="s">
        <v>25</v>
      </c>
      <c r="F5827" s="52" t="s">
        <v>26</v>
      </c>
      <c r="G5827" s="53"/>
    </row>
    <row r="5828">
      <c r="A5828" s="49">
        <v>44574.27224475694</v>
      </c>
      <c r="B5828" s="50">
        <v>44574.39721978</v>
      </c>
      <c r="C5828" s="51">
        <v>1.004</v>
      </c>
      <c r="D5828" s="51">
        <v>62.0</v>
      </c>
      <c r="E5828" s="52" t="s">
        <v>25</v>
      </c>
      <c r="F5828" s="52" t="s">
        <v>26</v>
      </c>
      <c r="G5828" s="53"/>
    </row>
    <row r="5829">
      <c r="A5829" s="49">
        <v>44574.2826665162</v>
      </c>
      <c r="B5829" s="50">
        <v>44574.4076416666</v>
      </c>
      <c r="C5829" s="51">
        <v>1.004</v>
      </c>
      <c r="D5829" s="51">
        <v>62.0</v>
      </c>
      <c r="E5829" s="52" t="s">
        <v>25</v>
      </c>
      <c r="F5829" s="52" t="s">
        <v>26</v>
      </c>
      <c r="G5829" s="53"/>
    </row>
    <row r="5830">
      <c r="A5830" s="49">
        <v>44574.29308398148</v>
      </c>
      <c r="B5830" s="50">
        <v>44574.4180637152</v>
      </c>
      <c r="C5830" s="51">
        <v>1.004</v>
      </c>
      <c r="D5830" s="51">
        <v>62.0</v>
      </c>
      <c r="E5830" s="52" t="s">
        <v>25</v>
      </c>
      <c r="F5830" s="52" t="s">
        <v>26</v>
      </c>
      <c r="G5830" s="53"/>
    </row>
    <row r="5831">
      <c r="A5831" s="49">
        <v>44574.30350407407</v>
      </c>
      <c r="B5831" s="50">
        <v>44574.4284840046</v>
      </c>
      <c r="C5831" s="51">
        <v>1.004</v>
      </c>
      <c r="D5831" s="51">
        <v>62.0</v>
      </c>
      <c r="E5831" s="52" t="s">
        <v>25</v>
      </c>
      <c r="F5831" s="52" t="s">
        <v>26</v>
      </c>
      <c r="G5831" s="53"/>
    </row>
    <row r="5832">
      <c r="A5832" s="49">
        <v>44574.31393476852</v>
      </c>
      <c r="B5832" s="50">
        <v>44574.4389039699</v>
      </c>
      <c r="C5832" s="51">
        <v>1.004</v>
      </c>
      <c r="D5832" s="51">
        <v>62.0</v>
      </c>
      <c r="E5832" s="52" t="s">
        <v>25</v>
      </c>
      <c r="F5832" s="52" t="s">
        <v>26</v>
      </c>
      <c r="G5832" s="53"/>
    </row>
    <row r="5833">
      <c r="A5833" s="49">
        <v>44574.32436273148</v>
      </c>
      <c r="B5833" s="50">
        <v>44574.4493377777</v>
      </c>
      <c r="C5833" s="51">
        <v>1.004</v>
      </c>
      <c r="D5833" s="51">
        <v>62.0</v>
      </c>
      <c r="E5833" s="52" t="s">
        <v>25</v>
      </c>
      <c r="F5833" s="52" t="s">
        <v>26</v>
      </c>
      <c r="G5833" s="53"/>
    </row>
    <row r="5834">
      <c r="A5834" s="49">
        <v>44574.33478734954</v>
      </c>
      <c r="B5834" s="50">
        <v>44574.4597572337</v>
      </c>
      <c r="C5834" s="51">
        <v>1.004</v>
      </c>
      <c r="D5834" s="51">
        <v>62.0</v>
      </c>
      <c r="E5834" s="52" t="s">
        <v>25</v>
      </c>
      <c r="F5834" s="52" t="s">
        <v>26</v>
      </c>
      <c r="G5834" s="53"/>
    </row>
    <row r="5835">
      <c r="A5835" s="49">
        <v>44574.345200752316</v>
      </c>
      <c r="B5835" s="50">
        <v>44574.4701786921</v>
      </c>
      <c r="C5835" s="51">
        <v>1.004</v>
      </c>
      <c r="D5835" s="51">
        <v>62.0</v>
      </c>
      <c r="E5835" s="52" t="s">
        <v>25</v>
      </c>
      <c r="F5835" s="52" t="s">
        <v>26</v>
      </c>
      <c r="G5835" s="53"/>
    </row>
    <row r="5836">
      <c r="A5836" s="49">
        <v>44574.35564311343</v>
      </c>
      <c r="B5836" s="50">
        <v>44574.4806113773</v>
      </c>
      <c r="C5836" s="51">
        <v>1.004</v>
      </c>
      <c r="D5836" s="51">
        <v>62.0</v>
      </c>
      <c r="E5836" s="52" t="s">
        <v>25</v>
      </c>
      <c r="F5836" s="52" t="s">
        <v>26</v>
      </c>
      <c r="G5836" s="53"/>
    </row>
    <row r="5837">
      <c r="A5837" s="49">
        <v>44574.36606296296</v>
      </c>
      <c r="B5837" s="50">
        <v>44574.4910335532</v>
      </c>
      <c r="C5837" s="51">
        <v>1.004</v>
      </c>
      <c r="D5837" s="51">
        <v>62.0</v>
      </c>
      <c r="E5837" s="52" t="s">
        <v>25</v>
      </c>
      <c r="F5837" s="52" t="s">
        <v>26</v>
      </c>
      <c r="G5837" s="53"/>
    </row>
    <row r="5838">
      <c r="A5838" s="49">
        <v>44574.3764766088</v>
      </c>
      <c r="B5838" s="50">
        <v>44574.50145353</v>
      </c>
      <c r="C5838" s="51">
        <v>1.004</v>
      </c>
      <c r="D5838" s="51">
        <v>62.0</v>
      </c>
      <c r="E5838" s="52" t="s">
        <v>25</v>
      </c>
      <c r="F5838" s="52" t="s">
        <v>26</v>
      </c>
      <c r="G5838" s="53"/>
    </row>
    <row r="5839">
      <c r="A5839" s="49">
        <v>44574.38690297454</v>
      </c>
      <c r="B5839" s="50">
        <v>44574.5118739583</v>
      </c>
      <c r="C5839" s="51">
        <v>1.004</v>
      </c>
      <c r="D5839" s="51">
        <v>62.0</v>
      </c>
      <c r="E5839" s="52" t="s">
        <v>25</v>
      </c>
      <c r="F5839" s="52" t="s">
        <v>26</v>
      </c>
      <c r="G5839" s="53"/>
    </row>
    <row r="5840">
      <c r="A5840" s="49">
        <v>44574.397330300926</v>
      </c>
      <c r="B5840" s="50">
        <v>44574.5222962152</v>
      </c>
      <c r="C5840" s="51">
        <v>1.004</v>
      </c>
      <c r="D5840" s="51">
        <v>62.0</v>
      </c>
      <c r="E5840" s="52" t="s">
        <v>25</v>
      </c>
      <c r="F5840" s="52" t="s">
        <v>26</v>
      </c>
      <c r="G5840" s="53"/>
    </row>
    <row r="5841">
      <c r="A5841" s="49">
        <v>44574.40773771991</v>
      </c>
      <c r="B5841" s="50">
        <v>44574.532717199</v>
      </c>
      <c r="C5841" s="51">
        <v>1.003</v>
      </c>
      <c r="D5841" s="51">
        <v>62.0</v>
      </c>
      <c r="E5841" s="52" t="s">
        <v>25</v>
      </c>
      <c r="F5841" s="52" t="s">
        <v>26</v>
      </c>
      <c r="G5841" s="53"/>
    </row>
    <row r="5842">
      <c r="A5842" s="49">
        <v>44574.41817579861</v>
      </c>
      <c r="B5842" s="50">
        <v>44574.5431491087</v>
      </c>
      <c r="C5842" s="51">
        <v>1.003</v>
      </c>
      <c r="D5842" s="51">
        <v>62.0</v>
      </c>
      <c r="E5842" s="52" t="s">
        <v>25</v>
      </c>
      <c r="F5842" s="52" t="s">
        <v>26</v>
      </c>
      <c r="G5842" s="53"/>
    </row>
    <row r="5843">
      <c r="A5843" s="49">
        <v>44574.42860035879</v>
      </c>
      <c r="B5843" s="50">
        <v>44574.5535698379</v>
      </c>
      <c r="C5843" s="51">
        <v>1.004</v>
      </c>
      <c r="D5843" s="51">
        <v>62.0</v>
      </c>
      <c r="E5843" s="52" t="s">
        <v>25</v>
      </c>
      <c r="F5843" s="52" t="s">
        <v>26</v>
      </c>
      <c r="G5843" s="53"/>
    </row>
    <row r="5844">
      <c r="A5844" s="49">
        <v>44574.43902178241</v>
      </c>
      <c r="B5844" s="50">
        <v>44574.563990243</v>
      </c>
      <c r="C5844" s="51">
        <v>1.004</v>
      </c>
      <c r="D5844" s="51">
        <v>62.0</v>
      </c>
      <c r="E5844" s="52" t="s">
        <v>25</v>
      </c>
      <c r="F5844" s="52" t="s">
        <v>26</v>
      </c>
      <c r="G5844" s="53"/>
    </row>
    <row r="5845">
      <c r="A5845" s="49">
        <v>44574.44944210648</v>
      </c>
      <c r="B5845" s="50">
        <v>44574.5744118865</v>
      </c>
      <c r="C5845" s="51">
        <v>1.004</v>
      </c>
      <c r="D5845" s="51">
        <v>62.0</v>
      </c>
      <c r="E5845" s="52" t="s">
        <v>25</v>
      </c>
      <c r="F5845" s="52" t="s">
        <v>26</v>
      </c>
      <c r="G5845" s="53"/>
    </row>
    <row r="5846">
      <c r="A5846" s="49">
        <v>44574.45985501158</v>
      </c>
      <c r="B5846" s="50">
        <v>44574.5848337615</v>
      </c>
      <c r="C5846" s="51">
        <v>1.003</v>
      </c>
      <c r="D5846" s="51">
        <v>62.0</v>
      </c>
      <c r="E5846" s="52" t="s">
        <v>25</v>
      </c>
      <c r="F5846" s="52" t="s">
        <v>26</v>
      </c>
      <c r="G5846" s="53"/>
    </row>
    <row r="5847">
      <c r="A5847" s="49">
        <v>44574.470298229164</v>
      </c>
      <c r="B5847" s="50">
        <v>44574.595277743</v>
      </c>
      <c r="C5847" s="51">
        <v>1.004</v>
      </c>
      <c r="D5847" s="51">
        <v>62.0</v>
      </c>
      <c r="E5847" s="52" t="s">
        <v>25</v>
      </c>
      <c r="F5847" s="52" t="s">
        <v>26</v>
      </c>
      <c r="G5847" s="53"/>
    </row>
    <row r="5848">
      <c r="A5848" s="49">
        <v>44574.48071853009</v>
      </c>
      <c r="B5848" s="50">
        <v>44574.6056973032</v>
      </c>
      <c r="C5848" s="51">
        <v>1.004</v>
      </c>
      <c r="D5848" s="51">
        <v>62.0</v>
      </c>
      <c r="E5848" s="52" t="s">
        <v>25</v>
      </c>
      <c r="F5848" s="52" t="s">
        <v>26</v>
      </c>
      <c r="G5848" s="53"/>
    </row>
    <row r="5849">
      <c r="A5849" s="49">
        <v>44574.491144444444</v>
      </c>
      <c r="B5849" s="50">
        <v>44574.6161189004</v>
      </c>
      <c r="C5849" s="51">
        <v>1.003</v>
      </c>
      <c r="D5849" s="51">
        <v>62.0</v>
      </c>
      <c r="E5849" s="52" t="s">
        <v>25</v>
      </c>
      <c r="F5849" s="52" t="s">
        <v>26</v>
      </c>
      <c r="G5849" s="53"/>
    </row>
    <row r="5850">
      <c r="A5850" s="49">
        <v>44574.501570486114</v>
      </c>
      <c r="B5850" s="50">
        <v>44574.6265395138</v>
      </c>
      <c r="C5850" s="51">
        <v>1.004</v>
      </c>
      <c r="D5850" s="51">
        <v>62.0</v>
      </c>
      <c r="E5850" s="52" t="s">
        <v>25</v>
      </c>
      <c r="F5850" s="52" t="s">
        <v>26</v>
      </c>
      <c r="G5850" s="53"/>
    </row>
    <row r="5851">
      <c r="A5851" s="49">
        <v>44574.511986261576</v>
      </c>
      <c r="B5851" s="50">
        <v>44574.6369605555</v>
      </c>
      <c r="C5851" s="51">
        <v>1.004</v>
      </c>
      <c r="D5851" s="51">
        <v>62.0</v>
      </c>
      <c r="E5851" s="52" t="s">
        <v>25</v>
      </c>
      <c r="F5851" s="52" t="s">
        <v>26</v>
      </c>
      <c r="G5851" s="53"/>
    </row>
    <row r="5852">
      <c r="A5852" s="49">
        <v>44574.522403854164</v>
      </c>
      <c r="B5852" s="50">
        <v>44574.6473826157</v>
      </c>
      <c r="C5852" s="51">
        <v>1.004</v>
      </c>
      <c r="D5852" s="51">
        <v>62.0</v>
      </c>
      <c r="E5852" s="52" t="s">
        <v>25</v>
      </c>
      <c r="F5852" s="52" t="s">
        <v>26</v>
      </c>
      <c r="G5852" s="53"/>
    </row>
    <row r="5853">
      <c r="A5853" s="49">
        <v>44574.532840127315</v>
      </c>
      <c r="B5853" s="50">
        <v>44574.6578145717</v>
      </c>
      <c r="C5853" s="51">
        <v>1.004</v>
      </c>
      <c r="D5853" s="51">
        <v>62.0</v>
      </c>
      <c r="E5853" s="52" t="s">
        <v>25</v>
      </c>
      <c r="F5853" s="52" t="s">
        <v>26</v>
      </c>
      <c r="G5853" s="53"/>
    </row>
    <row r="5854">
      <c r="A5854" s="49">
        <v>44574.54325949074</v>
      </c>
      <c r="B5854" s="50">
        <v>44574.6682342129</v>
      </c>
      <c r="C5854" s="51">
        <v>1.004</v>
      </c>
      <c r="D5854" s="51">
        <v>62.0</v>
      </c>
      <c r="E5854" s="52" t="s">
        <v>25</v>
      </c>
      <c r="F5854" s="52" t="s">
        <v>26</v>
      </c>
      <c r="G5854" s="53"/>
    </row>
    <row r="5855">
      <c r="A5855" s="49">
        <v>44574.553698020834</v>
      </c>
      <c r="B5855" s="50">
        <v>44574.6786795486</v>
      </c>
      <c r="C5855" s="51">
        <v>1.004</v>
      </c>
      <c r="D5855" s="51">
        <v>62.0</v>
      </c>
      <c r="E5855" s="52" t="s">
        <v>25</v>
      </c>
      <c r="F5855" s="52" t="s">
        <v>26</v>
      </c>
      <c r="G5855" s="53"/>
    </row>
    <row r="5856">
      <c r="A5856" s="49">
        <v>44574.56412591435</v>
      </c>
      <c r="B5856" s="50">
        <v>44574.6890997222</v>
      </c>
      <c r="C5856" s="51">
        <v>1.004</v>
      </c>
      <c r="D5856" s="51">
        <v>62.0</v>
      </c>
      <c r="E5856" s="52" t="s">
        <v>25</v>
      </c>
      <c r="F5856" s="52" t="s">
        <v>26</v>
      </c>
      <c r="G5856" s="53"/>
    </row>
    <row r="5857">
      <c r="A5857" s="49">
        <v>44574.57454648148</v>
      </c>
      <c r="B5857" s="50">
        <v>44574.6995197685</v>
      </c>
      <c r="C5857" s="51">
        <v>1.004</v>
      </c>
      <c r="D5857" s="51">
        <v>62.0</v>
      </c>
      <c r="E5857" s="52" t="s">
        <v>25</v>
      </c>
      <c r="F5857" s="52" t="s">
        <v>26</v>
      </c>
      <c r="G5857" s="53"/>
    </row>
    <row r="5858">
      <c r="A5858" s="49">
        <v>44574.58496590277</v>
      </c>
      <c r="B5858" s="50">
        <v>44574.709940405</v>
      </c>
      <c r="C5858" s="51">
        <v>1.004</v>
      </c>
      <c r="D5858" s="51">
        <v>62.0</v>
      </c>
      <c r="E5858" s="52" t="s">
        <v>25</v>
      </c>
      <c r="F5858" s="52" t="s">
        <v>26</v>
      </c>
      <c r="G5858" s="53"/>
    </row>
    <row r="5859">
      <c r="A5859" s="49">
        <v>44574.59539606482</v>
      </c>
      <c r="B5859" s="50">
        <v>44574.7203618287</v>
      </c>
      <c r="C5859" s="51">
        <v>1.004</v>
      </c>
      <c r="D5859" s="51">
        <v>62.0</v>
      </c>
      <c r="E5859" s="52" t="s">
        <v>25</v>
      </c>
      <c r="F5859" s="52" t="s">
        <v>26</v>
      </c>
      <c r="G5859" s="53"/>
    </row>
    <row r="5860">
      <c r="A5860" s="49">
        <v>44574.60581013889</v>
      </c>
      <c r="B5860" s="50">
        <v>44574.7307827314</v>
      </c>
      <c r="C5860" s="51">
        <v>1.004</v>
      </c>
      <c r="D5860" s="51">
        <v>62.0</v>
      </c>
      <c r="E5860" s="52" t="s">
        <v>25</v>
      </c>
      <c r="F5860" s="52" t="s">
        <v>26</v>
      </c>
      <c r="G5860" s="53"/>
    </row>
    <row r="5861">
      <c r="A5861" s="49">
        <v>44574.61622805556</v>
      </c>
      <c r="B5861" s="50">
        <v>44574.7412042476</v>
      </c>
      <c r="C5861" s="51">
        <v>1.004</v>
      </c>
      <c r="D5861" s="51">
        <v>62.0</v>
      </c>
      <c r="E5861" s="52" t="s">
        <v>25</v>
      </c>
      <c r="F5861" s="52" t="s">
        <v>26</v>
      </c>
      <c r="G5861" s="53"/>
    </row>
    <row r="5862">
      <c r="A5862" s="49">
        <v>44574.62664444445</v>
      </c>
      <c r="B5862" s="50">
        <v>44574.7516260416</v>
      </c>
      <c r="C5862" s="51">
        <v>1.004</v>
      </c>
      <c r="D5862" s="51">
        <v>62.0</v>
      </c>
      <c r="E5862" s="52" t="s">
        <v>25</v>
      </c>
      <c r="F5862" s="52" t="s">
        <v>26</v>
      </c>
      <c r="G5862" s="53"/>
    </row>
    <row r="5863">
      <c r="A5863" s="49">
        <v>44574.637078506945</v>
      </c>
      <c r="B5863" s="50">
        <v>44574.7620479398</v>
      </c>
      <c r="C5863" s="51">
        <v>1.004</v>
      </c>
      <c r="D5863" s="51">
        <v>62.0</v>
      </c>
      <c r="E5863" s="52" t="s">
        <v>25</v>
      </c>
      <c r="F5863" s="52" t="s">
        <v>26</v>
      </c>
      <c r="G5863" s="53"/>
    </row>
    <row r="5864">
      <c r="A5864" s="49">
        <v>44574.64749533565</v>
      </c>
      <c r="B5864" s="50">
        <v>44574.7724687499</v>
      </c>
      <c r="C5864" s="51">
        <v>1.004</v>
      </c>
      <c r="D5864" s="51">
        <v>62.0</v>
      </c>
      <c r="E5864" s="52" t="s">
        <v>25</v>
      </c>
      <c r="F5864" s="52" t="s">
        <v>26</v>
      </c>
      <c r="G5864" s="53"/>
    </row>
    <row r="5865">
      <c r="A5865" s="49">
        <v>44574.65791003472</v>
      </c>
      <c r="B5865" s="50">
        <v>44574.782888912</v>
      </c>
      <c r="C5865" s="51">
        <v>1.004</v>
      </c>
      <c r="D5865" s="51">
        <v>62.0</v>
      </c>
      <c r="E5865" s="52" t="s">
        <v>25</v>
      </c>
      <c r="F5865" s="52" t="s">
        <v>26</v>
      </c>
      <c r="G5865" s="53"/>
    </row>
    <row r="5866">
      <c r="A5866" s="49">
        <v>44574.66833018519</v>
      </c>
      <c r="B5866" s="50">
        <v>44574.7933098032</v>
      </c>
      <c r="C5866" s="51">
        <v>1.004</v>
      </c>
      <c r="D5866" s="51">
        <v>62.0</v>
      </c>
      <c r="E5866" s="52" t="s">
        <v>25</v>
      </c>
      <c r="F5866" s="52" t="s">
        <v>26</v>
      </c>
      <c r="G5866" s="53"/>
    </row>
    <row r="5867">
      <c r="A5867" s="49">
        <v>44574.67875899306</v>
      </c>
      <c r="B5867" s="50">
        <v>44574.8037313888</v>
      </c>
      <c r="C5867" s="51">
        <v>1.004</v>
      </c>
      <c r="D5867" s="51">
        <v>62.0</v>
      </c>
      <c r="E5867" s="52" t="s">
        <v>25</v>
      </c>
      <c r="F5867" s="52" t="s">
        <v>26</v>
      </c>
      <c r="G5867" s="53"/>
    </row>
    <row r="5868">
      <c r="A5868" s="49">
        <v>44574.689181458336</v>
      </c>
      <c r="B5868" s="50">
        <v>44574.8141520486</v>
      </c>
      <c r="C5868" s="51">
        <v>1.004</v>
      </c>
      <c r="D5868" s="51">
        <v>62.0</v>
      </c>
      <c r="E5868" s="52" t="s">
        <v>25</v>
      </c>
      <c r="F5868" s="52" t="s">
        <v>26</v>
      </c>
      <c r="G5868" s="53"/>
    </row>
    <row r="5869">
      <c r="A5869" s="49">
        <v>44574.69960090278</v>
      </c>
      <c r="B5869" s="50">
        <v>44574.8245728703</v>
      </c>
      <c r="C5869" s="51">
        <v>1.004</v>
      </c>
      <c r="D5869" s="51">
        <v>62.0</v>
      </c>
      <c r="E5869" s="52" t="s">
        <v>25</v>
      </c>
      <c r="F5869" s="52" t="s">
        <v>26</v>
      </c>
      <c r="G5869" s="53"/>
    </row>
    <row r="5870">
      <c r="A5870" s="49">
        <v>44574.71003835648</v>
      </c>
      <c r="B5870" s="50">
        <v>44574.8350188078</v>
      </c>
      <c r="C5870" s="51">
        <v>1.004</v>
      </c>
      <c r="D5870" s="51">
        <v>62.0</v>
      </c>
      <c r="E5870" s="52" t="s">
        <v>25</v>
      </c>
      <c r="F5870" s="52" t="s">
        <v>26</v>
      </c>
      <c r="G5870" s="53"/>
    </row>
    <row r="5871">
      <c r="A5871" s="49">
        <v>44574.72045652778</v>
      </c>
      <c r="B5871" s="50">
        <v>44574.8454388773</v>
      </c>
      <c r="C5871" s="51">
        <v>1.004</v>
      </c>
      <c r="D5871" s="51">
        <v>62.0</v>
      </c>
      <c r="E5871" s="52" t="s">
        <v>25</v>
      </c>
      <c r="F5871" s="52" t="s">
        <v>26</v>
      </c>
      <c r="G5871" s="53"/>
    </row>
    <row r="5872">
      <c r="A5872" s="49">
        <v>44574.73089045139</v>
      </c>
      <c r="B5872" s="50">
        <v>44574.8558603935</v>
      </c>
      <c r="C5872" s="51">
        <v>1.003</v>
      </c>
      <c r="D5872" s="51">
        <v>62.0</v>
      </c>
      <c r="E5872" s="52" t="s">
        <v>25</v>
      </c>
      <c r="F5872" s="52" t="s">
        <v>26</v>
      </c>
      <c r="G5872" s="53"/>
    </row>
    <row r="5873">
      <c r="A5873" s="49">
        <v>44574.741310983794</v>
      </c>
      <c r="B5873" s="50">
        <v>44574.8662805671</v>
      </c>
      <c r="C5873" s="51">
        <v>1.004</v>
      </c>
      <c r="D5873" s="51">
        <v>62.0</v>
      </c>
      <c r="E5873" s="52" t="s">
        <v>25</v>
      </c>
      <c r="F5873" s="52" t="s">
        <v>26</v>
      </c>
      <c r="G5873" s="53"/>
    </row>
    <row r="5874">
      <c r="A5874" s="49">
        <v>44574.75173212963</v>
      </c>
      <c r="B5874" s="50">
        <v>44574.8767021064</v>
      </c>
      <c r="C5874" s="51">
        <v>1.004</v>
      </c>
      <c r="D5874" s="51">
        <v>62.0</v>
      </c>
      <c r="E5874" s="52" t="s">
        <v>25</v>
      </c>
      <c r="F5874" s="52" t="s">
        <v>26</v>
      </c>
      <c r="G5874" s="53"/>
    </row>
    <row r="5875">
      <c r="A5875" s="49">
        <v>44574.762155081014</v>
      </c>
      <c r="B5875" s="50">
        <v>44574.88712375</v>
      </c>
      <c r="C5875" s="51">
        <v>1.004</v>
      </c>
      <c r="D5875" s="51">
        <v>62.0</v>
      </c>
      <c r="E5875" s="52" t="s">
        <v>25</v>
      </c>
      <c r="F5875" s="52" t="s">
        <v>26</v>
      </c>
      <c r="G5875" s="53"/>
    </row>
    <row r="5876">
      <c r="A5876" s="49">
        <v>44574.77256520833</v>
      </c>
      <c r="B5876" s="50">
        <v>44574.8975446412</v>
      </c>
      <c r="C5876" s="51">
        <v>1.004</v>
      </c>
      <c r="D5876" s="51">
        <v>62.0</v>
      </c>
      <c r="E5876" s="52" t="s">
        <v>25</v>
      </c>
      <c r="F5876" s="52" t="s">
        <v>26</v>
      </c>
      <c r="G5876" s="53"/>
    </row>
    <row r="5877">
      <c r="A5877" s="49">
        <v>44574.78299435185</v>
      </c>
      <c r="B5877" s="50">
        <v>44574.907965868</v>
      </c>
      <c r="C5877" s="51">
        <v>1.004</v>
      </c>
      <c r="D5877" s="51">
        <v>62.0</v>
      </c>
      <c r="E5877" s="52" t="s">
        <v>25</v>
      </c>
      <c r="F5877" s="52" t="s">
        <v>26</v>
      </c>
      <c r="G5877" s="53"/>
    </row>
    <row r="5878">
      <c r="A5878" s="49">
        <v>44574.79341355324</v>
      </c>
      <c r="B5878" s="50">
        <v>44574.9183879745</v>
      </c>
      <c r="C5878" s="51">
        <v>1.004</v>
      </c>
      <c r="D5878" s="51">
        <v>61.0</v>
      </c>
      <c r="E5878" s="52" t="s">
        <v>25</v>
      </c>
      <c r="F5878" s="52" t="s">
        <v>26</v>
      </c>
      <c r="G5878" s="53"/>
    </row>
    <row r="5879">
      <c r="A5879" s="49">
        <v>44574.803835081024</v>
      </c>
      <c r="B5879" s="50">
        <v>44574.9288094328</v>
      </c>
      <c r="C5879" s="51">
        <v>1.004</v>
      </c>
      <c r="D5879" s="51">
        <v>62.0</v>
      </c>
      <c r="E5879" s="52" t="s">
        <v>25</v>
      </c>
      <c r="F5879" s="52" t="s">
        <v>26</v>
      </c>
      <c r="G5879" s="53"/>
    </row>
    <row r="5880">
      <c r="A5880" s="49">
        <v>44574.814259328705</v>
      </c>
      <c r="B5880" s="50">
        <v>44574.9392308796</v>
      </c>
      <c r="C5880" s="51">
        <v>1.003</v>
      </c>
      <c r="D5880" s="51">
        <v>62.0</v>
      </c>
      <c r="E5880" s="52" t="s">
        <v>25</v>
      </c>
      <c r="F5880" s="52" t="s">
        <v>26</v>
      </c>
      <c r="G5880" s="53"/>
    </row>
    <row r="5881">
      <c r="A5881" s="49">
        <v>44574.82467640046</v>
      </c>
      <c r="B5881" s="50">
        <v>44574.9496529398</v>
      </c>
      <c r="C5881" s="51">
        <v>1.003</v>
      </c>
      <c r="D5881" s="51">
        <v>62.0</v>
      </c>
      <c r="E5881" s="52" t="s">
        <v>25</v>
      </c>
      <c r="F5881" s="52" t="s">
        <v>26</v>
      </c>
      <c r="G5881" s="53"/>
    </row>
    <row r="5882">
      <c r="A5882" s="49">
        <v>44574.835105266204</v>
      </c>
      <c r="B5882" s="50">
        <v>44574.9600741666</v>
      </c>
      <c r="C5882" s="51">
        <v>1.003</v>
      </c>
      <c r="D5882" s="51">
        <v>62.0</v>
      </c>
      <c r="E5882" s="52" t="s">
        <v>25</v>
      </c>
      <c r="F5882" s="52" t="s">
        <v>26</v>
      </c>
      <c r="G5882" s="53"/>
    </row>
    <row r="5883">
      <c r="A5883" s="49">
        <v>44574.84552310185</v>
      </c>
      <c r="B5883" s="50">
        <v>44574.9704958333</v>
      </c>
      <c r="C5883" s="51">
        <v>1.004</v>
      </c>
      <c r="D5883" s="51">
        <v>62.0</v>
      </c>
      <c r="E5883" s="52" t="s">
        <v>25</v>
      </c>
      <c r="F5883" s="52" t="s">
        <v>26</v>
      </c>
      <c r="G5883" s="53"/>
    </row>
    <row r="5884">
      <c r="A5884" s="49">
        <v>44574.855973425925</v>
      </c>
      <c r="B5884" s="50">
        <v>44574.9809423379</v>
      </c>
      <c r="C5884" s="51">
        <v>1.004</v>
      </c>
      <c r="D5884" s="51">
        <v>63.0</v>
      </c>
      <c r="E5884" s="52" t="s">
        <v>25</v>
      </c>
      <c r="F5884" s="52" t="s">
        <v>26</v>
      </c>
      <c r="G5884" s="53"/>
    </row>
    <row r="5885">
      <c r="A5885" s="49">
        <v>44574.86639519676</v>
      </c>
      <c r="B5885" s="50">
        <v>44574.9913642708</v>
      </c>
      <c r="C5885" s="51">
        <v>1.004</v>
      </c>
      <c r="D5885" s="51">
        <v>63.0</v>
      </c>
      <c r="E5885" s="52" t="s">
        <v>25</v>
      </c>
      <c r="F5885" s="52" t="s">
        <v>26</v>
      </c>
      <c r="G5885" s="53"/>
    </row>
    <row r="5886">
      <c r="A5886" s="49">
        <v>44574.8768421412</v>
      </c>
      <c r="B5886" s="50">
        <v>44575.0018081365</v>
      </c>
      <c r="C5886" s="51">
        <v>1.004</v>
      </c>
      <c r="D5886" s="51">
        <v>64.0</v>
      </c>
      <c r="E5886" s="52" t="s">
        <v>25</v>
      </c>
      <c r="F5886" s="52" t="s">
        <v>26</v>
      </c>
      <c r="G5886" s="53"/>
    </row>
    <row r="5887">
      <c r="A5887" s="49">
        <v>44574.887257581024</v>
      </c>
      <c r="B5887" s="50">
        <v>44575.0122301273</v>
      </c>
      <c r="C5887" s="51">
        <v>1.004</v>
      </c>
      <c r="D5887" s="51">
        <v>64.0</v>
      </c>
      <c r="E5887" s="52" t="s">
        <v>25</v>
      </c>
      <c r="F5887" s="52" t="s">
        <v>26</v>
      </c>
      <c r="G5887" s="53"/>
    </row>
    <row r="5888">
      <c r="A5888" s="49">
        <v>44574.89767443287</v>
      </c>
      <c r="B5888" s="50">
        <v>44575.0226511689</v>
      </c>
      <c r="C5888" s="51">
        <v>1.004</v>
      </c>
      <c r="D5888" s="51">
        <v>65.0</v>
      </c>
      <c r="E5888" s="52" t="s">
        <v>25</v>
      </c>
      <c r="F5888" s="52" t="s">
        <v>26</v>
      </c>
      <c r="G5888" s="53"/>
    </row>
    <row r="5889">
      <c r="A5889" s="49">
        <v>44574.908101030094</v>
      </c>
      <c r="B5889" s="50">
        <v>44575.0330821412</v>
      </c>
      <c r="C5889" s="51">
        <v>1.004</v>
      </c>
      <c r="D5889" s="51">
        <v>65.0</v>
      </c>
      <c r="E5889" s="52" t="s">
        <v>25</v>
      </c>
      <c r="F5889" s="52" t="s">
        <v>26</v>
      </c>
      <c r="G5889" s="53"/>
    </row>
    <row r="5890">
      <c r="A5890" s="49">
        <v>44574.9185319213</v>
      </c>
      <c r="B5890" s="50">
        <v>44575.0435026157</v>
      </c>
      <c r="C5890" s="51">
        <v>1.003</v>
      </c>
      <c r="D5890" s="51">
        <v>65.0</v>
      </c>
      <c r="E5890" s="52" t="s">
        <v>25</v>
      </c>
      <c r="F5890" s="52" t="s">
        <v>26</v>
      </c>
      <c r="G5890" s="53"/>
    </row>
    <row r="5891">
      <c r="A5891" s="49">
        <v>44574.92897471065</v>
      </c>
      <c r="B5891" s="50">
        <v>44575.0539351388</v>
      </c>
      <c r="C5891" s="51">
        <v>1.003</v>
      </c>
      <c r="D5891" s="51">
        <v>66.0</v>
      </c>
      <c r="E5891" s="52" t="s">
        <v>25</v>
      </c>
      <c r="F5891" s="52" t="s">
        <v>26</v>
      </c>
      <c r="G5891" s="53"/>
    </row>
    <row r="5892">
      <c r="A5892" s="49">
        <v>44574.93937864584</v>
      </c>
      <c r="B5892" s="50">
        <v>44575.0643554629</v>
      </c>
      <c r="C5892" s="51">
        <v>1.003</v>
      </c>
      <c r="D5892" s="51">
        <v>66.0</v>
      </c>
      <c r="E5892" s="52" t="s">
        <v>25</v>
      </c>
      <c r="F5892" s="52" t="s">
        <v>26</v>
      </c>
      <c r="G5892" s="53"/>
    </row>
    <row r="5893">
      <c r="A5893" s="49">
        <v>44574.9498158912</v>
      </c>
      <c r="B5893" s="50">
        <v>44575.0747758796</v>
      </c>
      <c r="C5893" s="51">
        <v>1.003</v>
      </c>
      <c r="D5893" s="51">
        <v>67.0</v>
      </c>
      <c r="E5893" s="52" t="s">
        <v>25</v>
      </c>
      <c r="F5893" s="52" t="s">
        <v>26</v>
      </c>
      <c r="G5893" s="53"/>
    </row>
    <row r="5894">
      <c r="A5894" s="49">
        <v>44574.960234756945</v>
      </c>
      <c r="B5894" s="50">
        <v>44575.0852090393</v>
      </c>
      <c r="C5894" s="51">
        <v>1.003</v>
      </c>
      <c r="D5894" s="51">
        <v>67.0</v>
      </c>
      <c r="E5894" s="52" t="s">
        <v>25</v>
      </c>
      <c r="F5894" s="52" t="s">
        <v>26</v>
      </c>
      <c r="G5894" s="53"/>
    </row>
    <row r="5895">
      <c r="A5895" s="49">
        <v>44574.97066020833</v>
      </c>
      <c r="B5895" s="50">
        <v>44575.0956303009</v>
      </c>
      <c r="C5895" s="51">
        <v>1.003</v>
      </c>
      <c r="D5895" s="51">
        <v>67.0</v>
      </c>
      <c r="E5895" s="52" t="s">
        <v>25</v>
      </c>
      <c r="F5895" s="52" t="s">
        <v>26</v>
      </c>
      <c r="G5895" s="53"/>
    </row>
    <row r="5896">
      <c r="A5896" s="49">
        <v>44574.981099745375</v>
      </c>
      <c r="B5896" s="50">
        <v>44575.1060744097</v>
      </c>
      <c r="C5896" s="51">
        <v>1.003</v>
      </c>
      <c r="D5896" s="51">
        <v>68.0</v>
      </c>
      <c r="E5896" s="52" t="s">
        <v>25</v>
      </c>
      <c r="F5896" s="52" t="s">
        <v>26</v>
      </c>
      <c r="G5896" s="53"/>
    </row>
    <row r="5897">
      <c r="A5897" s="49">
        <v>44574.99152601852</v>
      </c>
      <c r="B5897" s="50">
        <v>44575.1164955787</v>
      </c>
      <c r="C5897" s="51">
        <v>1.003</v>
      </c>
      <c r="D5897" s="51">
        <v>68.0</v>
      </c>
      <c r="E5897" s="52" t="s">
        <v>25</v>
      </c>
      <c r="F5897" s="52" t="s">
        <v>26</v>
      </c>
      <c r="G5897" s="53"/>
    </row>
    <row r="5898">
      <c r="A5898" s="49">
        <v>44575.00194912037</v>
      </c>
      <c r="B5898" s="50">
        <v>44575.1269178125</v>
      </c>
      <c r="C5898" s="51">
        <v>1.003</v>
      </c>
      <c r="D5898" s="51">
        <v>68.0</v>
      </c>
      <c r="E5898" s="52" t="s">
        <v>25</v>
      </c>
      <c r="F5898" s="52" t="s">
        <v>26</v>
      </c>
      <c r="G5898" s="53"/>
    </row>
    <row r="5899">
      <c r="A5899" s="49">
        <v>44575.01237469907</v>
      </c>
      <c r="B5899" s="50">
        <v>44575.1373488888</v>
      </c>
      <c r="C5899" s="51">
        <v>1.003</v>
      </c>
      <c r="D5899" s="51">
        <v>68.0</v>
      </c>
      <c r="E5899" s="52" t="s">
        <v>25</v>
      </c>
      <c r="F5899" s="52" t="s">
        <v>26</v>
      </c>
      <c r="G5899" s="53"/>
    </row>
    <row r="5900">
      <c r="A5900" s="49">
        <v>44575.02279857639</v>
      </c>
      <c r="B5900" s="50">
        <v>44575.1477705902</v>
      </c>
      <c r="C5900" s="51">
        <v>1.003</v>
      </c>
      <c r="D5900" s="51">
        <v>68.0</v>
      </c>
      <c r="E5900" s="52" t="s">
        <v>25</v>
      </c>
      <c r="F5900" s="52" t="s">
        <v>26</v>
      </c>
      <c r="G5900" s="53"/>
    </row>
    <row r="5901">
      <c r="A5901" s="49">
        <v>44575.03322695602</v>
      </c>
      <c r="B5901" s="50">
        <v>44575.1582019212</v>
      </c>
      <c r="C5901" s="51">
        <v>1.003</v>
      </c>
      <c r="D5901" s="51">
        <v>67.0</v>
      </c>
      <c r="E5901" s="52" t="s">
        <v>25</v>
      </c>
      <c r="F5901" s="52" t="s">
        <v>26</v>
      </c>
      <c r="G5901" s="53"/>
    </row>
    <row r="5902">
      <c r="A5902" s="49">
        <v>44575.043650775464</v>
      </c>
      <c r="B5902" s="50">
        <v>44575.1686233912</v>
      </c>
      <c r="C5902" s="51">
        <v>1.003</v>
      </c>
      <c r="D5902" s="51">
        <v>67.0</v>
      </c>
      <c r="E5902" s="52" t="s">
        <v>25</v>
      </c>
      <c r="F5902" s="52" t="s">
        <v>26</v>
      </c>
      <c r="G5902" s="53"/>
    </row>
    <row r="5903">
      <c r="A5903" s="49">
        <v>44575.05408847222</v>
      </c>
      <c r="B5903" s="50">
        <v>44575.1790442476</v>
      </c>
      <c r="C5903" s="51">
        <v>1.003</v>
      </c>
      <c r="D5903" s="51">
        <v>67.0</v>
      </c>
      <c r="E5903" s="52" t="s">
        <v>25</v>
      </c>
      <c r="F5903" s="52" t="s">
        <v>26</v>
      </c>
      <c r="G5903" s="53"/>
    </row>
    <row r="5904">
      <c r="A5904" s="49">
        <v>44575.064507766205</v>
      </c>
      <c r="B5904" s="50">
        <v>44575.1894768402</v>
      </c>
      <c r="C5904" s="51">
        <v>1.003</v>
      </c>
      <c r="D5904" s="51">
        <v>67.0</v>
      </c>
      <c r="E5904" s="52" t="s">
        <v>25</v>
      </c>
      <c r="F5904" s="52" t="s">
        <v>26</v>
      </c>
      <c r="G5904" s="53"/>
    </row>
    <row r="5905">
      <c r="A5905" s="49">
        <v>44575.07493688657</v>
      </c>
      <c r="B5905" s="50">
        <v>44575.1999104745</v>
      </c>
      <c r="C5905" s="51">
        <v>1.003</v>
      </c>
      <c r="D5905" s="51">
        <v>67.0</v>
      </c>
      <c r="E5905" s="52" t="s">
        <v>25</v>
      </c>
      <c r="F5905" s="52" t="s">
        <v>26</v>
      </c>
      <c r="G5905" s="53"/>
    </row>
    <row r="5906">
      <c r="A5906" s="49">
        <v>44575.08536221065</v>
      </c>
      <c r="B5906" s="50">
        <v>44575.2103307291</v>
      </c>
      <c r="C5906" s="51">
        <v>1.003</v>
      </c>
      <c r="D5906" s="51">
        <v>67.0</v>
      </c>
      <c r="E5906" s="52" t="s">
        <v>25</v>
      </c>
      <c r="F5906" s="52" t="s">
        <v>26</v>
      </c>
      <c r="G5906" s="53"/>
    </row>
    <row r="5907">
      <c r="A5907" s="49">
        <v>44575.09578650463</v>
      </c>
      <c r="B5907" s="50">
        <v>44575.2207544676</v>
      </c>
      <c r="C5907" s="51">
        <v>1.003</v>
      </c>
      <c r="D5907" s="51">
        <v>67.0</v>
      </c>
      <c r="E5907" s="52" t="s">
        <v>25</v>
      </c>
      <c r="F5907" s="52" t="s">
        <v>26</v>
      </c>
      <c r="G5907" s="53"/>
    </row>
    <row r="5908">
      <c r="A5908" s="49">
        <v>44575.106202546296</v>
      </c>
      <c r="B5908" s="50">
        <v>44575.2311746064</v>
      </c>
      <c r="C5908" s="51">
        <v>1.003</v>
      </c>
      <c r="D5908" s="51">
        <v>67.0</v>
      </c>
      <c r="E5908" s="52" t="s">
        <v>25</v>
      </c>
      <c r="F5908" s="52" t="s">
        <v>26</v>
      </c>
      <c r="G5908" s="53"/>
    </row>
    <row r="5909">
      <c r="A5909" s="49">
        <v>44575.11662634259</v>
      </c>
      <c r="B5909" s="50">
        <v>44575.2415954513</v>
      </c>
      <c r="C5909" s="51">
        <v>1.003</v>
      </c>
      <c r="D5909" s="51">
        <v>67.0</v>
      </c>
      <c r="E5909" s="52" t="s">
        <v>25</v>
      </c>
      <c r="F5909" s="52" t="s">
        <v>26</v>
      </c>
      <c r="G5909" s="53"/>
    </row>
    <row r="5910">
      <c r="A5910" s="49">
        <v>44575.12704045139</v>
      </c>
      <c r="B5910" s="50">
        <v>44575.2520176041</v>
      </c>
      <c r="C5910" s="51">
        <v>1.003</v>
      </c>
      <c r="D5910" s="51">
        <v>67.0</v>
      </c>
      <c r="E5910" s="52" t="s">
        <v>25</v>
      </c>
      <c r="F5910" s="52" t="s">
        <v>26</v>
      </c>
      <c r="G5910" s="53"/>
    </row>
    <row r="5911">
      <c r="A5911" s="49">
        <v>44575.1374711574</v>
      </c>
      <c r="B5911" s="50">
        <v>44575.2624401157</v>
      </c>
      <c r="C5911" s="51">
        <v>1.003</v>
      </c>
      <c r="D5911" s="51">
        <v>67.0</v>
      </c>
      <c r="E5911" s="52" t="s">
        <v>25</v>
      </c>
      <c r="F5911" s="52" t="s">
        <v>26</v>
      </c>
      <c r="G5911" s="53"/>
    </row>
    <row r="5912">
      <c r="A5912" s="49">
        <v>44575.14789119213</v>
      </c>
      <c r="B5912" s="50">
        <v>44575.2728607754</v>
      </c>
      <c r="C5912" s="51">
        <v>1.003</v>
      </c>
      <c r="D5912" s="51">
        <v>67.0</v>
      </c>
      <c r="E5912" s="52" t="s">
        <v>25</v>
      </c>
      <c r="F5912" s="52" t="s">
        <v>26</v>
      </c>
      <c r="G5912" s="53"/>
    </row>
    <row r="5913">
      <c r="A5913" s="49">
        <v>44575.15830711805</v>
      </c>
      <c r="B5913" s="50">
        <v>44575.2832838888</v>
      </c>
      <c r="C5913" s="51">
        <v>1.003</v>
      </c>
      <c r="D5913" s="51">
        <v>67.0</v>
      </c>
      <c r="E5913" s="52" t="s">
        <v>25</v>
      </c>
      <c r="F5913" s="52" t="s">
        <v>26</v>
      </c>
      <c r="G5913" s="53"/>
    </row>
    <row r="5914">
      <c r="A5914" s="49">
        <v>44575.16874622685</v>
      </c>
      <c r="B5914" s="50">
        <v>44575.2937167361</v>
      </c>
      <c r="C5914" s="51">
        <v>1.003</v>
      </c>
      <c r="D5914" s="51">
        <v>67.0</v>
      </c>
      <c r="E5914" s="52" t="s">
        <v>25</v>
      </c>
      <c r="F5914" s="52" t="s">
        <v>26</v>
      </c>
      <c r="G5914" s="53"/>
    </row>
    <row r="5915">
      <c r="A5915" s="49">
        <v>44575.17916349537</v>
      </c>
      <c r="B5915" s="50">
        <v>44575.3041376736</v>
      </c>
      <c r="C5915" s="51">
        <v>1.003</v>
      </c>
      <c r="D5915" s="51">
        <v>67.0</v>
      </c>
      <c r="E5915" s="52" t="s">
        <v>25</v>
      </c>
      <c r="F5915" s="52" t="s">
        <v>26</v>
      </c>
      <c r="G5915" s="53"/>
    </row>
    <row r="5916">
      <c r="A5916" s="49">
        <v>44575.18958665509</v>
      </c>
      <c r="B5916" s="50">
        <v>44575.3145602777</v>
      </c>
      <c r="C5916" s="51">
        <v>1.003</v>
      </c>
      <c r="D5916" s="51">
        <v>67.0</v>
      </c>
      <c r="E5916" s="52" t="s">
        <v>25</v>
      </c>
      <c r="F5916" s="52" t="s">
        <v>26</v>
      </c>
      <c r="G5916" s="53"/>
    </row>
    <row r="5917">
      <c r="A5917" s="49">
        <v>44575.20000402778</v>
      </c>
      <c r="B5917" s="50">
        <v>44575.3249817245</v>
      </c>
      <c r="C5917" s="51">
        <v>1.003</v>
      </c>
      <c r="D5917" s="51">
        <v>67.0</v>
      </c>
      <c r="E5917" s="52" t="s">
        <v>25</v>
      </c>
      <c r="F5917" s="52" t="s">
        <v>26</v>
      </c>
      <c r="G5917" s="53"/>
    </row>
    <row r="5918">
      <c r="A5918" s="49">
        <v>44575.21042791667</v>
      </c>
      <c r="B5918" s="50">
        <v>44575.3354031828</v>
      </c>
      <c r="C5918" s="51">
        <v>1.003</v>
      </c>
      <c r="D5918" s="51">
        <v>67.0</v>
      </c>
      <c r="E5918" s="52" t="s">
        <v>25</v>
      </c>
      <c r="F5918" s="52" t="s">
        <v>26</v>
      </c>
      <c r="G5918" s="53"/>
    </row>
    <row r="5919">
      <c r="A5919" s="49">
        <v>44575.220864918985</v>
      </c>
      <c r="B5919" s="50">
        <v>44575.3458363541</v>
      </c>
      <c r="C5919" s="51">
        <v>1.003</v>
      </c>
      <c r="D5919" s="51">
        <v>67.0</v>
      </c>
      <c r="E5919" s="52" t="s">
        <v>25</v>
      </c>
      <c r="F5919" s="52" t="s">
        <v>26</v>
      </c>
      <c r="G5919" s="53"/>
    </row>
    <row r="5920">
      <c r="A5920" s="49">
        <v>44575.23129024306</v>
      </c>
      <c r="B5920" s="50">
        <v>44575.356257581</v>
      </c>
      <c r="C5920" s="51">
        <v>1.003</v>
      </c>
      <c r="D5920" s="51">
        <v>67.0</v>
      </c>
      <c r="E5920" s="52" t="s">
        <v>25</v>
      </c>
      <c r="F5920" s="52" t="s">
        <v>26</v>
      </c>
      <c r="G5920" s="53"/>
    </row>
    <row r="5921">
      <c r="A5921" s="49">
        <v>44575.24169892361</v>
      </c>
      <c r="B5921" s="50">
        <v>44575.366678912</v>
      </c>
      <c r="C5921" s="51">
        <v>1.003</v>
      </c>
      <c r="D5921" s="51">
        <v>67.0</v>
      </c>
      <c r="E5921" s="52" t="s">
        <v>25</v>
      </c>
      <c r="F5921" s="52" t="s">
        <v>26</v>
      </c>
      <c r="G5921" s="53"/>
    </row>
    <row r="5922">
      <c r="A5922" s="49">
        <v>44575.25212116898</v>
      </c>
      <c r="B5922" s="50">
        <v>44575.3771005671</v>
      </c>
      <c r="C5922" s="51">
        <v>1.003</v>
      </c>
      <c r="D5922" s="51">
        <v>67.0</v>
      </c>
      <c r="E5922" s="52" t="s">
        <v>25</v>
      </c>
      <c r="F5922" s="52" t="s">
        <v>26</v>
      </c>
      <c r="G5922" s="53"/>
    </row>
    <row r="5923">
      <c r="A5923" s="49">
        <v>44575.26256383102</v>
      </c>
      <c r="B5923" s="50">
        <v>44575.3875351041</v>
      </c>
      <c r="C5923" s="51">
        <v>1.003</v>
      </c>
      <c r="D5923" s="51">
        <v>67.0</v>
      </c>
      <c r="E5923" s="52" t="s">
        <v>25</v>
      </c>
      <c r="F5923" s="52" t="s">
        <v>26</v>
      </c>
      <c r="G5923" s="53"/>
    </row>
    <row r="5924">
      <c r="A5924" s="49">
        <v>44575.273000092595</v>
      </c>
      <c r="B5924" s="50">
        <v>44575.3979704861</v>
      </c>
      <c r="C5924" s="51">
        <v>1.003</v>
      </c>
      <c r="D5924" s="51">
        <v>67.0</v>
      </c>
      <c r="E5924" s="52" t="s">
        <v>25</v>
      </c>
      <c r="F5924" s="52" t="s">
        <v>26</v>
      </c>
      <c r="G5924" s="53"/>
    </row>
    <row r="5925">
      <c r="A5925" s="49">
        <v>44575.283417060185</v>
      </c>
      <c r="B5925" s="50">
        <v>44575.4083913078</v>
      </c>
      <c r="C5925" s="51">
        <v>1.003</v>
      </c>
      <c r="D5925" s="51">
        <v>67.0</v>
      </c>
      <c r="E5925" s="52" t="s">
        <v>25</v>
      </c>
      <c r="F5925" s="52" t="s">
        <v>26</v>
      </c>
      <c r="G5925" s="53"/>
    </row>
    <row r="5926">
      <c r="A5926" s="49">
        <v>44575.29384421297</v>
      </c>
      <c r="B5926" s="50">
        <v>44575.4188116088</v>
      </c>
      <c r="C5926" s="51">
        <v>1.003</v>
      </c>
      <c r="D5926" s="51">
        <v>67.0</v>
      </c>
      <c r="E5926" s="52" t="s">
        <v>25</v>
      </c>
      <c r="F5926" s="52" t="s">
        <v>26</v>
      </c>
      <c r="G5926" s="53"/>
    </row>
    <row r="5927">
      <c r="A5927" s="49">
        <v>44575.304259247685</v>
      </c>
      <c r="B5927" s="50">
        <v>44575.4292324537</v>
      </c>
      <c r="C5927" s="51">
        <v>1.003</v>
      </c>
      <c r="D5927" s="51">
        <v>67.0</v>
      </c>
      <c r="E5927" s="52" t="s">
        <v>25</v>
      </c>
      <c r="F5927" s="52" t="s">
        <v>26</v>
      </c>
      <c r="G5927" s="53"/>
    </row>
    <row r="5928">
      <c r="A5928" s="49">
        <v>44575.314674594905</v>
      </c>
      <c r="B5928" s="50">
        <v>44575.4396525462</v>
      </c>
      <c r="C5928" s="51">
        <v>1.003</v>
      </c>
      <c r="D5928" s="51">
        <v>66.0</v>
      </c>
      <c r="E5928" s="52" t="s">
        <v>25</v>
      </c>
      <c r="F5928" s="52" t="s">
        <v>26</v>
      </c>
      <c r="G5928" s="53"/>
    </row>
    <row r="5929">
      <c r="A5929" s="49">
        <v>44575.3251015625</v>
      </c>
      <c r="B5929" s="50">
        <v>44575.4500745486</v>
      </c>
      <c r="C5929" s="51">
        <v>1.003</v>
      </c>
      <c r="D5929" s="51">
        <v>66.0</v>
      </c>
      <c r="E5929" s="52" t="s">
        <v>25</v>
      </c>
      <c r="F5929" s="52" t="s">
        <v>26</v>
      </c>
      <c r="G5929" s="53"/>
    </row>
    <row r="5930">
      <c r="A5930" s="49">
        <v>44575.33552090278</v>
      </c>
      <c r="B5930" s="50">
        <v>44575.4604956712</v>
      </c>
      <c r="C5930" s="51">
        <v>1.003</v>
      </c>
      <c r="D5930" s="51">
        <v>67.0</v>
      </c>
      <c r="E5930" s="52" t="s">
        <v>25</v>
      </c>
      <c r="F5930" s="52" t="s">
        <v>26</v>
      </c>
      <c r="G5930" s="53"/>
    </row>
    <row r="5931">
      <c r="A5931" s="49">
        <v>44575.345960798615</v>
      </c>
      <c r="B5931" s="50">
        <v>44575.4709399652</v>
      </c>
      <c r="C5931" s="51">
        <v>1.003</v>
      </c>
      <c r="D5931" s="51">
        <v>66.0</v>
      </c>
      <c r="E5931" s="52" t="s">
        <v>25</v>
      </c>
      <c r="F5931" s="52" t="s">
        <v>26</v>
      </c>
      <c r="G5931" s="53"/>
    </row>
    <row r="5932">
      <c r="A5932" s="49">
        <v>44575.35639460648</v>
      </c>
      <c r="B5932" s="50">
        <v>44575.4813616898</v>
      </c>
      <c r="C5932" s="51">
        <v>1.003</v>
      </c>
      <c r="D5932" s="51">
        <v>66.0</v>
      </c>
      <c r="E5932" s="52" t="s">
        <v>25</v>
      </c>
      <c r="F5932" s="52" t="s">
        <v>26</v>
      </c>
      <c r="G5932" s="53"/>
    </row>
    <row r="5933">
      <c r="A5933" s="49">
        <v>44575.366808125</v>
      </c>
      <c r="B5933" s="50">
        <v>44575.4917833217</v>
      </c>
      <c r="C5933" s="51">
        <v>1.003</v>
      </c>
      <c r="D5933" s="51">
        <v>66.0</v>
      </c>
      <c r="E5933" s="52" t="s">
        <v>25</v>
      </c>
      <c r="F5933" s="52" t="s">
        <v>26</v>
      </c>
      <c r="G5933" s="53"/>
    </row>
    <row r="5934">
      <c r="A5934" s="49">
        <v>44575.377228831014</v>
      </c>
      <c r="B5934" s="50">
        <v>44575.502204537</v>
      </c>
      <c r="C5934" s="51">
        <v>1.003</v>
      </c>
      <c r="D5934" s="51">
        <v>66.0</v>
      </c>
      <c r="E5934" s="52" t="s">
        <v>25</v>
      </c>
      <c r="F5934" s="52" t="s">
        <v>26</v>
      </c>
      <c r="G5934" s="53"/>
    </row>
    <row r="5935">
      <c r="A5935" s="49">
        <v>44575.38764612269</v>
      </c>
      <c r="B5935" s="50">
        <v>44575.5126256712</v>
      </c>
      <c r="C5935" s="51">
        <v>1.003</v>
      </c>
      <c r="D5935" s="51">
        <v>66.0</v>
      </c>
      <c r="E5935" s="52" t="s">
        <v>25</v>
      </c>
      <c r="F5935" s="52" t="s">
        <v>26</v>
      </c>
      <c r="G5935" s="53"/>
    </row>
    <row r="5936">
      <c r="A5936" s="49">
        <v>44575.39807800926</v>
      </c>
      <c r="B5936" s="50">
        <v>44575.5230479282</v>
      </c>
      <c r="C5936" s="51">
        <v>1.003</v>
      </c>
      <c r="D5936" s="51">
        <v>66.0</v>
      </c>
      <c r="E5936" s="52" t="s">
        <v>25</v>
      </c>
      <c r="F5936" s="52" t="s">
        <v>26</v>
      </c>
      <c r="G5936" s="53"/>
    </row>
    <row r="5937">
      <c r="A5937" s="49">
        <v>44575.40849939815</v>
      </c>
      <c r="B5937" s="50">
        <v>44575.5334691782</v>
      </c>
      <c r="C5937" s="51">
        <v>1.003</v>
      </c>
      <c r="D5937" s="51">
        <v>66.0</v>
      </c>
      <c r="E5937" s="52" t="s">
        <v>25</v>
      </c>
      <c r="F5937" s="52" t="s">
        <v>26</v>
      </c>
      <c r="G5937" s="53"/>
    </row>
    <row r="5938">
      <c r="A5938" s="49">
        <v>44575.41895796296</v>
      </c>
      <c r="B5938" s="50">
        <v>44575.5439252661</v>
      </c>
      <c r="C5938" s="51">
        <v>1.003</v>
      </c>
      <c r="D5938" s="51">
        <v>66.0</v>
      </c>
      <c r="E5938" s="52" t="s">
        <v>25</v>
      </c>
      <c r="F5938" s="52" t="s">
        <v>26</v>
      </c>
      <c r="G5938" s="53"/>
    </row>
    <row r="5939">
      <c r="A5939" s="49">
        <v>44575.42937399306</v>
      </c>
      <c r="B5939" s="50">
        <v>44575.5543452893</v>
      </c>
      <c r="C5939" s="51">
        <v>1.003</v>
      </c>
      <c r="D5939" s="51">
        <v>66.0</v>
      </c>
      <c r="E5939" s="52" t="s">
        <v>25</v>
      </c>
      <c r="F5939" s="52" t="s">
        <v>26</v>
      </c>
      <c r="G5939" s="53"/>
    </row>
    <row r="5940">
      <c r="A5940" s="49">
        <v>44575.43980256944</v>
      </c>
      <c r="B5940" s="50">
        <v>44575.5647678124</v>
      </c>
      <c r="C5940" s="51">
        <v>1.003</v>
      </c>
      <c r="D5940" s="51">
        <v>66.0</v>
      </c>
      <c r="E5940" s="52" t="s">
        <v>25</v>
      </c>
      <c r="F5940" s="52" t="s">
        <v>26</v>
      </c>
      <c r="G5940" s="53"/>
    </row>
    <row r="5941">
      <c r="A5941" s="49">
        <v>44575.45021685185</v>
      </c>
      <c r="B5941" s="50">
        <v>44575.5751873148</v>
      </c>
      <c r="C5941" s="51">
        <v>1.003</v>
      </c>
      <c r="D5941" s="51">
        <v>66.0</v>
      </c>
      <c r="E5941" s="52" t="s">
        <v>25</v>
      </c>
      <c r="F5941" s="52" t="s">
        <v>26</v>
      </c>
      <c r="G5941" s="53"/>
    </row>
    <row r="5942">
      <c r="A5942" s="49">
        <v>44575.46064950232</v>
      </c>
      <c r="B5942" s="50">
        <v>44575.5856192824</v>
      </c>
      <c r="C5942" s="51">
        <v>1.003</v>
      </c>
      <c r="D5942" s="51">
        <v>66.0</v>
      </c>
      <c r="E5942" s="52" t="s">
        <v>25</v>
      </c>
      <c r="F5942" s="52" t="s">
        <v>26</v>
      </c>
      <c r="G5942" s="53"/>
    </row>
    <row r="5943">
      <c r="A5943" s="49">
        <v>44575.4710715625</v>
      </c>
      <c r="B5943" s="50">
        <v>44575.5960518055</v>
      </c>
      <c r="C5943" s="51">
        <v>1.003</v>
      </c>
      <c r="D5943" s="51">
        <v>66.0</v>
      </c>
      <c r="E5943" s="52" t="s">
        <v>25</v>
      </c>
      <c r="F5943" s="52" t="s">
        <v>26</v>
      </c>
      <c r="G5943" s="53"/>
    </row>
    <row r="5944">
      <c r="A5944" s="49">
        <v>44575.48150770833</v>
      </c>
      <c r="B5944" s="50">
        <v>44575.6064726273</v>
      </c>
      <c r="C5944" s="51">
        <v>1.003</v>
      </c>
      <c r="D5944" s="51">
        <v>66.0</v>
      </c>
      <c r="E5944" s="52" t="s">
        <v>25</v>
      </c>
      <c r="F5944" s="52" t="s">
        <v>26</v>
      </c>
      <c r="G5944" s="53"/>
    </row>
    <row r="5945">
      <c r="A5945" s="49">
        <v>44575.49192916667</v>
      </c>
      <c r="B5945" s="50">
        <v>44575.6168937962</v>
      </c>
      <c r="C5945" s="51">
        <v>1.003</v>
      </c>
      <c r="D5945" s="51">
        <v>66.0</v>
      </c>
      <c r="E5945" s="52" t="s">
        <v>25</v>
      </c>
      <c r="F5945" s="52" t="s">
        <v>26</v>
      </c>
      <c r="G5945" s="53"/>
    </row>
    <row r="5946">
      <c r="A5946" s="49">
        <v>44575.50236333333</v>
      </c>
      <c r="B5946" s="50">
        <v>44575.6273395717</v>
      </c>
      <c r="C5946" s="51">
        <v>1.003</v>
      </c>
      <c r="D5946" s="51">
        <v>66.0</v>
      </c>
      <c r="E5946" s="52" t="s">
        <v>25</v>
      </c>
      <c r="F5946" s="52" t="s">
        <v>26</v>
      </c>
      <c r="G5946" s="53"/>
    </row>
    <row r="5947">
      <c r="A5947" s="49">
        <v>44575.51280293982</v>
      </c>
      <c r="B5947" s="50">
        <v>44575.6377730787</v>
      </c>
      <c r="C5947" s="51">
        <v>1.003</v>
      </c>
      <c r="D5947" s="51">
        <v>66.0</v>
      </c>
      <c r="E5947" s="52" t="s">
        <v>25</v>
      </c>
      <c r="F5947" s="52" t="s">
        <v>26</v>
      </c>
      <c r="G5947" s="53"/>
    </row>
    <row r="5948">
      <c r="A5948" s="49">
        <v>44575.523221979165</v>
      </c>
      <c r="B5948" s="50">
        <v>44575.648194155</v>
      </c>
      <c r="C5948" s="51">
        <v>1.003</v>
      </c>
      <c r="D5948" s="51">
        <v>66.0</v>
      </c>
      <c r="E5948" s="52" t="s">
        <v>25</v>
      </c>
      <c r="F5948" s="52" t="s">
        <v>26</v>
      </c>
      <c r="G5948" s="53"/>
    </row>
    <row r="5949">
      <c r="A5949" s="49">
        <v>44575.53364498843</v>
      </c>
      <c r="B5949" s="50">
        <v>44575.6586157407</v>
      </c>
      <c r="C5949" s="51">
        <v>1.003</v>
      </c>
      <c r="D5949" s="51">
        <v>66.0</v>
      </c>
      <c r="E5949" s="52" t="s">
        <v>25</v>
      </c>
      <c r="F5949" s="52" t="s">
        <v>26</v>
      </c>
      <c r="G5949" s="53"/>
    </row>
    <row r="5950">
      <c r="A5950" s="49">
        <v>44575.544079803236</v>
      </c>
      <c r="B5950" s="50">
        <v>44575.669050243</v>
      </c>
      <c r="C5950" s="51">
        <v>1.003</v>
      </c>
      <c r="D5950" s="51">
        <v>66.0</v>
      </c>
      <c r="E5950" s="52" t="s">
        <v>25</v>
      </c>
      <c r="F5950" s="52" t="s">
        <v>26</v>
      </c>
      <c r="G5950" s="53"/>
    </row>
    <row r="5951">
      <c r="A5951" s="49">
        <v>44575.554512187504</v>
      </c>
      <c r="B5951" s="50">
        <v>44575.6794712962</v>
      </c>
      <c r="C5951" s="51">
        <v>1.003</v>
      </c>
      <c r="D5951" s="51">
        <v>66.0</v>
      </c>
      <c r="E5951" s="52" t="s">
        <v>25</v>
      </c>
      <c r="F5951" s="52" t="s">
        <v>26</v>
      </c>
      <c r="G5951" s="53"/>
    </row>
    <row r="5952">
      <c r="A5952" s="49">
        <v>44575.56492203704</v>
      </c>
      <c r="B5952" s="50">
        <v>44575.6898926736</v>
      </c>
      <c r="C5952" s="51">
        <v>1.003</v>
      </c>
      <c r="D5952" s="51">
        <v>66.0</v>
      </c>
      <c r="E5952" s="52" t="s">
        <v>25</v>
      </c>
      <c r="F5952" s="52" t="s">
        <v>26</v>
      </c>
      <c r="G5952" s="53"/>
    </row>
    <row r="5953">
      <c r="A5953" s="49">
        <v>44575.57534077547</v>
      </c>
      <c r="B5953" s="50">
        <v>44575.7003122453</v>
      </c>
      <c r="C5953" s="51">
        <v>1.003</v>
      </c>
      <c r="D5953" s="51">
        <v>66.0</v>
      </c>
      <c r="E5953" s="52" t="s">
        <v>25</v>
      </c>
      <c r="F5953" s="52" t="s">
        <v>26</v>
      </c>
      <c r="G5953" s="53"/>
    </row>
    <row r="5954">
      <c r="A5954" s="49">
        <v>44575.585758229165</v>
      </c>
      <c r="B5954" s="50">
        <v>44575.7107334027</v>
      </c>
      <c r="C5954" s="51">
        <v>1.003</v>
      </c>
      <c r="D5954" s="51">
        <v>66.0</v>
      </c>
      <c r="E5954" s="52" t="s">
        <v>25</v>
      </c>
      <c r="F5954" s="52" t="s">
        <v>26</v>
      </c>
      <c r="G5954" s="53"/>
    </row>
    <row r="5955">
      <c r="A5955" s="49">
        <v>44575.59619640047</v>
      </c>
      <c r="B5955" s="50">
        <v>44575.7211558217</v>
      </c>
      <c r="C5955" s="51">
        <v>1.003</v>
      </c>
      <c r="D5955" s="51">
        <v>66.0</v>
      </c>
      <c r="E5955" s="52" t="s">
        <v>25</v>
      </c>
      <c r="F5955" s="52" t="s">
        <v>26</v>
      </c>
      <c r="G5955" s="53"/>
    </row>
    <row r="5956">
      <c r="A5956" s="49">
        <v>44575.60663231481</v>
      </c>
      <c r="B5956" s="50">
        <v>44575.7316017129</v>
      </c>
      <c r="C5956" s="51">
        <v>1.003</v>
      </c>
      <c r="D5956" s="51">
        <v>66.0</v>
      </c>
      <c r="E5956" s="52" t="s">
        <v>25</v>
      </c>
      <c r="F5956" s="52" t="s">
        <v>26</v>
      </c>
      <c r="G5956" s="53"/>
    </row>
    <row r="5957">
      <c r="A5957" s="49">
        <v>44575.61704358796</v>
      </c>
      <c r="B5957" s="50">
        <v>44575.7420243402</v>
      </c>
      <c r="C5957" s="51">
        <v>1.003</v>
      </c>
      <c r="D5957" s="51">
        <v>66.0</v>
      </c>
      <c r="E5957" s="52" t="s">
        <v>25</v>
      </c>
      <c r="F5957" s="52" t="s">
        <v>26</v>
      </c>
      <c r="G5957" s="53"/>
    </row>
    <row r="5958">
      <c r="A5958" s="49">
        <v>44575.62747269676</v>
      </c>
      <c r="B5958" s="50">
        <v>44575.7524442013</v>
      </c>
      <c r="C5958" s="51">
        <v>1.003</v>
      </c>
      <c r="D5958" s="51">
        <v>66.0</v>
      </c>
      <c r="E5958" s="52" t="s">
        <v>25</v>
      </c>
      <c r="F5958" s="52" t="s">
        <v>26</v>
      </c>
      <c r="G5958" s="53"/>
    </row>
    <row r="5959">
      <c r="A5959" s="49">
        <v>44575.637886041666</v>
      </c>
      <c r="B5959" s="50">
        <v>44575.7628636689</v>
      </c>
      <c r="C5959" s="51">
        <v>1.003</v>
      </c>
      <c r="D5959" s="51">
        <v>66.0</v>
      </c>
      <c r="E5959" s="52" t="s">
        <v>25</v>
      </c>
      <c r="F5959" s="52" t="s">
        <v>26</v>
      </c>
      <c r="G5959" s="53"/>
    </row>
    <row r="5960">
      <c r="A5960" s="49">
        <v>44575.64832317129</v>
      </c>
      <c r="B5960" s="50">
        <v>44575.7732957986</v>
      </c>
      <c r="C5960" s="51">
        <v>1.003</v>
      </c>
      <c r="D5960" s="51">
        <v>65.0</v>
      </c>
      <c r="E5960" s="52" t="s">
        <v>25</v>
      </c>
      <c r="F5960" s="52" t="s">
        <v>26</v>
      </c>
      <c r="G5960" s="53"/>
    </row>
    <row r="5961">
      <c r="A5961" s="49">
        <v>44575.658760081016</v>
      </c>
      <c r="B5961" s="50">
        <v>44575.7837285416</v>
      </c>
      <c r="C5961" s="51">
        <v>1.003</v>
      </c>
      <c r="D5961" s="51">
        <v>65.0</v>
      </c>
      <c r="E5961" s="52" t="s">
        <v>25</v>
      </c>
      <c r="F5961" s="52" t="s">
        <v>26</v>
      </c>
      <c r="G5961" s="53"/>
    </row>
    <row r="5962">
      <c r="A5962" s="49">
        <v>44575.66917760417</v>
      </c>
      <c r="B5962" s="50">
        <v>44575.794148368</v>
      </c>
      <c r="C5962" s="51">
        <v>1.003</v>
      </c>
      <c r="D5962" s="51">
        <v>65.0</v>
      </c>
      <c r="E5962" s="52" t="s">
        <v>25</v>
      </c>
      <c r="F5962" s="52" t="s">
        <v>26</v>
      </c>
      <c r="G5962" s="53"/>
    </row>
    <row r="5963">
      <c r="A5963" s="49">
        <v>44575.67960163194</v>
      </c>
      <c r="B5963" s="50">
        <v>44575.8045693287</v>
      </c>
      <c r="C5963" s="51">
        <v>1.003</v>
      </c>
      <c r="D5963" s="51">
        <v>65.0</v>
      </c>
      <c r="E5963" s="52" t="s">
        <v>25</v>
      </c>
      <c r="F5963" s="52" t="s">
        <v>26</v>
      </c>
      <c r="G5963" s="53"/>
    </row>
    <row r="5964">
      <c r="A5964" s="49">
        <v>44575.69001472222</v>
      </c>
      <c r="B5964" s="50">
        <v>44575.814990625</v>
      </c>
      <c r="C5964" s="51">
        <v>1.003</v>
      </c>
      <c r="D5964" s="51">
        <v>65.0</v>
      </c>
      <c r="E5964" s="52" t="s">
        <v>25</v>
      </c>
      <c r="F5964" s="52" t="s">
        <v>26</v>
      </c>
      <c r="G5964" s="53"/>
    </row>
    <row r="5965">
      <c r="A5965" s="49">
        <v>44575.70044074074</v>
      </c>
      <c r="B5965" s="50">
        <v>44575.8254108449</v>
      </c>
      <c r="C5965" s="51">
        <v>1.003</v>
      </c>
      <c r="D5965" s="51">
        <v>65.0</v>
      </c>
      <c r="E5965" s="52" t="s">
        <v>25</v>
      </c>
      <c r="F5965" s="52" t="s">
        <v>26</v>
      </c>
      <c r="G5965" s="53"/>
    </row>
    <row r="5966">
      <c r="A5966" s="49">
        <v>44575.71087037037</v>
      </c>
      <c r="B5966" s="50">
        <v>44575.8358447222</v>
      </c>
      <c r="C5966" s="51">
        <v>1.003</v>
      </c>
      <c r="D5966" s="51">
        <v>65.0</v>
      </c>
      <c r="E5966" s="52" t="s">
        <v>25</v>
      </c>
      <c r="F5966" s="52" t="s">
        <v>26</v>
      </c>
      <c r="G5966" s="53"/>
    </row>
    <row r="5967">
      <c r="A5967" s="49">
        <v>44575.72129390047</v>
      </c>
      <c r="B5967" s="50">
        <v>44575.8462670254</v>
      </c>
      <c r="C5967" s="51">
        <v>1.003</v>
      </c>
      <c r="D5967" s="51">
        <v>65.0</v>
      </c>
      <c r="E5967" s="52" t="s">
        <v>25</v>
      </c>
      <c r="F5967" s="52" t="s">
        <v>26</v>
      </c>
      <c r="G5967" s="53"/>
    </row>
    <row r="5968">
      <c r="A5968" s="49">
        <v>44575.73171775463</v>
      </c>
      <c r="B5968" s="50">
        <v>44575.8566873379</v>
      </c>
      <c r="C5968" s="51">
        <v>1.003</v>
      </c>
      <c r="D5968" s="51">
        <v>65.0</v>
      </c>
      <c r="E5968" s="52" t="s">
        <v>25</v>
      </c>
      <c r="F5968" s="52" t="s">
        <v>26</v>
      </c>
      <c r="G5968" s="53"/>
    </row>
    <row r="5969">
      <c r="A5969" s="49">
        <v>44575.74214015046</v>
      </c>
      <c r="B5969" s="50">
        <v>44575.8671096064</v>
      </c>
      <c r="C5969" s="51">
        <v>1.003</v>
      </c>
      <c r="D5969" s="51">
        <v>65.0</v>
      </c>
      <c r="E5969" s="52" t="s">
        <v>25</v>
      </c>
      <c r="F5969" s="52" t="s">
        <v>26</v>
      </c>
      <c r="G5969" s="53"/>
    </row>
    <row r="5970">
      <c r="A5970" s="49">
        <v>44575.75258850695</v>
      </c>
      <c r="B5970" s="50">
        <v>44575.8775567592</v>
      </c>
      <c r="C5970" s="51">
        <v>1.003</v>
      </c>
      <c r="D5970" s="51">
        <v>65.0</v>
      </c>
      <c r="E5970" s="52" t="s">
        <v>25</v>
      </c>
      <c r="F5970" s="52" t="s">
        <v>26</v>
      </c>
      <c r="G5970" s="53"/>
    </row>
    <row r="5971">
      <c r="A5971" s="49">
        <v>44575.76299983796</v>
      </c>
      <c r="B5971" s="50">
        <v>44575.887979074</v>
      </c>
      <c r="C5971" s="51">
        <v>1.003</v>
      </c>
      <c r="D5971" s="51">
        <v>65.0</v>
      </c>
      <c r="E5971" s="52" t="s">
        <v>25</v>
      </c>
      <c r="F5971" s="52" t="s">
        <v>26</v>
      </c>
      <c r="G5971" s="53"/>
    </row>
    <row r="5972">
      <c r="A5972" s="49">
        <v>44575.773436041665</v>
      </c>
      <c r="B5972" s="50">
        <v>44575.8984119907</v>
      </c>
      <c r="C5972" s="51">
        <v>1.003</v>
      </c>
      <c r="D5972" s="51">
        <v>65.0</v>
      </c>
      <c r="E5972" s="52" t="s">
        <v>25</v>
      </c>
      <c r="F5972" s="52" t="s">
        <v>26</v>
      </c>
      <c r="G5972" s="53"/>
    </row>
    <row r="5973">
      <c r="A5973" s="49">
        <v>44575.7838624537</v>
      </c>
      <c r="B5973" s="50">
        <v>44575.9088323379</v>
      </c>
      <c r="C5973" s="51">
        <v>1.003</v>
      </c>
      <c r="D5973" s="51">
        <v>65.0</v>
      </c>
      <c r="E5973" s="52" t="s">
        <v>25</v>
      </c>
      <c r="F5973" s="52" t="s">
        <v>26</v>
      </c>
      <c r="G5973" s="53"/>
    </row>
    <row r="5974">
      <c r="A5974" s="49">
        <v>44575.794283993055</v>
      </c>
      <c r="B5974" s="50">
        <v>44575.9192531944</v>
      </c>
      <c r="C5974" s="51">
        <v>1.003</v>
      </c>
      <c r="D5974" s="51">
        <v>65.0</v>
      </c>
      <c r="E5974" s="52" t="s">
        <v>25</v>
      </c>
      <c r="F5974" s="52" t="s">
        <v>26</v>
      </c>
      <c r="G5974" s="53"/>
    </row>
    <row r="5975">
      <c r="A5975" s="49">
        <v>44575.80470350695</v>
      </c>
      <c r="B5975" s="50">
        <v>44575.9296745138</v>
      </c>
      <c r="C5975" s="51">
        <v>1.003</v>
      </c>
      <c r="D5975" s="51">
        <v>65.0</v>
      </c>
      <c r="E5975" s="52" t="s">
        <v>25</v>
      </c>
      <c r="F5975" s="52" t="s">
        <v>26</v>
      </c>
      <c r="G5975" s="53"/>
    </row>
    <row r="5976">
      <c r="A5976" s="49">
        <v>44575.81512425926</v>
      </c>
      <c r="B5976" s="50">
        <v>44575.9400968981</v>
      </c>
      <c r="C5976" s="51">
        <v>1.003</v>
      </c>
      <c r="D5976" s="51">
        <v>65.0</v>
      </c>
      <c r="E5976" s="52" t="s">
        <v>25</v>
      </c>
      <c r="F5976" s="52" t="s">
        <v>26</v>
      </c>
      <c r="G5976" s="53"/>
    </row>
    <row r="5977">
      <c r="A5977" s="49">
        <v>44575.8255422338</v>
      </c>
      <c r="B5977" s="50">
        <v>44575.9505175231</v>
      </c>
      <c r="C5977" s="51">
        <v>1.003</v>
      </c>
      <c r="D5977" s="51">
        <v>65.0</v>
      </c>
      <c r="E5977" s="52" t="s">
        <v>25</v>
      </c>
      <c r="F5977" s="52" t="s">
        <v>26</v>
      </c>
      <c r="G5977" s="53"/>
    </row>
    <row r="5978">
      <c r="A5978" s="49">
        <v>44575.83597871527</v>
      </c>
      <c r="B5978" s="50">
        <v>44575.9609515046</v>
      </c>
      <c r="C5978" s="51">
        <v>1.003</v>
      </c>
      <c r="D5978" s="51">
        <v>65.0</v>
      </c>
      <c r="E5978" s="52" t="s">
        <v>25</v>
      </c>
      <c r="F5978" s="52" t="s">
        <v>26</v>
      </c>
      <c r="G5978" s="53"/>
    </row>
    <row r="5979">
      <c r="A5979" s="49">
        <v>44575.846396574074</v>
      </c>
      <c r="B5979" s="50">
        <v>44575.971375162</v>
      </c>
      <c r="C5979" s="51">
        <v>1.003</v>
      </c>
      <c r="D5979" s="51">
        <v>65.0</v>
      </c>
      <c r="E5979" s="52" t="s">
        <v>25</v>
      </c>
      <c r="F5979" s="52" t="s">
        <v>26</v>
      </c>
      <c r="G5979" s="53"/>
    </row>
    <row r="5980">
      <c r="A5980" s="49">
        <v>44575.856836770836</v>
      </c>
      <c r="B5980" s="50">
        <v>44575.9818084606</v>
      </c>
      <c r="C5980" s="51">
        <v>1.003</v>
      </c>
      <c r="D5980" s="51">
        <v>65.0</v>
      </c>
      <c r="E5980" s="52" t="s">
        <v>25</v>
      </c>
      <c r="F5980" s="52" t="s">
        <v>26</v>
      </c>
      <c r="G5980" s="53"/>
    </row>
    <row r="5981">
      <c r="A5981" s="49">
        <v>44575.86725809028</v>
      </c>
      <c r="B5981" s="50">
        <v>44575.9922300115</v>
      </c>
      <c r="C5981" s="51">
        <v>1.003</v>
      </c>
      <c r="D5981" s="51">
        <v>65.0</v>
      </c>
      <c r="E5981" s="52" t="s">
        <v>25</v>
      </c>
      <c r="F5981" s="52" t="s">
        <v>26</v>
      </c>
      <c r="G5981" s="53"/>
    </row>
    <row r="5982">
      <c r="A5982" s="49">
        <v>44575.877692442125</v>
      </c>
      <c r="B5982" s="50">
        <v>44576.002650949</v>
      </c>
      <c r="C5982" s="51">
        <v>1.003</v>
      </c>
      <c r="D5982" s="51">
        <v>65.0</v>
      </c>
      <c r="E5982" s="52" t="s">
        <v>25</v>
      </c>
      <c r="F5982" s="52" t="s">
        <v>26</v>
      </c>
      <c r="G5982" s="53"/>
    </row>
    <row r="5983">
      <c r="A5983" s="49">
        <v>44575.88809327546</v>
      </c>
      <c r="B5983" s="50">
        <v>44576.0130733912</v>
      </c>
      <c r="C5983" s="51">
        <v>1.003</v>
      </c>
      <c r="D5983" s="51">
        <v>65.0</v>
      </c>
      <c r="E5983" s="52" t="s">
        <v>25</v>
      </c>
      <c r="F5983" s="52" t="s">
        <v>26</v>
      </c>
      <c r="G5983" s="53"/>
    </row>
    <row r="5984">
      <c r="A5984" s="49">
        <v>44575.89851762731</v>
      </c>
      <c r="B5984" s="50">
        <v>44576.0234950115</v>
      </c>
      <c r="C5984" s="51">
        <v>1.003</v>
      </c>
      <c r="D5984" s="51">
        <v>65.0</v>
      </c>
      <c r="E5984" s="52" t="s">
        <v>25</v>
      </c>
      <c r="F5984" s="52" t="s">
        <v>26</v>
      </c>
      <c r="G5984" s="53"/>
    </row>
    <row r="5985">
      <c r="A5985" s="49">
        <v>44575.90894363426</v>
      </c>
      <c r="B5985" s="50">
        <v>44576.0339177546</v>
      </c>
      <c r="C5985" s="51">
        <v>1.003</v>
      </c>
      <c r="D5985" s="51">
        <v>65.0</v>
      </c>
      <c r="E5985" s="52" t="s">
        <v>25</v>
      </c>
      <c r="F5985" s="52" t="s">
        <v>26</v>
      </c>
      <c r="G5985" s="53"/>
    </row>
    <row r="5986">
      <c r="A5986" s="49">
        <v>44575.919379652776</v>
      </c>
      <c r="B5986" s="50">
        <v>44576.0443511458</v>
      </c>
      <c r="C5986" s="51">
        <v>1.003</v>
      </c>
      <c r="D5986" s="51">
        <v>65.0</v>
      </c>
      <c r="E5986" s="52" t="s">
        <v>25</v>
      </c>
      <c r="F5986" s="52" t="s">
        <v>26</v>
      </c>
      <c r="G5986" s="53"/>
    </row>
    <row r="5987">
      <c r="A5987" s="49">
        <v>44575.92981541667</v>
      </c>
      <c r="B5987" s="50">
        <v>44576.0547825462</v>
      </c>
      <c r="C5987" s="51">
        <v>1.003</v>
      </c>
      <c r="D5987" s="51">
        <v>65.0</v>
      </c>
      <c r="E5987" s="52" t="s">
        <v>25</v>
      </c>
      <c r="F5987" s="52" t="s">
        <v>26</v>
      </c>
      <c r="G5987" s="53"/>
    </row>
    <row r="5988">
      <c r="A5988" s="49">
        <v>44575.94022643518</v>
      </c>
      <c r="B5988" s="50">
        <v>44576.065203831</v>
      </c>
      <c r="C5988" s="51">
        <v>1.003</v>
      </c>
      <c r="D5988" s="51">
        <v>65.0</v>
      </c>
      <c r="E5988" s="52" t="s">
        <v>25</v>
      </c>
      <c r="F5988" s="52" t="s">
        <v>26</v>
      </c>
      <c r="G5988" s="53"/>
    </row>
    <row r="5989">
      <c r="A5989" s="49">
        <v>44575.950649861115</v>
      </c>
      <c r="B5989" s="50">
        <v>44576.0756261226</v>
      </c>
      <c r="C5989" s="51">
        <v>1.003</v>
      </c>
      <c r="D5989" s="51">
        <v>65.0</v>
      </c>
      <c r="E5989" s="52" t="s">
        <v>25</v>
      </c>
      <c r="F5989" s="52" t="s">
        <v>26</v>
      </c>
      <c r="G5989" s="53"/>
    </row>
    <row r="5990">
      <c r="A5990" s="49">
        <v>44575.96108248843</v>
      </c>
      <c r="B5990" s="50">
        <v>44576.0860471412</v>
      </c>
      <c r="C5990" s="51">
        <v>1.003</v>
      </c>
      <c r="D5990" s="51">
        <v>65.0</v>
      </c>
      <c r="E5990" s="52" t="s">
        <v>25</v>
      </c>
      <c r="F5990" s="52" t="s">
        <v>26</v>
      </c>
      <c r="G5990" s="53"/>
    </row>
    <row r="5991">
      <c r="A5991" s="49">
        <v>44575.97149763889</v>
      </c>
      <c r="B5991" s="50">
        <v>44576.0964690856</v>
      </c>
      <c r="C5991" s="51">
        <v>1.003</v>
      </c>
      <c r="D5991" s="51">
        <v>65.0</v>
      </c>
      <c r="E5991" s="52" t="s">
        <v>25</v>
      </c>
      <c r="F5991" s="52" t="s">
        <v>26</v>
      </c>
      <c r="G5991" s="53"/>
    </row>
    <row r="5992">
      <c r="A5992" s="49">
        <v>44575.98191783565</v>
      </c>
      <c r="B5992" s="50">
        <v>44576.1068909606</v>
      </c>
      <c r="C5992" s="51">
        <v>1.003</v>
      </c>
      <c r="D5992" s="51">
        <v>65.0</v>
      </c>
      <c r="E5992" s="52" t="s">
        <v>25</v>
      </c>
      <c r="F5992" s="52" t="s">
        <v>26</v>
      </c>
      <c r="G5992" s="53"/>
    </row>
    <row r="5993">
      <c r="A5993" s="49">
        <v>44575.992339652774</v>
      </c>
      <c r="B5993" s="50">
        <v>44576.1173123032</v>
      </c>
      <c r="C5993" s="51">
        <v>1.003</v>
      </c>
      <c r="D5993" s="51">
        <v>64.0</v>
      </c>
      <c r="E5993" s="52" t="s">
        <v>25</v>
      </c>
      <c r="F5993" s="52" t="s">
        <v>26</v>
      </c>
      <c r="G5993" s="53"/>
    </row>
    <row r="5994">
      <c r="A5994" s="49">
        <v>44576.00275962963</v>
      </c>
      <c r="B5994" s="50">
        <v>44576.1277334259</v>
      </c>
      <c r="C5994" s="51">
        <v>1.003</v>
      </c>
      <c r="D5994" s="51">
        <v>64.0</v>
      </c>
      <c r="E5994" s="52" t="s">
        <v>25</v>
      </c>
      <c r="F5994" s="52" t="s">
        <v>26</v>
      </c>
      <c r="G5994" s="53"/>
    </row>
    <row r="5995">
      <c r="A5995" s="49">
        <v>44576.013180636575</v>
      </c>
      <c r="B5995" s="50">
        <v>44576.1381543981</v>
      </c>
      <c r="C5995" s="51">
        <v>1.003</v>
      </c>
      <c r="D5995" s="51">
        <v>64.0</v>
      </c>
      <c r="E5995" s="52" t="s">
        <v>25</v>
      </c>
      <c r="F5995" s="52" t="s">
        <v>26</v>
      </c>
      <c r="G5995" s="53"/>
    </row>
    <row r="5996">
      <c r="A5996" s="49">
        <v>44576.023602546295</v>
      </c>
      <c r="B5996" s="50">
        <v>44576.1485764351</v>
      </c>
      <c r="C5996" s="51">
        <v>1.003</v>
      </c>
      <c r="D5996" s="51">
        <v>64.0</v>
      </c>
      <c r="E5996" s="52" t="s">
        <v>25</v>
      </c>
      <c r="F5996" s="52" t="s">
        <v>26</v>
      </c>
      <c r="G5996" s="53"/>
    </row>
    <row r="5997">
      <c r="A5997" s="49">
        <v>44576.034017858794</v>
      </c>
      <c r="B5997" s="50">
        <v>44576.1589955787</v>
      </c>
      <c r="C5997" s="51">
        <v>1.003</v>
      </c>
      <c r="D5997" s="51">
        <v>64.0</v>
      </c>
      <c r="E5997" s="52" t="s">
        <v>25</v>
      </c>
      <c r="F5997" s="52" t="s">
        <v>26</v>
      </c>
      <c r="G5997" s="53"/>
    </row>
    <row r="5998">
      <c r="A5998" s="49">
        <v>44576.04445368056</v>
      </c>
      <c r="B5998" s="50">
        <v>44576.1694280439</v>
      </c>
      <c r="C5998" s="51">
        <v>1.003</v>
      </c>
      <c r="D5998" s="51">
        <v>64.0</v>
      </c>
      <c r="E5998" s="52" t="s">
        <v>25</v>
      </c>
      <c r="F5998" s="52" t="s">
        <v>26</v>
      </c>
      <c r="G5998" s="53"/>
    </row>
    <row r="5999">
      <c r="A5999" s="49">
        <v>44576.05487554398</v>
      </c>
      <c r="B5999" s="50">
        <v>44576.1798496527</v>
      </c>
      <c r="C5999" s="51">
        <v>1.003</v>
      </c>
      <c r="D5999" s="51">
        <v>64.0</v>
      </c>
      <c r="E5999" s="52" t="s">
        <v>25</v>
      </c>
      <c r="F5999" s="52" t="s">
        <v>26</v>
      </c>
      <c r="G5999" s="53"/>
    </row>
    <row r="6000">
      <c r="A6000" s="49">
        <v>44576.065293657404</v>
      </c>
      <c r="B6000" s="50">
        <v>44576.1902691666</v>
      </c>
      <c r="C6000" s="51">
        <v>1.003</v>
      </c>
      <c r="D6000" s="51">
        <v>64.0</v>
      </c>
      <c r="E6000" s="52" t="s">
        <v>25</v>
      </c>
      <c r="F6000" s="52" t="s">
        <v>26</v>
      </c>
      <c r="G6000" s="53"/>
    </row>
    <row r="6001">
      <c r="A6001" s="49">
        <v>44576.075711631944</v>
      </c>
      <c r="B6001" s="50">
        <v>44576.2006898263</v>
      </c>
      <c r="C6001" s="51">
        <v>1.003</v>
      </c>
      <c r="D6001" s="51">
        <v>64.0</v>
      </c>
      <c r="E6001" s="52" t="s">
        <v>25</v>
      </c>
      <c r="F6001" s="52" t="s">
        <v>26</v>
      </c>
      <c r="G6001" s="53"/>
    </row>
    <row r="6002">
      <c r="A6002" s="49">
        <v>44576.086132488424</v>
      </c>
      <c r="B6002" s="50">
        <v>44576.2111106712</v>
      </c>
      <c r="C6002" s="51">
        <v>1.003</v>
      </c>
      <c r="D6002" s="51">
        <v>64.0</v>
      </c>
      <c r="E6002" s="52" t="s">
        <v>25</v>
      </c>
      <c r="F6002" s="52" t="s">
        <v>26</v>
      </c>
      <c r="G6002" s="53"/>
    </row>
    <row r="6003">
      <c r="A6003" s="49">
        <v>44576.09656888889</v>
      </c>
      <c r="B6003" s="50">
        <v>44576.2215430439</v>
      </c>
      <c r="C6003" s="51">
        <v>1.003</v>
      </c>
      <c r="D6003" s="51">
        <v>64.0</v>
      </c>
      <c r="E6003" s="52" t="s">
        <v>25</v>
      </c>
      <c r="F6003" s="52" t="s">
        <v>26</v>
      </c>
      <c r="G6003" s="53"/>
    </row>
    <row r="6004">
      <c r="A6004" s="49">
        <v>44576.106987858795</v>
      </c>
      <c r="B6004" s="50">
        <v>44576.2319628124</v>
      </c>
      <c r="C6004" s="51">
        <v>1.003</v>
      </c>
      <c r="D6004" s="51">
        <v>64.0</v>
      </c>
      <c r="E6004" s="52" t="s">
        <v>25</v>
      </c>
      <c r="F6004" s="52" t="s">
        <v>26</v>
      </c>
      <c r="G6004" s="53"/>
    </row>
    <row r="6005">
      <c r="A6005" s="49">
        <v>44576.11740806713</v>
      </c>
      <c r="B6005" s="50">
        <v>44576.2423850462</v>
      </c>
      <c r="C6005" s="51">
        <v>1.003</v>
      </c>
      <c r="D6005" s="51">
        <v>64.0</v>
      </c>
      <c r="E6005" s="52" t="s">
        <v>25</v>
      </c>
      <c r="F6005" s="52" t="s">
        <v>26</v>
      </c>
      <c r="G6005" s="53"/>
    </row>
    <row r="6006">
      <c r="A6006" s="49">
        <v>44576.12782818287</v>
      </c>
      <c r="B6006" s="50">
        <v>44576.2528052893</v>
      </c>
      <c r="C6006" s="51">
        <v>1.003</v>
      </c>
      <c r="D6006" s="51">
        <v>64.0</v>
      </c>
      <c r="E6006" s="52" t="s">
        <v>25</v>
      </c>
      <c r="F6006" s="52" t="s">
        <v>26</v>
      </c>
      <c r="G6006" s="53"/>
    </row>
    <row r="6007">
      <c r="A6007" s="49">
        <v>44576.138256446764</v>
      </c>
      <c r="B6007" s="50">
        <v>44576.2632247222</v>
      </c>
      <c r="C6007" s="51">
        <v>1.003</v>
      </c>
      <c r="D6007" s="51">
        <v>64.0</v>
      </c>
      <c r="E6007" s="52" t="s">
        <v>25</v>
      </c>
      <c r="F6007" s="52" t="s">
        <v>26</v>
      </c>
      <c r="G6007" s="53"/>
    </row>
    <row r="6008">
      <c r="A6008" s="49">
        <v>44576.14868221065</v>
      </c>
      <c r="B6008" s="50">
        <v>44576.2736574074</v>
      </c>
      <c r="C6008" s="51">
        <v>1.003</v>
      </c>
      <c r="D6008" s="51">
        <v>64.0</v>
      </c>
      <c r="E6008" s="52" t="s">
        <v>25</v>
      </c>
      <c r="F6008" s="52" t="s">
        <v>26</v>
      </c>
      <c r="G6008" s="53"/>
    </row>
    <row r="6009">
      <c r="A6009" s="49">
        <v>44576.15913069445</v>
      </c>
      <c r="B6009" s="50">
        <v>44576.2841030671</v>
      </c>
      <c r="C6009" s="51">
        <v>1.003</v>
      </c>
      <c r="D6009" s="51">
        <v>64.0</v>
      </c>
      <c r="E6009" s="52" t="s">
        <v>25</v>
      </c>
      <c r="F6009" s="52" t="s">
        <v>26</v>
      </c>
      <c r="G6009" s="53"/>
    </row>
    <row r="6010">
      <c r="A6010" s="49">
        <v>44576.16955346065</v>
      </c>
      <c r="B6010" s="50">
        <v>44576.2945257986</v>
      </c>
      <c r="C6010" s="51">
        <v>1.003</v>
      </c>
      <c r="D6010" s="51">
        <v>64.0</v>
      </c>
      <c r="E6010" s="52" t="s">
        <v>25</v>
      </c>
      <c r="F6010" s="52" t="s">
        <v>26</v>
      </c>
      <c r="G6010" s="53"/>
    </row>
    <row r="6011">
      <c r="A6011" s="49">
        <v>44576.17997538194</v>
      </c>
      <c r="B6011" s="50">
        <v>44576.3049464699</v>
      </c>
      <c r="C6011" s="51">
        <v>1.003</v>
      </c>
      <c r="D6011" s="51">
        <v>64.0</v>
      </c>
      <c r="E6011" s="52" t="s">
        <v>25</v>
      </c>
      <c r="F6011" s="52" t="s">
        <v>26</v>
      </c>
      <c r="G6011" s="53"/>
    </row>
    <row r="6012">
      <c r="A6012" s="49">
        <v>44576.190403506946</v>
      </c>
      <c r="B6012" s="50">
        <v>44576.3153791666</v>
      </c>
      <c r="C6012" s="51">
        <v>1.003</v>
      </c>
      <c r="D6012" s="51">
        <v>64.0</v>
      </c>
      <c r="E6012" s="52" t="s">
        <v>25</v>
      </c>
      <c r="F6012" s="52" t="s">
        <v>26</v>
      </c>
      <c r="G6012" s="53"/>
    </row>
    <row r="6013">
      <c r="A6013" s="49">
        <v>44576.20082755787</v>
      </c>
      <c r="B6013" s="50">
        <v>44576.3257995254</v>
      </c>
      <c r="C6013" s="51">
        <v>1.003</v>
      </c>
      <c r="D6013" s="51">
        <v>64.0</v>
      </c>
      <c r="E6013" s="52" t="s">
        <v>25</v>
      </c>
      <c r="F6013" s="52" t="s">
        <v>26</v>
      </c>
      <c r="G6013" s="53"/>
    </row>
    <row r="6014">
      <c r="A6014" s="49">
        <v>44576.21124568287</v>
      </c>
      <c r="B6014" s="50">
        <v>44576.3362189236</v>
      </c>
      <c r="C6014" s="51">
        <v>1.003</v>
      </c>
      <c r="D6014" s="51">
        <v>64.0</v>
      </c>
      <c r="E6014" s="52" t="s">
        <v>25</v>
      </c>
      <c r="F6014" s="52" t="s">
        <v>26</v>
      </c>
      <c r="G6014" s="53"/>
    </row>
    <row r="6015">
      <c r="A6015" s="49">
        <v>44576.221667314814</v>
      </c>
      <c r="B6015" s="50">
        <v>44576.3466399999</v>
      </c>
      <c r="C6015" s="51">
        <v>1.003</v>
      </c>
      <c r="D6015" s="51">
        <v>64.0</v>
      </c>
      <c r="E6015" s="52" t="s">
        <v>25</v>
      </c>
      <c r="F6015" s="52" t="s">
        <v>26</v>
      </c>
      <c r="G6015" s="53"/>
    </row>
    <row r="6016">
      <c r="A6016" s="49">
        <v>44576.23208798611</v>
      </c>
      <c r="B6016" s="50">
        <v>44576.3570616435</v>
      </c>
      <c r="C6016" s="51">
        <v>1.003</v>
      </c>
      <c r="D6016" s="51">
        <v>64.0</v>
      </c>
      <c r="E6016" s="52" t="s">
        <v>25</v>
      </c>
      <c r="F6016" s="52" t="s">
        <v>26</v>
      </c>
      <c r="G6016" s="53"/>
    </row>
    <row r="6017">
      <c r="A6017" s="49">
        <v>44576.24251011574</v>
      </c>
      <c r="B6017" s="50">
        <v>44576.3674827661</v>
      </c>
      <c r="C6017" s="51">
        <v>1.003</v>
      </c>
      <c r="D6017" s="51">
        <v>64.0</v>
      </c>
      <c r="E6017" s="52" t="s">
        <v>25</v>
      </c>
      <c r="F6017" s="52" t="s">
        <v>26</v>
      </c>
      <c r="G6017" s="53"/>
    </row>
    <row r="6018">
      <c r="A6018" s="49">
        <v>44576.25294738426</v>
      </c>
      <c r="B6018" s="50">
        <v>44576.3779277546</v>
      </c>
      <c r="C6018" s="51">
        <v>1.003</v>
      </c>
      <c r="D6018" s="51">
        <v>64.0</v>
      </c>
      <c r="E6018" s="52" t="s">
        <v>25</v>
      </c>
      <c r="F6018" s="52" t="s">
        <v>26</v>
      </c>
      <c r="G6018" s="53"/>
    </row>
    <row r="6019">
      <c r="A6019" s="49">
        <v>44576.263384502316</v>
      </c>
      <c r="B6019" s="50">
        <v>44576.3883587847</v>
      </c>
      <c r="C6019" s="51">
        <v>1.003</v>
      </c>
      <c r="D6019" s="51">
        <v>64.0</v>
      </c>
      <c r="E6019" s="52" t="s">
        <v>25</v>
      </c>
      <c r="F6019" s="52" t="s">
        <v>26</v>
      </c>
      <c r="G6019" s="53"/>
    </row>
    <row r="6020">
      <c r="A6020" s="49">
        <v>44576.273807731486</v>
      </c>
      <c r="B6020" s="50">
        <v>44576.3987811458</v>
      </c>
      <c r="C6020" s="51">
        <v>1.003</v>
      </c>
      <c r="D6020" s="51">
        <v>64.0</v>
      </c>
      <c r="E6020" s="52" t="s">
        <v>25</v>
      </c>
      <c r="F6020" s="52" t="s">
        <v>26</v>
      </c>
      <c r="G6020" s="53"/>
    </row>
    <row r="6021">
      <c r="A6021" s="49">
        <v>44576.28427552083</v>
      </c>
      <c r="B6021" s="50">
        <v>44576.4092478819</v>
      </c>
      <c r="C6021" s="51">
        <v>1.003</v>
      </c>
      <c r="D6021" s="51">
        <v>64.0</v>
      </c>
      <c r="E6021" s="52" t="s">
        <v>25</v>
      </c>
      <c r="F6021" s="52" t="s">
        <v>26</v>
      </c>
      <c r="G6021" s="53"/>
    </row>
    <row r="6022">
      <c r="A6022" s="49">
        <v>44576.294694282406</v>
      </c>
      <c r="B6022" s="50">
        <v>44576.4196691435</v>
      </c>
      <c r="C6022" s="51">
        <v>1.003</v>
      </c>
      <c r="D6022" s="51">
        <v>64.0</v>
      </c>
      <c r="E6022" s="52" t="s">
        <v>25</v>
      </c>
      <c r="F6022" s="52" t="s">
        <v>26</v>
      </c>
      <c r="G6022" s="53"/>
    </row>
    <row r="6023">
      <c r="A6023" s="49">
        <v>44576.30513983796</v>
      </c>
      <c r="B6023" s="50">
        <v>44576.4301130902</v>
      </c>
      <c r="C6023" s="51">
        <v>1.003</v>
      </c>
      <c r="D6023" s="51">
        <v>64.0</v>
      </c>
      <c r="E6023" s="52" t="s">
        <v>25</v>
      </c>
      <c r="F6023" s="52" t="s">
        <v>26</v>
      </c>
      <c r="G6023" s="53"/>
    </row>
    <row r="6024">
      <c r="A6024" s="49">
        <v>44576.315572754625</v>
      </c>
      <c r="B6024" s="50">
        <v>44576.4405453009</v>
      </c>
      <c r="C6024" s="51">
        <v>1.003</v>
      </c>
      <c r="D6024" s="51">
        <v>64.0</v>
      </c>
      <c r="E6024" s="52" t="s">
        <v>25</v>
      </c>
      <c r="F6024" s="52" t="s">
        <v>26</v>
      </c>
      <c r="G6024" s="53"/>
    </row>
    <row r="6025">
      <c r="A6025" s="49">
        <v>44576.32598883101</v>
      </c>
      <c r="B6025" s="50">
        <v>44576.4509691087</v>
      </c>
      <c r="C6025" s="51">
        <v>1.003</v>
      </c>
      <c r="D6025" s="51">
        <v>64.0</v>
      </c>
      <c r="E6025" s="52" t="s">
        <v>25</v>
      </c>
      <c r="F6025" s="52" t="s">
        <v>26</v>
      </c>
      <c r="G6025" s="53"/>
    </row>
    <row r="6026">
      <c r="A6026" s="49">
        <v>44576.33641954861</v>
      </c>
      <c r="B6026" s="50">
        <v>44576.4613913425</v>
      </c>
      <c r="C6026" s="51">
        <v>1.003</v>
      </c>
      <c r="D6026" s="51">
        <v>64.0</v>
      </c>
      <c r="E6026" s="52" t="s">
        <v>25</v>
      </c>
      <c r="F6026" s="52" t="s">
        <v>26</v>
      </c>
      <c r="G6026" s="53"/>
    </row>
    <row r="6027">
      <c r="A6027" s="49">
        <v>44576.346842071755</v>
      </c>
      <c r="B6027" s="50">
        <v>44576.4718215277</v>
      </c>
      <c r="C6027" s="51">
        <v>1.003</v>
      </c>
      <c r="D6027" s="51">
        <v>64.0</v>
      </c>
      <c r="E6027" s="52" t="s">
        <v>25</v>
      </c>
      <c r="F6027" s="52" t="s">
        <v>26</v>
      </c>
      <c r="G6027" s="53"/>
    </row>
    <row r="6028">
      <c r="A6028" s="49">
        <v>44576.35727607639</v>
      </c>
      <c r="B6028" s="50">
        <v>44576.482254155</v>
      </c>
      <c r="C6028" s="51">
        <v>1.003</v>
      </c>
      <c r="D6028" s="51">
        <v>64.0</v>
      </c>
      <c r="E6028" s="52" t="s">
        <v>25</v>
      </c>
      <c r="F6028" s="52" t="s">
        <v>26</v>
      </c>
      <c r="G6028" s="53"/>
    </row>
    <row r="6029">
      <c r="A6029" s="49">
        <v>44576.3677071412</v>
      </c>
      <c r="B6029" s="50">
        <v>44576.4926757407</v>
      </c>
      <c r="C6029" s="51">
        <v>1.003</v>
      </c>
      <c r="D6029" s="51">
        <v>64.0</v>
      </c>
      <c r="E6029" s="52" t="s">
        <v>25</v>
      </c>
      <c r="F6029" s="52" t="s">
        <v>26</v>
      </c>
      <c r="G6029" s="53"/>
    </row>
    <row r="6030">
      <c r="A6030" s="49">
        <v>44576.37812166667</v>
      </c>
      <c r="B6030" s="50">
        <v>44576.5030982754</v>
      </c>
      <c r="C6030" s="51">
        <v>1.003</v>
      </c>
      <c r="D6030" s="51">
        <v>64.0</v>
      </c>
      <c r="E6030" s="52" t="s">
        <v>25</v>
      </c>
      <c r="F6030" s="52" t="s">
        <v>26</v>
      </c>
      <c r="G6030" s="53"/>
    </row>
    <row r="6031">
      <c r="A6031" s="49">
        <v>44576.38854356481</v>
      </c>
      <c r="B6031" s="50">
        <v>44576.5135198379</v>
      </c>
      <c r="C6031" s="51">
        <v>1.003</v>
      </c>
      <c r="D6031" s="51">
        <v>63.0</v>
      </c>
      <c r="E6031" s="52" t="s">
        <v>25</v>
      </c>
      <c r="F6031" s="52" t="s">
        <v>26</v>
      </c>
      <c r="G6031" s="53"/>
    </row>
    <row r="6032">
      <c r="A6032" s="49">
        <v>44576.39898164352</v>
      </c>
      <c r="B6032" s="50">
        <v>44576.5239537615</v>
      </c>
      <c r="C6032" s="51">
        <v>1.003</v>
      </c>
      <c r="D6032" s="51">
        <v>63.0</v>
      </c>
      <c r="E6032" s="52" t="s">
        <v>25</v>
      </c>
      <c r="F6032" s="52" t="s">
        <v>26</v>
      </c>
      <c r="G6032" s="53"/>
    </row>
    <row r="6033">
      <c r="A6033" s="49">
        <v>44576.40941537037</v>
      </c>
      <c r="B6033" s="50">
        <v>44576.5343882638</v>
      </c>
      <c r="C6033" s="51">
        <v>1.003</v>
      </c>
      <c r="D6033" s="51">
        <v>63.0</v>
      </c>
      <c r="E6033" s="52" t="s">
        <v>25</v>
      </c>
      <c r="F6033" s="52" t="s">
        <v>26</v>
      </c>
      <c r="G6033" s="53"/>
    </row>
    <row r="6034">
      <c r="A6034" s="49">
        <v>44576.419829907405</v>
      </c>
      <c r="B6034" s="50">
        <v>44576.5448084837</v>
      </c>
      <c r="C6034" s="51">
        <v>1.003</v>
      </c>
      <c r="D6034" s="51">
        <v>63.0</v>
      </c>
      <c r="E6034" s="52" t="s">
        <v>25</v>
      </c>
      <c r="F6034" s="52" t="s">
        <v>26</v>
      </c>
      <c r="G6034" s="53"/>
    </row>
    <row r="6035">
      <c r="A6035" s="49">
        <v>44576.43025846065</v>
      </c>
      <c r="B6035" s="50">
        <v>44576.5552287268</v>
      </c>
      <c r="C6035" s="51">
        <v>1.003</v>
      </c>
      <c r="D6035" s="51">
        <v>63.0</v>
      </c>
      <c r="E6035" s="52" t="s">
        <v>25</v>
      </c>
      <c r="F6035" s="52" t="s">
        <v>26</v>
      </c>
      <c r="G6035" s="53"/>
    </row>
    <row r="6036">
      <c r="A6036" s="49">
        <v>44576.44067293982</v>
      </c>
      <c r="B6036" s="50">
        <v>44576.5656481365</v>
      </c>
      <c r="C6036" s="51">
        <v>1.003</v>
      </c>
      <c r="D6036" s="51">
        <v>63.0</v>
      </c>
      <c r="E6036" s="52" t="s">
        <v>25</v>
      </c>
      <c r="F6036" s="52" t="s">
        <v>26</v>
      </c>
      <c r="G6036" s="53"/>
    </row>
    <row r="6037">
      <c r="A6037" s="49">
        <v>44576.45109642361</v>
      </c>
      <c r="B6037" s="50">
        <v>44576.5760707986</v>
      </c>
      <c r="C6037" s="51">
        <v>1.003</v>
      </c>
      <c r="D6037" s="51">
        <v>63.0</v>
      </c>
      <c r="E6037" s="52" t="s">
        <v>25</v>
      </c>
      <c r="F6037" s="52" t="s">
        <v>26</v>
      </c>
      <c r="G6037" s="53"/>
    </row>
    <row r="6038">
      <c r="A6038" s="49">
        <v>44576.46151857639</v>
      </c>
      <c r="B6038" s="50">
        <v>44576.5864923495</v>
      </c>
      <c r="C6038" s="51">
        <v>1.003</v>
      </c>
      <c r="D6038" s="51">
        <v>63.0</v>
      </c>
      <c r="E6038" s="52" t="s">
        <v>25</v>
      </c>
      <c r="F6038" s="52" t="s">
        <v>26</v>
      </c>
      <c r="G6038" s="53"/>
    </row>
    <row r="6039">
      <c r="A6039" s="49">
        <v>44576.47195202546</v>
      </c>
      <c r="B6039" s="50">
        <v>44576.5969256597</v>
      </c>
      <c r="C6039" s="51">
        <v>1.003</v>
      </c>
      <c r="D6039" s="51">
        <v>63.0</v>
      </c>
      <c r="E6039" s="52" t="s">
        <v>25</v>
      </c>
      <c r="F6039" s="52" t="s">
        <v>26</v>
      </c>
      <c r="G6039" s="53"/>
    </row>
    <row r="6040">
      <c r="A6040" s="49">
        <v>44576.48237059028</v>
      </c>
      <c r="B6040" s="50">
        <v>44576.607345405</v>
      </c>
      <c r="C6040" s="51">
        <v>1.003</v>
      </c>
      <c r="D6040" s="51">
        <v>63.0</v>
      </c>
      <c r="E6040" s="52" t="s">
        <v>25</v>
      </c>
      <c r="F6040" s="52" t="s">
        <v>26</v>
      </c>
      <c r="G6040" s="53"/>
    </row>
    <row r="6041">
      <c r="A6041" s="49">
        <v>44576.49279229167</v>
      </c>
      <c r="B6041" s="50">
        <v>44576.6177676157</v>
      </c>
      <c r="C6041" s="51">
        <v>1.003</v>
      </c>
      <c r="D6041" s="51">
        <v>63.0</v>
      </c>
      <c r="E6041" s="52" t="s">
        <v>25</v>
      </c>
      <c r="F6041" s="52" t="s">
        <v>26</v>
      </c>
      <c r="G6041" s="53"/>
    </row>
    <row r="6042">
      <c r="A6042" s="49">
        <v>44576.503219363425</v>
      </c>
      <c r="B6042" s="50">
        <v>44576.6281895717</v>
      </c>
      <c r="C6042" s="51">
        <v>1.003</v>
      </c>
      <c r="D6042" s="51">
        <v>63.0</v>
      </c>
      <c r="E6042" s="52" t="s">
        <v>25</v>
      </c>
      <c r="F6042" s="52" t="s">
        <v>26</v>
      </c>
      <c r="G6042" s="53"/>
    </row>
    <row r="6043">
      <c r="A6043" s="49">
        <v>44576.51363722222</v>
      </c>
      <c r="B6043" s="50">
        <v>44576.6386120717</v>
      </c>
      <c r="C6043" s="51">
        <v>1.003</v>
      </c>
      <c r="D6043" s="51">
        <v>63.0</v>
      </c>
      <c r="E6043" s="52" t="s">
        <v>25</v>
      </c>
      <c r="F6043" s="52" t="s">
        <v>26</v>
      </c>
      <c r="G6043" s="53"/>
    </row>
    <row r="6044">
      <c r="A6044" s="49">
        <v>44576.524060497686</v>
      </c>
      <c r="B6044" s="50">
        <v>44576.649031574</v>
      </c>
      <c r="C6044" s="51">
        <v>1.003</v>
      </c>
      <c r="D6044" s="51">
        <v>63.0</v>
      </c>
      <c r="E6044" s="52" t="s">
        <v>25</v>
      </c>
      <c r="F6044" s="52" t="s">
        <v>26</v>
      </c>
      <c r="G6044" s="53"/>
    </row>
    <row r="6045">
      <c r="A6045" s="49">
        <v>44576.534474872686</v>
      </c>
      <c r="B6045" s="50">
        <v>44576.6594531713</v>
      </c>
      <c r="C6045" s="51">
        <v>1.003</v>
      </c>
      <c r="D6045" s="51">
        <v>63.0</v>
      </c>
      <c r="E6045" s="52" t="s">
        <v>25</v>
      </c>
      <c r="F6045" s="52" t="s">
        <v>26</v>
      </c>
      <c r="G6045" s="53"/>
    </row>
    <row r="6046">
      <c r="A6046" s="49">
        <v>44576.54490584491</v>
      </c>
      <c r="B6046" s="50">
        <v>44576.6698744907</v>
      </c>
      <c r="C6046" s="51">
        <v>1.003</v>
      </c>
      <c r="D6046" s="51">
        <v>63.0</v>
      </c>
      <c r="E6046" s="52" t="s">
        <v>25</v>
      </c>
      <c r="F6046" s="52" t="s">
        <v>26</v>
      </c>
      <c r="G6046" s="53"/>
    </row>
    <row r="6047">
      <c r="A6047" s="49">
        <v>44576.55532903935</v>
      </c>
      <c r="B6047" s="50">
        <v>44576.6803070254</v>
      </c>
      <c r="C6047" s="51">
        <v>1.003</v>
      </c>
      <c r="D6047" s="51">
        <v>63.0</v>
      </c>
      <c r="E6047" s="52" t="s">
        <v>25</v>
      </c>
      <c r="F6047" s="52" t="s">
        <v>26</v>
      </c>
      <c r="G6047" s="53"/>
    </row>
    <row r="6048">
      <c r="A6048" s="49">
        <v>44576.56576491898</v>
      </c>
      <c r="B6048" s="50">
        <v>44576.6907298148</v>
      </c>
      <c r="C6048" s="51">
        <v>1.003</v>
      </c>
      <c r="D6048" s="51">
        <v>63.0</v>
      </c>
      <c r="E6048" s="52" t="s">
        <v>25</v>
      </c>
      <c r="F6048" s="52" t="s">
        <v>26</v>
      </c>
      <c r="G6048" s="53"/>
    </row>
    <row r="6049">
      <c r="A6049" s="49">
        <v>44576.57617579861</v>
      </c>
      <c r="B6049" s="50">
        <v>44576.7011516319</v>
      </c>
      <c r="C6049" s="51">
        <v>1.003</v>
      </c>
      <c r="D6049" s="51">
        <v>63.0</v>
      </c>
      <c r="E6049" s="52" t="s">
        <v>25</v>
      </c>
      <c r="F6049" s="52" t="s">
        <v>26</v>
      </c>
      <c r="G6049" s="53"/>
    </row>
    <row r="6050">
      <c r="A6050" s="49">
        <v>44576.586598229165</v>
      </c>
      <c r="B6050" s="50">
        <v>44576.7115722106</v>
      </c>
      <c r="C6050" s="51">
        <v>1.003</v>
      </c>
      <c r="D6050" s="51">
        <v>63.0</v>
      </c>
      <c r="E6050" s="52" t="s">
        <v>25</v>
      </c>
      <c r="F6050" s="52" t="s">
        <v>26</v>
      </c>
      <c r="G6050" s="53"/>
    </row>
    <row r="6051">
      <c r="A6051" s="49">
        <v>44576.59704429398</v>
      </c>
      <c r="B6051" s="50">
        <v>44576.7220166087</v>
      </c>
      <c r="C6051" s="51">
        <v>1.003</v>
      </c>
      <c r="D6051" s="51">
        <v>63.0</v>
      </c>
      <c r="E6051" s="52" t="s">
        <v>25</v>
      </c>
      <c r="F6051" s="52" t="s">
        <v>26</v>
      </c>
      <c r="G6051" s="53"/>
    </row>
    <row r="6052">
      <c r="A6052" s="49">
        <v>44576.607464444445</v>
      </c>
      <c r="B6052" s="50">
        <v>44576.7324382986</v>
      </c>
      <c r="C6052" s="51">
        <v>1.003</v>
      </c>
      <c r="D6052" s="51">
        <v>63.0</v>
      </c>
      <c r="E6052" s="52" t="s">
        <v>25</v>
      </c>
      <c r="F6052" s="52" t="s">
        <v>26</v>
      </c>
      <c r="G6052" s="53"/>
    </row>
    <row r="6053">
      <c r="A6053" s="49">
        <v>44576.617887175926</v>
      </c>
      <c r="B6053" s="50">
        <v>44576.7428614236</v>
      </c>
      <c r="C6053" s="51">
        <v>1.003</v>
      </c>
      <c r="D6053" s="51">
        <v>63.0</v>
      </c>
      <c r="E6053" s="52" t="s">
        <v>25</v>
      </c>
      <c r="F6053" s="52" t="s">
        <v>26</v>
      </c>
      <c r="G6053" s="53"/>
    </row>
    <row r="6054">
      <c r="A6054" s="49">
        <v>44576.62830921296</v>
      </c>
      <c r="B6054" s="50">
        <v>44576.7532817245</v>
      </c>
      <c r="C6054" s="51">
        <v>1.003</v>
      </c>
      <c r="D6054" s="51">
        <v>63.0</v>
      </c>
      <c r="E6054" s="52" t="s">
        <v>25</v>
      </c>
      <c r="F6054" s="52" t="s">
        <v>26</v>
      </c>
      <c r="G6054" s="53"/>
    </row>
    <row r="6055">
      <c r="A6055" s="49">
        <v>44576.63872510417</v>
      </c>
      <c r="B6055" s="50">
        <v>44576.7637018865</v>
      </c>
      <c r="C6055" s="51">
        <v>1.003</v>
      </c>
      <c r="D6055" s="51">
        <v>63.0</v>
      </c>
      <c r="E6055" s="52" t="s">
        <v>25</v>
      </c>
      <c r="F6055" s="52" t="s">
        <v>26</v>
      </c>
      <c r="G6055" s="53"/>
    </row>
    <row r="6056">
      <c r="A6056" s="49">
        <v>44576.64913824074</v>
      </c>
      <c r="B6056" s="50">
        <v>44576.7741209606</v>
      </c>
      <c r="C6056" s="51">
        <v>1.003</v>
      </c>
      <c r="D6056" s="51">
        <v>63.0</v>
      </c>
      <c r="E6056" s="52" t="s">
        <v>25</v>
      </c>
      <c r="F6056" s="52" t="s">
        <v>26</v>
      </c>
      <c r="G6056" s="53"/>
    </row>
    <row r="6057">
      <c r="A6057" s="49">
        <v>44576.65956368056</v>
      </c>
      <c r="B6057" s="50">
        <v>44576.7845408217</v>
      </c>
      <c r="C6057" s="51">
        <v>1.003</v>
      </c>
      <c r="D6057" s="51">
        <v>63.0</v>
      </c>
      <c r="E6057" s="52" t="s">
        <v>25</v>
      </c>
      <c r="F6057" s="52" t="s">
        <v>26</v>
      </c>
      <c r="G6057" s="53"/>
    </row>
    <row r="6058">
      <c r="A6058" s="49">
        <v>44576.669989699076</v>
      </c>
      <c r="B6058" s="50">
        <v>44576.7949634722</v>
      </c>
      <c r="C6058" s="51">
        <v>1.003</v>
      </c>
      <c r="D6058" s="51">
        <v>63.0</v>
      </c>
      <c r="E6058" s="52" t="s">
        <v>25</v>
      </c>
      <c r="F6058" s="52" t="s">
        <v>26</v>
      </c>
      <c r="G6058" s="53"/>
    </row>
    <row r="6059">
      <c r="A6059" s="49">
        <v>44576.680416840274</v>
      </c>
      <c r="B6059" s="50">
        <v>44576.805386655</v>
      </c>
      <c r="C6059" s="51">
        <v>1.003</v>
      </c>
      <c r="D6059" s="51">
        <v>63.0</v>
      </c>
      <c r="E6059" s="52" t="s">
        <v>25</v>
      </c>
      <c r="F6059" s="52" t="s">
        <v>26</v>
      </c>
      <c r="G6059" s="53"/>
    </row>
    <row r="6060">
      <c r="A6060" s="49">
        <v>44576.69084321759</v>
      </c>
      <c r="B6060" s="50">
        <v>44576.8158190509</v>
      </c>
      <c r="C6060" s="51">
        <v>1.003</v>
      </c>
      <c r="D6060" s="51">
        <v>63.0</v>
      </c>
      <c r="E6060" s="52" t="s">
        <v>25</v>
      </c>
      <c r="F6060" s="52" t="s">
        <v>26</v>
      </c>
      <c r="G6060" s="53"/>
    </row>
    <row r="6061">
      <c r="A6061" s="49">
        <v>44576.7012684375</v>
      </c>
      <c r="B6061" s="50">
        <v>44576.8262405902</v>
      </c>
      <c r="C6061" s="51">
        <v>1.003</v>
      </c>
      <c r="D6061" s="51">
        <v>63.0</v>
      </c>
      <c r="E6061" s="52" t="s">
        <v>25</v>
      </c>
      <c r="F6061" s="52" t="s">
        <v>26</v>
      </c>
      <c r="G6061" s="53"/>
    </row>
    <row r="6062">
      <c r="A6062" s="49">
        <v>44576.71169418981</v>
      </c>
      <c r="B6062" s="50">
        <v>44576.8366625231</v>
      </c>
      <c r="C6062" s="51">
        <v>1.003</v>
      </c>
      <c r="D6062" s="51">
        <v>63.0</v>
      </c>
      <c r="E6062" s="52" t="s">
        <v>25</v>
      </c>
      <c r="F6062" s="52" t="s">
        <v>26</v>
      </c>
      <c r="G6062" s="53"/>
    </row>
    <row r="6063">
      <c r="A6063" s="49">
        <v>44576.72211625</v>
      </c>
      <c r="B6063" s="50">
        <v>44576.8470954166</v>
      </c>
      <c r="C6063" s="51">
        <v>1.003</v>
      </c>
      <c r="D6063" s="51">
        <v>63.0</v>
      </c>
      <c r="E6063" s="52" t="s">
        <v>25</v>
      </c>
      <c r="F6063" s="52" t="s">
        <v>26</v>
      </c>
      <c r="G6063" s="53"/>
    </row>
    <row r="6064">
      <c r="A6064" s="49">
        <v>44576.732533194445</v>
      </c>
      <c r="B6064" s="50">
        <v>44576.8575163194</v>
      </c>
      <c r="C6064" s="51">
        <v>1.003</v>
      </c>
      <c r="D6064" s="51">
        <v>63.0</v>
      </c>
      <c r="E6064" s="52" t="s">
        <v>25</v>
      </c>
      <c r="F6064" s="52" t="s">
        <v>26</v>
      </c>
      <c r="G6064" s="53"/>
    </row>
    <row r="6065">
      <c r="A6065" s="49">
        <v>44576.74296042824</v>
      </c>
      <c r="B6065" s="50">
        <v>44576.8679378472</v>
      </c>
      <c r="C6065" s="51">
        <v>1.003</v>
      </c>
      <c r="D6065" s="51">
        <v>63.0</v>
      </c>
      <c r="E6065" s="52" t="s">
        <v>25</v>
      </c>
      <c r="F6065" s="52" t="s">
        <v>26</v>
      </c>
      <c r="G6065" s="53"/>
    </row>
    <row r="6066">
      <c r="A6066" s="49">
        <v>44576.753389826394</v>
      </c>
      <c r="B6066" s="50">
        <v>44576.8783618402</v>
      </c>
      <c r="C6066" s="51">
        <v>1.003</v>
      </c>
      <c r="D6066" s="51">
        <v>63.0</v>
      </c>
      <c r="E6066" s="52" t="s">
        <v>25</v>
      </c>
      <c r="F6066" s="52" t="s">
        <v>26</v>
      </c>
      <c r="G6066" s="53"/>
    </row>
    <row r="6067">
      <c r="A6067" s="49">
        <v>44576.76380914352</v>
      </c>
      <c r="B6067" s="50">
        <v>44576.8887835648</v>
      </c>
      <c r="C6067" s="51">
        <v>1.003</v>
      </c>
      <c r="D6067" s="51">
        <v>63.0</v>
      </c>
      <c r="E6067" s="52" t="s">
        <v>25</v>
      </c>
      <c r="F6067" s="52" t="s">
        <v>26</v>
      </c>
      <c r="G6067" s="53"/>
    </row>
    <row r="6068">
      <c r="A6068" s="49">
        <v>44576.774230358795</v>
      </c>
      <c r="B6068" s="50">
        <v>44576.8992035995</v>
      </c>
      <c r="C6068" s="51">
        <v>1.003</v>
      </c>
      <c r="D6068" s="51">
        <v>63.0</v>
      </c>
      <c r="E6068" s="52" t="s">
        <v>25</v>
      </c>
      <c r="F6068" s="52" t="s">
        <v>26</v>
      </c>
      <c r="G6068" s="53"/>
    </row>
    <row r="6069">
      <c r="A6069" s="49">
        <v>44576.78465001157</v>
      </c>
      <c r="B6069" s="50">
        <v>44576.9096239814</v>
      </c>
      <c r="C6069" s="51">
        <v>1.003</v>
      </c>
      <c r="D6069" s="51">
        <v>63.0</v>
      </c>
      <c r="E6069" s="52" t="s">
        <v>25</v>
      </c>
      <c r="F6069" s="52" t="s">
        <v>26</v>
      </c>
      <c r="G6069" s="53"/>
    </row>
    <row r="6070">
      <c r="A6070" s="49">
        <v>44576.795071712964</v>
      </c>
      <c r="B6070" s="50">
        <v>44576.920045081</v>
      </c>
      <c r="C6070" s="51">
        <v>1.003</v>
      </c>
      <c r="D6070" s="51">
        <v>63.0</v>
      </c>
      <c r="E6070" s="52" t="s">
        <v>25</v>
      </c>
      <c r="F6070" s="52" t="s">
        <v>26</v>
      </c>
      <c r="G6070" s="53"/>
    </row>
    <row r="6071">
      <c r="A6071" s="49">
        <v>44576.80548625</v>
      </c>
      <c r="B6071" s="50">
        <v>44576.9304655555</v>
      </c>
      <c r="C6071" s="51">
        <v>1.003</v>
      </c>
      <c r="D6071" s="51">
        <v>63.0</v>
      </c>
      <c r="E6071" s="52" t="s">
        <v>25</v>
      </c>
      <c r="F6071" s="52" t="s">
        <v>26</v>
      </c>
      <c r="G6071" s="53"/>
    </row>
    <row r="6072">
      <c r="A6072" s="49">
        <v>44576.81590890046</v>
      </c>
      <c r="B6072" s="50">
        <v>44576.9408865393</v>
      </c>
      <c r="C6072" s="51">
        <v>1.003</v>
      </c>
      <c r="D6072" s="51">
        <v>62.0</v>
      </c>
      <c r="E6072" s="52" t="s">
        <v>25</v>
      </c>
      <c r="F6072" s="52" t="s">
        <v>26</v>
      </c>
      <c r="G6072" s="53"/>
    </row>
    <row r="6073">
      <c r="A6073" s="49">
        <v>44576.82635137731</v>
      </c>
      <c r="B6073" s="50">
        <v>44576.9513185648</v>
      </c>
      <c r="C6073" s="51">
        <v>1.003</v>
      </c>
      <c r="D6073" s="51">
        <v>63.0</v>
      </c>
      <c r="E6073" s="52" t="s">
        <v>25</v>
      </c>
      <c r="F6073" s="52" t="s">
        <v>26</v>
      </c>
      <c r="G6073" s="53"/>
    </row>
    <row r="6074">
      <c r="A6074" s="49">
        <v>44576.83676203704</v>
      </c>
      <c r="B6074" s="50">
        <v>44576.9617393981</v>
      </c>
      <c r="C6074" s="51">
        <v>1.003</v>
      </c>
      <c r="D6074" s="51">
        <v>62.0</v>
      </c>
      <c r="E6074" s="52" t="s">
        <v>25</v>
      </c>
      <c r="F6074" s="52" t="s">
        <v>26</v>
      </c>
      <c r="G6074" s="53"/>
    </row>
    <row r="6075">
      <c r="A6075" s="49">
        <v>44576.84718296296</v>
      </c>
      <c r="B6075" s="50">
        <v>44576.972160405</v>
      </c>
      <c r="C6075" s="51">
        <v>1.003</v>
      </c>
      <c r="D6075" s="51">
        <v>62.0</v>
      </c>
      <c r="E6075" s="52" t="s">
        <v>25</v>
      </c>
      <c r="F6075" s="52" t="s">
        <v>26</v>
      </c>
      <c r="G6075" s="53"/>
    </row>
    <row r="6076">
      <c r="A6076" s="49">
        <v>44576.857624826385</v>
      </c>
      <c r="B6076" s="50">
        <v>44576.982604618</v>
      </c>
      <c r="C6076" s="51">
        <v>1.003</v>
      </c>
      <c r="D6076" s="51">
        <v>62.0</v>
      </c>
      <c r="E6076" s="52" t="s">
        <v>25</v>
      </c>
      <c r="F6076" s="52" t="s">
        <v>26</v>
      </c>
      <c r="G6076" s="53"/>
    </row>
    <row r="6077">
      <c r="A6077" s="49">
        <v>44576.86805400463</v>
      </c>
      <c r="B6077" s="50">
        <v>44576.9930274537</v>
      </c>
      <c r="C6077" s="51">
        <v>1.003</v>
      </c>
      <c r="D6077" s="51">
        <v>62.0</v>
      </c>
      <c r="E6077" s="52" t="s">
        <v>25</v>
      </c>
      <c r="F6077" s="52" t="s">
        <v>26</v>
      </c>
      <c r="G6077" s="53"/>
    </row>
    <row r="6078">
      <c r="A6078" s="49">
        <v>44576.87847633102</v>
      </c>
      <c r="B6078" s="50">
        <v>44577.0034484953</v>
      </c>
      <c r="C6078" s="51">
        <v>1.003</v>
      </c>
      <c r="D6078" s="51">
        <v>62.0</v>
      </c>
      <c r="E6078" s="52" t="s">
        <v>25</v>
      </c>
      <c r="F6078" s="52" t="s">
        <v>26</v>
      </c>
      <c r="G6078" s="53"/>
    </row>
    <row r="6079">
      <c r="A6079" s="49">
        <v>44576.88889516203</v>
      </c>
      <c r="B6079" s="50">
        <v>44577.013868993</v>
      </c>
      <c r="C6079" s="51">
        <v>1.003</v>
      </c>
      <c r="D6079" s="51">
        <v>62.0</v>
      </c>
      <c r="E6079" s="52" t="s">
        <v>25</v>
      </c>
      <c r="F6079" s="52" t="s">
        <v>26</v>
      </c>
      <c r="G6079" s="53"/>
    </row>
    <row r="6080">
      <c r="A6080" s="49">
        <v>44576.89931328704</v>
      </c>
      <c r="B6080" s="50">
        <v>44577.0242895023</v>
      </c>
      <c r="C6080" s="51">
        <v>1.003</v>
      </c>
      <c r="D6080" s="51">
        <v>62.0</v>
      </c>
      <c r="E6080" s="52" t="s">
        <v>25</v>
      </c>
      <c r="F6080" s="52" t="s">
        <v>26</v>
      </c>
      <c r="G6080" s="53"/>
    </row>
    <row r="6081">
      <c r="A6081" s="49">
        <v>44576.909744143515</v>
      </c>
      <c r="B6081" s="50">
        <v>44577.0347222569</v>
      </c>
      <c r="C6081" s="51">
        <v>1.003</v>
      </c>
      <c r="D6081" s="51">
        <v>62.0</v>
      </c>
      <c r="E6081" s="52" t="s">
        <v>25</v>
      </c>
      <c r="F6081" s="52" t="s">
        <v>26</v>
      </c>
      <c r="G6081" s="53"/>
    </row>
    <row r="6082">
      <c r="A6082" s="49">
        <v>44576.92016821759</v>
      </c>
      <c r="B6082" s="50">
        <v>44577.0451425231</v>
      </c>
      <c r="C6082" s="51">
        <v>1.003</v>
      </c>
      <c r="D6082" s="51">
        <v>62.0</v>
      </c>
      <c r="E6082" s="52" t="s">
        <v>25</v>
      </c>
      <c r="F6082" s="52" t="s">
        <v>26</v>
      </c>
      <c r="G6082" s="53"/>
    </row>
    <row r="6083">
      <c r="A6083" s="49">
        <v>44576.93059403935</v>
      </c>
      <c r="B6083" s="50">
        <v>44577.0555652777</v>
      </c>
      <c r="C6083" s="51">
        <v>1.003</v>
      </c>
      <c r="D6083" s="51">
        <v>62.0</v>
      </c>
      <c r="E6083" s="52" t="s">
        <v>25</v>
      </c>
      <c r="F6083" s="52" t="s">
        <v>26</v>
      </c>
      <c r="G6083" s="53"/>
    </row>
    <row r="6084">
      <c r="A6084" s="49">
        <v>44576.941007870366</v>
      </c>
      <c r="B6084" s="50">
        <v>44577.0659866435</v>
      </c>
      <c r="C6084" s="51">
        <v>1.003</v>
      </c>
      <c r="D6084" s="51">
        <v>62.0</v>
      </c>
      <c r="E6084" s="52" t="s">
        <v>25</v>
      </c>
      <c r="F6084" s="52" t="s">
        <v>26</v>
      </c>
      <c r="G6084" s="53"/>
    </row>
    <row r="6085">
      <c r="A6085" s="49">
        <v>44576.95144174769</v>
      </c>
      <c r="B6085" s="50">
        <v>44577.0764179629</v>
      </c>
      <c r="C6085" s="51">
        <v>1.003</v>
      </c>
      <c r="D6085" s="51">
        <v>62.0</v>
      </c>
      <c r="E6085" s="52" t="s">
        <v>25</v>
      </c>
      <c r="F6085" s="52" t="s">
        <v>26</v>
      </c>
      <c r="G6085" s="53"/>
    </row>
    <row r="6086">
      <c r="A6086" s="49">
        <v>44576.96186542824</v>
      </c>
      <c r="B6086" s="50">
        <v>44577.0868402083</v>
      </c>
      <c r="C6086" s="51">
        <v>1.003</v>
      </c>
      <c r="D6086" s="51">
        <v>62.0</v>
      </c>
      <c r="E6086" s="52" t="s">
        <v>25</v>
      </c>
      <c r="F6086" s="52" t="s">
        <v>26</v>
      </c>
      <c r="G6086" s="53"/>
    </row>
    <row r="6087">
      <c r="A6087" s="49">
        <v>44576.97228206019</v>
      </c>
      <c r="B6087" s="50">
        <v>44577.0972611689</v>
      </c>
      <c r="C6087" s="51">
        <v>1.003</v>
      </c>
      <c r="D6087" s="51">
        <v>62.0</v>
      </c>
      <c r="E6087" s="52" t="s">
        <v>25</v>
      </c>
      <c r="F6087" s="52" t="s">
        <v>26</v>
      </c>
      <c r="G6087" s="53"/>
    </row>
    <row r="6088">
      <c r="A6088" s="49">
        <v>44576.982710833334</v>
      </c>
      <c r="B6088" s="50">
        <v>44577.1076835879</v>
      </c>
      <c r="C6088" s="51">
        <v>1.003</v>
      </c>
      <c r="D6088" s="51">
        <v>62.0</v>
      </c>
      <c r="E6088" s="52" t="s">
        <v>25</v>
      </c>
      <c r="F6088" s="52" t="s">
        <v>26</v>
      </c>
      <c r="G6088" s="53"/>
    </row>
    <row r="6089">
      <c r="A6089" s="49">
        <v>44576.99317855324</v>
      </c>
      <c r="B6089" s="50">
        <v>44577.1181528588</v>
      </c>
      <c r="C6089" s="51">
        <v>1.003</v>
      </c>
      <c r="D6089" s="51">
        <v>62.0</v>
      </c>
      <c r="E6089" s="52" t="s">
        <v>25</v>
      </c>
      <c r="F6089" s="52" t="s">
        <v>26</v>
      </c>
      <c r="G6089" s="53"/>
    </row>
    <row r="6090">
      <c r="A6090" s="49">
        <v>44577.00360052084</v>
      </c>
      <c r="B6090" s="50">
        <v>44577.1285732986</v>
      </c>
      <c r="C6090" s="51">
        <v>1.003</v>
      </c>
      <c r="D6090" s="51">
        <v>62.0</v>
      </c>
      <c r="E6090" s="52" t="s">
        <v>25</v>
      </c>
      <c r="F6090" s="52" t="s">
        <v>26</v>
      </c>
      <c r="G6090" s="53"/>
    </row>
    <row r="6091">
      <c r="A6091" s="49">
        <v>44577.01402663194</v>
      </c>
      <c r="B6091" s="50">
        <v>44577.1390056018</v>
      </c>
      <c r="C6091" s="51">
        <v>1.003</v>
      </c>
      <c r="D6091" s="51">
        <v>62.0</v>
      </c>
      <c r="E6091" s="52" t="s">
        <v>25</v>
      </c>
      <c r="F6091" s="52" t="s">
        <v>26</v>
      </c>
      <c r="G6091" s="53"/>
    </row>
    <row r="6092">
      <c r="A6092" s="49">
        <v>44577.02445700231</v>
      </c>
      <c r="B6092" s="50">
        <v>44577.1494264467</v>
      </c>
      <c r="C6092" s="51">
        <v>1.003</v>
      </c>
      <c r="D6092" s="51">
        <v>62.0</v>
      </c>
      <c r="E6092" s="52" t="s">
        <v>25</v>
      </c>
      <c r="F6092" s="52" t="s">
        <v>26</v>
      </c>
      <c r="G6092" s="53"/>
    </row>
    <row r="6093">
      <c r="A6093" s="49">
        <v>44577.03487284722</v>
      </c>
      <c r="B6093" s="50">
        <v>44577.159848449</v>
      </c>
      <c r="C6093" s="51">
        <v>1.003</v>
      </c>
      <c r="D6093" s="51">
        <v>62.0</v>
      </c>
      <c r="E6093" s="52" t="s">
        <v>25</v>
      </c>
      <c r="F6093" s="52" t="s">
        <v>26</v>
      </c>
      <c r="G6093" s="53"/>
    </row>
    <row r="6094">
      <c r="A6094" s="49">
        <v>44577.045295856486</v>
      </c>
      <c r="B6094" s="50">
        <v>44577.1702693402</v>
      </c>
      <c r="C6094" s="51">
        <v>1.003</v>
      </c>
      <c r="D6094" s="51">
        <v>62.0</v>
      </c>
      <c r="E6094" s="52" t="s">
        <v>25</v>
      </c>
      <c r="F6094" s="52" t="s">
        <v>26</v>
      </c>
      <c r="G6094" s="53"/>
    </row>
    <row r="6095">
      <c r="A6095" s="49">
        <v>44577.055737627314</v>
      </c>
      <c r="B6095" s="50">
        <v>44577.1807120949</v>
      </c>
      <c r="C6095" s="51">
        <v>1.003</v>
      </c>
      <c r="D6095" s="51">
        <v>62.0</v>
      </c>
      <c r="E6095" s="52" t="s">
        <v>25</v>
      </c>
      <c r="F6095" s="52" t="s">
        <v>26</v>
      </c>
      <c r="G6095" s="53"/>
    </row>
    <row r="6096">
      <c r="A6096" s="49">
        <v>44577.06616396991</v>
      </c>
      <c r="B6096" s="50">
        <v>44577.1911340509</v>
      </c>
      <c r="C6096" s="51">
        <v>1.003</v>
      </c>
      <c r="D6096" s="51">
        <v>62.0</v>
      </c>
      <c r="E6096" s="52" t="s">
        <v>25</v>
      </c>
      <c r="F6096" s="52" t="s">
        <v>26</v>
      </c>
      <c r="G6096" s="53"/>
    </row>
    <row r="6097">
      <c r="A6097" s="49">
        <v>44577.07660032407</v>
      </c>
      <c r="B6097" s="50">
        <v>44577.2015798148</v>
      </c>
      <c r="C6097" s="51">
        <v>1.003</v>
      </c>
      <c r="D6097" s="51">
        <v>62.0</v>
      </c>
      <c r="E6097" s="52" t="s">
        <v>25</v>
      </c>
      <c r="F6097" s="52" t="s">
        <v>26</v>
      </c>
      <c r="G6097" s="53"/>
    </row>
    <row r="6098">
      <c r="A6098" s="49">
        <v>44577.08701699074</v>
      </c>
      <c r="B6098" s="50">
        <v>44577.2119992361</v>
      </c>
      <c r="C6098" s="51">
        <v>1.003</v>
      </c>
      <c r="D6098" s="51">
        <v>62.0</v>
      </c>
      <c r="E6098" s="52" t="s">
        <v>25</v>
      </c>
      <c r="F6098" s="52" t="s">
        <v>26</v>
      </c>
      <c r="G6098" s="53"/>
    </row>
    <row r="6099">
      <c r="A6099" s="49">
        <v>44577.09744543982</v>
      </c>
      <c r="B6099" s="50">
        <v>44577.2224200231</v>
      </c>
      <c r="C6099" s="51">
        <v>1.003</v>
      </c>
      <c r="D6099" s="51">
        <v>62.0</v>
      </c>
      <c r="E6099" s="52" t="s">
        <v>25</v>
      </c>
      <c r="F6099" s="52" t="s">
        <v>26</v>
      </c>
      <c r="G6099" s="53"/>
    </row>
    <row r="6100">
      <c r="A6100" s="49">
        <v>44577.10785858796</v>
      </c>
      <c r="B6100" s="50">
        <v>44577.2328406018</v>
      </c>
      <c r="C6100" s="51">
        <v>1.003</v>
      </c>
      <c r="D6100" s="51">
        <v>62.0</v>
      </c>
      <c r="E6100" s="52" t="s">
        <v>25</v>
      </c>
      <c r="F6100" s="52" t="s">
        <v>26</v>
      </c>
      <c r="G6100" s="53"/>
    </row>
    <row r="6101">
      <c r="A6101" s="49">
        <v>44577.118300497685</v>
      </c>
      <c r="B6101" s="50">
        <v>44577.2432748148</v>
      </c>
      <c r="C6101" s="51">
        <v>1.003</v>
      </c>
      <c r="D6101" s="51">
        <v>62.0</v>
      </c>
      <c r="E6101" s="52" t="s">
        <v>25</v>
      </c>
      <c r="F6101" s="52" t="s">
        <v>26</v>
      </c>
      <c r="G6101" s="53"/>
    </row>
    <row r="6102">
      <c r="A6102" s="49">
        <v>44577.128725347226</v>
      </c>
      <c r="B6102" s="50">
        <v>44577.2536969097</v>
      </c>
      <c r="C6102" s="51">
        <v>1.003</v>
      </c>
      <c r="D6102" s="51">
        <v>62.0</v>
      </c>
      <c r="E6102" s="52" t="s">
        <v>25</v>
      </c>
      <c r="F6102" s="52" t="s">
        <v>26</v>
      </c>
      <c r="G6102" s="53"/>
    </row>
    <row r="6103">
      <c r="A6103" s="49">
        <v>44577.13914561343</v>
      </c>
      <c r="B6103" s="50">
        <v>44577.2641168634</v>
      </c>
      <c r="C6103" s="51">
        <v>1.003</v>
      </c>
      <c r="D6103" s="51">
        <v>62.0</v>
      </c>
      <c r="E6103" s="52" t="s">
        <v>25</v>
      </c>
      <c r="F6103" s="52" t="s">
        <v>26</v>
      </c>
      <c r="G6103" s="53"/>
    </row>
    <row r="6104">
      <c r="A6104" s="49">
        <v>44577.14957326389</v>
      </c>
      <c r="B6104" s="50">
        <v>44577.2745468981</v>
      </c>
      <c r="C6104" s="51">
        <v>1.003</v>
      </c>
      <c r="D6104" s="51">
        <v>62.0</v>
      </c>
      <c r="E6104" s="52" t="s">
        <v>25</v>
      </c>
      <c r="F6104" s="52" t="s">
        <v>26</v>
      </c>
      <c r="G6104" s="53"/>
    </row>
    <row r="6105">
      <c r="A6105" s="49">
        <v>44577.15999693287</v>
      </c>
      <c r="B6105" s="50">
        <v>44577.284967743</v>
      </c>
      <c r="C6105" s="51">
        <v>1.003</v>
      </c>
      <c r="D6105" s="51">
        <v>62.0</v>
      </c>
      <c r="E6105" s="52" t="s">
        <v>25</v>
      </c>
      <c r="F6105" s="52" t="s">
        <v>26</v>
      </c>
      <c r="G6105" s="53"/>
    </row>
    <row r="6106">
      <c r="A6106" s="49">
        <v>44577.17044501158</v>
      </c>
      <c r="B6106" s="50">
        <v>44577.2954231018</v>
      </c>
      <c r="C6106" s="51">
        <v>1.003</v>
      </c>
      <c r="D6106" s="51">
        <v>62.0</v>
      </c>
      <c r="E6106" s="52" t="s">
        <v>25</v>
      </c>
      <c r="F6106" s="52" t="s">
        <v>26</v>
      </c>
      <c r="G6106" s="53"/>
    </row>
    <row r="6107">
      <c r="A6107" s="49">
        <v>44577.18086998843</v>
      </c>
      <c r="B6107" s="50">
        <v>44577.3058414004</v>
      </c>
      <c r="C6107" s="51">
        <v>1.003</v>
      </c>
      <c r="D6107" s="51">
        <v>62.0</v>
      </c>
      <c r="E6107" s="52" t="s">
        <v>25</v>
      </c>
      <c r="F6107" s="52" t="s">
        <v>26</v>
      </c>
      <c r="G6107" s="53"/>
    </row>
    <row r="6108">
      <c r="A6108" s="49">
        <v>44577.19128283564</v>
      </c>
      <c r="B6108" s="50">
        <v>44577.316264699</v>
      </c>
      <c r="C6108" s="51">
        <v>1.003</v>
      </c>
      <c r="D6108" s="51">
        <v>62.0</v>
      </c>
      <c r="E6108" s="52" t="s">
        <v>25</v>
      </c>
      <c r="F6108" s="52" t="s">
        <v>26</v>
      </c>
      <c r="G6108" s="53"/>
    </row>
    <row r="6109">
      <c r="A6109" s="49">
        <v>44577.20170990741</v>
      </c>
      <c r="B6109" s="50">
        <v>44577.3266854745</v>
      </c>
      <c r="C6109" s="51">
        <v>1.003</v>
      </c>
      <c r="D6109" s="51">
        <v>62.0</v>
      </c>
      <c r="E6109" s="52" t="s">
        <v>25</v>
      </c>
      <c r="F6109" s="52" t="s">
        <v>26</v>
      </c>
      <c r="G6109" s="53"/>
    </row>
    <row r="6110">
      <c r="A6110" s="49">
        <v>44577.212135775466</v>
      </c>
      <c r="B6110" s="50">
        <v>44577.3371073148</v>
      </c>
      <c r="C6110" s="51">
        <v>1.003</v>
      </c>
      <c r="D6110" s="51">
        <v>62.0</v>
      </c>
      <c r="E6110" s="52" t="s">
        <v>25</v>
      </c>
      <c r="F6110" s="52" t="s">
        <v>26</v>
      </c>
      <c r="G6110" s="53"/>
    </row>
    <row r="6111">
      <c r="A6111" s="49">
        <v>44577.22255090278</v>
      </c>
      <c r="B6111" s="50">
        <v>44577.3475279282</v>
      </c>
      <c r="C6111" s="51">
        <v>1.003</v>
      </c>
      <c r="D6111" s="51">
        <v>62.0</v>
      </c>
      <c r="E6111" s="52" t="s">
        <v>25</v>
      </c>
      <c r="F6111" s="52" t="s">
        <v>26</v>
      </c>
      <c r="G6111" s="53"/>
    </row>
    <row r="6112">
      <c r="A6112" s="49">
        <v>44577.23297759259</v>
      </c>
      <c r="B6112" s="50">
        <v>44577.3579480671</v>
      </c>
      <c r="C6112" s="51">
        <v>1.003</v>
      </c>
      <c r="D6112" s="51">
        <v>62.0</v>
      </c>
      <c r="E6112" s="52" t="s">
        <v>25</v>
      </c>
      <c r="F6112" s="52" t="s">
        <v>26</v>
      </c>
      <c r="G6112" s="53"/>
    </row>
    <row r="6113">
      <c r="A6113" s="49">
        <v>44577.24340116898</v>
      </c>
      <c r="B6113" s="50">
        <v>44577.3683708101</v>
      </c>
      <c r="C6113" s="51">
        <v>1.003</v>
      </c>
      <c r="D6113" s="51">
        <v>62.0</v>
      </c>
      <c r="E6113" s="52" t="s">
        <v>25</v>
      </c>
      <c r="F6113" s="52" t="s">
        <v>26</v>
      </c>
      <c r="G6113" s="53"/>
    </row>
    <row r="6114">
      <c r="A6114" s="49">
        <v>44577.25380820602</v>
      </c>
      <c r="B6114" s="50">
        <v>44577.3787922222</v>
      </c>
      <c r="C6114" s="51">
        <v>1.003</v>
      </c>
      <c r="D6114" s="51">
        <v>62.0</v>
      </c>
      <c r="E6114" s="52" t="s">
        <v>25</v>
      </c>
      <c r="F6114" s="52" t="s">
        <v>26</v>
      </c>
      <c r="G6114" s="53"/>
    </row>
    <row r="6115">
      <c r="A6115" s="49">
        <v>44577.264275381945</v>
      </c>
      <c r="B6115" s="50">
        <v>44577.389248287</v>
      </c>
      <c r="C6115" s="51">
        <v>1.003</v>
      </c>
      <c r="D6115" s="51">
        <v>62.0</v>
      </c>
      <c r="E6115" s="52" t="s">
        <v>25</v>
      </c>
      <c r="F6115" s="52" t="s">
        <v>26</v>
      </c>
      <c r="G6115" s="53"/>
    </row>
    <row r="6116">
      <c r="A6116" s="49">
        <v>44577.2747003588</v>
      </c>
      <c r="B6116" s="50">
        <v>44577.3996695717</v>
      </c>
      <c r="C6116" s="51">
        <v>1.003</v>
      </c>
      <c r="D6116" s="51">
        <v>62.0</v>
      </c>
      <c r="E6116" s="52" t="s">
        <v>25</v>
      </c>
      <c r="F6116" s="52" t="s">
        <v>26</v>
      </c>
      <c r="G6116" s="53"/>
    </row>
    <row r="6117">
      <c r="A6117" s="49">
        <v>44577.28511751158</v>
      </c>
      <c r="B6117" s="50">
        <v>44577.4100905555</v>
      </c>
      <c r="C6117" s="51">
        <v>1.003</v>
      </c>
      <c r="D6117" s="51">
        <v>62.0</v>
      </c>
      <c r="E6117" s="52" t="s">
        <v>25</v>
      </c>
      <c r="F6117" s="52" t="s">
        <v>26</v>
      </c>
      <c r="G6117" s="53"/>
    </row>
    <row r="6118">
      <c r="A6118" s="49">
        <v>44577.29555069444</v>
      </c>
      <c r="B6118" s="50">
        <v>44577.4205219675</v>
      </c>
      <c r="C6118" s="51">
        <v>1.003</v>
      </c>
      <c r="D6118" s="51">
        <v>62.0</v>
      </c>
      <c r="E6118" s="52" t="s">
        <v>25</v>
      </c>
      <c r="F6118" s="52" t="s">
        <v>26</v>
      </c>
      <c r="G6118" s="53"/>
    </row>
    <row r="6119">
      <c r="A6119" s="49">
        <v>44577.30596982639</v>
      </c>
      <c r="B6119" s="50">
        <v>44577.4309430671</v>
      </c>
      <c r="C6119" s="51">
        <v>1.003</v>
      </c>
      <c r="D6119" s="51">
        <v>62.0</v>
      </c>
      <c r="E6119" s="52" t="s">
        <v>25</v>
      </c>
      <c r="F6119" s="52" t="s">
        <v>26</v>
      </c>
      <c r="G6119" s="53"/>
    </row>
    <row r="6120">
      <c r="A6120" s="49">
        <v>44577.316391597225</v>
      </c>
      <c r="B6120" s="50">
        <v>44577.4413634143</v>
      </c>
      <c r="C6120" s="51">
        <v>1.003</v>
      </c>
      <c r="D6120" s="51">
        <v>62.0</v>
      </c>
      <c r="E6120" s="52" t="s">
        <v>25</v>
      </c>
      <c r="F6120" s="52" t="s">
        <v>26</v>
      </c>
      <c r="G6120" s="53"/>
    </row>
    <row r="6121">
      <c r="A6121" s="49">
        <v>44577.32680900463</v>
      </c>
      <c r="B6121" s="50">
        <v>44577.4517837499</v>
      </c>
      <c r="C6121" s="51">
        <v>1.003</v>
      </c>
      <c r="D6121" s="51">
        <v>62.0</v>
      </c>
      <c r="E6121" s="52" t="s">
        <v>25</v>
      </c>
      <c r="F6121" s="52" t="s">
        <v>26</v>
      </c>
      <c r="G6121" s="53"/>
    </row>
    <row r="6122">
      <c r="A6122" s="49">
        <v>44577.337228854165</v>
      </c>
      <c r="B6122" s="50">
        <v>44577.4622057291</v>
      </c>
      <c r="C6122" s="51">
        <v>1.003</v>
      </c>
      <c r="D6122" s="51">
        <v>62.0</v>
      </c>
      <c r="E6122" s="52" t="s">
        <v>25</v>
      </c>
      <c r="F6122" s="52" t="s">
        <v>26</v>
      </c>
      <c r="G6122" s="53"/>
    </row>
    <row r="6123">
      <c r="A6123" s="49">
        <v>44577.347662280095</v>
      </c>
      <c r="B6123" s="50">
        <v>44577.472626412</v>
      </c>
      <c r="C6123" s="51">
        <v>1.003</v>
      </c>
      <c r="D6123" s="51">
        <v>62.0</v>
      </c>
      <c r="E6123" s="52" t="s">
        <v>25</v>
      </c>
      <c r="F6123" s="52" t="s">
        <v>26</v>
      </c>
      <c r="G6123" s="53"/>
    </row>
    <row r="6124">
      <c r="A6124" s="49">
        <v>44577.358068518515</v>
      </c>
      <c r="B6124" s="50">
        <v>44577.4830480555</v>
      </c>
      <c r="C6124" s="51">
        <v>1.003</v>
      </c>
      <c r="D6124" s="51">
        <v>62.0</v>
      </c>
      <c r="E6124" s="52" t="s">
        <v>25</v>
      </c>
      <c r="F6124" s="52" t="s">
        <v>26</v>
      </c>
      <c r="G6124" s="53"/>
    </row>
    <row r="6125">
      <c r="A6125" s="49">
        <v>44577.3684962963</v>
      </c>
      <c r="B6125" s="50">
        <v>44577.493469699</v>
      </c>
      <c r="C6125" s="51">
        <v>1.003</v>
      </c>
      <c r="D6125" s="51">
        <v>62.0</v>
      </c>
      <c r="E6125" s="52" t="s">
        <v>25</v>
      </c>
      <c r="F6125" s="52" t="s">
        <v>26</v>
      </c>
      <c r="G6125" s="53"/>
    </row>
    <row r="6126">
      <c r="A6126" s="49">
        <v>44577.378931099534</v>
      </c>
      <c r="B6126" s="50">
        <v>44577.5039023148</v>
      </c>
      <c r="C6126" s="51">
        <v>1.003</v>
      </c>
      <c r="D6126" s="51">
        <v>62.0</v>
      </c>
      <c r="E6126" s="52" t="s">
        <v>25</v>
      </c>
      <c r="F6126" s="52" t="s">
        <v>26</v>
      </c>
      <c r="G6126" s="53"/>
    </row>
    <row r="6127">
      <c r="A6127" s="49">
        <v>44577.38934594908</v>
      </c>
      <c r="B6127" s="50">
        <v>44577.51432228</v>
      </c>
      <c r="C6127" s="51">
        <v>1.003</v>
      </c>
      <c r="D6127" s="51">
        <v>62.0</v>
      </c>
      <c r="E6127" s="52" t="s">
        <v>25</v>
      </c>
      <c r="F6127" s="52" t="s">
        <v>26</v>
      </c>
      <c r="G6127" s="53"/>
    </row>
    <row r="6128">
      <c r="A6128" s="49">
        <v>44577.39977116898</v>
      </c>
      <c r="B6128" s="50">
        <v>44577.5247444791</v>
      </c>
      <c r="C6128" s="51">
        <v>1.003</v>
      </c>
      <c r="D6128" s="51">
        <v>62.0</v>
      </c>
      <c r="E6128" s="52" t="s">
        <v>25</v>
      </c>
      <c r="F6128" s="52" t="s">
        <v>26</v>
      </c>
      <c r="G6128" s="53"/>
    </row>
    <row r="6129">
      <c r="A6129" s="49">
        <v>44577.41020255787</v>
      </c>
      <c r="B6129" s="50">
        <v>44577.535177199</v>
      </c>
      <c r="C6129" s="51">
        <v>1.003</v>
      </c>
      <c r="D6129" s="51">
        <v>62.0</v>
      </c>
      <c r="E6129" s="52" t="s">
        <v>25</v>
      </c>
      <c r="F6129" s="52" t="s">
        <v>26</v>
      </c>
      <c r="G6129" s="53"/>
    </row>
    <row r="6130">
      <c r="A6130" s="49">
        <v>44577.42063638889</v>
      </c>
      <c r="B6130" s="50">
        <v>44577.5456082638</v>
      </c>
      <c r="C6130" s="51">
        <v>1.003</v>
      </c>
      <c r="D6130" s="51">
        <v>62.0</v>
      </c>
      <c r="E6130" s="52" t="s">
        <v>25</v>
      </c>
      <c r="F6130" s="52" t="s">
        <v>26</v>
      </c>
      <c r="G6130" s="53"/>
    </row>
    <row r="6131">
      <c r="A6131" s="49">
        <v>44577.43106859954</v>
      </c>
      <c r="B6131" s="50">
        <v>44577.5560421064</v>
      </c>
      <c r="C6131" s="51">
        <v>1.003</v>
      </c>
      <c r="D6131" s="51">
        <v>62.0</v>
      </c>
      <c r="E6131" s="52" t="s">
        <v>25</v>
      </c>
      <c r="F6131" s="52" t="s">
        <v>26</v>
      </c>
      <c r="G6131" s="53"/>
    </row>
    <row r="6132">
      <c r="A6132" s="49">
        <v>44577.44149201389</v>
      </c>
      <c r="B6132" s="50">
        <v>44577.5664742824</v>
      </c>
      <c r="C6132" s="51">
        <v>1.003</v>
      </c>
      <c r="D6132" s="51">
        <v>62.0</v>
      </c>
      <c r="E6132" s="52" t="s">
        <v>25</v>
      </c>
      <c r="F6132" s="52" t="s">
        <v>26</v>
      </c>
      <c r="G6132" s="53"/>
    </row>
    <row r="6133">
      <c r="A6133" s="49">
        <v>44577.451918136576</v>
      </c>
      <c r="B6133" s="50">
        <v>44577.5768961111</v>
      </c>
      <c r="C6133" s="51">
        <v>1.003</v>
      </c>
      <c r="D6133" s="51">
        <v>62.0</v>
      </c>
      <c r="E6133" s="52" t="s">
        <v>25</v>
      </c>
      <c r="F6133" s="52" t="s">
        <v>26</v>
      </c>
      <c r="G6133" s="53"/>
    </row>
    <row r="6134">
      <c r="A6134" s="49">
        <v>44577.46234864583</v>
      </c>
      <c r="B6134" s="50">
        <v>44577.5873181134</v>
      </c>
      <c r="C6134" s="51">
        <v>1.003</v>
      </c>
      <c r="D6134" s="51">
        <v>62.0</v>
      </c>
      <c r="E6134" s="52" t="s">
        <v>25</v>
      </c>
      <c r="F6134" s="52" t="s">
        <v>26</v>
      </c>
      <c r="G6134" s="53"/>
    </row>
    <row r="6135">
      <c r="A6135" s="49">
        <v>44577.47276118056</v>
      </c>
      <c r="B6135" s="50">
        <v>44577.5977381712</v>
      </c>
      <c r="C6135" s="51">
        <v>1.003</v>
      </c>
      <c r="D6135" s="51">
        <v>62.0</v>
      </c>
      <c r="E6135" s="52" t="s">
        <v>25</v>
      </c>
      <c r="F6135" s="52" t="s">
        <v>26</v>
      </c>
      <c r="G6135" s="53"/>
    </row>
    <row r="6136">
      <c r="A6136" s="49">
        <v>44577.48319756944</v>
      </c>
      <c r="B6136" s="50">
        <v>44577.6081704166</v>
      </c>
      <c r="C6136" s="51">
        <v>1.003</v>
      </c>
      <c r="D6136" s="51">
        <v>62.0</v>
      </c>
      <c r="E6136" s="52" t="s">
        <v>25</v>
      </c>
      <c r="F6136" s="52" t="s">
        <v>26</v>
      </c>
      <c r="G6136" s="53"/>
    </row>
    <row r="6137">
      <c r="A6137" s="49">
        <v>44577.49361900463</v>
      </c>
      <c r="B6137" s="50">
        <v>44577.6185902777</v>
      </c>
      <c r="C6137" s="51">
        <v>1.003</v>
      </c>
      <c r="D6137" s="51">
        <v>62.0</v>
      </c>
      <c r="E6137" s="52" t="s">
        <v>25</v>
      </c>
      <c r="F6137" s="52" t="s">
        <v>26</v>
      </c>
      <c r="G6137" s="53"/>
    </row>
    <row r="6138">
      <c r="A6138" s="49">
        <v>44577.504048946765</v>
      </c>
      <c r="B6138" s="50">
        <v>44577.6290221296</v>
      </c>
      <c r="C6138" s="51">
        <v>1.003</v>
      </c>
      <c r="D6138" s="51">
        <v>62.0</v>
      </c>
      <c r="E6138" s="52" t="s">
        <v>25</v>
      </c>
      <c r="F6138" s="52" t="s">
        <v>26</v>
      </c>
      <c r="G6138" s="53"/>
    </row>
    <row r="6139">
      <c r="A6139" s="49">
        <v>44577.514469305555</v>
      </c>
      <c r="B6139" s="50">
        <v>44577.6394444675</v>
      </c>
      <c r="C6139" s="51">
        <v>1.003</v>
      </c>
      <c r="D6139" s="51">
        <v>62.0</v>
      </c>
      <c r="E6139" s="52" t="s">
        <v>25</v>
      </c>
      <c r="F6139" s="52" t="s">
        <v>26</v>
      </c>
      <c r="G6139" s="53"/>
    </row>
    <row r="6140">
      <c r="A6140" s="49">
        <v>44577.52489</v>
      </c>
      <c r="B6140" s="50">
        <v>44577.6498654282</v>
      </c>
      <c r="C6140" s="51">
        <v>1.003</v>
      </c>
      <c r="D6140" s="51">
        <v>62.0</v>
      </c>
      <c r="E6140" s="52" t="s">
        <v>25</v>
      </c>
      <c r="F6140" s="52" t="s">
        <v>26</v>
      </c>
      <c r="G6140" s="53"/>
    </row>
    <row r="6141">
      <c r="A6141" s="49">
        <v>44577.5353103588</v>
      </c>
      <c r="B6141" s="50">
        <v>44577.660285081</v>
      </c>
      <c r="C6141" s="51">
        <v>1.003</v>
      </c>
      <c r="D6141" s="51">
        <v>62.0</v>
      </c>
      <c r="E6141" s="52" t="s">
        <v>25</v>
      </c>
      <c r="F6141" s="52" t="s">
        <v>26</v>
      </c>
      <c r="G6141" s="53"/>
    </row>
    <row r="6142">
      <c r="A6142" s="49">
        <v>44577.545743483795</v>
      </c>
      <c r="B6142" s="50">
        <v>44577.6707171296</v>
      </c>
      <c r="C6142" s="51">
        <v>1.003</v>
      </c>
      <c r="D6142" s="51">
        <v>62.0</v>
      </c>
      <c r="E6142" s="52" t="s">
        <v>25</v>
      </c>
      <c r="F6142" s="52" t="s">
        <v>26</v>
      </c>
      <c r="G6142" s="53"/>
    </row>
    <row r="6143">
      <c r="A6143" s="49">
        <v>44577.55615737269</v>
      </c>
      <c r="B6143" s="50">
        <v>44577.6811363078</v>
      </c>
      <c r="C6143" s="51">
        <v>1.003</v>
      </c>
      <c r="D6143" s="51">
        <v>62.0</v>
      </c>
      <c r="E6143" s="52" t="s">
        <v>25</v>
      </c>
      <c r="F6143" s="52" t="s">
        <v>26</v>
      </c>
      <c r="G6143" s="53"/>
    </row>
    <row r="6144">
      <c r="A6144" s="49">
        <v>44577.56658236111</v>
      </c>
      <c r="B6144" s="50">
        <v>44577.6915577777</v>
      </c>
      <c r="C6144" s="51">
        <v>1.003</v>
      </c>
      <c r="D6144" s="51">
        <v>62.0</v>
      </c>
      <c r="E6144" s="52" t="s">
        <v>25</v>
      </c>
      <c r="F6144" s="52" t="s">
        <v>26</v>
      </c>
      <c r="G6144" s="53"/>
    </row>
    <row r="6145">
      <c r="A6145" s="49">
        <v>44577.57701908565</v>
      </c>
      <c r="B6145" s="50">
        <v>44577.701990706</v>
      </c>
      <c r="C6145" s="51">
        <v>1.003</v>
      </c>
      <c r="D6145" s="51">
        <v>61.0</v>
      </c>
      <c r="E6145" s="52" t="s">
        <v>25</v>
      </c>
      <c r="F6145" s="52" t="s">
        <v>26</v>
      </c>
      <c r="G6145" s="53"/>
    </row>
    <row r="6146">
      <c r="A6146" s="49">
        <v>44577.587436041664</v>
      </c>
      <c r="B6146" s="50">
        <v>44577.7124106828</v>
      </c>
      <c r="C6146" s="51">
        <v>1.003</v>
      </c>
      <c r="D6146" s="51">
        <v>61.0</v>
      </c>
      <c r="E6146" s="52" t="s">
        <v>25</v>
      </c>
      <c r="F6146" s="52" t="s">
        <v>26</v>
      </c>
      <c r="G6146" s="53"/>
    </row>
    <row r="6147">
      <c r="A6147" s="49">
        <v>44577.59784956019</v>
      </c>
      <c r="B6147" s="50">
        <v>44577.722830949</v>
      </c>
      <c r="C6147" s="51">
        <v>1.003</v>
      </c>
      <c r="D6147" s="51">
        <v>61.0</v>
      </c>
      <c r="E6147" s="52" t="s">
        <v>25</v>
      </c>
      <c r="F6147" s="52" t="s">
        <v>26</v>
      </c>
      <c r="G6147" s="53"/>
    </row>
    <row r="6148">
      <c r="A6148" s="49">
        <v>44577.608275335646</v>
      </c>
      <c r="B6148" s="50">
        <v>44577.7332512615</v>
      </c>
      <c r="C6148" s="51">
        <v>1.003</v>
      </c>
      <c r="D6148" s="51">
        <v>62.0</v>
      </c>
      <c r="E6148" s="52" t="s">
        <v>25</v>
      </c>
      <c r="F6148" s="52" t="s">
        <v>26</v>
      </c>
      <c r="G6148" s="53"/>
    </row>
    <row r="6149">
      <c r="A6149" s="49">
        <v>44577.61870452546</v>
      </c>
      <c r="B6149" s="50">
        <v>44577.7436723495</v>
      </c>
      <c r="C6149" s="51">
        <v>1.003</v>
      </c>
      <c r="D6149" s="51">
        <v>61.0</v>
      </c>
      <c r="E6149" s="52" t="s">
        <v>25</v>
      </c>
      <c r="F6149" s="52" t="s">
        <v>26</v>
      </c>
      <c r="G6149" s="53"/>
    </row>
    <row r="6150">
      <c r="A6150" s="49">
        <v>44577.629129884255</v>
      </c>
      <c r="B6150" s="50">
        <v>44577.754105081</v>
      </c>
      <c r="C6150" s="51">
        <v>1.003</v>
      </c>
      <c r="D6150" s="51">
        <v>61.0</v>
      </c>
      <c r="E6150" s="52" t="s">
        <v>25</v>
      </c>
      <c r="F6150" s="52" t="s">
        <v>26</v>
      </c>
      <c r="G6150" s="53"/>
    </row>
    <row r="6151">
      <c r="A6151" s="49">
        <v>44577.63955275463</v>
      </c>
      <c r="B6151" s="50">
        <v>44577.7645270486</v>
      </c>
      <c r="C6151" s="51">
        <v>1.003</v>
      </c>
      <c r="D6151" s="51">
        <v>61.0</v>
      </c>
      <c r="E6151" s="52" t="s">
        <v>25</v>
      </c>
      <c r="F6151" s="52" t="s">
        <v>26</v>
      </c>
      <c r="G6151" s="53"/>
    </row>
    <row r="6152">
      <c r="A6152" s="49">
        <v>44577.64998269676</v>
      </c>
      <c r="B6152" s="50">
        <v>44577.7749597106</v>
      </c>
      <c r="C6152" s="51">
        <v>1.003</v>
      </c>
      <c r="D6152" s="51">
        <v>61.0</v>
      </c>
      <c r="E6152" s="52" t="s">
        <v>25</v>
      </c>
      <c r="F6152" s="52" t="s">
        <v>26</v>
      </c>
      <c r="G6152" s="53"/>
    </row>
    <row r="6153">
      <c r="A6153" s="49">
        <v>44577.6604027662</v>
      </c>
      <c r="B6153" s="50">
        <v>44577.7853810879</v>
      </c>
      <c r="C6153" s="51">
        <v>1.003</v>
      </c>
      <c r="D6153" s="51">
        <v>62.0</v>
      </c>
      <c r="E6153" s="52" t="s">
        <v>25</v>
      </c>
      <c r="F6153" s="52" t="s">
        <v>26</v>
      </c>
      <c r="G6153" s="53"/>
    </row>
    <row r="6154">
      <c r="A6154" s="49">
        <v>44577.67082835648</v>
      </c>
      <c r="B6154" s="50">
        <v>44577.7958015856</v>
      </c>
      <c r="C6154" s="51">
        <v>1.003</v>
      </c>
      <c r="D6154" s="51">
        <v>62.0</v>
      </c>
      <c r="E6154" s="52" t="s">
        <v>25</v>
      </c>
      <c r="F6154" s="52" t="s">
        <v>26</v>
      </c>
      <c r="G6154" s="53"/>
    </row>
    <row r="6155">
      <c r="A6155" s="49">
        <v>44577.681288946755</v>
      </c>
      <c r="B6155" s="50">
        <v>44577.8062694675</v>
      </c>
      <c r="C6155" s="51">
        <v>1.003</v>
      </c>
      <c r="D6155" s="51">
        <v>63.0</v>
      </c>
      <c r="E6155" s="52" t="s">
        <v>25</v>
      </c>
      <c r="F6155" s="52" t="s">
        <v>26</v>
      </c>
      <c r="G6155" s="53"/>
    </row>
    <row r="6156">
      <c r="A6156" s="49">
        <v>44577.69171255787</v>
      </c>
      <c r="B6156" s="50">
        <v>44577.8166905208</v>
      </c>
      <c r="C6156" s="51">
        <v>1.003</v>
      </c>
      <c r="D6156" s="51">
        <v>63.0</v>
      </c>
      <c r="E6156" s="52" t="s">
        <v>25</v>
      </c>
      <c r="F6156" s="52" t="s">
        <v>26</v>
      </c>
      <c r="G6156" s="53"/>
    </row>
    <row r="6157">
      <c r="A6157" s="49">
        <v>44577.70214267361</v>
      </c>
      <c r="B6157" s="50">
        <v>44577.8271131481</v>
      </c>
      <c r="C6157" s="51">
        <v>1.003</v>
      </c>
      <c r="D6157" s="51">
        <v>64.0</v>
      </c>
      <c r="E6157" s="52" t="s">
        <v>25</v>
      </c>
      <c r="F6157" s="52" t="s">
        <v>26</v>
      </c>
      <c r="G6157" s="53"/>
    </row>
    <row r="6158">
      <c r="A6158" s="49">
        <v>44577.71256534722</v>
      </c>
      <c r="B6158" s="50">
        <v>44577.8375356134</v>
      </c>
      <c r="C6158" s="51">
        <v>1.003</v>
      </c>
      <c r="D6158" s="51">
        <v>64.0</v>
      </c>
      <c r="E6158" s="52" t="s">
        <v>25</v>
      </c>
      <c r="F6158" s="52" t="s">
        <v>26</v>
      </c>
      <c r="G6158" s="53"/>
    </row>
    <row r="6159">
      <c r="A6159" s="49">
        <v>44577.7229869213</v>
      </c>
      <c r="B6159" s="50">
        <v>44577.8479573495</v>
      </c>
      <c r="C6159" s="51">
        <v>1.003</v>
      </c>
      <c r="D6159" s="51">
        <v>64.0</v>
      </c>
      <c r="E6159" s="52" t="s">
        <v>25</v>
      </c>
      <c r="F6159" s="52" t="s">
        <v>26</v>
      </c>
      <c r="G6159" s="53"/>
    </row>
    <row r="6160">
      <c r="A6160" s="49">
        <v>44577.73340306713</v>
      </c>
      <c r="B6160" s="50">
        <v>44577.8583788425</v>
      </c>
      <c r="C6160" s="51">
        <v>1.002</v>
      </c>
      <c r="D6160" s="51">
        <v>65.0</v>
      </c>
      <c r="E6160" s="52" t="s">
        <v>25</v>
      </c>
      <c r="F6160" s="52" t="s">
        <v>26</v>
      </c>
      <c r="G6160" s="53"/>
    </row>
    <row r="6161">
      <c r="A6161" s="49">
        <v>44577.74386260417</v>
      </c>
      <c r="B6161" s="50">
        <v>44577.8688453356</v>
      </c>
      <c r="C6161" s="51">
        <v>1.003</v>
      </c>
      <c r="D6161" s="51">
        <v>65.0</v>
      </c>
      <c r="E6161" s="52" t="s">
        <v>25</v>
      </c>
      <c r="F6161" s="52" t="s">
        <v>26</v>
      </c>
      <c r="G6161" s="53"/>
    </row>
    <row r="6162">
      <c r="A6162" s="49">
        <v>44577.75429309028</v>
      </c>
      <c r="B6162" s="50">
        <v>44577.8792660185</v>
      </c>
      <c r="C6162" s="51">
        <v>1.002</v>
      </c>
      <c r="D6162" s="51">
        <v>66.0</v>
      </c>
      <c r="E6162" s="52" t="s">
        <v>25</v>
      </c>
      <c r="F6162" s="52" t="s">
        <v>26</v>
      </c>
      <c r="G6162" s="53"/>
    </row>
    <row r="6163">
      <c r="A6163" s="49">
        <v>44577.764717847225</v>
      </c>
      <c r="B6163" s="50">
        <v>44577.8896863888</v>
      </c>
      <c r="C6163" s="51">
        <v>1.002</v>
      </c>
      <c r="D6163" s="51">
        <v>66.0</v>
      </c>
      <c r="E6163" s="52" t="s">
        <v>25</v>
      </c>
      <c r="F6163" s="52" t="s">
        <v>26</v>
      </c>
      <c r="G6163" s="53"/>
    </row>
    <row r="6164">
      <c r="A6164" s="49">
        <v>44577.775135625</v>
      </c>
      <c r="B6164" s="50">
        <v>44577.9001104745</v>
      </c>
      <c r="C6164" s="51">
        <v>1.002</v>
      </c>
      <c r="D6164" s="51">
        <v>66.0</v>
      </c>
      <c r="E6164" s="52" t="s">
        <v>25</v>
      </c>
      <c r="F6164" s="52" t="s">
        <v>26</v>
      </c>
      <c r="G6164" s="53"/>
    </row>
    <row r="6165">
      <c r="A6165" s="49">
        <v>44577.78556020833</v>
      </c>
      <c r="B6165" s="50">
        <v>44577.9105434259</v>
      </c>
      <c r="C6165" s="51">
        <v>1.002</v>
      </c>
      <c r="D6165" s="51">
        <v>67.0</v>
      </c>
      <c r="E6165" s="52" t="s">
        <v>25</v>
      </c>
      <c r="F6165" s="52" t="s">
        <v>26</v>
      </c>
      <c r="G6165" s="53"/>
    </row>
    <row r="6166">
      <c r="A6166" s="49">
        <v>44577.7959875</v>
      </c>
      <c r="B6166" s="50">
        <v>44577.9209646296</v>
      </c>
      <c r="C6166" s="51">
        <v>1.002</v>
      </c>
      <c r="D6166" s="51">
        <v>67.0</v>
      </c>
      <c r="E6166" s="52" t="s">
        <v>25</v>
      </c>
      <c r="F6166" s="52" t="s">
        <v>26</v>
      </c>
      <c r="G6166" s="53"/>
    </row>
    <row r="6167">
      <c r="A6167" s="49">
        <v>44577.806410624995</v>
      </c>
      <c r="B6167" s="50">
        <v>44577.9313864467</v>
      </c>
      <c r="C6167" s="51">
        <v>1.002</v>
      </c>
      <c r="D6167" s="51">
        <v>68.0</v>
      </c>
      <c r="E6167" s="52" t="s">
        <v>25</v>
      </c>
      <c r="F6167" s="52" t="s">
        <v>26</v>
      </c>
      <c r="G6167" s="53"/>
    </row>
    <row r="6168">
      <c r="A6168" s="49">
        <v>44577.816833414356</v>
      </c>
      <c r="B6168" s="50">
        <v>44577.9418067013</v>
      </c>
      <c r="C6168" s="51">
        <v>1.002</v>
      </c>
      <c r="D6168" s="51">
        <v>67.0</v>
      </c>
      <c r="E6168" s="52" t="s">
        <v>25</v>
      </c>
      <c r="F6168" s="52" t="s">
        <v>26</v>
      </c>
      <c r="G6168" s="53"/>
    </row>
    <row r="6169">
      <c r="A6169" s="49">
        <v>44577.82724951389</v>
      </c>
      <c r="B6169" s="50">
        <v>44577.9522271874</v>
      </c>
      <c r="C6169" s="51">
        <v>1.002</v>
      </c>
      <c r="D6169" s="51">
        <v>67.0</v>
      </c>
      <c r="E6169" s="52" t="s">
        <v>25</v>
      </c>
      <c r="F6169" s="52" t="s">
        <v>26</v>
      </c>
      <c r="G6169" s="53"/>
    </row>
    <row r="6170">
      <c r="A6170" s="49">
        <v>44577.83766491898</v>
      </c>
      <c r="B6170" s="50">
        <v>44577.9626474537</v>
      </c>
      <c r="C6170" s="51">
        <v>1.002</v>
      </c>
      <c r="D6170" s="51">
        <v>67.0</v>
      </c>
      <c r="E6170" s="52" t="s">
        <v>25</v>
      </c>
      <c r="F6170" s="52" t="s">
        <v>26</v>
      </c>
      <c r="G6170" s="53"/>
    </row>
    <row r="6171">
      <c r="A6171" s="49">
        <v>44577.84809185185</v>
      </c>
      <c r="B6171" s="50">
        <v>44577.9730693287</v>
      </c>
      <c r="C6171" s="51">
        <v>1.002</v>
      </c>
      <c r="D6171" s="51">
        <v>67.0</v>
      </c>
      <c r="E6171" s="52" t="s">
        <v>25</v>
      </c>
      <c r="F6171" s="52" t="s">
        <v>26</v>
      </c>
      <c r="G6171" s="53"/>
    </row>
    <row r="6172">
      <c r="A6172" s="49">
        <v>44577.85851740741</v>
      </c>
      <c r="B6172" s="50">
        <v>44577.9834913194</v>
      </c>
      <c r="C6172" s="51">
        <v>1.002</v>
      </c>
      <c r="D6172" s="51">
        <v>67.0</v>
      </c>
      <c r="E6172" s="52" t="s">
        <v>25</v>
      </c>
      <c r="F6172" s="52" t="s">
        <v>26</v>
      </c>
      <c r="G6172" s="53"/>
    </row>
    <row r="6173">
      <c r="A6173" s="49">
        <v>44577.868945532406</v>
      </c>
      <c r="B6173" s="50">
        <v>44577.9939125925</v>
      </c>
      <c r="C6173" s="51">
        <v>1.002</v>
      </c>
      <c r="D6173" s="51">
        <v>67.0</v>
      </c>
      <c r="E6173" s="52" t="s">
        <v>25</v>
      </c>
      <c r="F6173" s="52" t="s">
        <v>26</v>
      </c>
      <c r="G6173" s="53"/>
    </row>
    <row r="6174">
      <c r="A6174" s="49">
        <v>44577.879355578705</v>
      </c>
      <c r="B6174" s="50">
        <v>44578.0043342824</v>
      </c>
      <c r="C6174" s="51">
        <v>1.002</v>
      </c>
      <c r="D6174" s="51">
        <v>67.0</v>
      </c>
      <c r="E6174" s="52" t="s">
        <v>25</v>
      </c>
      <c r="F6174" s="52" t="s">
        <v>26</v>
      </c>
      <c r="G6174" s="53"/>
    </row>
    <row r="6175">
      <c r="A6175" s="49">
        <v>44577.88977731482</v>
      </c>
      <c r="B6175" s="50">
        <v>44578.0147556713</v>
      </c>
      <c r="C6175" s="51">
        <v>1.002</v>
      </c>
      <c r="D6175" s="51">
        <v>67.0</v>
      </c>
      <c r="E6175" s="52" t="s">
        <v>25</v>
      </c>
      <c r="F6175" s="52" t="s">
        <v>26</v>
      </c>
      <c r="G6175" s="53"/>
    </row>
    <row r="6176">
      <c r="A6176" s="49">
        <v>44577.9001978125</v>
      </c>
      <c r="B6176" s="50">
        <v>44578.0251765624</v>
      </c>
      <c r="C6176" s="51">
        <v>1.002</v>
      </c>
      <c r="D6176" s="51">
        <v>67.0</v>
      </c>
      <c r="E6176" s="52" t="s">
        <v>25</v>
      </c>
      <c r="F6176" s="52" t="s">
        <v>26</v>
      </c>
      <c r="G6176" s="53"/>
    </row>
    <row r="6177">
      <c r="A6177" s="49">
        <v>44577.91063111111</v>
      </c>
      <c r="B6177" s="50">
        <v>44578.0355995601</v>
      </c>
      <c r="C6177" s="51">
        <v>1.002</v>
      </c>
      <c r="D6177" s="51">
        <v>67.0</v>
      </c>
      <c r="E6177" s="52" t="s">
        <v>25</v>
      </c>
      <c r="F6177" s="52" t="s">
        <v>26</v>
      </c>
      <c r="G6177" s="53"/>
    </row>
    <row r="6178">
      <c r="A6178" s="49">
        <v>44577.92105072917</v>
      </c>
      <c r="B6178" s="50">
        <v>44578.046020324</v>
      </c>
      <c r="C6178" s="51">
        <v>1.002</v>
      </c>
      <c r="D6178" s="51">
        <v>67.0</v>
      </c>
      <c r="E6178" s="52" t="s">
        <v>25</v>
      </c>
      <c r="F6178" s="52" t="s">
        <v>26</v>
      </c>
      <c r="G6178" s="53"/>
    </row>
    <row r="6179">
      <c r="A6179" s="49">
        <v>44577.93146579861</v>
      </c>
      <c r="B6179" s="50">
        <v>44578.0564405787</v>
      </c>
      <c r="C6179" s="51">
        <v>1.002</v>
      </c>
      <c r="D6179" s="51">
        <v>67.0</v>
      </c>
      <c r="E6179" s="52" t="s">
        <v>25</v>
      </c>
      <c r="F6179" s="52" t="s">
        <v>26</v>
      </c>
      <c r="G6179" s="53"/>
    </row>
    <row r="6180">
      <c r="A6180" s="49">
        <v>44577.94188643519</v>
      </c>
      <c r="B6180" s="50">
        <v>44578.0668641898</v>
      </c>
      <c r="C6180" s="51">
        <v>1.002</v>
      </c>
      <c r="D6180" s="51">
        <v>67.0</v>
      </c>
      <c r="E6180" s="52" t="s">
        <v>25</v>
      </c>
      <c r="F6180" s="52" t="s">
        <v>26</v>
      </c>
      <c r="G6180" s="53"/>
    </row>
    <row r="6181">
      <c r="A6181" s="49">
        <v>44577.95231310185</v>
      </c>
      <c r="B6181" s="50">
        <v>44578.0772862615</v>
      </c>
      <c r="C6181" s="51">
        <v>1.002</v>
      </c>
      <c r="D6181" s="51">
        <v>67.0</v>
      </c>
      <c r="E6181" s="52" t="s">
        <v>25</v>
      </c>
      <c r="F6181" s="52" t="s">
        <v>26</v>
      </c>
      <c r="G6181" s="53"/>
    </row>
    <row r="6182">
      <c r="A6182" s="49">
        <v>44577.962746296296</v>
      </c>
      <c r="B6182" s="50">
        <v>44578.0877179282</v>
      </c>
      <c r="C6182" s="51">
        <v>1.002</v>
      </c>
      <c r="D6182" s="51">
        <v>67.0</v>
      </c>
      <c r="E6182" s="52" t="s">
        <v>25</v>
      </c>
      <c r="F6182" s="52" t="s">
        <v>26</v>
      </c>
      <c r="G6182" s="53"/>
    </row>
    <row r="6183">
      <c r="A6183" s="49">
        <v>44577.97316299769</v>
      </c>
      <c r="B6183" s="50">
        <v>44578.0981399999</v>
      </c>
      <c r="C6183" s="51">
        <v>1.002</v>
      </c>
      <c r="D6183" s="51">
        <v>67.0</v>
      </c>
      <c r="E6183" s="52" t="s">
        <v>25</v>
      </c>
      <c r="F6183" s="52" t="s">
        <v>26</v>
      </c>
      <c r="G6183" s="53"/>
    </row>
    <row r="6184">
      <c r="A6184" s="49">
        <v>44577.98358508102</v>
      </c>
      <c r="B6184" s="50">
        <v>44578.1085616435</v>
      </c>
      <c r="C6184" s="51">
        <v>1.002</v>
      </c>
      <c r="D6184" s="51">
        <v>67.0</v>
      </c>
      <c r="E6184" s="52" t="s">
        <v>25</v>
      </c>
      <c r="F6184" s="52" t="s">
        <v>26</v>
      </c>
      <c r="G6184" s="53"/>
    </row>
    <row r="6185">
      <c r="A6185" s="49">
        <v>44577.99400744213</v>
      </c>
      <c r="B6185" s="50">
        <v>44578.1189831134</v>
      </c>
      <c r="C6185" s="51">
        <v>1.002</v>
      </c>
      <c r="D6185" s="51">
        <v>67.0</v>
      </c>
      <c r="E6185" s="52" t="s">
        <v>25</v>
      </c>
      <c r="F6185" s="52" t="s">
        <v>26</v>
      </c>
      <c r="G6185" s="53"/>
    </row>
    <row r="6186">
      <c r="A6186" s="49">
        <v>44578.00443631945</v>
      </c>
      <c r="B6186" s="50">
        <v>44578.1294161805</v>
      </c>
      <c r="C6186" s="51">
        <v>1.002</v>
      </c>
      <c r="D6186" s="51">
        <v>67.0</v>
      </c>
      <c r="E6186" s="52" t="s">
        <v>25</v>
      </c>
      <c r="F6186" s="52" t="s">
        <v>26</v>
      </c>
      <c r="G6186" s="53"/>
    </row>
    <row r="6187">
      <c r="A6187" s="49">
        <v>44578.01487550926</v>
      </c>
      <c r="B6187" s="50">
        <v>44578.1398488194</v>
      </c>
      <c r="C6187" s="51">
        <v>1.002</v>
      </c>
      <c r="D6187" s="51">
        <v>67.0</v>
      </c>
      <c r="E6187" s="52" t="s">
        <v>25</v>
      </c>
      <c r="F6187" s="52" t="s">
        <v>26</v>
      </c>
      <c r="G6187" s="53"/>
    </row>
    <row r="6188">
      <c r="A6188" s="49">
        <v>44578.025300023146</v>
      </c>
      <c r="B6188" s="50">
        <v>44578.150269537</v>
      </c>
      <c r="C6188" s="51">
        <v>1.002</v>
      </c>
      <c r="D6188" s="51">
        <v>67.0</v>
      </c>
      <c r="E6188" s="52" t="s">
        <v>25</v>
      </c>
      <c r="F6188" s="52" t="s">
        <v>26</v>
      </c>
      <c r="G6188" s="53"/>
    </row>
    <row r="6189">
      <c r="A6189" s="49">
        <v>44578.035738067134</v>
      </c>
      <c r="B6189" s="50">
        <v>44578.160701574</v>
      </c>
      <c r="C6189" s="51">
        <v>1.002</v>
      </c>
      <c r="D6189" s="51">
        <v>67.0</v>
      </c>
      <c r="E6189" s="52" t="s">
        <v>25</v>
      </c>
      <c r="F6189" s="52" t="s">
        <v>26</v>
      </c>
      <c r="G6189" s="53"/>
    </row>
    <row r="6190">
      <c r="A6190" s="49">
        <v>44578.0461530787</v>
      </c>
      <c r="B6190" s="50">
        <v>44578.1711231597</v>
      </c>
      <c r="C6190" s="51">
        <v>1.002</v>
      </c>
      <c r="D6190" s="51">
        <v>66.0</v>
      </c>
      <c r="E6190" s="52" t="s">
        <v>25</v>
      </c>
      <c r="F6190" s="52" t="s">
        <v>26</v>
      </c>
      <c r="G6190" s="53"/>
    </row>
    <row r="6191">
      <c r="A6191" s="49">
        <v>44578.056574490736</v>
      </c>
      <c r="B6191" s="50">
        <v>44578.1815445601</v>
      </c>
      <c r="C6191" s="51">
        <v>1.002</v>
      </c>
      <c r="D6191" s="51">
        <v>67.0</v>
      </c>
      <c r="E6191" s="52" t="s">
        <v>25</v>
      </c>
      <c r="F6191" s="52" t="s">
        <v>26</v>
      </c>
      <c r="G6191" s="53"/>
    </row>
    <row r="6192">
      <c r="A6192" s="49">
        <v>44578.06698905093</v>
      </c>
      <c r="B6192" s="50">
        <v>44578.1919652661</v>
      </c>
      <c r="C6192" s="51">
        <v>1.002</v>
      </c>
      <c r="D6192" s="51">
        <v>66.0</v>
      </c>
      <c r="E6192" s="52" t="s">
        <v>25</v>
      </c>
      <c r="F6192" s="52" t="s">
        <v>26</v>
      </c>
      <c r="G6192" s="53"/>
    </row>
    <row r="6193">
      <c r="A6193" s="49">
        <v>44578.07741353009</v>
      </c>
      <c r="B6193" s="50">
        <v>44578.202384618</v>
      </c>
      <c r="C6193" s="51">
        <v>1.002</v>
      </c>
      <c r="D6193" s="51">
        <v>66.0</v>
      </c>
      <c r="E6193" s="52" t="s">
        <v>25</v>
      </c>
      <c r="F6193" s="52" t="s">
        <v>26</v>
      </c>
      <c r="G6193" s="53"/>
    </row>
    <row r="6194">
      <c r="A6194" s="49">
        <v>44578.087848298615</v>
      </c>
      <c r="B6194" s="50">
        <v>44578.2128166898</v>
      </c>
      <c r="C6194" s="51">
        <v>1.002</v>
      </c>
      <c r="D6194" s="51">
        <v>66.0</v>
      </c>
      <c r="E6194" s="52" t="s">
        <v>25</v>
      </c>
      <c r="F6194" s="52" t="s">
        <v>26</v>
      </c>
      <c r="G6194" s="53"/>
    </row>
    <row r="6195">
      <c r="A6195" s="49">
        <v>44578.09827</v>
      </c>
      <c r="B6195" s="50">
        <v>44578.2232490972</v>
      </c>
      <c r="C6195" s="51">
        <v>1.002</v>
      </c>
      <c r="D6195" s="51">
        <v>66.0</v>
      </c>
      <c r="E6195" s="52" t="s">
        <v>25</v>
      </c>
      <c r="F6195" s="52" t="s">
        <v>26</v>
      </c>
      <c r="G6195" s="53"/>
    </row>
    <row r="6196">
      <c r="A6196" s="49">
        <v>44578.10871266204</v>
      </c>
      <c r="B6196" s="50">
        <v>44578.233682824</v>
      </c>
      <c r="C6196" s="51">
        <v>1.002</v>
      </c>
      <c r="D6196" s="51">
        <v>66.0</v>
      </c>
      <c r="E6196" s="52" t="s">
        <v>25</v>
      </c>
      <c r="F6196" s="52" t="s">
        <v>26</v>
      </c>
      <c r="G6196" s="53"/>
    </row>
    <row r="6197">
      <c r="A6197" s="49">
        <v>44578.11915708333</v>
      </c>
      <c r="B6197" s="50">
        <v>44578.244139537</v>
      </c>
      <c r="C6197" s="51">
        <v>1.002</v>
      </c>
      <c r="D6197" s="51">
        <v>66.0</v>
      </c>
      <c r="E6197" s="52" t="s">
        <v>25</v>
      </c>
      <c r="F6197" s="52" t="s">
        <v>26</v>
      </c>
      <c r="G6197" s="53"/>
    </row>
    <row r="6198">
      <c r="A6198" s="49">
        <v>44578.12960734953</v>
      </c>
      <c r="B6198" s="50">
        <v>44578.2545622916</v>
      </c>
      <c r="C6198" s="51">
        <v>1.002</v>
      </c>
      <c r="D6198" s="51">
        <v>66.0</v>
      </c>
      <c r="E6198" s="52" t="s">
        <v>25</v>
      </c>
      <c r="F6198" s="52" t="s">
        <v>26</v>
      </c>
      <c r="G6198" s="53"/>
    </row>
    <row r="6199">
      <c r="A6199" s="49">
        <v>44578.14000056713</v>
      </c>
      <c r="B6199" s="50">
        <v>44578.2649820717</v>
      </c>
      <c r="C6199" s="51">
        <v>1.002</v>
      </c>
      <c r="D6199" s="51">
        <v>66.0</v>
      </c>
      <c r="E6199" s="52" t="s">
        <v>25</v>
      </c>
      <c r="F6199" s="52" t="s">
        <v>26</v>
      </c>
      <c r="G6199" s="53"/>
    </row>
    <row r="6200">
      <c r="A6200" s="49">
        <v>44578.15042613426</v>
      </c>
      <c r="B6200" s="50">
        <v>44578.2754024652</v>
      </c>
      <c r="C6200" s="51">
        <v>1.002</v>
      </c>
      <c r="D6200" s="51">
        <v>66.0</v>
      </c>
      <c r="E6200" s="52" t="s">
        <v>25</v>
      </c>
      <c r="F6200" s="52" t="s">
        <v>26</v>
      </c>
      <c r="G6200" s="53"/>
    </row>
    <row r="6201">
      <c r="A6201" s="49">
        <v>44578.16085127315</v>
      </c>
      <c r="B6201" s="50">
        <v>44578.2858235879</v>
      </c>
      <c r="C6201" s="51">
        <v>1.002</v>
      </c>
      <c r="D6201" s="51">
        <v>66.0</v>
      </c>
      <c r="E6201" s="52" t="s">
        <v>25</v>
      </c>
      <c r="F6201" s="52" t="s">
        <v>26</v>
      </c>
      <c r="G6201" s="53"/>
    </row>
    <row r="6202">
      <c r="A6202" s="49">
        <v>44578.171269178245</v>
      </c>
      <c r="B6202" s="50">
        <v>44578.2962459375</v>
      </c>
      <c r="C6202" s="51">
        <v>1.002</v>
      </c>
      <c r="D6202" s="51">
        <v>66.0</v>
      </c>
      <c r="E6202" s="52" t="s">
        <v>25</v>
      </c>
      <c r="F6202" s="52" t="s">
        <v>26</v>
      </c>
      <c r="G6202" s="53"/>
    </row>
    <row r="6203">
      <c r="A6203" s="49">
        <v>44578.18168403935</v>
      </c>
      <c r="B6203" s="50">
        <v>44578.3066668981</v>
      </c>
      <c r="C6203" s="51">
        <v>1.002</v>
      </c>
      <c r="D6203" s="51">
        <v>66.0</v>
      </c>
      <c r="E6203" s="52" t="s">
        <v>25</v>
      </c>
      <c r="F6203" s="52" t="s">
        <v>26</v>
      </c>
      <c r="G6203" s="53"/>
    </row>
    <row r="6204">
      <c r="A6204" s="49">
        <v>44578.192113854166</v>
      </c>
      <c r="B6204" s="50">
        <v>44578.3170891087</v>
      </c>
      <c r="C6204" s="51">
        <v>1.002</v>
      </c>
      <c r="D6204" s="51">
        <v>66.0</v>
      </c>
      <c r="E6204" s="52" t="s">
        <v>25</v>
      </c>
      <c r="F6204" s="52" t="s">
        <v>26</v>
      </c>
      <c r="G6204" s="53"/>
    </row>
    <row r="6205">
      <c r="A6205" s="49">
        <v>44578.20255055555</v>
      </c>
      <c r="B6205" s="50">
        <v>44578.3275213888</v>
      </c>
      <c r="C6205" s="51">
        <v>1.002</v>
      </c>
      <c r="D6205" s="51">
        <v>66.0</v>
      </c>
      <c r="E6205" s="52" t="s">
        <v>25</v>
      </c>
      <c r="F6205" s="52" t="s">
        <v>26</v>
      </c>
      <c r="G6205" s="53"/>
    </row>
    <row r="6206">
      <c r="A6206" s="49">
        <v>44578.21297133101</v>
      </c>
      <c r="B6206" s="50">
        <v>44578.3379441782</v>
      </c>
      <c r="C6206" s="51">
        <v>1.002</v>
      </c>
      <c r="D6206" s="51">
        <v>66.0</v>
      </c>
      <c r="E6206" s="52" t="s">
        <v>25</v>
      </c>
      <c r="F6206" s="52" t="s">
        <v>26</v>
      </c>
      <c r="G6206" s="53"/>
    </row>
    <row r="6207">
      <c r="A6207" s="49">
        <v>44578.223393576394</v>
      </c>
      <c r="B6207" s="50">
        <v>44578.3483646296</v>
      </c>
      <c r="C6207" s="51">
        <v>1.002</v>
      </c>
      <c r="D6207" s="51">
        <v>66.0</v>
      </c>
      <c r="E6207" s="52" t="s">
        <v>25</v>
      </c>
      <c r="F6207" s="52" t="s">
        <v>26</v>
      </c>
      <c r="G6207" s="53"/>
    </row>
    <row r="6208">
      <c r="A6208" s="49">
        <v>44578.23380916667</v>
      </c>
      <c r="B6208" s="50">
        <v>44578.3587866088</v>
      </c>
      <c r="C6208" s="51">
        <v>1.002</v>
      </c>
      <c r="D6208" s="51">
        <v>66.0</v>
      </c>
      <c r="E6208" s="52" t="s">
        <v>25</v>
      </c>
      <c r="F6208" s="52" t="s">
        <v>26</v>
      </c>
      <c r="G6208" s="53"/>
    </row>
    <row r="6209">
      <c r="A6209" s="49">
        <v>44578.244228194446</v>
      </c>
      <c r="B6209" s="50">
        <v>44578.369208368</v>
      </c>
      <c r="C6209" s="51">
        <v>1.002</v>
      </c>
      <c r="D6209" s="51">
        <v>66.0</v>
      </c>
      <c r="E6209" s="52" t="s">
        <v>25</v>
      </c>
      <c r="F6209" s="52" t="s">
        <v>26</v>
      </c>
      <c r="G6209" s="53"/>
    </row>
    <row r="6210">
      <c r="A6210" s="49">
        <v>44578.254886979164</v>
      </c>
      <c r="B6210" s="50">
        <v>44578.3796294675</v>
      </c>
      <c r="C6210" s="51">
        <v>1.002</v>
      </c>
      <c r="D6210" s="51">
        <v>66.0</v>
      </c>
      <c r="E6210" s="52" t="s">
        <v>25</v>
      </c>
      <c r="F6210" s="52" t="s">
        <v>26</v>
      </c>
      <c r="G6210" s="53"/>
    </row>
    <row r="6211">
      <c r="A6211" s="49">
        <v>44578.26508784722</v>
      </c>
      <c r="B6211" s="50">
        <v>44578.3900511574</v>
      </c>
      <c r="C6211" s="51">
        <v>1.002</v>
      </c>
      <c r="D6211" s="51">
        <v>66.0</v>
      </c>
      <c r="E6211" s="52" t="s">
        <v>25</v>
      </c>
      <c r="F6211" s="52" t="s">
        <v>26</v>
      </c>
      <c r="G6211" s="53"/>
    </row>
    <row r="6212">
      <c r="A6212" s="49">
        <v>44578.2755058912</v>
      </c>
      <c r="B6212" s="50">
        <v>44578.4004833796</v>
      </c>
      <c r="C6212" s="51">
        <v>1.002</v>
      </c>
      <c r="D6212" s="51">
        <v>66.0</v>
      </c>
      <c r="E6212" s="52" t="s">
        <v>25</v>
      </c>
      <c r="F6212" s="52" t="s">
        <v>26</v>
      </c>
      <c r="G6212" s="53"/>
    </row>
    <row r="6213">
      <c r="A6213" s="49">
        <v>44578.285938518515</v>
      </c>
      <c r="B6213" s="50">
        <v>44578.4109159375</v>
      </c>
      <c r="C6213" s="51">
        <v>1.002</v>
      </c>
      <c r="D6213" s="51">
        <v>66.0</v>
      </c>
      <c r="E6213" s="52" t="s">
        <v>25</v>
      </c>
      <c r="F6213" s="52" t="s">
        <v>26</v>
      </c>
      <c r="G6213" s="53"/>
    </row>
    <row r="6214">
      <c r="A6214" s="49">
        <v>44578.29638177084</v>
      </c>
      <c r="B6214" s="50">
        <v>44578.4213595833</v>
      </c>
      <c r="C6214" s="51">
        <v>1.002</v>
      </c>
      <c r="D6214" s="51">
        <v>66.0</v>
      </c>
      <c r="E6214" s="52" t="s">
        <v>25</v>
      </c>
      <c r="F6214" s="52" t="s">
        <v>26</v>
      </c>
      <c r="G6214" s="53"/>
    </row>
    <row r="6215">
      <c r="A6215" s="49">
        <v>44578.30681681713</v>
      </c>
      <c r="B6215" s="50">
        <v>44578.431781875</v>
      </c>
      <c r="C6215" s="51">
        <v>1.002</v>
      </c>
      <c r="D6215" s="51">
        <v>66.0</v>
      </c>
      <c r="E6215" s="52" t="s">
        <v>25</v>
      </c>
      <c r="F6215" s="52" t="s">
        <v>26</v>
      </c>
      <c r="G6215" s="53"/>
    </row>
    <row r="6216">
      <c r="A6216" s="49">
        <v>44578.317226307874</v>
      </c>
      <c r="B6216" s="50">
        <v>44578.442204456</v>
      </c>
      <c r="C6216" s="51">
        <v>1.002</v>
      </c>
      <c r="D6216" s="51">
        <v>66.0</v>
      </c>
      <c r="E6216" s="52" t="s">
        <v>25</v>
      </c>
      <c r="F6216" s="52" t="s">
        <v>26</v>
      </c>
      <c r="G6216" s="53"/>
    </row>
    <row r="6217">
      <c r="A6217" s="49">
        <v>44578.32767972222</v>
      </c>
      <c r="B6217" s="50">
        <v>44578.4526473842</v>
      </c>
      <c r="C6217" s="51">
        <v>1.002</v>
      </c>
      <c r="D6217" s="51">
        <v>65.0</v>
      </c>
      <c r="E6217" s="52" t="s">
        <v>25</v>
      </c>
      <c r="F6217" s="52" t="s">
        <v>26</v>
      </c>
      <c r="G6217" s="53"/>
    </row>
    <row r="6218">
      <c r="A6218" s="49">
        <v>44578.33810130787</v>
      </c>
      <c r="B6218" s="50">
        <v>44578.4630676504</v>
      </c>
      <c r="C6218" s="51">
        <v>1.002</v>
      </c>
      <c r="D6218" s="51">
        <v>65.0</v>
      </c>
      <c r="E6218" s="52" t="s">
        <v>25</v>
      </c>
      <c r="F6218" s="52" t="s">
        <v>26</v>
      </c>
      <c r="G6218" s="53"/>
    </row>
    <row r="6219">
      <c r="A6219" s="49">
        <v>44578.348537557875</v>
      </c>
      <c r="B6219" s="50">
        <v>44578.4735125347</v>
      </c>
      <c r="C6219" s="51">
        <v>1.002</v>
      </c>
      <c r="D6219" s="51">
        <v>65.0</v>
      </c>
      <c r="E6219" s="52" t="s">
        <v>25</v>
      </c>
      <c r="F6219" s="52" t="s">
        <v>26</v>
      </c>
      <c r="G6219" s="53"/>
    </row>
    <row r="6220">
      <c r="A6220" s="49">
        <v>44578.3589565625</v>
      </c>
      <c r="B6220" s="50">
        <v>44578.4839323032</v>
      </c>
      <c r="C6220" s="51">
        <v>1.002</v>
      </c>
      <c r="D6220" s="51">
        <v>65.0</v>
      </c>
      <c r="E6220" s="52" t="s">
        <v>25</v>
      </c>
      <c r="F6220" s="52" t="s">
        <v>26</v>
      </c>
      <c r="G6220" s="53"/>
    </row>
    <row r="6221">
      <c r="A6221" s="49">
        <v>44578.3693971875</v>
      </c>
      <c r="B6221" s="50">
        <v>44578.4943677083</v>
      </c>
      <c r="C6221" s="51">
        <v>1.002</v>
      </c>
      <c r="D6221" s="51">
        <v>65.0</v>
      </c>
      <c r="E6221" s="52" t="s">
        <v>25</v>
      </c>
      <c r="F6221" s="52" t="s">
        <v>26</v>
      </c>
      <c r="G6221" s="53"/>
    </row>
    <row r="6222">
      <c r="A6222" s="49">
        <v>44578.379813796295</v>
      </c>
      <c r="B6222" s="50">
        <v>44578.5047884027</v>
      </c>
      <c r="C6222" s="51">
        <v>1.002</v>
      </c>
      <c r="D6222" s="51">
        <v>65.0</v>
      </c>
      <c r="E6222" s="52" t="s">
        <v>25</v>
      </c>
      <c r="F6222" s="52" t="s">
        <v>26</v>
      </c>
      <c r="G6222" s="53"/>
    </row>
    <row r="6223">
      <c r="A6223" s="49">
        <v>44578.39023258102</v>
      </c>
      <c r="B6223" s="50">
        <v>44578.5152093402</v>
      </c>
      <c r="C6223" s="51">
        <v>1.002</v>
      </c>
      <c r="D6223" s="51">
        <v>65.0</v>
      </c>
      <c r="E6223" s="52" t="s">
        <v>25</v>
      </c>
      <c r="F6223" s="52" t="s">
        <v>26</v>
      </c>
      <c r="G6223" s="53"/>
    </row>
    <row r="6224">
      <c r="A6224" s="49">
        <v>44578.40064931713</v>
      </c>
      <c r="B6224" s="50">
        <v>44578.5256304861</v>
      </c>
      <c r="C6224" s="51">
        <v>1.002</v>
      </c>
      <c r="D6224" s="51">
        <v>65.0</v>
      </c>
      <c r="E6224" s="52" t="s">
        <v>25</v>
      </c>
      <c r="F6224" s="52" t="s">
        <v>26</v>
      </c>
      <c r="G6224" s="53"/>
    </row>
    <row r="6225">
      <c r="A6225" s="49">
        <v>44578.41106993056</v>
      </c>
      <c r="B6225" s="50">
        <v>44578.5360501504</v>
      </c>
      <c r="C6225" s="51">
        <v>1.002</v>
      </c>
      <c r="D6225" s="51">
        <v>65.0</v>
      </c>
      <c r="E6225" s="52" t="s">
        <v>25</v>
      </c>
      <c r="F6225" s="52" t="s">
        <v>26</v>
      </c>
      <c r="G6225" s="53"/>
    </row>
    <row r="6226">
      <c r="A6226" s="49">
        <v>44578.421495567134</v>
      </c>
      <c r="B6226" s="50">
        <v>44578.5464718402</v>
      </c>
      <c r="C6226" s="51">
        <v>1.002</v>
      </c>
      <c r="D6226" s="51">
        <v>65.0</v>
      </c>
      <c r="E6226" s="52" t="s">
        <v>25</v>
      </c>
      <c r="F6226" s="52" t="s">
        <v>26</v>
      </c>
      <c r="G6226" s="53"/>
    </row>
    <row r="6227">
      <c r="A6227" s="49">
        <v>44578.43192905093</v>
      </c>
      <c r="B6227" s="50">
        <v>44578.5568922685</v>
      </c>
      <c r="C6227" s="51">
        <v>1.002</v>
      </c>
      <c r="D6227" s="51">
        <v>65.0</v>
      </c>
      <c r="E6227" s="52" t="s">
        <v>25</v>
      </c>
      <c r="F6227" s="52" t="s">
        <v>26</v>
      </c>
      <c r="G6227" s="53"/>
    </row>
    <row r="6228">
      <c r="A6228" s="49">
        <v>44578.4423546412</v>
      </c>
      <c r="B6228" s="50">
        <v>44578.5673132638</v>
      </c>
      <c r="C6228" s="51">
        <v>1.002</v>
      </c>
      <c r="D6228" s="51">
        <v>65.0</v>
      </c>
      <c r="E6228" s="52" t="s">
        <v>25</v>
      </c>
      <c r="F6228" s="52" t="s">
        <v>26</v>
      </c>
      <c r="G6228" s="53"/>
    </row>
    <row r="6229">
      <c r="A6229" s="49">
        <v>44578.45279605324</v>
      </c>
      <c r="B6229" s="50">
        <v>44578.5777355555</v>
      </c>
      <c r="C6229" s="51">
        <v>1.002</v>
      </c>
      <c r="D6229" s="51">
        <v>65.0</v>
      </c>
      <c r="E6229" s="52" t="s">
        <v>25</v>
      </c>
      <c r="F6229" s="52" t="s">
        <v>26</v>
      </c>
      <c r="G6229" s="53"/>
    </row>
    <row r="6230">
      <c r="A6230" s="49">
        <v>44578.463236435186</v>
      </c>
      <c r="B6230" s="50">
        <v>44578.5881571296</v>
      </c>
      <c r="C6230" s="51">
        <v>1.002</v>
      </c>
      <c r="D6230" s="51">
        <v>65.0</v>
      </c>
      <c r="E6230" s="52" t="s">
        <v>25</v>
      </c>
      <c r="F6230" s="52" t="s">
        <v>26</v>
      </c>
      <c r="G6230" s="53"/>
    </row>
    <row r="6231">
      <c r="A6231" s="49">
        <v>44578.47360519676</v>
      </c>
      <c r="B6231" s="50">
        <v>44578.5985776273</v>
      </c>
      <c r="C6231" s="51">
        <v>1.002</v>
      </c>
      <c r="D6231" s="51">
        <v>65.0</v>
      </c>
      <c r="E6231" s="52" t="s">
        <v>25</v>
      </c>
      <c r="F6231" s="52" t="s">
        <v>26</v>
      </c>
      <c r="G6231" s="53"/>
    </row>
    <row r="6232">
      <c r="A6232" s="49">
        <v>44578.48401665509</v>
      </c>
      <c r="B6232" s="50">
        <v>44578.6089977314</v>
      </c>
      <c r="C6232" s="51">
        <v>1.002</v>
      </c>
      <c r="D6232" s="51">
        <v>65.0</v>
      </c>
      <c r="E6232" s="52" t="s">
        <v>25</v>
      </c>
      <c r="F6232" s="52" t="s">
        <v>26</v>
      </c>
      <c r="G6232" s="53"/>
    </row>
    <row r="6233">
      <c r="A6233" s="49">
        <v>44578.4944468287</v>
      </c>
      <c r="B6233" s="50">
        <v>44578.6194196064</v>
      </c>
      <c r="C6233" s="51">
        <v>1.002</v>
      </c>
      <c r="D6233" s="51">
        <v>65.0</v>
      </c>
      <c r="E6233" s="52" t="s">
        <v>25</v>
      </c>
      <c r="F6233" s="52" t="s">
        <v>26</v>
      </c>
      <c r="G6233" s="53"/>
    </row>
    <row r="6234">
      <c r="A6234" s="49">
        <v>44578.504943113425</v>
      </c>
      <c r="B6234" s="50">
        <v>44578.6298540393</v>
      </c>
      <c r="C6234" s="51">
        <v>1.002</v>
      </c>
      <c r="D6234" s="51">
        <v>65.0</v>
      </c>
      <c r="E6234" s="52" t="s">
        <v>25</v>
      </c>
      <c r="F6234" s="52" t="s">
        <v>26</v>
      </c>
      <c r="G6234" s="53"/>
    </row>
    <row r="6235">
      <c r="A6235" s="49">
        <v>44578.51536305556</v>
      </c>
      <c r="B6235" s="50">
        <v>44578.6403224421</v>
      </c>
      <c r="C6235" s="51">
        <v>1.002</v>
      </c>
      <c r="D6235" s="51">
        <v>65.0</v>
      </c>
      <c r="E6235" s="52" t="s">
        <v>25</v>
      </c>
      <c r="F6235" s="52" t="s">
        <v>26</v>
      </c>
      <c r="G6235" s="53"/>
    </row>
    <row r="6236">
      <c r="A6236" s="49">
        <v>44578.52579489583</v>
      </c>
      <c r="B6236" s="50">
        <v>44578.6507425115</v>
      </c>
      <c r="C6236" s="51">
        <v>1.002</v>
      </c>
      <c r="D6236" s="51">
        <v>65.0</v>
      </c>
      <c r="E6236" s="52" t="s">
        <v>25</v>
      </c>
      <c r="F6236" s="52" t="s">
        <v>26</v>
      </c>
      <c r="G6236" s="53"/>
    </row>
    <row r="6237">
      <c r="A6237" s="49">
        <v>44578.536213252315</v>
      </c>
      <c r="B6237" s="50">
        <v>44578.6611758101</v>
      </c>
      <c r="C6237" s="51">
        <v>1.002</v>
      </c>
      <c r="D6237" s="51">
        <v>65.0</v>
      </c>
      <c r="E6237" s="52" t="s">
        <v>25</v>
      </c>
      <c r="F6237" s="52" t="s">
        <v>26</v>
      </c>
      <c r="G6237" s="53"/>
    </row>
    <row r="6238">
      <c r="A6238" s="49">
        <v>44578.54663113426</v>
      </c>
      <c r="B6238" s="50">
        <v>44578.6715976157</v>
      </c>
      <c r="C6238" s="51">
        <v>1.002</v>
      </c>
      <c r="D6238" s="51">
        <v>65.0</v>
      </c>
      <c r="E6238" s="52" t="s">
        <v>25</v>
      </c>
      <c r="F6238" s="52" t="s">
        <v>26</v>
      </c>
      <c r="G6238" s="53"/>
    </row>
    <row r="6239">
      <c r="A6239" s="49">
        <v>44578.55705130787</v>
      </c>
      <c r="B6239" s="50">
        <v>44578.6820192476</v>
      </c>
      <c r="C6239" s="51">
        <v>1.002</v>
      </c>
      <c r="D6239" s="51">
        <v>65.0</v>
      </c>
      <c r="E6239" s="52" t="s">
        <v>25</v>
      </c>
      <c r="F6239" s="52" t="s">
        <v>26</v>
      </c>
      <c r="G6239" s="53"/>
    </row>
    <row r="6240">
      <c r="A6240" s="49">
        <v>44578.56747541667</v>
      </c>
      <c r="B6240" s="50">
        <v>44578.6924424537</v>
      </c>
      <c r="C6240" s="51">
        <v>1.003</v>
      </c>
      <c r="D6240" s="51">
        <v>65.0</v>
      </c>
      <c r="E6240" s="52" t="s">
        <v>25</v>
      </c>
      <c r="F6240" s="52" t="s">
        <v>26</v>
      </c>
      <c r="G6240" s="53"/>
    </row>
    <row r="6241">
      <c r="A6241" s="49">
        <v>44578.577892256944</v>
      </c>
      <c r="B6241" s="50">
        <v>44578.7028637731</v>
      </c>
      <c r="C6241" s="51">
        <v>1.002</v>
      </c>
      <c r="D6241" s="51">
        <v>65.0</v>
      </c>
      <c r="E6241" s="52" t="s">
        <v>25</v>
      </c>
      <c r="F6241" s="52" t="s">
        <v>26</v>
      </c>
      <c r="G6241" s="53"/>
    </row>
    <row r="6242">
      <c r="A6242" s="49">
        <v>44578.588333113425</v>
      </c>
      <c r="B6242" s="50">
        <v>44578.7132851388</v>
      </c>
      <c r="C6242" s="51">
        <v>1.002</v>
      </c>
      <c r="D6242" s="51">
        <v>65.0</v>
      </c>
      <c r="E6242" s="52" t="s">
        <v>25</v>
      </c>
      <c r="F6242" s="52" t="s">
        <v>26</v>
      </c>
      <c r="G6242" s="53"/>
    </row>
    <row r="6243">
      <c r="A6243" s="49">
        <v>44578.5987509375</v>
      </c>
      <c r="B6243" s="50">
        <v>44578.7237057523</v>
      </c>
      <c r="C6243" s="51">
        <v>1.003</v>
      </c>
      <c r="D6243" s="51">
        <v>65.0</v>
      </c>
      <c r="E6243" s="52" t="s">
        <v>25</v>
      </c>
      <c r="F6243" s="52" t="s">
        <v>26</v>
      </c>
      <c r="G6243" s="53"/>
    </row>
    <row r="6244">
      <c r="A6244" s="49">
        <v>44578.6091859838</v>
      </c>
      <c r="B6244" s="50">
        <v>44578.7341618981</v>
      </c>
      <c r="C6244" s="51">
        <v>1.002</v>
      </c>
      <c r="D6244" s="51">
        <v>65.0</v>
      </c>
      <c r="E6244" s="52" t="s">
        <v>25</v>
      </c>
      <c r="F6244" s="52" t="s">
        <v>26</v>
      </c>
      <c r="G6244" s="53"/>
    </row>
    <row r="6245">
      <c r="A6245" s="49">
        <v>44578.619621805556</v>
      </c>
      <c r="B6245" s="50">
        <v>44578.7445839699</v>
      </c>
      <c r="C6245" s="51">
        <v>1.002</v>
      </c>
      <c r="D6245" s="51">
        <v>65.0</v>
      </c>
      <c r="E6245" s="52" t="s">
        <v>25</v>
      </c>
      <c r="F6245" s="52" t="s">
        <v>26</v>
      </c>
      <c r="G6245" s="53"/>
    </row>
    <row r="6246">
      <c r="A6246" s="49">
        <v>44578.63004866898</v>
      </c>
      <c r="B6246" s="50">
        <v>44578.7550058333</v>
      </c>
      <c r="C6246" s="51">
        <v>1.002</v>
      </c>
      <c r="D6246" s="51">
        <v>65.0</v>
      </c>
      <c r="E6246" s="52" t="s">
        <v>25</v>
      </c>
      <c r="F6246" s="52" t="s">
        <v>26</v>
      </c>
      <c r="G6246" s="53"/>
    </row>
    <row r="6247">
      <c r="A6247" s="49">
        <v>44578.64047341435</v>
      </c>
      <c r="B6247" s="50">
        <v>44578.7654398148</v>
      </c>
      <c r="C6247" s="51">
        <v>1.002</v>
      </c>
      <c r="D6247" s="51">
        <v>65.0</v>
      </c>
      <c r="E6247" s="52" t="s">
        <v>25</v>
      </c>
      <c r="F6247" s="52" t="s">
        <v>26</v>
      </c>
      <c r="G6247" s="53"/>
    </row>
    <row r="6248">
      <c r="A6248" s="49">
        <v>44578.65088111111</v>
      </c>
      <c r="B6248" s="50">
        <v>44578.7758599074</v>
      </c>
      <c r="C6248" s="51">
        <v>1.002</v>
      </c>
      <c r="D6248" s="51">
        <v>64.0</v>
      </c>
      <c r="E6248" s="52" t="s">
        <v>25</v>
      </c>
      <c r="F6248" s="52" t="s">
        <v>26</v>
      </c>
      <c r="G6248" s="53"/>
    </row>
    <row r="6249">
      <c r="A6249" s="49">
        <v>44578.66132827546</v>
      </c>
      <c r="B6249" s="50">
        <v>44578.786303912</v>
      </c>
      <c r="C6249" s="51">
        <v>1.002</v>
      </c>
      <c r="D6249" s="51">
        <v>64.0</v>
      </c>
      <c r="E6249" s="52" t="s">
        <v>25</v>
      </c>
      <c r="F6249" s="52" t="s">
        <v>26</v>
      </c>
      <c r="G6249" s="53"/>
    </row>
    <row r="6250">
      <c r="A6250" s="49">
        <v>44578.67177353009</v>
      </c>
      <c r="B6250" s="50">
        <v>44578.7967364583</v>
      </c>
      <c r="C6250" s="51">
        <v>1.002</v>
      </c>
      <c r="D6250" s="51">
        <v>64.0</v>
      </c>
      <c r="E6250" s="52" t="s">
        <v>25</v>
      </c>
      <c r="F6250" s="52" t="s">
        <v>26</v>
      </c>
      <c r="G6250" s="53"/>
    </row>
    <row r="6251">
      <c r="A6251" s="49">
        <v>44578.68218454861</v>
      </c>
      <c r="B6251" s="50">
        <v>44578.8071573148</v>
      </c>
      <c r="C6251" s="51">
        <v>1.002</v>
      </c>
      <c r="D6251" s="51">
        <v>64.0</v>
      </c>
      <c r="E6251" s="52" t="s">
        <v>25</v>
      </c>
      <c r="F6251" s="52" t="s">
        <v>26</v>
      </c>
      <c r="G6251" s="53"/>
    </row>
    <row r="6252">
      <c r="A6252" s="49">
        <v>44578.69260459491</v>
      </c>
      <c r="B6252" s="50">
        <v>44578.8175779629</v>
      </c>
      <c r="C6252" s="51">
        <v>1.002</v>
      </c>
      <c r="D6252" s="51">
        <v>64.0</v>
      </c>
      <c r="E6252" s="52" t="s">
        <v>25</v>
      </c>
      <c r="F6252" s="52" t="s">
        <v>26</v>
      </c>
      <c r="G6252" s="53"/>
    </row>
    <row r="6253">
      <c r="A6253" s="49">
        <v>44578.70302688658</v>
      </c>
      <c r="B6253" s="50">
        <v>44578.8279967824</v>
      </c>
      <c r="C6253" s="51">
        <v>1.002</v>
      </c>
      <c r="D6253" s="51">
        <v>64.0</v>
      </c>
      <c r="E6253" s="52" t="s">
        <v>25</v>
      </c>
      <c r="F6253" s="52" t="s">
        <v>26</v>
      </c>
      <c r="G6253" s="53"/>
    </row>
    <row r="6254">
      <c r="A6254" s="49">
        <v>44578.713445416666</v>
      </c>
      <c r="B6254" s="50">
        <v>44578.838417824</v>
      </c>
      <c r="C6254" s="51">
        <v>1.002</v>
      </c>
      <c r="D6254" s="51">
        <v>64.0</v>
      </c>
      <c r="E6254" s="52" t="s">
        <v>25</v>
      </c>
      <c r="F6254" s="52" t="s">
        <v>26</v>
      </c>
      <c r="G6254" s="53"/>
    </row>
    <row r="6255">
      <c r="A6255" s="49">
        <v>44578.72387537037</v>
      </c>
      <c r="B6255" s="50">
        <v>44578.8488384606</v>
      </c>
      <c r="C6255" s="51">
        <v>1.002</v>
      </c>
      <c r="D6255" s="51">
        <v>64.0</v>
      </c>
      <c r="E6255" s="52" t="s">
        <v>25</v>
      </c>
      <c r="F6255" s="52" t="s">
        <v>26</v>
      </c>
      <c r="G6255" s="53"/>
    </row>
    <row r="6256">
      <c r="A6256" s="49">
        <v>44578.73430748843</v>
      </c>
      <c r="B6256" s="50">
        <v>44578.8592595138</v>
      </c>
      <c r="C6256" s="51">
        <v>1.002</v>
      </c>
      <c r="D6256" s="51">
        <v>64.0</v>
      </c>
      <c r="E6256" s="52" t="s">
        <v>25</v>
      </c>
      <c r="F6256" s="52" t="s">
        <v>26</v>
      </c>
      <c r="G6256" s="53"/>
    </row>
    <row r="6257">
      <c r="A6257" s="49">
        <v>44578.7447250463</v>
      </c>
      <c r="B6257" s="50">
        <v>44578.8696820138</v>
      </c>
      <c r="C6257" s="51">
        <v>1.002</v>
      </c>
      <c r="D6257" s="51">
        <v>64.0</v>
      </c>
      <c r="E6257" s="52" t="s">
        <v>25</v>
      </c>
      <c r="F6257" s="52" t="s">
        <v>26</v>
      </c>
      <c r="G6257" s="53"/>
    </row>
    <row r="6258">
      <c r="A6258" s="49">
        <v>44578.75514115741</v>
      </c>
      <c r="B6258" s="50">
        <v>44578.8801150231</v>
      </c>
      <c r="C6258" s="51">
        <v>1.002</v>
      </c>
      <c r="D6258" s="51">
        <v>64.0</v>
      </c>
      <c r="E6258" s="52" t="s">
        <v>25</v>
      </c>
      <c r="F6258" s="52" t="s">
        <v>26</v>
      </c>
      <c r="G6258" s="53"/>
    </row>
    <row r="6259">
      <c r="A6259" s="49">
        <v>44578.76560920139</v>
      </c>
      <c r="B6259" s="50">
        <v>44578.8905465972</v>
      </c>
      <c r="C6259" s="51">
        <v>1.002</v>
      </c>
      <c r="D6259" s="51">
        <v>64.0</v>
      </c>
      <c r="E6259" s="52" t="s">
        <v>25</v>
      </c>
      <c r="F6259" s="52" t="s">
        <v>26</v>
      </c>
      <c r="G6259" s="53"/>
    </row>
    <row r="6260">
      <c r="A6260" s="49">
        <v>44578.77604378472</v>
      </c>
      <c r="B6260" s="50">
        <v>44578.900979699</v>
      </c>
      <c r="C6260" s="51">
        <v>1.002</v>
      </c>
      <c r="D6260" s="51">
        <v>64.0</v>
      </c>
      <c r="E6260" s="52" t="s">
        <v>25</v>
      </c>
      <c r="F6260" s="52" t="s">
        <v>26</v>
      </c>
      <c r="G6260" s="53"/>
    </row>
    <row r="6261">
      <c r="A6261" s="49">
        <v>44578.78646412037</v>
      </c>
      <c r="B6261" s="50">
        <v>44578.9114018402</v>
      </c>
      <c r="C6261" s="51">
        <v>1.002</v>
      </c>
      <c r="D6261" s="51">
        <v>64.0</v>
      </c>
      <c r="E6261" s="52" t="s">
        <v>25</v>
      </c>
      <c r="F6261" s="52" t="s">
        <v>26</v>
      </c>
      <c r="G6261" s="53"/>
    </row>
    <row r="6262">
      <c r="A6262" s="49">
        <v>44578.79689627315</v>
      </c>
      <c r="B6262" s="50">
        <v>44578.9218236458</v>
      </c>
      <c r="C6262" s="51">
        <v>1.002</v>
      </c>
      <c r="D6262" s="51">
        <v>64.0</v>
      </c>
      <c r="E6262" s="52" t="s">
        <v>25</v>
      </c>
      <c r="F6262" s="52" t="s">
        <v>26</v>
      </c>
      <c r="G6262" s="53"/>
    </row>
    <row r="6263">
      <c r="A6263" s="49">
        <v>44578.80727564815</v>
      </c>
      <c r="B6263" s="50">
        <v>44578.9322447916</v>
      </c>
      <c r="C6263" s="51">
        <v>1.002</v>
      </c>
      <c r="D6263" s="51">
        <v>64.0</v>
      </c>
      <c r="E6263" s="52" t="s">
        <v>25</v>
      </c>
      <c r="F6263" s="52" t="s">
        <v>26</v>
      </c>
      <c r="G6263" s="53"/>
    </row>
    <row r="6264">
      <c r="A6264" s="49">
        <v>44578.81770306713</v>
      </c>
      <c r="B6264" s="50">
        <v>44578.9426764699</v>
      </c>
      <c r="C6264" s="51">
        <v>1.002</v>
      </c>
      <c r="D6264" s="51">
        <v>64.0</v>
      </c>
      <c r="E6264" s="52" t="s">
        <v>25</v>
      </c>
      <c r="F6264" s="52" t="s">
        <v>26</v>
      </c>
      <c r="G6264" s="53"/>
    </row>
    <row r="6265">
      <c r="A6265" s="49">
        <v>44578.828127037035</v>
      </c>
      <c r="B6265" s="50">
        <v>44578.953096875</v>
      </c>
      <c r="C6265" s="51">
        <v>1.002</v>
      </c>
      <c r="D6265" s="51">
        <v>64.0</v>
      </c>
      <c r="E6265" s="52" t="s">
        <v>25</v>
      </c>
      <c r="F6265" s="52" t="s">
        <v>26</v>
      </c>
      <c r="G6265" s="53"/>
    </row>
    <row r="6266">
      <c r="A6266" s="49">
        <v>44578.83856375</v>
      </c>
      <c r="B6266" s="50">
        <v>44578.9635410185</v>
      </c>
      <c r="C6266" s="51">
        <v>1.002</v>
      </c>
      <c r="D6266" s="51">
        <v>64.0</v>
      </c>
      <c r="E6266" s="52" t="s">
        <v>25</v>
      </c>
      <c r="F6266" s="52" t="s">
        <v>26</v>
      </c>
      <c r="G6266" s="53"/>
    </row>
    <row r="6267">
      <c r="A6267" s="49">
        <v>44578.84899027778</v>
      </c>
      <c r="B6267" s="50">
        <v>44578.9739610995</v>
      </c>
      <c r="C6267" s="51">
        <v>1.002</v>
      </c>
      <c r="D6267" s="51">
        <v>64.0</v>
      </c>
      <c r="E6267" s="52" t="s">
        <v>25</v>
      </c>
      <c r="F6267" s="52" t="s">
        <v>26</v>
      </c>
      <c r="G6267" s="53"/>
    </row>
    <row r="6268">
      <c r="A6268" s="49">
        <v>44578.8594009838</v>
      </c>
      <c r="B6268" s="50">
        <v>44578.984382199</v>
      </c>
      <c r="C6268" s="51">
        <v>1.002</v>
      </c>
      <c r="D6268" s="51">
        <v>64.0</v>
      </c>
      <c r="E6268" s="52" t="s">
        <v>25</v>
      </c>
      <c r="F6268" s="52" t="s">
        <v>26</v>
      </c>
      <c r="G6268" s="53"/>
    </row>
    <row r="6269">
      <c r="A6269" s="49">
        <v>44578.86983188658</v>
      </c>
      <c r="B6269" s="50">
        <v>44578.994804699</v>
      </c>
      <c r="C6269" s="51">
        <v>1.002</v>
      </c>
      <c r="D6269" s="51">
        <v>64.0</v>
      </c>
      <c r="E6269" s="52" t="s">
        <v>25</v>
      </c>
      <c r="F6269" s="52" t="s">
        <v>26</v>
      </c>
      <c r="G6269" s="53"/>
    </row>
    <row r="6270">
      <c r="A6270" s="49">
        <v>44578.88026320602</v>
      </c>
      <c r="B6270" s="50">
        <v>44579.0052372916</v>
      </c>
      <c r="C6270" s="51">
        <v>1.002</v>
      </c>
      <c r="D6270" s="51">
        <v>64.0</v>
      </c>
      <c r="E6270" s="52" t="s">
        <v>25</v>
      </c>
      <c r="F6270" s="52" t="s">
        <v>26</v>
      </c>
      <c r="G6270" s="53"/>
    </row>
    <row r="6271">
      <c r="A6271" s="49">
        <v>44578.89068349537</v>
      </c>
      <c r="B6271" s="50">
        <v>44579.0156564583</v>
      </c>
      <c r="C6271" s="51">
        <v>1.002</v>
      </c>
      <c r="D6271" s="51">
        <v>64.0</v>
      </c>
      <c r="E6271" s="52" t="s">
        <v>25</v>
      </c>
      <c r="F6271" s="52" t="s">
        <v>26</v>
      </c>
      <c r="G6271" s="53"/>
    </row>
    <row r="6272">
      <c r="A6272" s="49">
        <v>44578.90111806713</v>
      </c>
      <c r="B6272" s="50">
        <v>44579.0260890277</v>
      </c>
      <c r="C6272" s="51">
        <v>1.003</v>
      </c>
      <c r="D6272" s="51">
        <v>64.0</v>
      </c>
      <c r="E6272" s="52" t="s">
        <v>25</v>
      </c>
      <c r="F6272" s="52" t="s">
        <v>26</v>
      </c>
      <c r="G6272" s="53"/>
    </row>
    <row r="6273">
      <c r="A6273" s="49">
        <v>44578.91153648148</v>
      </c>
      <c r="B6273" s="50">
        <v>44579.0365103935</v>
      </c>
      <c r="C6273" s="51">
        <v>1.002</v>
      </c>
      <c r="D6273" s="51">
        <v>64.0</v>
      </c>
      <c r="E6273" s="52" t="s">
        <v>25</v>
      </c>
      <c r="F6273" s="52" t="s">
        <v>26</v>
      </c>
      <c r="G6273" s="53"/>
    </row>
    <row r="6274">
      <c r="A6274" s="49">
        <v>44578.921966875</v>
      </c>
      <c r="B6274" s="50">
        <v>44579.0469312847</v>
      </c>
      <c r="C6274" s="51">
        <v>1.002</v>
      </c>
      <c r="D6274" s="51">
        <v>64.0</v>
      </c>
      <c r="E6274" s="52" t="s">
        <v>25</v>
      </c>
      <c r="F6274" s="52" t="s">
        <v>26</v>
      </c>
      <c r="G6274" s="53"/>
    </row>
    <row r="6275">
      <c r="A6275" s="49">
        <v>44578.93238875</v>
      </c>
      <c r="B6275" s="50">
        <v>44579.0573519097</v>
      </c>
      <c r="C6275" s="51">
        <v>1.002</v>
      </c>
      <c r="D6275" s="51">
        <v>64.0</v>
      </c>
      <c r="E6275" s="52" t="s">
        <v>25</v>
      </c>
      <c r="F6275" s="52" t="s">
        <v>26</v>
      </c>
      <c r="G6275" s="53"/>
    </row>
    <row r="6276">
      <c r="A6276" s="49">
        <v>44578.94281476852</v>
      </c>
      <c r="B6276" s="50">
        <v>44579.0677981134</v>
      </c>
      <c r="C6276" s="51">
        <v>1.002</v>
      </c>
      <c r="D6276" s="51">
        <v>64.0</v>
      </c>
      <c r="E6276" s="52" t="s">
        <v>25</v>
      </c>
      <c r="F6276" s="52" t="s">
        <v>26</v>
      </c>
      <c r="G6276" s="53"/>
    </row>
    <row r="6277">
      <c r="A6277" s="49">
        <v>44578.953256319444</v>
      </c>
      <c r="B6277" s="50">
        <v>44579.0782300578</v>
      </c>
      <c r="C6277" s="51">
        <v>1.002</v>
      </c>
      <c r="D6277" s="51">
        <v>64.0</v>
      </c>
      <c r="E6277" s="52" t="s">
        <v>25</v>
      </c>
      <c r="F6277" s="52" t="s">
        <v>26</v>
      </c>
      <c r="G6277" s="53"/>
    </row>
    <row r="6278">
      <c r="A6278" s="49">
        <v>44578.96367869213</v>
      </c>
      <c r="B6278" s="50">
        <v>44579.0886527546</v>
      </c>
      <c r="C6278" s="51">
        <v>1.002</v>
      </c>
      <c r="D6278" s="51">
        <v>64.0</v>
      </c>
      <c r="E6278" s="52" t="s">
        <v>25</v>
      </c>
      <c r="F6278" s="52" t="s">
        <v>26</v>
      </c>
      <c r="G6278" s="53"/>
    </row>
    <row r="6279">
      <c r="A6279" s="49">
        <v>44578.97410358796</v>
      </c>
      <c r="B6279" s="50">
        <v>44579.099073287</v>
      </c>
      <c r="C6279" s="51">
        <v>1.002</v>
      </c>
      <c r="D6279" s="51">
        <v>64.0</v>
      </c>
      <c r="E6279" s="52" t="s">
        <v>25</v>
      </c>
      <c r="F6279" s="52" t="s">
        <v>26</v>
      </c>
      <c r="G6279" s="53"/>
    </row>
    <row r="6280">
      <c r="A6280" s="49">
        <v>44578.984523113424</v>
      </c>
      <c r="B6280" s="50">
        <v>44579.1095044444</v>
      </c>
      <c r="C6280" s="51">
        <v>1.002</v>
      </c>
      <c r="D6280" s="51">
        <v>64.0</v>
      </c>
      <c r="E6280" s="52" t="s">
        <v>25</v>
      </c>
      <c r="F6280" s="52" t="s">
        <v>26</v>
      </c>
      <c r="G6280" s="53"/>
    </row>
    <row r="6281">
      <c r="A6281" s="49">
        <v>44578.99494831018</v>
      </c>
      <c r="B6281" s="50">
        <v>44579.1199247337</v>
      </c>
      <c r="C6281" s="51">
        <v>1.002</v>
      </c>
      <c r="D6281" s="51">
        <v>63.0</v>
      </c>
      <c r="E6281" s="52" t="s">
        <v>25</v>
      </c>
      <c r="F6281" s="52" t="s">
        <v>26</v>
      </c>
      <c r="G6281" s="53"/>
    </row>
    <row r="6282">
      <c r="A6282" s="49">
        <v>44579.00538641204</v>
      </c>
      <c r="B6282" s="50">
        <v>44579.1303459143</v>
      </c>
      <c r="C6282" s="51">
        <v>1.002</v>
      </c>
      <c r="D6282" s="51">
        <v>63.0</v>
      </c>
      <c r="E6282" s="52" t="s">
        <v>25</v>
      </c>
      <c r="F6282" s="52" t="s">
        <v>26</v>
      </c>
      <c r="G6282" s="53"/>
    </row>
    <row r="6283">
      <c r="A6283" s="49">
        <v>44579.015792743055</v>
      </c>
      <c r="B6283" s="50">
        <v>44579.1407696874</v>
      </c>
      <c r="C6283" s="51">
        <v>1.003</v>
      </c>
      <c r="D6283" s="51">
        <v>63.0</v>
      </c>
      <c r="E6283" s="52" t="s">
        <v>25</v>
      </c>
      <c r="F6283" s="52" t="s">
        <v>26</v>
      </c>
      <c r="G6283" s="53"/>
    </row>
    <row r="6284">
      <c r="A6284" s="49">
        <v>44579.02621699074</v>
      </c>
      <c r="B6284" s="50">
        <v>44579.1511897569</v>
      </c>
      <c r="C6284" s="51">
        <v>1.002</v>
      </c>
      <c r="D6284" s="51">
        <v>63.0</v>
      </c>
      <c r="E6284" s="52" t="s">
        <v>25</v>
      </c>
      <c r="F6284" s="52" t="s">
        <v>26</v>
      </c>
      <c r="G6284" s="53"/>
    </row>
    <row r="6285">
      <c r="A6285" s="49">
        <v>44579.03664322916</v>
      </c>
      <c r="B6285" s="50">
        <v>44579.1616227777</v>
      </c>
      <c r="C6285" s="51">
        <v>1.002</v>
      </c>
      <c r="D6285" s="51">
        <v>63.0</v>
      </c>
      <c r="E6285" s="52" t="s">
        <v>25</v>
      </c>
      <c r="F6285" s="52" t="s">
        <v>26</v>
      </c>
      <c r="G6285" s="53"/>
    </row>
    <row r="6286">
      <c r="A6286" s="49">
        <v>44579.04708222223</v>
      </c>
      <c r="B6286" s="50">
        <v>44579.1720557407</v>
      </c>
      <c r="C6286" s="51">
        <v>1.002</v>
      </c>
      <c r="D6286" s="51">
        <v>63.0</v>
      </c>
      <c r="E6286" s="52" t="s">
        <v>25</v>
      </c>
      <c r="F6286" s="52" t="s">
        <v>26</v>
      </c>
      <c r="G6286" s="53"/>
    </row>
    <row r="6287">
      <c r="A6287" s="49">
        <v>44579.05750688657</v>
      </c>
      <c r="B6287" s="50">
        <v>44579.1824775</v>
      </c>
      <c r="C6287" s="51">
        <v>1.002</v>
      </c>
      <c r="D6287" s="51">
        <v>63.0</v>
      </c>
      <c r="E6287" s="52" t="s">
        <v>25</v>
      </c>
      <c r="F6287" s="52" t="s">
        <v>26</v>
      </c>
      <c r="G6287" s="53"/>
    </row>
    <row r="6288">
      <c r="A6288" s="49">
        <v>44579.06796767361</v>
      </c>
      <c r="B6288" s="50">
        <v>44579.1929459606</v>
      </c>
      <c r="C6288" s="51">
        <v>1.002</v>
      </c>
      <c r="D6288" s="51">
        <v>63.0</v>
      </c>
      <c r="E6288" s="52" t="s">
        <v>25</v>
      </c>
      <c r="F6288" s="52" t="s">
        <v>26</v>
      </c>
      <c r="G6288" s="53"/>
    </row>
    <row r="6289">
      <c r="A6289" s="49">
        <v>44579.07838539351</v>
      </c>
      <c r="B6289" s="50">
        <v>44579.2033662268</v>
      </c>
      <c r="C6289" s="51">
        <v>1.002</v>
      </c>
      <c r="D6289" s="51">
        <v>63.0</v>
      </c>
      <c r="E6289" s="52" t="s">
        <v>25</v>
      </c>
      <c r="F6289" s="52" t="s">
        <v>26</v>
      </c>
      <c r="G6289" s="53"/>
    </row>
    <row r="6290">
      <c r="A6290" s="49">
        <v>44579.08881952547</v>
      </c>
      <c r="B6290" s="50">
        <v>44579.2137877777</v>
      </c>
      <c r="C6290" s="51">
        <v>1.002</v>
      </c>
      <c r="D6290" s="51">
        <v>63.0</v>
      </c>
      <c r="E6290" s="52" t="s">
        <v>25</v>
      </c>
      <c r="F6290" s="52" t="s">
        <v>26</v>
      </c>
      <c r="G6290" s="53"/>
    </row>
    <row r="6291">
      <c r="A6291" s="49">
        <v>44579.0992484375</v>
      </c>
      <c r="B6291" s="50">
        <v>44579.224218993</v>
      </c>
      <c r="C6291" s="51">
        <v>1.002</v>
      </c>
      <c r="D6291" s="51">
        <v>63.0</v>
      </c>
      <c r="E6291" s="52" t="s">
        <v>25</v>
      </c>
      <c r="F6291" s="52" t="s">
        <v>26</v>
      </c>
      <c r="G6291" s="53"/>
    </row>
    <row r="6292">
      <c r="A6292" s="49">
        <v>44579.10967725694</v>
      </c>
      <c r="B6292" s="50">
        <v>44579.234651574</v>
      </c>
      <c r="C6292" s="51">
        <v>1.002</v>
      </c>
      <c r="D6292" s="51">
        <v>63.0</v>
      </c>
      <c r="E6292" s="52" t="s">
        <v>25</v>
      </c>
      <c r="F6292" s="52" t="s">
        <v>26</v>
      </c>
      <c r="G6292" s="53"/>
    </row>
    <row r="6293">
      <c r="A6293" s="49">
        <v>44579.120094768514</v>
      </c>
      <c r="B6293" s="50">
        <v>44579.2450736226</v>
      </c>
      <c r="C6293" s="51">
        <v>1.002</v>
      </c>
      <c r="D6293" s="51">
        <v>63.0</v>
      </c>
      <c r="E6293" s="52" t="s">
        <v>25</v>
      </c>
      <c r="F6293" s="52" t="s">
        <v>26</v>
      </c>
      <c r="G6293" s="53"/>
    </row>
    <row r="6294">
      <c r="A6294" s="49">
        <v>44579.130528865746</v>
      </c>
      <c r="B6294" s="50">
        <v>44579.2554958796</v>
      </c>
      <c r="C6294" s="51">
        <v>1.002</v>
      </c>
      <c r="D6294" s="51">
        <v>63.0</v>
      </c>
      <c r="E6294" s="52" t="s">
        <v>25</v>
      </c>
      <c r="F6294" s="52" t="s">
        <v>26</v>
      </c>
      <c r="G6294" s="53"/>
    </row>
    <row r="6295">
      <c r="A6295" s="49">
        <v>44579.140946643514</v>
      </c>
      <c r="B6295" s="50">
        <v>44579.265918368</v>
      </c>
      <c r="C6295" s="51">
        <v>1.002</v>
      </c>
      <c r="D6295" s="51">
        <v>63.0</v>
      </c>
      <c r="E6295" s="52" t="s">
        <v>25</v>
      </c>
      <c r="F6295" s="52" t="s">
        <v>26</v>
      </c>
      <c r="G6295" s="53"/>
    </row>
    <row r="6296">
      <c r="A6296" s="49">
        <v>44579.15137577546</v>
      </c>
      <c r="B6296" s="50">
        <v>44579.2763509259</v>
      </c>
      <c r="C6296" s="51">
        <v>1.002</v>
      </c>
      <c r="D6296" s="51">
        <v>63.0</v>
      </c>
      <c r="E6296" s="52" t="s">
        <v>25</v>
      </c>
      <c r="F6296" s="52" t="s">
        <v>26</v>
      </c>
      <c r="G6296" s="53"/>
    </row>
    <row r="6297">
      <c r="A6297" s="49">
        <v>44579.161827476855</v>
      </c>
      <c r="B6297" s="50">
        <v>44579.2867844328</v>
      </c>
      <c r="C6297" s="51">
        <v>1.002</v>
      </c>
      <c r="D6297" s="51">
        <v>63.0</v>
      </c>
      <c r="E6297" s="52" t="s">
        <v>25</v>
      </c>
      <c r="F6297" s="52" t="s">
        <v>26</v>
      </c>
      <c r="G6297" s="53"/>
    </row>
    <row r="6298">
      <c r="A6298" s="49">
        <v>44579.17223030093</v>
      </c>
      <c r="B6298" s="50">
        <v>44579.2972046643</v>
      </c>
      <c r="C6298" s="51">
        <v>1.002</v>
      </c>
      <c r="D6298" s="51">
        <v>63.0</v>
      </c>
      <c r="E6298" s="52" t="s">
        <v>25</v>
      </c>
      <c r="F6298" s="52" t="s">
        <v>26</v>
      </c>
      <c r="G6298" s="53"/>
    </row>
    <row r="6299">
      <c r="A6299" s="49">
        <v>44579.182688773144</v>
      </c>
      <c r="B6299" s="50">
        <v>44579.3076615972</v>
      </c>
      <c r="C6299" s="51">
        <v>1.002</v>
      </c>
      <c r="D6299" s="51">
        <v>63.0</v>
      </c>
      <c r="E6299" s="52" t="s">
        <v>25</v>
      </c>
      <c r="F6299" s="52" t="s">
        <v>26</v>
      </c>
      <c r="G6299" s="53"/>
    </row>
    <row r="6300">
      <c r="A6300" s="49">
        <v>44579.19312328704</v>
      </c>
      <c r="B6300" s="50">
        <v>44579.3180934259</v>
      </c>
      <c r="C6300" s="51">
        <v>1.002</v>
      </c>
      <c r="D6300" s="51">
        <v>63.0</v>
      </c>
      <c r="E6300" s="52" t="s">
        <v>25</v>
      </c>
      <c r="F6300" s="52" t="s">
        <v>26</v>
      </c>
      <c r="G6300" s="53"/>
    </row>
    <row r="6301">
      <c r="A6301" s="49">
        <v>44579.20354980324</v>
      </c>
      <c r="B6301" s="50">
        <v>44579.3285151504</v>
      </c>
      <c r="C6301" s="51">
        <v>1.002</v>
      </c>
      <c r="D6301" s="51">
        <v>63.0</v>
      </c>
      <c r="E6301" s="52" t="s">
        <v>25</v>
      </c>
      <c r="F6301" s="52" t="s">
        <v>26</v>
      </c>
      <c r="G6301" s="53"/>
    </row>
    <row r="6302">
      <c r="A6302" s="49">
        <v>44579.213965937495</v>
      </c>
      <c r="B6302" s="50">
        <v>44579.338935787</v>
      </c>
      <c r="C6302" s="51">
        <v>1.002</v>
      </c>
      <c r="D6302" s="51">
        <v>63.0</v>
      </c>
      <c r="E6302" s="52" t="s">
        <v>25</v>
      </c>
      <c r="F6302" s="52" t="s">
        <v>26</v>
      </c>
      <c r="G6302" s="53"/>
    </row>
    <row r="6303">
      <c r="A6303" s="49">
        <v>44579.22437351852</v>
      </c>
      <c r="B6303" s="50">
        <v>44579.3493551157</v>
      </c>
      <c r="C6303" s="51">
        <v>1.002</v>
      </c>
      <c r="D6303" s="51">
        <v>63.0</v>
      </c>
      <c r="E6303" s="52" t="s">
        <v>25</v>
      </c>
      <c r="F6303" s="52" t="s">
        <v>26</v>
      </c>
      <c r="G6303" s="53"/>
    </row>
    <row r="6304">
      <c r="A6304" s="49">
        <v>44579.234797453704</v>
      </c>
      <c r="B6304" s="50">
        <v>44579.3597755092</v>
      </c>
      <c r="C6304" s="51">
        <v>1.002</v>
      </c>
      <c r="D6304" s="51">
        <v>63.0</v>
      </c>
      <c r="E6304" s="52" t="s">
        <v>25</v>
      </c>
      <c r="F6304" s="52" t="s">
        <v>26</v>
      </c>
      <c r="G6304" s="53"/>
    </row>
    <row r="6305">
      <c r="A6305" s="49">
        <v>44579.24522890046</v>
      </c>
      <c r="B6305" s="50">
        <v>44579.3701963078</v>
      </c>
      <c r="C6305" s="51">
        <v>1.002</v>
      </c>
      <c r="D6305" s="51">
        <v>63.0</v>
      </c>
      <c r="E6305" s="52" t="s">
        <v>25</v>
      </c>
      <c r="F6305" s="52" t="s">
        <v>26</v>
      </c>
      <c r="G6305" s="53"/>
    </row>
    <row r="6306">
      <c r="A6306" s="49">
        <v>44579.25565215277</v>
      </c>
      <c r="B6306" s="50">
        <v>44579.3806298148</v>
      </c>
      <c r="C6306" s="51">
        <v>1.002</v>
      </c>
      <c r="D6306" s="51">
        <v>63.0</v>
      </c>
      <c r="E6306" s="52" t="s">
        <v>25</v>
      </c>
      <c r="F6306" s="52" t="s">
        <v>26</v>
      </c>
      <c r="G6306" s="53"/>
    </row>
    <row r="6307">
      <c r="A6307" s="49">
        <v>44579.26607690973</v>
      </c>
      <c r="B6307" s="50">
        <v>44579.3910508217</v>
      </c>
      <c r="C6307" s="51">
        <v>1.002</v>
      </c>
      <c r="D6307" s="51">
        <v>63.0</v>
      </c>
      <c r="E6307" s="52" t="s">
        <v>25</v>
      </c>
      <c r="F6307" s="52" t="s">
        <v>26</v>
      </c>
      <c r="G6307" s="53"/>
    </row>
    <row r="6308">
      <c r="A6308" s="49">
        <v>44579.27650184028</v>
      </c>
      <c r="B6308" s="50">
        <v>44579.4014726041</v>
      </c>
      <c r="C6308" s="51">
        <v>1.002</v>
      </c>
      <c r="D6308" s="51">
        <v>63.0</v>
      </c>
      <c r="E6308" s="52" t="s">
        <v>25</v>
      </c>
      <c r="F6308" s="52" t="s">
        <v>26</v>
      </c>
      <c r="G6308" s="53"/>
    </row>
    <row r="6309">
      <c r="A6309" s="49">
        <v>44579.28691821759</v>
      </c>
      <c r="B6309" s="50">
        <v>44579.4118937963</v>
      </c>
      <c r="C6309" s="51">
        <v>1.002</v>
      </c>
      <c r="D6309" s="51">
        <v>63.0</v>
      </c>
      <c r="E6309" s="52" t="s">
        <v>25</v>
      </c>
      <c r="F6309" s="52" t="s">
        <v>26</v>
      </c>
      <c r="G6309" s="53"/>
    </row>
    <row r="6310">
      <c r="A6310" s="49">
        <v>44579.29734650463</v>
      </c>
      <c r="B6310" s="50">
        <v>44579.4223162731</v>
      </c>
      <c r="C6310" s="51">
        <v>1.002</v>
      </c>
      <c r="D6310" s="51">
        <v>63.0</v>
      </c>
      <c r="E6310" s="52" t="s">
        <v>25</v>
      </c>
      <c r="F6310" s="52" t="s">
        <v>26</v>
      </c>
      <c r="G6310" s="53"/>
    </row>
    <row r="6311">
      <c r="A6311" s="49">
        <v>44579.307765543985</v>
      </c>
      <c r="B6311" s="50">
        <v>44579.4327381713</v>
      </c>
      <c r="C6311" s="51">
        <v>1.002</v>
      </c>
      <c r="D6311" s="51">
        <v>63.0</v>
      </c>
      <c r="E6311" s="52" t="s">
        <v>25</v>
      </c>
      <c r="F6311" s="52" t="s">
        <v>26</v>
      </c>
      <c r="G6311" s="53"/>
    </row>
    <row r="6312">
      <c r="A6312" s="49">
        <v>44579.31818274305</v>
      </c>
      <c r="B6312" s="50">
        <v>44579.44315853</v>
      </c>
      <c r="C6312" s="51">
        <v>1.002</v>
      </c>
      <c r="D6312" s="51">
        <v>63.0</v>
      </c>
      <c r="E6312" s="52" t="s">
        <v>25</v>
      </c>
      <c r="F6312" s="52" t="s">
        <v>26</v>
      </c>
      <c r="G6312" s="53"/>
    </row>
    <row r="6313">
      <c r="A6313" s="49">
        <v>44579.32860313657</v>
      </c>
      <c r="B6313" s="50">
        <v>44579.4535801736</v>
      </c>
      <c r="C6313" s="51">
        <v>1.002</v>
      </c>
      <c r="D6313" s="51">
        <v>63.0</v>
      </c>
      <c r="E6313" s="52" t="s">
        <v>25</v>
      </c>
      <c r="F6313" s="52" t="s">
        <v>26</v>
      </c>
      <c r="G6313" s="53"/>
    </row>
    <row r="6314">
      <c r="A6314" s="49">
        <v>44579.33902155093</v>
      </c>
      <c r="B6314" s="50">
        <v>44579.4640016319</v>
      </c>
      <c r="C6314" s="51">
        <v>1.002</v>
      </c>
      <c r="D6314" s="51">
        <v>63.0</v>
      </c>
      <c r="E6314" s="52" t="s">
        <v>25</v>
      </c>
      <c r="F6314" s="52" t="s">
        <v>26</v>
      </c>
      <c r="G6314" s="53"/>
    </row>
    <row r="6315">
      <c r="A6315" s="49">
        <v>44579.34944701389</v>
      </c>
      <c r="B6315" s="50">
        <v>44579.474422824</v>
      </c>
      <c r="C6315" s="51">
        <v>1.002</v>
      </c>
      <c r="D6315" s="51">
        <v>62.0</v>
      </c>
      <c r="E6315" s="52" t="s">
        <v>25</v>
      </c>
      <c r="F6315" s="52" t="s">
        <v>26</v>
      </c>
      <c r="G6315" s="53"/>
    </row>
    <row r="6316">
      <c r="A6316" s="49">
        <v>44579.35988520834</v>
      </c>
      <c r="B6316" s="50">
        <v>44579.4848560995</v>
      </c>
      <c r="C6316" s="51">
        <v>1.002</v>
      </c>
      <c r="D6316" s="51">
        <v>62.0</v>
      </c>
      <c r="E6316" s="52" t="s">
        <v>25</v>
      </c>
      <c r="F6316" s="52" t="s">
        <v>26</v>
      </c>
      <c r="G6316" s="53"/>
    </row>
    <row r="6317">
      <c r="A6317" s="49">
        <v>44579.37030332176</v>
      </c>
      <c r="B6317" s="50">
        <v>44579.4952772801</v>
      </c>
      <c r="C6317" s="51">
        <v>1.002</v>
      </c>
      <c r="D6317" s="51">
        <v>63.0</v>
      </c>
      <c r="E6317" s="52" t="s">
        <v>25</v>
      </c>
      <c r="F6317" s="52" t="s">
        <v>26</v>
      </c>
      <c r="G6317" s="53"/>
    </row>
    <row r="6318">
      <c r="A6318" s="49">
        <v>44579.3807221412</v>
      </c>
      <c r="B6318" s="50">
        <v>44579.5056977661</v>
      </c>
      <c r="C6318" s="51">
        <v>1.002</v>
      </c>
      <c r="D6318" s="51">
        <v>62.0</v>
      </c>
      <c r="E6318" s="52" t="s">
        <v>25</v>
      </c>
      <c r="F6318" s="52" t="s">
        <v>26</v>
      </c>
      <c r="G6318" s="53"/>
    </row>
    <row r="6319">
      <c r="A6319" s="49">
        <v>44579.39115925926</v>
      </c>
      <c r="B6319" s="50">
        <v>44579.5161191203</v>
      </c>
      <c r="C6319" s="51">
        <v>1.002</v>
      </c>
      <c r="D6319" s="51">
        <v>62.0</v>
      </c>
      <c r="E6319" s="52" t="s">
        <v>25</v>
      </c>
      <c r="F6319" s="52" t="s">
        <v>26</v>
      </c>
      <c r="G6319" s="53"/>
    </row>
    <row r="6320">
      <c r="A6320" s="49">
        <v>44579.401568182875</v>
      </c>
      <c r="B6320" s="50">
        <v>44579.5265412268</v>
      </c>
      <c r="C6320" s="51">
        <v>1.002</v>
      </c>
      <c r="D6320" s="51">
        <v>62.0</v>
      </c>
      <c r="E6320" s="52" t="s">
        <v>25</v>
      </c>
      <c r="F6320" s="52" t="s">
        <v>26</v>
      </c>
      <c r="G6320" s="53"/>
    </row>
    <row r="6321">
      <c r="A6321" s="49">
        <v>44579.41198774306</v>
      </c>
      <c r="B6321" s="50">
        <v>44579.5369621412</v>
      </c>
      <c r="C6321" s="51">
        <v>1.002</v>
      </c>
      <c r="D6321" s="51">
        <v>62.0</v>
      </c>
      <c r="E6321" s="52" t="s">
        <v>25</v>
      </c>
      <c r="F6321" s="52" t="s">
        <v>26</v>
      </c>
      <c r="G6321" s="53"/>
    </row>
    <row r="6322">
      <c r="A6322" s="49">
        <v>44579.42241678241</v>
      </c>
      <c r="B6322" s="50">
        <v>44579.5473839467</v>
      </c>
      <c r="C6322" s="51">
        <v>1.002</v>
      </c>
      <c r="D6322" s="51">
        <v>62.0</v>
      </c>
      <c r="E6322" s="52" t="s">
        <v>25</v>
      </c>
      <c r="F6322" s="52" t="s">
        <v>26</v>
      </c>
      <c r="G6322" s="53"/>
    </row>
    <row r="6323">
      <c r="A6323" s="49">
        <v>44579.43282268519</v>
      </c>
      <c r="B6323" s="50">
        <v>44579.5578056018</v>
      </c>
      <c r="C6323" s="51">
        <v>1.002</v>
      </c>
      <c r="D6323" s="51">
        <v>62.0</v>
      </c>
      <c r="E6323" s="52" t="s">
        <v>25</v>
      </c>
      <c r="F6323" s="52" t="s">
        <v>26</v>
      </c>
      <c r="G6323" s="53"/>
    </row>
    <row r="6324">
      <c r="A6324" s="49">
        <v>44579.4432565162</v>
      </c>
      <c r="B6324" s="50">
        <v>44579.5682258564</v>
      </c>
      <c r="C6324" s="51">
        <v>1.003</v>
      </c>
      <c r="D6324" s="51">
        <v>62.0</v>
      </c>
      <c r="E6324" s="52" t="s">
        <v>25</v>
      </c>
      <c r="F6324" s="52" t="s">
        <v>26</v>
      </c>
      <c r="G6324" s="53"/>
    </row>
    <row r="6325">
      <c r="A6325" s="49">
        <v>44579.4537183912</v>
      </c>
      <c r="B6325" s="50">
        <v>44579.5786952661</v>
      </c>
      <c r="C6325" s="51">
        <v>1.002</v>
      </c>
      <c r="D6325" s="51">
        <v>62.0</v>
      </c>
      <c r="E6325" s="52" t="s">
        <v>25</v>
      </c>
      <c r="F6325" s="52" t="s">
        <v>26</v>
      </c>
      <c r="G6325" s="53"/>
    </row>
    <row r="6326">
      <c r="A6326" s="49">
        <v>44579.46414928241</v>
      </c>
      <c r="B6326" s="50">
        <v>44579.5891168981</v>
      </c>
      <c r="C6326" s="51">
        <v>1.002</v>
      </c>
      <c r="D6326" s="51">
        <v>62.0</v>
      </c>
      <c r="E6326" s="52" t="s">
        <v>25</v>
      </c>
      <c r="F6326" s="52" t="s">
        <v>26</v>
      </c>
      <c r="G6326" s="53"/>
    </row>
    <row r="6327">
      <c r="A6327" s="49">
        <v>44579.47455934028</v>
      </c>
      <c r="B6327" s="50">
        <v>44579.5995361574</v>
      </c>
      <c r="C6327" s="51">
        <v>1.002</v>
      </c>
      <c r="D6327" s="51">
        <v>62.0</v>
      </c>
      <c r="E6327" s="52" t="s">
        <v>25</v>
      </c>
      <c r="F6327" s="52" t="s">
        <v>26</v>
      </c>
      <c r="G6327" s="53"/>
    </row>
    <row r="6328">
      <c r="A6328" s="49">
        <v>44579.48497454861</v>
      </c>
      <c r="B6328" s="50">
        <v>44579.6099568518</v>
      </c>
      <c r="C6328" s="51">
        <v>1.002</v>
      </c>
      <c r="D6328" s="51">
        <v>62.0</v>
      </c>
      <c r="E6328" s="52" t="s">
        <v>25</v>
      </c>
      <c r="F6328" s="52" t="s">
        <v>26</v>
      </c>
      <c r="G6328" s="53"/>
    </row>
    <row r="6329">
      <c r="A6329" s="49">
        <v>44579.495405</v>
      </c>
      <c r="B6329" s="50">
        <v>44579.6203791898</v>
      </c>
      <c r="C6329" s="51">
        <v>1.002</v>
      </c>
      <c r="D6329" s="51">
        <v>62.0</v>
      </c>
      <c r="E6329" s="52" t="s">
        <v>25</v>
      </c>
      <c r="F6329" s="52" t="s">
        <v>26</v>
      </c>
      <c r="G6329" s="53"/>
    </row>
    <row r="6330">
      <c r="A6330" s="49">
        <v>44579.50582331019</v>
      </c>
      <c r="B6330" s="50">
        <v>44579.6308005902</v>
      </c>
      <c r="C6330" s="51">
        <v>1.002</v>
      </c>
      <c r="D6330" s="51">
        <v>62.0</v>
      </c>
      <c r="E6330" s="52" t="s">
        <v>25</v>
      </c>
      <c r="F6330" s="52" t="s">
        <v>26</v>
      </c>
      <c r="G6330" s="53"/>
    </row>
    <row r="6331">
      <c r="A6331" s="49">
        <v>44579.51624001157</v>
      </c>
      <c r="B6331" s="50">
        <v>44579.6412225694</v>
      </c>
      <c r="C6331" s="51">
        <v>1.002</v>
      </c>
      <c r="D6331" s="51">
        <v>62.0</v>
      </c>
      <c r="E6331" s="52" t="s">
        <v>25</v>
      </c>
      <c r="F6331" s="52" t="s">
        <v>26</v>
      </c>
      <c r="G6331" s="53"/>
    </row>
    <row r="6332">
      <c r="A6332" s="49">
        <v>44579.526669652776</v>
      </c>
      <c r="B6332" s="50">
        <v>44579.6516423611</v>
      </c>
      <c r="C6332" s="51">
        <v>1.002</v>
      </c>
      <c r="D6332" s="51">
        <v>62.0</v>
      </c>
      <c r="E6332" s="52" t="s">
        <v>25</v>
      </c>
      <c r="F6332" s="52" t="s">
        <v>26</v>
      </c>
      <c r="G6332" s="53"/>
    </row>
    <row r="6333">
      <c r="A6333" s="49">
        <v>44579.53708825231</v>
      </c>
      <c r="B6333" s="50">
        <v>44579.6620636226</v>
      </c>
      <c r="C6333" s="51">
        <v>1.002</v>
      </c>
      <c r="D6333" s="51">
        <v>62.0</v>
      </c>
      <c r="E6333" s="52" t="s">
        <v>25</v>
      </c>
      <c r="F6333" s="52" t="s">
        <v>26</v>
      </c>
      <c r="G6333" s="53"/>
    </row>
    <row r="6334">
      <c r="A6334" s="49">
        <v>44579.54751082176</v>
      </c>
      <c r="B6334" s="50">
        <v>44579.672485081</v>
      </c>
      <c r="C6334" s="51">
        <v>1.002</v>
      </c>
      <c r="D6334" s="51">
        <v>62.0</v>
      </c>
      <c r="E6334" s="52" t="s">
        <v>25</v>
      </c>
      <c r="F6334" s="52" t="s">
        <v>26</v>
      </c>
      <c r="G6334" s="53"/>
    </row>
    <row r="6335">
      <c r="A6335" s="49">
        <v>44579.55794208334</v>
      </c>
      <c r="B6335" s="50">
        <v>44579.6829067245</v>
      </c>
      <c r="C6335" s="51">
        <v>1.002</v>
      </c>
      <c r="D6335" s="51">
        <v>62.0</v>
      </c>
      <c r="E6335" s="52" t="s">
        <v>25</v>
      </c>
      <c r="F6335" s="52" t="s">
        <v>26</v>
      </c>
      <c r="G6335" s="53"/>
    </row>
    <row r="6336">
      <c r="A6336" s="49">
        <v>44579.568356724536</v>
      </c>
      <c r="B6336" s="50">
        <v>44579.6933275</v>
      </c>
      <c r="C6336" s="51">
        <v>1.002</v>
      </c>
      <c r="D6336" s="51">
        <v>62.0</v>
      </c>
      <c r="E6336" s="52" t="s">
        <v>25</v>
      </c>
      <c r="F6336" s="52" t="s">
        <v>26</v>
      </c>
      <c r="G6336" s="53"/>
    </row>
    <row r="6337">
      <c r="A6337" s="49">
        <v>44579.57876902778</v>
      </c>
      <c r="B6337" s="50">
        <v>44579.7037504745</v>
      </c>
      <c r="C6337" s="51">
        <v>1.002</v>
      </c>
      <c r="D6337" s="51">
        <v>62.0</v>
      </c>
      <c r="E6337" s="52" t="s">
        <v>25</v>
      </c>
      <c r="F6337" s="52" t="s">
        <v>26</v>
      </c>
      <c r="G6337" s="53"/>
    </row>
    <row r="6338">
      <c r="A6338" s="49">
        <v>44579.589211631945</v>
      </c>
      <c r="B6338" s="50">
        <v>44579.7141826967</v>
      </c>
      <c r="C6338" s="51">
        <v>1.002</v>
      </c>
      <c r="D6338" s="51">
        <v>62.0</v>
      </c>
      <c r="E6338" s="52" t="s">
        <v>25</v>
      </c>
      <c r="F6338" s="52" t="s">
        <v>26</v>
      </c>
      <c r="G6338" s="53"/>
    </row>
    <row r="6339">
      <c r="A6339" s="49">
        <v>44579.59963914352</v>
      </c>
      <c r="B6339" s="50">
        <v>44579.7246039814</v>
      </c>
      <c r="C6339" s="51">
        <v>1.002</v>
      </c>
      <c r="D6339" s="51">
        <v>62.0</v>
      </c>
      <c r="E6339" s="52" t="s">
        <v>25</v>
      </c>
      <c r="F6339" s="52" t="s">
        <v>26</v>
      </c>
      <c r="G6339" s="53"/>
    </row>
    <row r="6340">
      <c r="A6340" s="49">
        <v>44579.610049675925</v>
      </c>
      <c r="B6340" s="50">
        <v>44579.735024375</v>
      </c>
      <c r="C6340" s="51">
        <v>1.002</v>
      </c>
      <c r="D6340" s="51">
        <v>62.0</v>
      </c>
      <c r="E6340" s="52" t="s">
        <v>25</v>
      </c>
      <c r="F6340" s="52" t="s">
        <v>26</v>
      </c>
      <c r="G6340" s="53"/>
    </row>
    <row r="6341">
      <c r="A6341" s="49">
        <v>44579.620472615745</v>
      </c>
      <c r="B6341" s="50">
        <v>44579.7454453703</v>
      </c>
      <c r="C6341" s="51">
        <v>1.002</v>
      </c>
      <c r="D6341" s="51">
        <v>62.0</v>
      </c>
      <c r="E6341" s="52" t="s">
        <v>25</v>
      </c>
      <c r="F6341" s="52" t="s">
        <v>26</v>
      </c>
      <c r="G6341" s="53"/>
    </row>
    <row r="6342">
      <c r="A6342" s="49">
        <v>44579.63090054398</v>
      </c>
      <c r="B6342" s="50">
        <v>44579.7558777662</v>
      </c>
      <c r="C6342" s="51">
        <v>1.002</v>
      </c>
      <c r="D6342" s="51">
        <v>62.0</v>
      </c>
      <c r="E6342" s="52" t="s">
        <v>25</v>
      </c>
      <c r="F6342" s="52" t="s">
        <v>26</v>
      </c>
      <c r="G6342" s="53"/>
    </row>
    <row r="6343">
      <c r="A6343" s="49">
        <v>44579.641323055555</v>
      </c>
      <c r="B6343" s="50">
        <v>44579.7662989236</v>
      </c>
      <c r="C6343" s="51">
        <v>1.002</v>
      </c>
      <c r="D6343" s="51">
        <v>62.0</v>
      </c>
      <c r="E6343" s="52" t="s">
        <v>25</v>
      </c>
      <c r="F6343" s="52" t="s">
        <v>26</v>
      </c>
      <c r="G6343" s="53"/>
    </row>
    <row r="6344">
      <c r="A6344" s="49">
        <v>44579.65174929398</v>
      </c>
      <c r="B6344" s="50">
        <v>44579.7767223148</v>
      </c>
      <c r="C6344" s="51">
        <v>1.002</v>
      </c>
      <c r="D6344" s="51">
        <v>62.0</v>
      </c>
      <c r="E6344" s="52" t="s">
        <v>25</v>
      </c>
      <c r="F6344" s="52" t="s">
        <v>26</v>
      </c>
      <c r="G6344" s="53"/>
    </row>
    <row r="6345">
      <c r="A6345" s="49">
        <v>44579.66217065972</v>
      </c>
      <c r="B6345" s="50">
        <v>44579.7871417245</v>
      </c>
      <c r="C6345" s="51">
        <v>1.002</v>
      </c>
      <c r="D6345" s="51">
        <v>62.0</v>
      </c>
      <c r="E6345" s="52" t="s">
        <v>25</v>
      </c>
      <c r="F6345" s="52" t="s">
        <v>26</v>
      </c>
      <c r="G6345" s="53"/>
    </row>
    <row r="6346">
      <c r="A6346" s="49">
        <v>44579.67258342593</v>
      </c>
      <c r="B6346" s="50">
        <v>44579.7975622453</v>
      </c>
      <c r="C6346" s="51">
        <v>1.002</v>
      </c>
      <c r="D6346" s="51">
        <v>62.0</v>
      </c>
      <c r="E6346" s="52" t="s">
        <v>25</v>
      </c>
      <c r="F6346" s="52" t="s">
        <v>26</v>
      </c>
      <c r="G6346" s="53"/>
    </row>
    <row r="6347">
      <c r="A6347" s="49">
        <v>44579.683010312496</v>
      </c>
      <c r="B6347" s="50">
        <v>44579.8079840972</v>
      </c>
      <c r="C6347" s="51">
        <v>1.002</v>
      </c>
      <c r="D6347" s="51">
        <v>62.0</v>
      </c>
      <c r="E6347" s="52" t="s">
        <v>25</v>
      </c>
      <c r="F6347" s="52" t="s">
        <v>26</v>
      </c>
      <c r="G6347" s="53"/>
    </row>
    <row r="6348">
      <c r="A6348" s="49">
        <v>44579.693420972224</v>
      </c>
      <c r="B6348" s="50">
        <v>44579.8184040162</v>
      </c>
      <c r="C6348" s="51">
        <v>1.002</v>
      </c>
      <c r="D6348" s="51">
        <v>62.0</v>
      </c>
      <c r="E6348" s="52" t="s">
        <v>25</v>
      </c>
      <c r="F6348" s="52" t="s">
        <v>26</v>
      </c>
      <c r="G6348" s="53"/>
    </row>
    <row r="6349">
      <c r="A6349" s="49">
        <v>44579.70384351852</v>
      </c>
      <c r="B6349" s="50">
        <v>44579.8288249652</v>
      </c>
      <c r="C6349" s="51">
        <v>1.003</v>
      </c>
      <c r="D6349" s="51">
        <v>62.0</v>
      </c>
      <c r="E6349" s="52" t="s">
        <v>25</v>
      </c>
      <c r="F6349" s="52" t="s">
        <v>26</v>
      </c>
      <c r="G6349" s="53"/>
    </row>
    <row r="6350">
      <c r="A6350" s="49">
        <v>44579.71426543982</v>
      </c>
      <c r="B6350" s="50">
        <v>44579.8392471296</v>
      </c>
      <c r="C6350" s="51">
        <v>1.002</v>
      </c>
      <c r="D6350" s="51">
        <v>62.0</v>
      </c>
      <c r="E6350" s="52" t="s">
        <v>25</v>
      </c>
      <c r="F6350" s="52" t="s">
        <v>26</v>
      </c>
      <c r="G6350" s="53"/>
    </row>
    <row r="6351">
      <c r="A6351" s="49">
        <v>44579.72472131945</v>
      </c>
      <c r="B6351" s="50">
        <v>44579.8497040625</v>
      </c>
      <c r="C6351" s="51">
        <v>1.002</v>
      </c>
      <c r="D6351" s="51">
        <v>62.0</v>
      </c>
      <c r="E6351" s="52" t="s">
        <v>25</v>
      </c>
      <c r="F6351" s="52" t="s">
        <v>26</v>
      </c>
      <c r="G6351" s="53"/>
    </row>
    <row r="6352">
      <c r="A6352" s="49">
        <v>44579.73516217593</v>
      </c>
      <c r="B6352" s="50">
        <v>44579.8601262499</v>
      </c>
      <c r="C6352" s="51">
        <v>1.002</v>
      </c>
      <c r="D6352" s="51">
        <v>62.0</v>
      </c>
      <c r="E6352" s="52" t="s">
        <v>25</v>
      </c>
      <c r="F6352" s="52" t="s">
        <v>26</v>
      </c>
      <c r="G6352" s="53"/>
    </row>
    <row r="6353">
      <c r="A6353" s="49">
        <v>44579.74557130787</v>
      </c>
      <c r="B6353" s="50">
        <v>44579.8705474421</v>
      </c>
      <c r="C6353" s="51">
        <v>1.002</v>
      </c>
      <c r="D6353" s="51">
        <v>62.0</v>
      </c>
      <c r="E6353" s="52" t="s">
        <v>25</v>
      </c>
      <c r="F6353" s="52" t="s">
        <v>26</v>
      </c>
      <c r="G6353" s="53"/>
    </row>
    <row r="6354">
      <c r="A6354" s="49">
        <v>44579.75599668981</v>
      </c>
      <c r="B6354" s="50">
        <v>44579.8809671296</v>
      </c>
      <c r="C6354" s="51">
        <v>1.002</v>
      </c>
      <c r="D6354" s="51">
        <v>62.0</v>
      </c>
      <c r="E6354" s="52" t="s">
        <v>25</v>
      </c>
      <c r="F6354" s="52" t="s">
        <v>26</v>
      </c>
      <c r="G6354" s="53"/>
    </row>
    <row r="6355">
      <c r="A6355" s="49">
        <v>44579.766416875005</v>
      </c>
      <c r="B6355" s="50">
        <v>44579.8914002083</v>
      </c>
      <c r="C6355" s="51">
        <v>1.002</v>
      </c>
      <c r="D6355" s="51">
        <v>62.0</v>
      </c>
      <c r="E6355" s="52" t="s">
        <v>25</v>
      </c>
      <c r="F6355" s="52" t="s">
        <v>26</v>
      </c>
      <c r="G6355" s="53"/>
    </row>
    <row r="6356">
      <c r="A6356" s="49">
        <v>44579.77684424768</v>
      </c>
      <c r="B6356" s="50">
        <v>44579.9018224884</v>
      </c>
      <c r="C6356" s="51">
        <v>1.002</v>
      </c>
      <c r="D6356" s="51">
        <v>62.0</v>
      </c>
      <c r="E6356" s="52" t="s">
        <v>25</v>
      </c>
      <c r="F6356" s="52" t="s">
        <v>26</v>
      </c>
      <c r="G6356" s="53"/>
    </row>
    <row r="6357">
      <c r="A6357" s="49">
        <v>44579.7872715625</v>
      </c>
      <c r="B6357" s="50">
        <v>44579.9122442476</v>
      </c>
      <c r="C6357" s="51">
        <v>1.002</v>
      </c>
      <c r="D6357" s="51">
        <v>62.0</v>
      </c>
      <c r="E6357" s="52" t="s">
        <v>25</v>
      </c>
      <c r="F6357" s="52" t="s">
        <v>26</v>
      </c>
      <c r="G6357" s="53"/>
    </row>
    <row r="6358">
      <c r="A6358" s="49">
        <v>44579.797721932875</v>
      </c>
      <c r="B6358" s="50">
        <v>44579.9226893518</v>
      </c>
      <c r="C6358" s="51">
        <v>1.002</v>
      </c>
      <c r="D6358" s="51">
        <v>62.0</v>
      </c>
      <c r="E6358" s="52" t="s">
        <v>25</v>
      </c>
      <c r="F6358" s="52" t="s">
        <v>26</v>
      </c>
      <c r="G6358" s="53"/>
    </row>
    <row r="6359">
      <c r="A6359" s="49">
        <v>44579.80813590278</v>
      </c>
      <c r="B6359" s="50">
        <v>44579.9331097337</v>
      </c>
      <c r="C6359" s="51">
        <v>1.002</v>
      </c>
      <c r="D6359" s="51">
        <v>62.0</v>
      </c>
      <c r="E6359" s="52" t="s">
        <v>25</v>
      </c>
      <c r="F6359" s="52" t="s">
        <v>26</v>
      </c>
      <c r="G6359" s="53"/>
    </row>
    <row r="6360">
      <c r="A6360" s="49">
        <v>44579.8185580787</v>
      </c>
      <c r="B6360" s="50">
        <v>44579.9435313541</v>
      </c>
      <c r="C6360" s="51">
        <v>1.002</v>
      </c>
      <c r="D6360" s="51">
        <v>62.0</v>
      </c>
      <c r="E6360" s="52" t="s">
        <v>25</v>
      </c>
      <c r="F6360" s="52" t="s">
        <v>26</v>
      </c>
      <c r="G6360" s="53"/>
    </row>
    <row r="6361">
      <c r="A6361" s="49">
        <v>44579.828970104165</v>
      </c>
      <c r="B6361" s="50">
        <v>44579.9539527893</v>
      </c>
      <c r="C6361" s="51">
        <v>1.002</v>
      </c>
      <c r="D6361" s="51">
        <v>62.0</v>
      </c>
      <c r="E6361" s="52" t="s">
        <v>25</v>
      </c>
      <c r="F6361" s="52" t="s">
        <v>26</v>
      </c>
      <c r="G6361" s="53"/>
    </row>
    <row r="6362">
      <c r="A6362" s="49">
        <v>44579.839414305556</v>
      </c>
      <c r="B6362" s="50">
        <v>44579.9643867129</v>
      </c>
      <c r="C6362" s="51">
        <v>1.002</v>
      </c>
      <c r="D6362" s="51">
        <v>62.0</v>
      </c>
      <c r="E6362" s="52" t="s">
        <v>25</v>
      </c>
      <c r="F6362" s="52" t="s">
        <v>26</v>
      </c>
      <c r="G6362" s="53"/>
    </row>
    <row r="6363">
      <c r="A6363" s="49">
        <v>44579.84982979167</v>
      </c>
      <c r="B6363" s="50">
        <v>44579.9748082986</v>
      </c>
      <c r="C6363" s="51">
        <v>1.002</v>
      </c>
      <c r="D6363" s="51">
        <v>62.0</v>
      </c>
      <c r="E6363" s="52" t="s">
        <v>25</v>
      </c>
      <c r="F6363" s="52" t="s">
        <v>26</v>
      </c>
      <c r="G6363" s="53"/>
    </row>
    <row r="6364">
      <c r="A6364" s="49">
        <v>44579.86025965278</v>
      </c>
      <c r="B6364" s="50">
        <v>44579.9852313773</v>
      </c>
      <c r="C6364" s="51">
        <v>1.002</v>
      </c>
      <c r="D6364" s="51">
        <v>62.0</v>
      </c>
      <c r="E6364" s="52" t="s">
        <v>25</v>
      </c>
      <c r="F6364" s="52" t="s">
        <v>26</v>
      </c>
      <c r="G6364" s="53"/>
    </row>
    <row r="6365">
      <c r="A6365" s="49">
        <v>44579.87069917824</v>
      </c>
      <c r="B6365" s="50">
        <v>44579.9956748263</v>
      </c>
      <c r="C6365" s="51">
        <v>1.002</v>
      </c>
      <c r="D6365" s="51">
        <v>62.0</v>
      </c>
      <c r="E6365" s="52" t="s">
        <v>25</v>
      </c>
      <c r="F6365" s="52" t="s">
        <v>26</v>
      </c>
      <c r="G6365" s="53"/>
    </row>
    <row r="6366">
      <c r="A6366" s="49">
        <v>44579.881122349536</v>
      </c>
      <c r="B6366" s="50">
        <v>44580.0060967476</v>
      </c>
      <c r="C6366" s="51">
        <v>1.002</v>
      </c>
      <c r="D6366" s="51">
        <v>62.0</v>
      </c>
      <c r="E6366" s="52" t="s">
        <v>25</v>
      </c>
      <c r="F6366" s="52" t="s">
        <v>26</v>
      </c>
      <c r="G6366" s="53"/>
    </row>
    <row r="6367">
      <c r="A6367" s="49">
        <v>44579.891543935184</v>
      </c>
      <c r="B6367" s="50">
        <v>44580.016518368</v>
      </c>
      <c r="C6367" s="51">
        <v>1.002</v>
      </c>
      <c r="D6367" s="51">
        <v>62.0</v>
      </c>
      <c r="E6367" s="52" t="s">
        <v>25</v>
      </c>
      <c r="F6367" s="52" t="s">
        <v>26</v>
      </c>
      <c r="G6367" s="53"/>
    </row>
    <row r="6368">
      <c r="A6368" s="49">
        <v>44579.9019675</v>
      </c>
      <c r="B6368" s="50">
        <v>44580.0269390972</v>
      </c>
      <c r="C6368" s="51">
        <v>1.002</v>
      </c>
      <c r="D6368" s="51">
        <v>62.0</v>
      </c>
      <c r="E6368" s="52" t="s">
        <v>25</v>
      </c>
      <c r="F6368" s="52" t="s">
        <v>26</v>
      </c>
      <c r="G6368" s="53"/>
    </row>
    <row r="6369">
      <c r="A6369" s="49">
        <v>44579.91237839121</v>
      </c>
      <c r="B6369" s="50">
        <v>44580.0373611689</v>
      </c>
      <c r="C6369" s="51">
        <v>1.002</v>
      </c>
      <c r="D6369" s="51">
        <v>62.0</v>
      </c>
      <c r="E6369" s="52" t="s">
        <v>25</v>
      </c>
      <c r="F6369" s="52" t="s">
        <v>26</v>
      </c>
      <c r="G6369" s="53"/>
    </row>
    <row r="6370">
      <c r="A6370" s="49">
        <v>44579.922806076385</v>
      </c>
      <c r="B6370" s="50">
        <v>44580.0477823611</v>
      </c>
      <c r="C6370" s="51">
        <v>1.002</v>
      </c>
      <c r="D6370" s="51">
        <v>62.0</v>
      </c>
      <c r="E6370" s="52" t="s">
        <v>25</v>
      </c>
      <c r="F6370" s="52" t="s">
        <v>26</v>
      </c>
      <c r="G6370" s="53"/>
    </row>
    <row r="6371">
      <c r="A6371" s="49">
        <v>44579.93322561342</v>
      </c>
      <c r="B6371" s="50">
        <v>44580.0582036342</v>
      </c>
      <c r="C6371" s="51">
        <v>1.003</v>
      </c>
      <c r="D6371" s="51">
        <v>62.0</v>
      </c>
      <c r="E6371" s="52" t="s">
        <v>25</v>
      </c>
      <c r="F6371" s="52" t="s">
        <v>26</v>
      </c>
      <c r="G6371" s="53"/>
    </row>
    <row r="6372">
      <c r="A6372" s="49">
        <v>44579.94364873842</v>
      </c>
      <c r="B6372" s="50">
        <v>44580.0686241319</v>
      </c>
      <c r="C6372" s="51">
        <v>1.002</v>
      </c>
      <c r="D6372" s="51">
        <v>62.0</v>
      </c>
      <c r="E6372" s="52" t="s">
        <v>25</v>
      </c>
      <c r="F6372" s="52" t="s">
        <v>26</v>
      </c>
      <c r="G6372" s="53"/>
    </row>
    <row r="6373">
      <c r="A6373" s="49">
        <v>44579.95408258102</v>
      </c>
      <c r="B6373" s="50">
        <v>44580.0790576388</v>
      </c>
      <c r="C6373" s="51">
        <v>1.002</v>
      </c>
      <c r="D6373" s="51">
        <v>62.0</v>
      </c>
      <c r="E6373" s="52" t="s">
        <v>25</v>
      </c>
      <c r="F6373" s="52" t="s">
        <v>26</v>
      </c>
      <c r="G6373" s="53"/>
    </row>
    <row r="6374">
      <c r="A6374" s="49">
        <v>44579.96450328703</v>
      </c>
      <c r="B6374" s="50">
        <v>44580.0894798611</v>
      </c>
      <c r="C6374" s="51">
        <v>1.003</v>
      </c>
      <c r="D6374" s="51">
        <v>62.0</v>
      </c>
      <c r="E6374" s="52" t="s">
        <v>25</v>
      </c>
      <c r="F6374" s="52" t="s">
        <v>26</v>
      </c>
      <c r="G6374" s="53"/>
    </row>
    <row r="6375">
      <c r="A6375" s="49">
        <v>44579.97492328704</v>
      </c>
      <c r="B6375" s="50">
        <v>44580.0999004745</v>
      </c>
      <c r="C6375" s="51">
        <v>1.002</v>
      </c>
      <c r="D6375" s="51">
        <v>62.0</v>
      </c>
      <c r="E6375" s="52" t="s">
        <v>25</v>
      </c>
      <c r="F6375" s="52" t="s">
        <v>26</v>
      </c>
      <c r="G6375" s="53"/>
    </row>
    <row r="6376">
      <c r="A6376" s="49">
        <v>44579.98535295139</v>
      </c>
      <c r="B6376" s="50">
        <v>44580.1103232754</v>
      </c>
      <c r="C6376" s="51">
        <v>1.002</v>
      </c>
      <c r="D6376" s="51">
        <v>62.0</v>
      </c>
      <c r="E6376" s="52" t="s">
        <v>25</v>
      </c>
      <c r="F6376" s="52" t="s">
        <v>26</v>
      </c>
      <c r="G6376" s="53"/>
    </row>
    <row r="6377">
      <c r="A6377" s="49">
        <v>44579.99578467592</v>
      </c>
      <c r="B6377" s="50">
        <v>44580.1207557175</v>
      </c>
      <c r="C6377" s="51">
        <v>1.002</v>
      </c>
      <c r="D6377" s="51">
        <v>62.0</v>
      </c>
      <c r="E6377" s="52" t="s">
        <v>25</v>
      </c>
      <c r="F6377" s="52" t="s">
        <v>26</v>
      </c>
      <c r="G6377" s="53"/>
    </row>
    <row r="6378">
      <c r="A6378" s="49">
        <v>44580.00620700231</v>
      </c>
      <c r="B6378" s="50">
        <v>44580.131177662</v>
      </c>
      <c r="C6378" s="51">
        <v>1.002</v>
      </c>
      <c r="D6378" s="51">
        <v>62.0</v>
      </c>
      <c r="E6378" s="52" t="s">
        <v>25</v>
      </c>
      <c r="F6378" s="52" t="s">
        <v>26</v>
      </c>
      <c r="G6378" s="53"/>
    </row>
    <row r="6379">
      <c r="A6379" s="49">
        <v>44580.01663935185</v>
      </c>
      <c r="B6379" s="50">
        <v>44580.1416098379</v>
      </c>
      <c r="C6379" s="51">
        <v>1.002</v>
      </c>
      <c r="D6379" s="51">
        <v>62.0</v>
      </c>
      <c r="E6379" s="52" t="s">
        <v>25</v>
      </c>
      <c r="F6379" s="52" t="s">
        <v>26</v>
      </c>
      <c r="G6379" s="53"/>
    </row>
    <row r="6380">
      <c r="A6380" s="49">
        <v>44580.02706231481</v>
      </c>
      <c r="B6380" s="50">
        <v>44580.1520428935</v>
      </c>
      <c r="C6380" s="51">
        <v>1.003</v>
      </c>
      <c r="D6380" s="51">
        <v>61.0</v>
      </c>
      <c r="E6380" s="52" t="s">
        <v>25</v>
      </c>
      <c r="F6380" s="52" t="s">
        <v>26</v>
      </c>
      <c r="G6380" s="53"/>
    </row>
    <row r="6381">
      <c r="A6381" s="49">
        <v>44580.037514236115</v>
      </c>
      <c r="B6381" s="50">
        <v>44580.1624891203</v>
      </c>
      <c r="C6381" s="51">
        <v>1.002</v>
      </c>
      <c r="D6381" s="51">
        <v>62.0</v>
      </c>
      <c r="E6381" s="52" t="s">
        <v>25</v>
      </c>
      <c r="F6381" s="52" t="s">
        <v>26</v>
      </c>
      <c r="G6381" s="53"/>
    </row>
    <row r="6382">
      <c r="A6382" s="49">
        <v>44580.04793697917</v>
      </c>
      <c r="B6382" s="50">
        <v>44580.1729096759</v>
      </c>
      <c r="C6382" s="51">
        <v>1.002</v>
      </c>
      <c r="D6382" s="51">
        <v>61.0</v>
      </c>
      <c r="E6382" s="52" t="s">
        <v>25</v>
      </c>
      <c r="F6382" s="52" t="s">
        <v>26</v>
      </c>
      <c r="G6382" s="53"/>
    </row>
    <row r="6383">
      <c r="A6383" s="49">
        <v>44580.05835141204</v>
      </c>
      <c r="B6383" s="50">
        <v>44580.1833312731</v>
      </c>
      <c r="C6383" s="51">
        <v>1.002</v>
      </c>
      <c r="D6383" s="51">
        <v>62.0</v>
      </c>
      <c r="E6383" s="52" t="s">
        <v>25</v>
      </c>
      <c r="F6383" s="52" t="s">
        <v>26</v>
      </c>
      <c r="G6383" s="53"/>
    </row>
    <row r="6384">
      <c r="A6384" s="49">
        <v>44580.0687722338</v>
      </c>
      <c r="B6384" s="50">
        <v>44580.1937510416</v>
      </c>
      <c r="C6384" s="51">
        <v>1.002</v>
      </c>
      <c r="D6384" s="51">
        <v>61.0</v>
      </c>
      <c r="E6384" s="52" t="s">
        <v>25</v>
      </c>
      <c r="F6384" s="52" t="s">
        <v>26</v>
      </c>
      <c r="G6384" s="53"/>
    </row>
    <row r="6385">
      <c r="A6385" s="49">
        <v>44580.07920987268</v>
      </c>
      <c r="B6385" s="50">
        <v>44580.2041840393</v>
      </c>
      <c r="C6385" s="51">
        <v>1.002</v>
      </c>
      <c r="D6385" s="51">
        <v>61.0</v>
      </c>
      <c r="E6385" s="52" t="s">
        <v>25</v>
      </c>
      <c r="F6385" s="52" t="s">
        <v>26</v>
      </c>
      <c r="G6385" s="53"/>
    </row>
    <row r="6386">
      <c r="A6386" s="49">
        <v>44580.08962782407</v>
      </c>
      <c r="B6386" s="50">
        <v>44580.2146046874</v>
      </c>
      <c r="C6386" s="51">
        <v>1.002</v>
      </c>
      <c r="D6386" s="51">
        <v>61.0</v>
      </c>
      <c r="E6386" s="52" t="s">
        <v>25</v>
      </c>
      <c r="F6386" s="52" t="s">
        <v>26</v>
      </c>
      <c r="G6386" s="53"/>
    </row>
    <row r="6387">
      <c r="A6387" s="49">
        <v>44580.10004261574</v>
      </c>
      <c r="B6387" s="50">
        <v>44580.2250262268</v>
      </c>
      <c r="C6387" s="51">
        <v>1.002</v>
      </c>
      <c r="D6387" s="51">
        <v>62.0</v>
      </c>
      <c r="E6387" s="52" t="s">
        <v>25</v>
      </c>
      <c r="F6387" s="52" t="s">
        <v>26</v>
      </c>
      <c r="G6387" s="53"/>
    </row>
    <row r="6388">
      <c r="A6388" s="49">
        <v>44580.11047384259</v>
      </c>
      <c r="B6388" s="50">
        <v>44580.2354487731</v>
      </c>
      <c r="C6388" s="51">
        <v>1.002</v>
      </c>
      <c r="D6388" s="51">
        <v>62.0</v>
      </c>
      <c r="E6388" s="52" t="s">
        <v>25</v>
      </c>
      <c r="F6388" s="52" t="s">
        <v>26</v>
      </c>
      <c r="G6388" s="53"/>
    </row>
    <row r="6389">
      <c r="A6389" s="49">
        <v>44580.12090422453</v>
      </c>
      <c r="B6389" s="50">
        <v>44580.2458803703</v>
      </c>
      <c r="C6389" s="51">
        <v>1.002</v>
      </c>
      <c r="D6389" s="51">
        <v>62.0</v>
      </c>
      <c r="E6389" s="52" t="s">
        <v>25</v>
      </c>
      <c r="F6389" s="52" t="s">
        <v>26</v>
      </c>
      <c r="G6389" s="53"/>
    </row>
    <row r="6390">
      <c r="A6390" s="49">
        <v>44580.131322291665</v>
      </c>
      <c r="B6390" s="50">
        <v>44580.2562993402</v>
      </c>
      <c r="C6390" s="51">
        <v>1.002</v>
      </c>
      <c r="D6390" s="51">
        <v>63.0</v>
      </c>
      <c r="E6390" s="52" t="s">
        <v>25</v>
      </c>
      <c r="F6390" s="52" t="s">
        <v>26</v>
      </c>
      <c r="G6390" s="53"/>
    </row>
    <row r="6391">
      <c r="A6391" s="49">
        <v>44580.141750358795</v>
      </c>
      <c r="B6391" s="50">
        <v>44580.2667201041</v>
      </c>
      <c r="C6391" s="51">
        <v>1.002</v>
      </c>
      <c r="D6391" s="51">
        <v>63.0</v>
      </c>
      <c r="E6391" s="52" t="s">
        <v>25</v>
      </c>
      <c r="F6391" s="52" t="s">
        <v>26</v>
      </c>
      <c r="G6391" s="53"/>
    </row>
    <row r="6392">
      <c r="A6392" s="49">
        <v>44580.15216412037</v>
      </c>
      <c r="B6392" s="50">
        <v>44580.2771431018</v>
      </c>
      <c r="C6392" s="51">
        <v>1.002</v>
      </c>
      <c r="D6392" s="51">
        <v>64.0</v>
      </c>
      <c r="E6392" s="52" t="s">
        <v>25</v>
      </c>
      <c r="F6392" s="52" t="s">
        <v>26</v>
      </c>
      <c r="G6392" s="53"/>
    </row>
    <row r="6393">
      <c r="A6393" s="49">
        <v>44580.162602233795</v>
      </c>
      <c r="B6393" s="50">
        <v>44580.2875745486</v>
      </c>
      <c r="C6393" s="51">
        <v>1.002</v>
      </c>
      <c r="D6393" s="51">
        <v>64.0</v>
      </c>
      <c r="E6393" s="52" t="s">
        <v>25</v>
      </c>
      <c r="F6393" s="52" t="s">
        <v>26</v>
      </c>
      <c r="G6393" s="53"/>
    </row>
    <row r="6394">
      <c r="A6394" s="49">
        <v>44580.173020312504</v>
      </c>
      <c r="B6394" s="50">
        <v>44580.2979958796</v>
      </c>
      <c r="C6394" s="51">
        <v>1.002</v>
      </c>
      <c r="D6394" s="51">
        <v>65.0</v>
      </c>
      <c r="E6394" s="52" t="s">
        <v>25</v>
      </c>
      <c r="F6394" s="52" t="s">
        <v>26</v>
      </c>
      <c r="G6394" s="53"/>
    </row>
    <row r="6395">
      <c r="A6395" s="49">
        <v>44580.183438402775</v>
      </c>
      <c r="B6395" s="50">
        <v>44580.3084175231</v>
      </c>
      <c r="C6395" s="51">
        <v>1.002</v>
      </c>
      <c r="D6395" s="51">
        <v>65.0</v>
      </c>
      <c r="E6395" s="52" t="s">
        <v>25</v>
      </c>
      <c r="F6395" s="52" t="s">
        <v>26</v>
      </c>
      <c r="G6395" s="53"/>
    </row>
    <row r="6396">
      <c r="A6396" s="49">
        <v>44580.19391431713</v>
      </c>
      <c r="B6396" s="50">
        <v>44580.3188848842</v>
      </c>
      <c r="C6396" s="51">
        <v>1.002</v>
      </c>
      <c r="D6396" s="51">
        <v>65.0</v>
      </c>
      <c r="E6396" s="52" t="s">
        <v>25</v>
      </c>
      <c r="F6396" s="52" t="s">
        <v>26</v>
      </c>
      <c r="G6396" s="53"/>
    </row>
    <row r="6397">
      <c r="A6397" s="49">
        <v>44580.20433997685</v>
      </c>
      <c r="B6397" s="50">
        <v>44580.3293203935</v>
      </c>
      <c r="C6397" s="51">
        <v>1.002</v>
      </c>
      <c r="D6397" s="51">
        <v>66.0</v>
      </c>
      <c r="E6397" s="52" t="s">
        <v>25</v>
      </c>
      <c r="F6397" s="52" t="s">
        <v>26</v>
      </c>
      <c r="G6397" s="53"/>
    </row>
    <row r="6398">
      <c r="A6398" s="49">
        <v>44580.214768125</v>
      </c>
      <c r="B6398" s="50">
        <v>44580.3397408449</v>
      </c>
      <c r="C6398" s="51">
        <v>1.002</v>
      </c>
      <c r="D6398" s="51">
        <v>66.0</v>
      </c>
      <c r="E6398" s="52" t="s">
        <v>25</v>
      </c>
      <c r="F6398" s="52" t="s">
        <v>26</v>
      </c>
      <c r="G6398" s="53"/>
    </row>
    <row r="6399">
      <c r="A6399" s="49">
        <v>44580.22518799768</v>
      </c>
      <c r="B6399" s="50">
        <v>44580.3501623495</v>
      </c>
      <c r="C6399" s="51">
        <v>1.002</v>
      </c>
      <c r="D6399" s="51">
        <v>67.0</v>
      </c>
      <c r="E6399" s="52" t="s">
        <v>25</v>
      </c>
      <c r="F6399" s="52" t="s">
        <v>26</v>
      </c>
      <c r="G6399" s="53"/>
    </row>
    <row r="6400">
      <c r="A6400" s="49">
        <v>44580.23562733796</v>
      </c>
      <c r="B6400" s="50">
        <v>44580.3606077314</v>
      </c>
      <c r="C6400" s="51">
        <v>1.002</v>
      </c>
      <c r="D6400" s="51">
        <v>67.0</v>
      </c>
      <c r="E6400" s="52" t="s">
        <v>25</v>
      </c>
      <c r="F6400" s="52" t="s">
        <v>26</v>
      </c>
      <c r="G6400" s="53"/>
    </row>
    <row r="6401">
      <c r="A6401" s="49">
        <v>44580.24605732639</v>
      </c>
      <c r="B6401" s="50">
        <v>44580.3710280208</v>
      </c>
      <c r="C6401" s="51">
        <v>1.002</v>
      </c>
      <c r="D6401" s="51">
        <v>68.0</v>
      </c>
      <c r="E6401" s="52" t="s">
        <v>25</v>
      </c>
      <c r="F6401" s="52" t="s">
        <v>26</v>
      </c>
      <c r="G6401" s="53"/>
    </row>
    <row r="6402">
      <c r="A6402" s="49">
        <v>44580.25646974537</v>
      </c>
      <c r="B6402" s="50">
        <v>44580.3814487384</v>
      </c>
      <c r="C6402" s="51">
        <v>1.002</v>
      </c>
      <c r="D6402" s="51">
        <v>68.0</v>
      </c>
      <c r="E6402" s="52" t="s">
        <v>25</v>
      </c>
      <c r="F6402" s="52" t="s">
        <v>26</v>
      </c>
      <c r="G6402" s="53"/>
    </row>
    <row r="6403">
      <c r="A6403" s="49">
        <v>44580.26689983797</v>
      </c>
      <c r="B6403" s="50">
        <v>44580.3918696412</v>
      </c>
      <c r="C6403" s="51">
        <v>1.002</v>
      </c>
      <c r="D6403" s="51">
        <v>68.0</v>
      </c>
      <c r="E6403" s="52" t="s">
        <v>25</v>
      </c>
      <c r="F6403" s="52" t="s">
        <v>26</v>
      </c>
      <c r="G6403" s="53"/>
    </row>
    <row r="6404">
      <c r="A6404" s="49">
        <v>44580.27731938657</v>
      </c>
      <c r="B6404" s="50">
        <v>44580.4022918287</v>
      </c>
      <c r="C6404" s="51">
        <v>1.002</v>
      </c>
      <c r="D6404" s="51">
        <v>68.0</v>
      </c>
      <c r="E6404" s="52" t="s">
        <v>25</v>
      </c>
      <c r="F6404" s="52" t="s">
        <v>26</v>
      </c>
      <c r="G6404" s="53"/>
    </row>
    <row r="6405">
      <c r="A6405" s="49">
        <v>44580.28774886574</v>
      </c>
      <c r="B6405" s="50">
        <v>44580.4127126157</v>
      </c>
      <c r="C6405" s="51">
        <v>1.002</v>
      </c>
      <c r="D6405" s="51">
        <v>67.0</v>
      </c>
      <c r="E6405" s="52" t="s">
        <v>25</v>
      </c>
      <c r="F6405" s="52" t="s">
        <v>26</v>
      </c>
      <c r="G6405" s="53"/>
    </row>
    <row r="6406">
      <c r="A6406" s="49">
        <v>44580.29817991898</v>
      </c>
      <c r="B6406" s="50">
        <v>44580.4231455787</v>
      </c>
      <c r="C6406" s="51">
        <v>1.002</v>
      </c>
      <c r="D6406" s="51">
        <v>67.0</v>
      </c>
      <c r="E6406" s="52" t="s">
        <v>25</v>
      </c>
      <c r="F6406" s="52" t="s">
        <v>26</v>
      </c>
      <c r="G6406" s="53"/>
    </row>
    <row r="6407">
      <c r="A6407" s="49">
        <v>44580.3086180324</v>
      </c>
      <c r="B6407" s="50">
        <v>44580.4335808912</v>
      </c>
      <c r="C6407" s="51">
        <v>1.002</v>
      </c>
      <c r="D6407" s="51">
        <v>67.0</v>
      </c>
      <c r="E6407" s="52" t="s">
        <v>25</v>
      </c>
      <c r="F6407" s="52" t="s">
        <v>26</v>
      </c>
      <c r="G6407" s="53"/>
    </row>
    <row r="6408">
      <c r="A6408" s="49">
        <v>44580.31903442129</v>
      </c>
      <c r="B6408" s="50">
        <v>44580.4440017013</v>
      </c>
      <c r="C6408" s="51">
        <v>1.002</v>
      </c>
      <c r="D6408" s="51">
        <v>67.0</v>
      </c>
      <c r="E6408" s="52" t="s">
        <v>25</v>
      </c>
      <c r="F6408" s="52" t="s">
        <v>26</v>
      </c>
      <c r="G6408" s="53"/>
    </row>
    <row r="6409">
      <c r="A6409" s="49">
        <v>44580.32944804398</v>
      </c>
      <c r="B6409" s="50">
        <v>44580.454422199</v>
      </c>
      <c r="C6409" s="51">
        <v>1.002</v>
      </c>
      <c r="D6409" s="51">
        <v>67.0</v>
      </c>
      <c r="E6409" s="52" t="s">
        <v>25</v>
      </c>
      <c r="F6409" s="52" t="s">
        <v>26</v>
      </c>
      <c r="G6409" s="53"/>
    </row>
    <row r="6410">
      <c r="A6410" s="49">
        <v>44580.33987454861</v>
      </c>
      <c r="B6410" s="50">
        <v>44580.4648433333</v>
      </c>
      <c r="C6410" s="51">
        <v>1.002</v>
      </c>
      <c r="D6410" s="51">
        <v>67.0</v>
      </c>
      <c r="E6410" s="52" t="s">
        <v>25</v>
      </c>
      <c r="F6410" s="52" t="s">
        <v>26</v>
      </c>
      <c r="G6410" s="53"/>
    </row>
    <row r="6411">
      <c r="A6411" s="49">
        <v>44580.35031825231</v>
      </c>
      <c r="B6411" s="50">
        <v>44580.4752868518</v>
      </c>
      <c r="C6411" s="51">
        <v>1.002</v>
      </c>
      <c r="D6411" s="51">
        <v>67.0</v>
      </c>
      <c r="E6411" s="52" t="s">
        <v>25</v>
      </c>
      <c r="F6411" s="52" t="s">
        <v>26</v>
      </c>
      <c r="G6411" s="53"/>
    </row>
    <row r="6412">
      <c r="A6412" s="49">
        <v>44580.360743854166</v>
      </c>
      <c r="B6412" s="50">
        <v>44580.4857081597</v>
      </c>
      <c r="C6412" s="51">
        <v>1.001</v>
      </c>
      <c r="D6412" s="51">
        <v>67.0</v>
      </c>
      <c r="E6412" s="52" t="s">
        <v>25</v>
      </c>
      <c r="F6412" s="52" t="s">
        <v>26</v>
      </c>
      <c r="G6412" s="53"/>
    </row>
    <row r="6413">
      <c r="A6413" s="49">
        <v>44580.3711559375</v>
      </c>
      <c r="B6413" s="50">
        <v>44580.496128368</v>
      </c>
      <c r="C6413" s="51">
        <v>1.001</v>
      </c>
      <c r="D6413" s="51">
        <v>67.0</v>
      </c>
      <c r="E6413" s="52" t="s">
        <v>25</v>
      </c>
      <c r="F6413" s="52" t="s">
        <v>26</v>
      </c>
      <c r="G6413" s="53"/>
    </row>
    <row r="6414">
      <c r="A6414" s="49">
        <v>44580.38160325232</v>
      </c>
      <c r="B6414" s="50">
        <v>44580.5065725925</v>
      </c>
      <c r="C6414" s="51">
        <v>1.002</v>
      </c>
      <c r="D6414" s="51">
        <v>67.0</v>
      </c>
      <c r="E6414" s="52" t="s">
        <v>25</v>
      </c>
      <c r="F6414" s="52" t="s">
        <v>26</v>
      </c>
      <c r="G6414" s="53"/>
    </row>
    <row r="6415">
      <c r="A6415" s="49">
        <v>44580.392029027775</v>
      </c>
      <c r="B6415" s="50">
        <v>44580.5170055787</v>
      </c>
      <c r="C6415" s="51">
        <v>1.001</v>
      </c>
      <c r="D6415" s="51">
        <v>67.0</v>
      </c>
      <c r="E6415" s="52" t="s">
        <v>25</v>
      </c>
      <c r="F6415" s="52" t="s">
        <v>26</v>
      </c>
      <c r="G6415" s="53"/>
    </row>
    <row r="6416">
      <c r="A6416" s="49">
        <v>44580.40245166667</v>
      </c>
      <c r="B6416" s="50">
        <v>44580.52742728</v>
      </c>
      <c r="C6416" s="51">
        <v>1.002</v>
      </c>
      <c r="D6416" s="51">
        <v>67.0</v>
      </c>
      <c r="E6416" s="52" t="s">
        <v>25</v>
      </c>
      <c r="F6416" s="52" t="s">
        <v>26</v>
      </c>
      <c r="G6416" s="53"/>
    </row>
    <row r="6417">
      <c r="A6417" s="49">
        <v>44580.41289738426</v>
      </c>
      <c r="B6417" s="50">
        <v>44580.537871331</v>
      </c>
      <c r="C6417" s="51">
        <v>1.001</v>
      </c>
      <c r="D6417" s="51">
        <v>67.0</v>
      </c>
      <c r="E6417" s="52" t="s">
        <v>25</v>
      </c>
      <c r="F6417" s="52" t="s">
        <v>26</v>
      </c>
      <c r="G6417" s="53"/>
    </row>
    <row r="6418">
      <c r="A6418" s="49">
        <v>44580.42332357639</v>
      </c>
      <c r="B6418" s="50">
        <v>44580.5482940625</v>
      </c>
      <c r="C6418" s="51">
        <v>1.002</v>
      </c>
      <c r="D6418" s="51">
        <v>67.0</v>
      </c>
      <c r="E6418" s="52" t="s">
        <v>25</v>
      </c>
      <c r="F6418" s="52" t="s">
        <v>26</v>
      </c>
      <c r="G6418" s="53"/>
    </row>
    <row r="6419">
      <c r="A6419" s="49">
        <v>44580.433746180555</v>
      </c>
      <c r="B6419" s="50">
        <v>44580.5587155324</v>
      </c>
      <c r="C6419" s="51">
        <v>1.002</v>
      </c>
      <c r="D6419" s="51">
        <v>67.0</v>
      </c>
      <c r="E6419" s="52" t="s">
        <v>25</v>
      </c>
      <c r="F6419" s="52" t="s">
        <v>26</v>
      </c>
      <c r="G6419" s="53"/>
    </row>
    <row r="6420">
      <c r="A6420" s="49">
        <v>44580.44416505787</v>
      </c>
      <c r="B6420" s="50">
        <v>44580.5691369675</v>
      </c>
      <c r="C6420" s="51">
        <v>1.001</v>
      </c>
      <c r="D6420" s="51">
        <v>67.0</v>
      </c>
      <c r="E6420" s="52" t="s">
        <v>25</v>
      </c>
      <c r="F6420" s="52" t="s">
        <v>26</v>
      </c>
      <c r="G6420" s="53"/>
    </row>
    <row r="6421">
      <c r="A6421" s="49">
        <v>44580.454589016204</v>
      </c>
      <c r="B6421" s="50">
        <v>44580.57955853</v>
      </c>
      <c r="C6421" s="51">
        <v>1.002</v>
      </c>
      <c r="D6421" s="51">
        <v>67.0</v>
      </c>
      <c r="E6421" s="52" t="s">
        <v>25</v>
      </c>
      <c r="F6421" s="52" t="s">
        <v>26</v>
      </c>
      <c r="G6421" s="53"/>
    </row>
    <row r="6422">
      <c r="A6422" s="49">
        <v>44580.465044675926</v>
      </c>
      <c r="B6422" s="50">
        <v>44580.5899916782</v>
      </c>
      <c r="C6422" s="51">
        <v>1.001</v>
      </c>
      <c r="D6422" s="51">
        <v>67.0</v>
      </c>
      <c r="E6422" s="52" t="s">
        <v>25</v>
      </c>
      <c r="F6422" s="52" t="s">
        <v>26</v>
      </c>
      <c r="G6422" s="53"/>
    </row>
    <row r="6423">
      <c r="A6423" s="49">
        <v>44580.475440891205</v>
      </c>
      <c r="B6423" s="50">
        <v>44580.6004140972</v>
      </c>
      <c r="C6423" s="51">
        <v>1.002</v>
      </c>
      <c r="D6423" s="51">
        <v>67.0</v>
      </c>
      <c r="E6423" s="52" t="s">
        <v>25</v>
      </c>
      <c r="F6423" s="52" t="s">
        <v>26</v>
      </c>
      <c r="G6423" s="53"/>
    </row>
    <row r="6424">
      <c r="A6424" s="49">
        <v>44580.485856053245</v>
      </c>
      <c r="B6424" s="50">
        <v>44580.6108340046</v>
      </c>
      <c r="C6424" s="51">
        <v>1.001</v>
      </c>
      <c r="D6424" s="51">
        <v>67.0</v>
      </c>
      <c r="E6424" s="52" t="s">
        <v>25</v>
      </c>
      <c r="F6424" s="52" t="s">
        <v>26</v>
      </c>
      <c r="G6424" s="53"/>
    </row>
    <row r="6425">
      <c r="A6425" s="49">
        <v>44580.49630550926</v>
      </c>
      <c r="B6425" s="50">
        <v>44580.6212779282</v>
      </c>
      <c r="C6425" s="51">
        <v>1.002</v>
      </c>
      <c r="D6425" s="51">
        <v>67.0</v>
      </c>
      <c r="E6425" s="52" t="s">
        <v>25</v>
      </c>
      <c r="F6425" s="52" t="s">
        <v>26</v>
      </c>
      <c r="G6425" s="53"/>
    </row>
    <row r="6426">
      <c r="A6426" s="49">
        <v>44580.50674009259</v>
      </c>
      <c r="B6426" s="50">
        <v>44580.6317105902</v>
      </c>
      <c r="C6426" s="51">
        <v>1.002</v>
      </c>
      <c r="D6426" s="51">
        <v>67.0</v>
      </c>
      <c r="E6426" s="52" t="s">
        <v>25</v>
      </c>
      <c r="F6426" s="52" t="s">
        <v>26</v>
      </c>
      <c r="G6426" s="53"/>
    </row>
    <row r="6427">
      <c r="A6427" s="49">
        <v>44580.517165185185</v>
      </c>
      <c r="B6427" s="50">
        <v>44580.6421318055</v>
      </c>
      <c r="C6427" s="51">
        <v>1.001</v>
      </c>
      <c r="D6427" s="51">
        <v>67.0</v>
      </c>
      <c r="E6427" s="52" t="s">
        <v>25</v>
      </c>
      <c r="F6427" s="52" t="s">
        <v>26</v>
      </c>
      <c r="G6427" s="53"/>
    </row>
    <row r="6428">
      <c r="A6428" s="49">
        <v>44580.527572534724</v>
      </c>
      <c r="B6428" s="50">
        <v>44580.6525540162</v>
      </c>
      <c r="C6428" s="51">
        <v>1.002</v>
      </c>
      <c r="D6428" s="51">
        <v>67.0</v>
      </c>
      <c r="E6428" s="52" t="s">
        <v>25</v>
      </c>
      <c r="F6428" s="52" t="s">
        <v>26</v>
      </c>
      <c r="G6428" s="53"/>
    </row>
    <row r="6429">
      <c r="A6429" s="49">
        <v>44580.53801587963</v>
      </c>
      <c r="B6429" s="50">
        <v>44580.6629738773</v>
      </c>
      <c r="C6429" s="51">
        <v>1.001</v>
      </c>
      <c r="D6429" s="51">
        <v>67.0</v>
      </c>
      <c r="E6429" s="52" t="s">
        <v>25</v>
      </c>
      <c r="F6429" s="52" t="s">
        <v>26</v>
      </c>
      <c r="G6429" s="53"/>
    </row>
    <row r="6430">
      <c r="A6430" s="49">
        <v>44580.548415625</v>
      </c>
      <c r="B6430" s="50">
        <v>44580.6733953009</v>
      </c>
      <c r="C6430" s="51">
        <v>1.002</v>
      </c>
      <c r="D6430" s="51">
        <v>66.0</v>
      </c>
      <c r="E6430" s="52" t="s">
        <v>25</v>
      </c>
      <c r="F6430" s="52" t="s">
        <v>26</v>
      </c>
      <c r="G6430" s="53"/>
    </row>
    <row r="6431">
      <c r="A6431" s="49">
        <v>44580.558851249996</v>
      </c>
      <c r="B6431" s="50">
        <v>44580.6838291088</v>
      </c>
      <c r="C6431" s="51">
        <v>1.002</v>
      </c>
      <c r="D6431" s="51">
        <v>66.0</v>
      </c>
      <c r="E6431" s="52" t="s">
        <v>25</v>
      </c>
      <c r="F6431" s="52" t="s">
        <v>26</v>
      </c>
      <c r="G6431" s="53"/>
    </row>
    <row r="6432">
      <c r="A6432" s="49">
        <v>44580.569275497684</v>
      </c>
      <c r="B6432" s="50">
        <v>44580.6942500347</v>
      </c>
      <c r="C6432" s="51">
        <v>1.002</v>
      </c>
      <c r="D6432" s="51">
        <v>66.0</v>
      </c>
      <c r="E6432" s="52" t="s">
        <v>25</v>
      </c>
      <c r="F6432" s="52" t="s">
        <v>26</v>
      </c>
      <c r="G6432" s="53"/>
    </row>
    <row r="6433">
      <c r="A6433" s="49">
        <v>44580.579691817125</v>
      </c>
      <c r="B6433" s="50">
        <v>44580.7046708101</v>
      </c>
      <c r="C6433" s="51">
        <v>1.002</v>
      </c>
      <c r="D6433" s="51">
        <v>66.0</v>
      </c>
      <c r="E6433" s="52" t="s">
        <v>25</v>
      </c>
      <c r="F6433" s="52" t="s">
        <v>26</v>
      </c>
      <c r="G6433" s="53"/>
    </row>
    <row r="6434">
      <c r="A6434" s="49">
        <v>44580.59011748843</v>
      </c>
      <c r="B6434" s="50">
        <v>44580.7150888888</v>
      </c>
      <c r="C6434" s="51">
        <v>1.002</v>
      </c>
      <c r="D6434" s="51">
        <v>66.0</v>
      </c>
      <c r="E6434" s="52" t="s">
        <v>25</v>
      </c>
      <c r="F6434" s="52" t="s">
        <v>26</v>
      </c>
      <c r="G6434" s="53"/>
    </row>
    <row r="6435">
      <c r="A6435" s="49">
        <v>44580.60053053241</v>
      </c>
      <c r="B6435" s="50">
        <v>44580.7255098842</v>
      </c>
      <c r="C6435" s="51">
        <v>1.002</v>
      </c>
      <c r="D6435" s="51">
        <v>66.0</v>
      </c>
      <c r="E6435" s="52" t="s">
        <v>25</v>
      </c>
      <c r="F6435" s="52" t="s">
        <v>26</v>
      </c>
      <c r="G6435" s="53"/>
    </row>
    <row r="6436">
      <c r="A6436" s="49">
        <v>44580.61097905092</v>
      </c>
      <c r="B6436" s="50">
        <v>44580.7359545833</v>
      </c>
      <c r="C6436" s="51">
        <v>1.002</v>
      </c>
      <c r="D6436" s="51">
        <v>66.0</v>
      </c>
      <c r="E6436" s="52" t="s">
        <v>25</v>
      </c>
      <c r="F6436" s="52" t="s">
        <v>26</v>
      </c>
      <c r="G6436" s="53"/>
    </row>
    <row r="6437">
      <c r="A6437" s="49">
        <v>44580.621402453704</v>
      </c>
      <c r="B6437" s="50">
        <v>44580.7463763078</v>
      </c>
      <c r="C6437" s="51">
        <v>1.001</v>
      </c>
      <c r="D6437" s="51">
        <v>66.0</v>
      </c>
      <c r="E6437" s="52" t="s">
        <v>25</v>
      </c>
      <c r="F6437" s="52" t="s">
        <v>26</v>
      </c>
      <c r="G6437" s="53"/>
    </row>
    <row r="6438">
      <c r="A6438" s="49">
        <v>44580.63182358796</v>
      </c>
      <c r="B6438" s="50">
        <v>44580.7567982175</v>
      </c>
      <c r="C6438" s="51">
        <v>1.002</v>
      </c>
      <c r="D6438" s="51">
        <v>66.0</v>
      </c>
      <c r="E6438" s="52" t="s">
        <v>25</v>
      </c>
      <c r="F6438" s="52" t="s">
        <v>26</v>
      </c>
      <c r="G6438" s="53"/>
    </row>
    <row r="6439">
      <c r="A6439" s="49">
        <v>44580.64225783564</v>
      </c>
      <c r="B6439" s="50">
        <v>44580.7672288194</v>
      </c>
      <c r="C6439" s="51">
        <v>1.002</v>
      </c>
      <c r="D6439" s="51">
        <v>66.0</v>
      </c>
      <c r="E6439" s="52" t="s">
        <v>25</v>
      </c>
      <c r="F6439" s="52" t="s">
        <v>26</v>
      </c>
      <c r="G6439" s="53"/>
    </row>
    <row r="6440">
      <c r="A6440" s="49">
        <v>44580.65267244213</v>
      </c>
      <c r="B6440" s="50">
        <v>44580.7776509606</v>
      </c>
      <c r="C6440" s="51">
        <v>1.002</v>
      </c>
      <c r="D6440" s="51">
        <v>66.0</v>
      </c>
      <c r="E6440" s="52" t="s">
        <v>25</v>
      </c>
      <c r="F6440" s="52" t="s">
        <v>26</v>
      </c>
      <c r="G6440" s="53"/>
    </row>
    <row r="6441">
      <c r="A6441" s="49">
        <v>44580.66309299768</v>
      </c>
      <c r="B6441" s="50">
        <v>44580.7880746874</v>
      </c>
      <c r="C6441" s="51">
        <v>1.002</v>
      </c>
      <c r="D6441" s="51">
        <v>66.0</v>
      </c>
      <c r="E6441" s="52" t="s">
        <v>25</v>
      </c>
      <c r="F6441" s="52" t="s">
        <v>26</v>
      </c>
      <c r="G6441" s="53"/>
    </row>
    <row r="6442">
      <c r="A6442" s="49">
        <v>44580.67351429398</v>
      </c>
      <c r="B6442" s="50">
        <v>44580.79849625</v>
      </c>
      <c r="C6442" s="51">
        <v>1.001</v>
      </c>
      <c r="D6442" s="51">
        <v>66.0</v>
      </c>
      <c r="E6442" s="52" t="s">
        <v>25</v>
      </c>
      <c r="F6442" s="52" t="s">
        <v>26</v>
      </c>
      <c r="G6442" s="53"/>
    </row>
    <row r="6443">
      <c r="A6443" s="49">
        <v>44580.68393530093</v>
      </c>
      <c r="B6443" s="50">
        <v>44580.8089161574</v>
      </c>
      <c r="C6443" s="51">
        <v>1.002</v>
      </c>
      <c r="D6443" s="51">
        <v>66.0</v>
      </c>
      <c r="E6443" s="52" t="s">
        <v>25</v>
      </c>
      <c r="F6443" s="52" t="s">
        <v>26</v>
      </c>
      <c r="G6443" s="53"/>
    </row>
    <row r="6444">
      <c r="A6444" s="49">
        <v>44580.69437993056</v>
      </c>
      <c r="B6444" s="50">
        <v>44580.8193497685</v>
      </c>
      <c r="C6444" s="51">
        <v>1.002</v>
      </c>
      <c r="D6444" s="51">
        <v>66.0</v>
      </c>
      <c r="E6444" s="52" t="s">
        <v>25</v>
      </c>
      <c r="F6444" s="52" t="s">
        <v>26</v>
      </c>
      <c r="G6444" s="53"/>
    </row>
    <row r="6445">
      <c r="A6445" s="49">
        <v>44580.70480032408</v>
      </c>
      <c r="B6445" s="50">
        <v>44580.8297714004</v>
      </c>
      <c r="C6445" s="51">
        <v>1.002</v>
      </c>
      <c r="D6445" s="51">
        <v>66.0</v>
      </c>
      <c r="E6445" s="52" t="s">
        <v>25</v>
      </c>
      <c r="F6445" s="52" t="s">
        <v>26</v>
      </c>
      <c r="G6445" s="53"/>
    </row>
    <row r="6446">
      <c r="A6446" s="49">
        <v>44580.71522100695</v>
      </c>
      <c r="B6446" s="50">
        <v>44580.8401929629</v>
      </c>
      <c r="C6446" s="51">
        <v>1.002</v>
      </c>
      <c r="D6446" s="51">
        <v>66.0</v>
      </c>
      <c r="E6446" s="52" t="s">
        <v>25</v>
      </c>
      <c r="F6446" s="52" t="s">
        <v>26</v>
      </c>
      <c r="G6446" s="53"/>
    </row>
    <row r="6447">
      <c r="A6447" s="49">
        <v>44580.72564097222</v>
      </c>
      <c r="B6447" s="50">
        <v>44580.8506137268</v>
      </c>
      <c r="C6447" s="51">
        <v>1.002</v>
      </c>
      <c r="D6447" s="51">
        <v>66.0</v>
      </c>
      <c r="E6447" s="52" t="s">
        <v>25</v>
      </c>
      <c r="F6447" s="52" t="s">
        <v>26</v>
      </c>
      <c r="G6447" s="53"/>
    </row>
    <row r="6448">
      <c r="A6448" s="49">
        <v>44580.73606137732</v>
      </c>
      <c r="B6448" s="50">
        <v>44580.8610344675</v>
      </c>
      <c r="C6448" s="51">
        <v>1.002</v>
      </c>
      <c r="D6448" s="51">
        <v>66.0</v>
      </c>
      <c r="E6448" s="52" t="s">
        <v>25</v>
      </c>
      <c r="F6448" s="52" t="s">
        <v>26</v>
      </c>
      <c r="G6448" s="53"/>
    </row>
    <row r="6449">
      <c r="A6449" s="49">
        <v>44580.74650519676</v>
      </c>
      <c r="B6449" s="50">
        <v>44580.8714809259</v>
      </c>
      <c r="C6449" s="51">
        <v>1.002</v>
      </c>
      <c r="D6449" s="51">
        <v>66.0</v>
      </c>
      <c r="E6449" s="52" t="s">
        <v>25</v>
      </c>
      <c r="F6449" s="52" t="s">
        <v>26</v>
      </c>
      <c r="G6449" s="53"/>
    </row>
    <row r="6450">
      <c r="A6450" s="49">
        <v>44580.75692581019</v>
      </c>
      <c r="B6450" s="50">
        <v>44580.8819023495</v>
      </c>
      <c r="C6450" s="51">
        <v>1.002</v>
      </c>
      <c r="D6450" s="51">
        <v>66.0</v>
      </c>
      <c r="E6450" s="52" t="s">
        <v>25</v>
      </c>
      <c r="F6450" s="52" t="s">
        <v>26</v>
      </c>
      <c r="G6450" s="53"/>
    </row>
    <row r="6451">
      <c r="A6451" s="49">
        <v>44580.76737105324</v>
      </c>
      <c r="B6451" s="50">
        <v>44580.8923466782</v>
      </c>
      <c r="C6451" s="51">
        <v>1.002</v>
      </c>
      <c r="D6451" s="51">
        <v>66.0</v>
      </c>
      <c r="E6451" s="52" t="s">
        <v>25</v>
      </c>
      <c r="F6451" s="52" t="s">
        <v>26</v>
      </c>
      <c r="G6451" s="53"/>
    </row>
    <row r="6452">
      <c r="A6452" s="49">
        <v>44580.77778980324</v>
      </c>
      <c r="B6452" s="50">
        <v>44580.9027680555</v>
      </c>
      <c r="C6452" s="51">
        <v>1.002</v>
      </c>
      <c r="D6452" s="51">
        <v>66.0</v>
      </c>
      <c r="E6452" s="52" t="s">
        <v>25</v>
      </c>
      <c r="F6452" s="52" t="s">
        <v>26</v>
      </c>
      <c r="G6452" s="53"/>
    </row>
    <row r="6453">
      <c r="A6453" s="49">
        <v>44580.788218738424</v>
      </c>
      <c r="B6453" s="50">
        <v>44580.9131883564</v>
      </c>
      <c r="C6453" s="51">
        <v>1.001</v>
      </c>
      <c r="D6453" s="51">
        <v>66.0</v>
      </c>
      <c r="E6453" s="52" t="s">
        <v>25</v>
      </c>
      <c r="F6453" s="52" t="s">
        <v>26</v>
      </c>
      <c r="G6453" s="53"/>
    </row>
    <row r="6454">
      <c r="A6454" s="49">
        <v>44580.79864769676</v>
      </c>
      <c r="B6454" s="50">
        <v>44580.9236108449</v>
      </c>
      <c r="C6454" s="51">
        <v>1.001</v>
      </c>
      <c r="D6454" s="51">
        <v>66.0</v>
      </c>
      <c r="E6454" s="52" t="s">
        <v>25</v>
      </c>
      <c r="F6454" s="52" t="s">
        <v>26</v>
      </c>
      <c r="G6454" s="53"/>
    </row>
    <row r="6455">
      <c r="A6455" s="49">
        <v>44580.80905673611</v>
      </c>
      <c r="B6455" s="50">
        <v>44580.9340297106</v>
      </c>
      <c r="C6455" s="51">
        <v>1.002</v>
      </c>
      <c r="D6455" s="51">
        <v>66.0</v>
      </c>
      <c r="E6455" s="52" t="s">
        <v>25</v>
      </c>
      <c r="F6455" s="52" t="s">
        <v>26</v>
      </c>
      <c r="G6455" s="53"/>
    </row>
    <row r="6456">
      <c r="A6456" s="49">
        <v>44580.819477303245</v>
      </c>
      <c r="B6456" s="50">
        <v>44580.9444493287</v>
      </c>
      <c r="C6456" s="51">
        <v>1.002</v>
      </c>
      <c r="D6456" s="51">
        <v>66.0</v>
      </c>
      <c r="E6456" s="52" t="s">
        <v>25</v>
      </c>
      <c r="F6456" s="52" t="s">
        <v>26</v>
      </c>
      <c r="G6456" s="53"/>
    </row>
    <row r="6457">
      <c r="A6457" s="49">
        <v>44580.829909988424</v>
      </c>
      <c r="B6457" s="50">
        <v>44580.9548823148</v>
      </c>
      <c r="C6457" s="51">
        <v>1.001</v>
      </c>
      <c r="D6457" s="51">
        <v>66.0</v>
      </c>
      <c r="E6457" s="52" t="s">
        <v>25</v>
      </c>
      <c r="F6457" s="52" t="s">
        <v>26</v>
      </c>
      <c r="G6457" s="53"/>
    </row>
    <row r="6458">
      <c r="A6458" s="49">
        <v>44580.840381076385</v>
      </c>
      <c r="B6458" s="50">
        <v>44580.9653519444</v>
      </c>
      <c r="C6458" s="51">
        <v>1.002</v>
      </c>
      <c r="D6458" s="51">
        <v>66.0</v>
      </c>
      <c r="E6458" s="52" t="s">
        <v>25</v>
      </c>
      <c r="F6458" s="52" t="s">
        <v>26</v>
      </c>
      <c r="G6458" s="53"/>
    </row>
    <row r="6459">
      <c r="A6459" s="49">
        <v>44580.85079349537</v>
      </c>
      <c r="B6459" s="50">
        <v>44580.9757733101</v>
      </c>
      <c r="C6459" s="51">
        <v>1.002</v>
      </c>
      <c r="D6459" s="51">
        <v>65.0</v>
      </c>
      <c r="E6459" s="52" t="s">
        <v>25</v>
      </c>
      <c r="F6459" s="52" t="s">
        <v>26</v>
      </c>
      <c r="G6459" s="53"/>
    </row>
    <row r="6460">
      <c r="A6460" s="49">
        <v>44580.8612278588</v>
      </c>
      <c r="B6460" s="50">
        <v>44580.9861959606</v>
      </c>
      <c r="C6460" s="51">
        <v>1.002</v>
      </c>
      <c r="D6460" s="51">
        <v>65.0</v>
      </c>
      <c r="E6460" s="52" t="s">
        <v>25</v>
      </c>
      <c r="F6460" s="52" t="s">
        <v>26</v>
      </c>
      <c r="G6460" s="53"/>
    </row>
    <row r="6461">
      <c r="A6461" s="49">
        <v>44580.87164400463</v>
      </c>
      <c r="B6461" s="50">
        <v>44580.9966164814</v>
      </c>
      <c r="C6461" s="51">
        <v>1.002</v>
      </c>
      <c r="D6461" s="51">
        <v>66.0</v>
      </c>
      <c r="E6461" s="52" t="s">
        <v>25</v>
      </c>
      <c r="F6461" s="52" t="s">
        <v>26</v>
      </c>
      <c r="G6461" s="53"/>
    </row>
    <row r="6462">
      <c r="A6462" s="49">
        <v>44580.882077800925</v>
      </c>
      <c r="B6462" s="50">
        <v>44581.0070498148</v>
      </c>
      <c r="C6462" s="51">
        <v>1.002</v>
      </c>
      <c r="D6462" s="51">
        <v>65.0</v>
      </c>
      <c r="E6462" s="52" t="s">
        <v>25</v>
      </c>
      <c r="F6462" s="52" t="s">
        <v>26</v>
      </c>
      <c r="G6462" s="53"/>
    </row>
    <row r="6463">
      <c r="A6463" s="49">
        <v>44580.892505497686</v>
      </c>
      <c r="B6463" s="50">
        <v>44581.0174712268</v>
      </c>
      <c r="C6463" s="51">
        <v>1.002</v>
      </c>
      <c r="D6463" s="51">
        <v>65.0</v>
      </c>
      <c r="E6463" s="52" t="s">
        <v>25</v>
      </c>
      <c r="F6463" s="52" t="s">
        <v>26</v>
      </c>
      <c r="G6463" s="53"/>
    </row>
    <row r="6464">
      <c r="A6464" s="49">
        <v>44580.90292438657</v>
      </c>
      <c r="B6464" s="50">
        <v>44581.0278943171</v>
      </c>
      <c r="C6464" s="51">
        <v>1.002</v>
      </c>
      <c r="D6464" s="51">
        <v>65.0</v>
      </c>
      <c r="E6464" s="52" t="s">
        <v>25</v>
      </c>
      <c r="F6464" s="52" t="s">
        <v>26</v>
      </c>
      <c r="G6464" s="53"/>
    </row>
    <row r="6465">
      <c r="A6465" s="49">
        <v>44580.9133399537</v>
      </c>
      <c r="B6465" s="50">
        <v>44581.0383151504</v>
      </c>
      <c r="C6465" s="51">
        <v>1.002</v>
      </c>
      <c r="D6465" s="51">
        <v>65.0</v>
      </c>
      <c r="E6465" s="52" t="s">
        <v>25</v>
      </c>
      <c r="F6465" s="52" t="s">
        <v>26</v>
      </c>
      <c r="G6465" s="53"/>
    </row>
    <row r="6466">
      <c r="A6466" s="49">
        <v>44580.923765</v>
      </c>
      <c r="B6466" s="50">
        <v>44581.0487362268</v>
      </c>
      <c r="C6466" s="51">
        <v>1.001</v>
      </c>
      <c r="D6466" s="51">
        <v>65.0</v>
      </c>
      <c r="E6466" s="52" t="s">
        <v>25</v>
      </c>
      <c r="F6466" s="52" t="s">
        <v>26</v>
      </c>
      <c r="G6466" s="53"/>
    </row>
    <row r="6467">
      <c r="A6467" s="49">
        <v>44580.93418776621</v>
      </c>
      <c r="B6467" s="50">
        <v>44581.0591572337</v>
      </c>
      <c r="C6467" s="51">
        <v>1.002</v>
      </c>
      <c r="D6467" s="51">
        <v>65.0</v>
      </c>
      <c r="E6467" s="52" t="s">
        <v>25</v>
      </c>
      <c r="F6467" s="52" t="s">
        <v>26</v>
      </c>
      <c r="G6467" s="53"/>
    </row>
    <row r="6468">
      <c r="A6468" s="49">
        <v>44580.944603194446</v>
      </c>
      <c r="B6468" s="50">
        <v>44581.0695768865</v>
      </c>
      <c r="C6468" s="51">
        <v>1.002</v>
      </c>
      <c r="D6468" s="51">
        <v>65.0</v>
      </c>
      <c r="E6468" s="52" t="s">
        <v>25</v>
      </c>
      <c r="F6468" s="52" t="s">
        <v>26</v>
      </c>
      <c r="G6468" s="53"/>
    </row>
    <row r="6469">
      <c r="A6469" s="49">
        <v>44580.95502434028</v>
      </c>
      <c r="B6469" s="50">
        <v>44581.0799983101</v>
      </c>
      <c r="C6469" s="51">
        <v>1.002</v>
      </c>
      <c r="D6469" s="51">
        <v>65.0</v>
      </c>
      <c r="E6469" s="52" t="s">
        <v>25</v>
      </c>
      <c r="F6469" s="52" t="s">
        <v>26</v>
      </c>
      <c r="G6469" s="53"/>
    </row>
    <row r="6470">
      <c r="A6470" s="49">
        <v>44580.96544972222</v>
      </c>
      <c r="B6470" s="50">
        <v>44581.0904308333</v>
      </c>
      <c r="C6470" s="51">
        <v>1.002</v>
      </c>
      <c r="D6470" s="51">
        <v>65.0</v>
      </c>
      <c r="E6470" s="52" t="s">
        <v>25</v>
      </c>
      <c r="F6470" s="52" t="s">
        <v>26</v>
      </c>
      <c r="G6470" s="53"/>
    </row>
    <row r="6471">
      <c r="A6471" s="49">
        <v>44580.97588747685</v>
      </c>
      <c r="B6471" s="50">
        <v>44581.1008639351</v>
      </c>
      <c r="C6471" s="51">
        <v>1.002</v>
      </c>
      <c r="D6471" s="51">
        <v>65.0</v>
      </c>
      <c r="E6471" s="52" t="s">
        <v>25</v>
      </c>
      <c r="F6471" s="52" t="s">
        <v>26</v>
      </c>
      <c r="G6471" s="53"/>
    </row>
    <row r="6472">
      <c r="A6472" s="49">
        <v>44580.986319375</v>
      </c>
      <c r="B6472" s="50">
        <v>44581.1112843055</v>
      </c>
      <c r="C6472" s="51">
        <v>1.002</v>
      </c>
      <c r="D6472" s="51">
        <v>65.0</v>
      </c>
      <c r="E6472" s="52" t="s">
        <v>25</v>
      </c>
      <c r="F6472" s="52" t="s">
        <v>26</v>
      </c>
      <c r="G6472" s="53"/>
    </row>
    <row r="6473">
      <c r="A6473" s="49">
        <v>44580.996735231485</v>
      </c>
      <c r="B6473" s="50">
        <v>44581.1217061111</v>
      </c>
      <c r="C6473" s="51">
        <v>1.002</v>
      </c>
      <c r="D6473" s="51">
        <v>65.0</v>
      </c>
      <c r="E6473" s="52" t="s">
        <v>25</v>
      </c>
      <c r="F6473" s="52" t="s">
        <v>26</v>
      </c>
      <c r="G6473" s="53"/>
    </row>
    <row r="6474">
      <c r="A6474" s="49">
        <v>44581.00715791667</v>
      </c>
      <c r="B6474" s="50">
        <v>44581.1321382754</v>
      </c>
      <c r="C6474" s="51">
        <v>1.002</v>
      </c>
      <c r="D6474" s="51">
        <v>65.0</v>
      </c>
      <c r="E6474" s="52" t="s">
        <v>25</v>
      </c>
      <c r="F6474" s="52" t="s">
        <v>26</v>
      </c>
      <c r="G6474" s="53"/>
    </row>
    <row r="6475">
      <c r="A6475" s="49">
        <v>44581.0175814699</v>
      </c>
      <c r="B6475" s="50">
        <v>44581.1425600231</v>
      </c>
      <c r="C6475" s="51">
        <v>1.002</v>
      </c>
      <c r="D6475" s="51">
        <v>65.0</v>
      </c>
      <c r="E6475" s="52" t="s">
        <v>25</v>
      </c>
      <c r="F6475" s="52" t="s">
        <v>26</v>
      </c>
      <c r="G6475" s="53"/>
    </row>
    <row r="6476">
      <c r="A6476" s="49">
        <v>44581.02800394676</v>
      </c>
      <c r="B6476" s="50">
        <v>44581.152981412</v>
      </c>
      <c r="C6476" s="51">
        <v>1.002</v>
      </c>
      <c r="D6476" s="51">
        <v>65.0</v>
      </c>
      <c r="E6476" s="52" t="s">
        <v>25</v>
      </c>
      <c r="F6476" s="52" t="s">
        <v>26</v>
      </c>
      <c r="G6476" s="53"/>
    </row>
    <row r="6477">
      <c r="A6477" s="49">
        <v>44581.038445555554</v>
      </c>
      <c r="B6477" s="50">
        <v>44581.1634139699</v>
      </c>
      <c r="C6477" s="51">
        <v>1.002</v>
      </c>
      <c r="D6477" s="51">
        <v>65.0</v>
      </c>
      <c r="E6477" s="52" t="s">
        <v>25</v>
      </c>
      <c r="F6477" s="52" t="s">
        <v>26</v>
      </c>
      <c r="G6477" s="53"/>
    </row>
    <row r="6478">
      <c r="A6478" s="49">
        <v>44581.04886296296</v>
      </c>
      <c r="B6478" s="50">
        <v>44581.1738344444</v>
      </c>
      <c r="C6478" s="51">
        <v>1.002</v>
      </c>
      <c r="D6478" s="51">
        <v>65.0</v>
      </c>
      <c r="E6478" s="52" t="s">
        <v>25</v>
      </c>
      <c r="F6478" s="52" t="s">
        <v>26</v>
      </c>
      <c r="G6478" s="53"/>
    </row>
    <row r="6479">
      <c r="A6479" s="49">
        <v>44581.05928078704</v>
      </c>
      <c r="B6479" s="50">
        <v>44581.1842548263</v>
      </c>
      <c r="C6479" s="51">
        <v>1.002</v>
      </c>
      <c r="D6479" s="51">
        <v>65.0</v>
      </c>
      <c r="E6479" s="52" t="s">
        <v>25</v>
      </c>
      <c r="F6479" s="52" t="s">
        <v>26</v>
      </c>
      <c r="G6479" s="53"/>
    </row>
    <row r="6480">
      <c r="A6480" s="49">
        <v>44581.06970504629</v>
      </c>
      <c r="B6480" s="50">
        <v>44581.1946766782</v>
      </c>
      <c r="C6480" s="51">
        <v>1.002</v>
      </c>
      <c r="D6480" s="51">
        <v>65.0</v>
      </c>
      <c r="E6480" s="52" t="s">
        <v>25</v>
      </c>
      <c r="F6480" s="52" t="s">
        <v>26</v>
      </c>
      <c r="G6480" s="53"/>
    </row>
    <row r="6481">
      <c r="A6481" s="49">
        <v>44581.08015579861</v>
      </c>
      <c r="B6481" s="50">
        <v>44581.2051317245</v>
      </c>
      <c r="C6481" s="51">
        <v>1.002</v>
      </c>
      <c r="D6481" s="51">
        <v>65.0</v>
      </c>
      <c r="E6481" s="52" t="s">
        <v>25</v>
      </c>
      <c r="F6481" s="52" t="s">
        <v>26</v>
      </c>
      <c r="G6481" s="53"/>
    </row>
    <row r="6482">
      <c r="A6482" s="49">
        <v>44581.0905787963</v>
      </c>
      <c r="B6482" s="50">
        <v>44581.2155541087</v>
      </c>
      <c r="C6482" s="51">
        <v>1.002</v>
      </c>
      <c r="D6482" s="51">
        <v>65.0</v>
      </c>
      <c r="E6482" s="52" t="s">
        <v>25</v>
      </c>
      <c r="F6482" s="52" t="s">
        <v>26</v>
      </c>
      <c r="G6482" s="53"/>
    </row>
    <row r="6483">
      <c r="A6483" s="49">
        <v>44581.10100015046</v>
      </c>
      <c r="B6483" s="50">
        <v>44581.2259746527</v>
      </c>
      <c r="C6483" s="51">
        <v>1.002</v>
      </c>
      <c r="D6483" s="51">
        <v>65.0</v>
      </c>
      <c r="E6483" s="52" t="s">
        <v>25</v>
      </c>
      <c r="F6483" s="52" t="s">
        <v>26</v>
      </c>
      <c r="G6483" s="53"/>
    </row>
    <row r="6484">
      <c r="A6484" s="49">
        <v>44581.11143055555</v>
      </c>
      <c r="B6484" s="50">
        <v>44581.2363951967</v>
      </c>
      <c r="C6484" s="51">
        <v>1.002</v>
      </c>
      <c r="D6484" s="51">
        <v>65.0</v>
      </c>
      <c r="E6484" s="52" t="s">
        <v>25</v>
      </c>
      <c r="F6484" s="52" t="s">
        <v>26</v>
      </c>
      <c r="G6484" s="53"/>
    </row>
    <row r="6485">
      <c r="A6485" s="49">
        <v>44581.12184994213</v>
      </c>
      <c r="B6485" s="50">
        <v>44581.2468175462</v>
      </c>
      <c r="C6485" s="51">
        <v>1.002</v>
      </c>
      <c r="D6485" s="51">
        <v>65.0</v>
      </c>
      <c r="E6485" s="52" t="s">
        <v>25</v>
      </c>
      <c r="F6485" s="52" t="s">
        <v>26</v>
      </c>
      <c r="G6485" s="53"/>
    </row>
    <row r="6486">
      <c r="A6486" s="49">
        <v>44581.13226246528</v>
      </c>
      <c r="B6486" s="50">
        <v>44581.2572393287</v>
      </c>
      <c r="C6486" s="51">
        <v>1.002</v>
      </c>
      <c r="D6486" s="51">
        <v>65.0</v>
      </c>
      <c r="E6486" s="52" t="s">
        <v>25</v>
      </c>
      <c r="F6486" s="52" t="s">
        <v>26</v>
      </c>
      <c r="G6486" s="53"/>
    </row>
    <row r="6487">
      <c r="A6487" s="49">
        <v>44581.1427055324</v>
      </c>
      <c r="B6487" s="50">
        <v>44581.267674155</v>
      </c>
      <c r="C6487" s="51">
        <v>1.002</v>
      </c>
      <c r="D6487" s="51">
        <v>65.0</v>
      </c>
      <c r="E6487" s="52" t="s">
        <v>25</v>
      </c>
      <c r="F6487" s="52" t="s">
        <v>26</v>
      </c>
      <c r="G6487" s="53"/>
    </row>
    <row r="6488">
      <c r="A6488" s="49">
        <v>44581.15311128472</v>
      </c>
      <c r="B6488" s="50">
        <v>44581.2780948611</v>
      </c>
      <c r="C6488" s="51">
        <v>1.002</v>
      </c>
      <c r="D6488" s="51">
        <v>65.0</v>
      </c>
      <c r="E6488" s="52" t="s">
        <v>25</v>
      </c>
      <c r="F6488" s="52" t="s">
        <v>26</v>
      </c>
      <c r="G6488" s="53"/>
    </row>
    <row r="6489">
      <c r="A6489" s="49">
        <v>44581.163546192125</v>
      </c>
      <c r="B6489" s="50">
        <v>44581.2885157638</v>
      </c>
      <c r="C6489" s="51">
        <v>1.002</v>
      </c>
      <c r="D6489" s="51">
        <v>65.0</v>
      </c>
      <c r="E6489" s="52" t="s">
        <v>25</v>
      </c>
      <c r="F6489" s="52" t="s">
        <v>26</v>
      </c>
      <c r="G6489" s="53"/>
    </row>
    <row r="6490">
      <c r="A6490" s="49">
        <v>44581.17397023148</v>
      </c>
      <c r="B6490" s="50">
        <v>44581.2989373611</v>
      </c>
      <c r="C6490" s="51">
        <v>1.002</v>
      </c>
      <c r="D6490" s="51">
        <v>65.0</v>
      </c>
      <c r="E6490" s="52" t="s">
        <v>25</v>
      </c>
      <c r="F6490" s="52" t="s">
        <v>26</v>
      </c>
      <c r="G6490" s="53"/>
    </row>
    <row r="6491">
      <c r="A6491" s="49">
        <v>44581.184385625005</v>
      </c>
      <c r="B6491" s="50">
        <v>44581.3093573495</v>
      </c>
      <c r="C6491" s="51">
        <v>1.002</v>
      </c>
      <c r="D6491" s="51">
        <v>65.0</v>
      </c>
      <c r="E6491" s="52" t="s">
        <v>25</v>
      </c>
      <c r="F6491" s="52" t="s">
        <v>26</v>
      </c>
      <c r="G6491" s="53"/>
    </row>
    <row r="6492">
      <c r="A6492" s="49">
        <v>44581.1948094213</v>
      </c>
      <c r="B6492" s="50">
        <v>44581.3197770254</v>
      </c>
      <c r="C6492" s="51">
        <v>1.002</v>
      </c>
      <c r="D6492" s="51">
        <v>65.0</v>
      </c>
      <c r="E6492" s="52" t="s">
        <v>25</v>
      </c>
      <c r="F6492" s="52" t="s">
        <v>26</v>
      </c>
      <c r="G6492" s="53"/>
    </row>
    <row r="6493">
      <c r="A6493" s="49">
        <v>44581.20522993055</v>
      </c>
      <c r="B6493" s="50">
        <v>44581.3301990162</v>
      </c>
      <c r="C6493" s="51">
        <v>1.002</v>
      </c>
      <c r="D6493" s="51">
        <v>65.0</v>
      </c>
      <c r="E6493" s="52" t="s">
        <v>25</v>
      </c>
      <c r="F6493" s="52" t="s">
        <v>26</v>
      </c>
      <c r="G6493" s="53"/>
    </row>
    <row r="6494">
      <c r="A6494" s="49">
        <v>44581.21566091436</v>
      </c>
      <c r="B6494" s="50">
        <v>44581.3406329166</v>
      </c>
      <c r="C6494" s="51">
        <v>1.002</v>
      </c>
      <c r="D6494" s="51">
        <v>64.0</v>
      </c>
      <c r="E6494" s="52" t="s">
        <v>25</v>
      </c>
      <c r="F6494" s="52" t="s">
        <v>26</v>
      </c>
      <c r="G6494" s="53"/>
    </row>
    <row r="6495">
      <c r="A6495" s="49">
        <v>44581.22607200232</v>
      </c>
      <c r="B6495" s="50">
        <v>44581.3510522453</v>
      </c>
      <c r="C6495" s="51">
        <v>1.002</v>
      </c>
      <c r="D6495" s="51">
        <v>64.0</v>
      </c>
      <c r="E6495" s="52" t="s">
        <v>25</v>
      </c>
      <c r="F6495" s="52" t="s">
        <v>26</v>
      </c>
      <c r="G6495" s="53"/>
    </row>
    <row r="6496">
      <c r="A6496" s="49">
        <v>44581.236498865735</v>
      </c>
      <c r="B6496" s="50">
        <v>44581.3614735532</v>
      </c>
      <c r="C6496" s="51">
        <v>1.002</v>
      </c>
      <c r="D6496" s="51">
        <v>64.0</v>
      </c>
      <c r="E6496" s="52" t="s">
        <v>25</v>
      </c>
      <c r="F6496" s="52" t="s">
        <v>26</v>
      </c>
      <c r="G6496" s="53"/>
    </row>
    <row r="6497">
      <c r="A6497" s="49">
        <v>44581.24693057871</v>
      </c>
      <c r="B6497" s="50">
        <v>44581.3718927777</v>
      </c>
      <c r="C6497" s="51">
        <v>1.002</v>
      </c>
      <c r="D6497" s="51">
        <v>64.0</v>
      </c>
      <c r="E6497" s="52" t="s">
        <v>25</v>
      </c>
      <c r="F6497" s="52" t="s">
        <v>26</v>
      </c>
      <c r="G6497" s="53"/>
    </row>
    <row r="6498">
      <c r="A6498" s="49">
        <v>44581.25736538194</v>
      </c>
      <c r="B6498" s="50">
        <v>44581.3823138657</v>
      </c>
      <c r="C6498" s="51">
        <v>1.002</v>
      </c>
      <c r="D6498" s="51">
        <v>64.0</v>
      </c>
      <c r="E6498" s="52" t="s">
        <v>25</v>
      </c>
      <c r="F6498" s="52" t="s">
        <v>26</v>
      </c>
      <c r="G6498" s="53"/>
    </row>
    <row r="6499">
      <c r="A6499" s="49">
        <v>44581.26776609954</v>
      </c>
      <c r="B6499" s="50">
        <v>44581.3927356944</v>
      </c>
      <c r="C6499" s="51">
        <v>1.002</v>
      </c>
      <c r="D6499" s="51">
        <v>64.0</v>
      </c>
      <c r="E6499" s="52" t="s">
        <v>25</v>
      </c>
      <c r="F6499" s="52" t="s">
        <v>26</v>
      </c>
      <c r="G6499" s="53"/>
    </row>
    <row r="6500">
      <c r="A6500" s="49">
        <v>44581.278184270835</v>
      </c>
      <c r="B6500" s="50">
        <v>44581.4031573263</v>
      </c>
      <c r="C6500" s="51">
        <v>1.002</v>
      </c>
      <c r="D6500" s="51">
        <v>64.0</v>
      </c>
      <c r="E6500" s="52" t="s">
        <v>25</v>
      </c>
      <c r="F6500" s="52" t="s">
        <v>26</v>
      </c>
      <c r="G6500" s="53"/>
    </row>
    <row r="6501">
      <c r="A6501" s="49">
        <v>44581.28860613426</v>
      </c>
      <c r="B6501" s="50">
        <v>44581.4135792708</v>
      </c>
      <c r="C6501" s="51">
        <v>1.002</v>
      </c>
      <c r="D6501" s="51">
        <v>64.0</v>
      </c>
      <c r="E6501" s="52" t="s">
        <v>25</v>
      </c>
      <c r="F6501" s="52" t="s">
        <v>26</v>
      </c>
      <c r="G6501" s="53"/>
    </row>
    <row r="6502">
      <c r="A6502" s="49">
        <v>44581.29903188658</v>
      </c>
      <c r="B6502" s="50">
        <v>44581.4240112037</v>
      </c>
      <c r="C6502" s="51">
        <v>1.002</v>
      </c>
      <c r="D6502" s="51">
        <v>64.0</v>
      </c>
      <c r="E6502" s="52" t="s">
        <v>25</v>
      </c>
      <c r="F6502" s="52" t="s">
        <v>26</v>
      </c>
      <c r="G6502" s="53"/>
    </row>
    <row r="6503">
      <c r="A6503" s="49">
        <v>44581.30948483796</v>
      </c>
      <c r="B6503" s="50">
        <v>44581.4344561226</v>
      </c>
      <c r="C6503" s="51">
        <v>1.002</v>
      </c>
      <c r="D6503" s="51">
        <v>64.0</v>
      </c>
      <c r="E6503" s="52" t="s">
        <v>25</v>
      </c>
      <c r="F6503" s="52" t="s">
        <v>26</v>
      </c>
      <c r="G6503" s="53"/>
    </row>
    <row r="6504">
      <c r="A6504" s="49">
        <v>44581.31992967593</v>
      </c>
      <c r="B6504" s="50">
        <v>44581.4448892361</v>
      </c>
      <c r="C6504" s="51">
        <v>1.001</v>
      </c>
      <c r="D6504" s="51">
        <v>64.0</v>
      </c>
      <c r="E6504" s="52" t="s">
        <v>25</v>
      </c>
      <c r="F6504" s="52" t="s">
        <v>26</v>
      </c>
      <c r="G6504" s="53"/>
    </row>
    <row r="6505">
      <c r="A6505" s="49">
        <v>44581.3303355324</v>
      </c>
      <c r="B6505" s="50">
        <v>44581.4553089699</v>
      </c>
      <c r="C6505" s="51">
        <v>1.002</v>
      </c>
      <c r="D6505" s="51">
        <v>64.0</v>
      </c>
      <c r="E6505" s="52" t="s">
        <v>25</v>
      </c>
      <c r="F6505" s="52" t="s">
        <v>26</v>
      </c>
      <c r="G6505" s="53"/>
    </row>
    <row r="6506">
      <c r="A6506" s="49">
        <v>44581.34076828704</v>
      </c>
      <c r="B6506" s="50">
        <v>44581.4657416435</v>
      </c>
      <c r="C6506" s="51">
        <v>1.002</v>
      </c>
      <c r="D6506" s="51">
        <v>64.0</v>
      </c>
      <c r="E6506" s="52" t="s">
        <v>25</v>
      </c>
      <c r="F6506" s="52" t="s">
        <v>26</v>
      </c>
      <c r="G6506" s="53"/>
    </row>
    <row r="6507">
      <c r="A6507" s="49">
        <v>44581.351187314816</v>
      </c>
      <c r="B6507" s="50">
        <v>44581.476161655</v>
      </c>
      <c r="C6507" s="51">
        <v>1.002</v>
      </c>
      <c r="D6507" s="51">
        <v>64.0</v>
      </c>
      <c r="E6507" s="52" t="s">
        <v>25</v>
      </c>
      <c r="F6507" s="52" t="s">
        <v>26</v>
      </c>
      <c r="G6507" s="53"/>
    </row>
    <row r="6508">
      <c r="A6508" s="49">
        <v>44581.36160925926</v>
      </c>
      <c r="B6508" s="50">
        <v>44581.4865828472</v>
      </c>
      <c r="C6508" s="51">
        <v>1.002</v>
      </c>
      <c r="D6508" s="51">
        <v>64.0</v>
      </c>
      <c r="E6508" s="52" t="s">
        <v>25</v>
      </c>
      <c r="F6508" s="52" t="s">
        <v>26</v>
      </c>
      <c r="G6508" s="53"/>
    </row>
    <row r="6509">
      <c r="A6509" s="49">
        <v>44581.372033645835</v>
      </c>
      <c r="B6509" s="50">
        <v>44581.4970036111</v>
      </c>
      <c r="C6509" s="51">
        <v>1.002</v>
      </c>
      <c r="D6509" s="51">
        <v>64.0</v>
      </c>
      <c r="E6509" s="52" t="s">
        <v>25</v>
      </c>
      <c r="F6509" s="52" t="s">
        <v>26</v>
      </c>
      <c r="G6509" s="53"/>
    </row>
    <row r="6510">
      <c r="A6510" s="49">
        <v>44581.382449745375</v>
      </c>
      <c r="B6510" s="50">
        <v>44581.5074243171</v>
      </c>
      <c r="C6510" s="51">
        <v>1.002</v>
      </c>
      <c r="D6510" s="51">
        <v>64.0</v>
      </c>
      <c r="E6510" s="52" t="s">
        <v>25</v>
      </c>
      <c r="F6510" s="52" t="s">
        <v>26</v>
      </c>
      <c r="G6510" s="53"/>
    </row>
    <row r="6511">
      <c r="A6511" s="49">
        <v>44581.392868379626</v>
      </c>
      <c r="B6511" s="50">
        <v>44581.5178465161</v>
      </c>
      <c r="C6511" s="51">
        <v>1.002</v>
      </c>
      <c r="D6511" s="51">
        <v>64.0</v>
      </c>
      <c r="E6511" s="52" t="s">
        <v>25</v>
      </c>
      <c r="F6511" s="52" t="s">
        <v>26</v>
      </c>
      <c r="G6511" s="53"/>
    </row>
    <row r="6512">
      <c r="A6512" s="49">
        <v>44581.403294675925</v>
      </c>
      <c r="B6512" s="50">
        <v>44581.5282679166</v>
      </c>
      <c r="C6512" s="51">
        <v>1.002</v>
      </c>
      <c r="D6512" s="51">
        <v>64.0</v>
      </c>
      <c r="E6512" s="52" t="s">
        <v>25</v>
      </c>
      <c r="F6512" s="52" t="s">
        <v>26</v>
      </c>
      <c r="G6512" s="53"/>
    </row>
    <row r="6513">
      <c r="A6513" s="49">
        <v>44581.4137178588</v>
      </c>
      <c r="B6513" s="50">
        <v>44581.5386890509</v>
      </c>
      <c r="C6513" s="51">
        <v>1.002</v>
      </c>
      <c r="D6513" s="51">
        <v>64.0</v>
      </c>
      <c r="E6513" s="52" t="s">
        <v>25</v>
      </c>
      <c r="F6513" s="52" t="s">
        <v>26</v>
      </c>
      <c r="G6513" s="53"/>
    </row>
    <row r="6514">
      <c r="A6514" s="49">
        <v>44581.42413487269</v>
      </c>
      <c r="B6514" s="50">
        <v>44581.5491099421</v>
      </c>
      <c r="C6514" s="51">
        <v>1.002</v>
      </c>
      <c r="D6514" s="51">
        <v>64.0</v>
      </c>
      <c r="E6514" s="52" t="s">
        <v>25</v>
      </c>
      <c r="F6514" s="52" t="s">
        <v>26</v>
      </c>
      <c r="G6514" s="53"/>
    </row>
    <row r="6515">
      <c r="A6515" s="49">
        <v>44581.43456949074</v>
      </c>
      <c r="B6515" s="50">
        <v>44581.5595426041</v>
      </c>
      <c r="C6515" s="51">
        <v>1.002</v>
      </c>
      <c r="D6515" s="51">
        <v>64.0</v>
      </c>
      <c r="E6515" s="52" t="s">
        <v>25</v>
      </c>
      <c r="F6515" s="52" t="s">
        <v>26</v>
      </c>
      <c r="G6515" s="53"/>
    </row>
    <row r="6516">
      <c r="A6516" s="49">
        <v>44581.44499510417</v>
      </c>
      <c r="B6516" s="50">
        <v>44581.5699645023</v>
      </c>
      <c r="C6516" s="51">
        <v>1.002</v>
      </c>
      <c r="D6516" s="51">
        <v>64.0</v>
      </c>
      <c r="E6516" s="52" t="s">
        <v>25</v>
      </c>
      <c r="F6516" s="52" t="s">
        <v>26</v>
      </c>
      <c r="G6516" s="53"/>
    </row>
    <row r="6517">
      <c r="A6517" s="49">
        <v>44581.455439004625</v>
      </c>
      <c r="B6517" s="50">
        <v>44581.5804085995</v>
      </c>
      <c r="C6517" s="51">
        <v>1.002</v>
      </c>
      <c r="D6517" s="51">
        <v>64.0</v>
      </c>
      <c r="E6517" s="52" t="s">
        <v>25</v>
      </c>
      <c r="F6517" s="52" t="s">
        <v>26</v>
      </c>
      <c r="G6517" s="53"/>
    </row>
    <row r="6518">
      <c r="A6518" s="49">
        <v>44581.46586895833</v>
      </c>
      <c r="B6518" s="50">
        <v>44581.5908426157</v>
      </c>
      <c r="C6518" s="51">
        <v>1.002</v>
      </c>
      <c r="D6518" s="51">
        <v>64.0</v>
      </c>
      <c r="E6518" s="52" t="s">
        <v>25</v>
      </c>
      <c r="F6518" s="52" t="s">
        <v>26</v>
      </c>
      <c r="G6518" s="53"/>
    </row>
    <row r="6519">
      <c r="A6519" s="49">
        <v>44581.47628795139</v>
      </c>
      <c r="B6519" s="50">
        <v>44581.6012626967</v>
      </c>
      <c r="C6519" s="51">
        <v>1.002</v>
      </c>
      <c r="D6519" s="51">
        <v>64.0</v>
      </c>
      <c r="E6519" s="52" t="s">
        <v>25</v>
      </c>
      <c r="F6519" s="52" t="s">
        <v>26</v>
      </c>
      <c r="G6519" s="53"/>
    </row>
    <row r="6520">
      <c r="A6520" s="49">
        <v>44581.4867075</v>
      </c>
      <c r="B6520" s="50">
        <v>44581.6116840277</v>
      </c>
      <c r="C6520" s="51">
        <v>1.002</v>
      </c>
      <c r="D6520" s="51">
        <v>64.0</v>
      </c>
      <c r="E6520" s="52" t="s">
        <v>25</v>
      </c>
      <c r="F6520" s="52" t="s">
        <v>26</v>
      </c>
      <c r="G6520" s="53"/>
    </row>
    <row r="6521">
      <c r="A6521" s="49">
        <v>44581.49714009259</v>
      </c>
      <c r="B6521" s="50">
        <v>44581.6221155787</v>
      </c>
      <c r="C6521" s="51">
        <v>1.002</v>
      </c>
      <c r="D6521" s="51">
        <v>64.0</v>
      </c>
      <c r="E6521" s="52" t="s">
        <v>25</v>
      </c>
      <c r="F6521" s="52" t="s">
        <v>26</v>
      </c>
      <c r="G6521" s="53"/>
    </row>
    <row r="6522">
      <c r="A6522" s="49">
        <v>44581.507557916666</v>
      </c>
      <c r="B6522" s="50">
        <v>44581.6325349305</v>
      </c>
      <c r="C6522" s="51">
        <v>1.002</v>
      </c>
      <c r="D6522" s="51">
        <v>64.0</v>
      </c>
      <c r="E6522" s="52" t="s">
        <v>25</v>
      </c>
      <c r="F6522" s="52" t="s">
        <v>26</v>
      </c>
      <c r="G6522" s="53"/>
    </row>
    <row r="6523">
      <c r="A6523" s="49">
        <v>44581.51798480324</v>
      </c>
      <c r="B6523" s="50">
        <v>44581.6429562731</v>
      </c>
      <c r="C6523" s="51">
        <v>1.002</v>
      </c>
      <c r="D6523" s="51">
        <v>64.0</v>
      </c>
      <c r="E6523" s="52" t="s">
        <v>25</v>
      </c>
      <c r="F6523" s="52" t="s">
        <v>26</v>
      </c>
      <c r="G6523" s="53"/>
    </row>
    <row r="6524">
      <c r="A6524" s="49">
        <v>44581.52840811343</v>
      </c>
      <c r="B6524" s="50">
        <v>44581.6533778703</v>
      </c>
      <c r="C6524" s="51">
        <v>1.002</v>
      </c>
      <c r="D6524" s="51">
        <v>64.0</v>
      </c>
      <c r="E6524" s="52" t="s">
        <v>25</v>
      </c>
      <c r="F6524" s="52" t="s">
        <v>26</v>
      </c>
      <c r="G6524" s="53"/>
    </row>
    <row r="6525">
      <c r="A6525" s="49">
        <v>44581.53882581019</v>
      </c>
      <c r="B6525" s="50">
        <v>44581.6637999189</v>
      </c>
      <c r="C6525" s="51">
        <v>1.002</v>
      </c>
      <c r="D6525" s="51">
        <v>64.0</v>
      </c>
      <c r="E6525" s="52" t="s">
        <v>25</v>
      </c>
      <c r="F6525" s="52" t="s">
        <v>26</v>
      </c>
      <c r="G6525" s="53"/>
    </row>
    <row r="6526">
      <c r="A6526" s="49">
        <v>44581.54924628472</v>
      </c>
      <c r="B6526" s="50">
        <v>44581.6742223148</v>
      </c>
      <c r="C6526" s="51">
        <v>1.002</v>
      </c>
      <c r="D6526" s="51">
        <v>64.0</v>
      </c>
      <c r="E6526" s="52" t="s">
        <v>25</v>
      </c>
      <c r="F6526" s="52" t="s">
        <v>26</v>
      </c>
      <c r="G6526" s="53"/>
    </row>
    <row r="6527">
      <c r="A6527" s="49">
        <v>44581.559680694445</v>
      </c>
      <c r="B6527" s="50">
        <v>44581.6846545949</v>
      </c>
      <c r="C6527" s="51">
        <v>1.002</v>
      </c>
      <c r="D6527" s="51">
        <v>64.0</v>
      </c>
      <c r="E6527" s="52" t="s">
        <v>25</v>
      </c>
      <c r="F6527" s="52" t="s">
        <v>26</v>
      </c>
      <c r="G6527" s="53"/>
    </row>
    <row r="6528">
      <c r="A6528" s="49">
        <v>44581.57013017361</v>
      </c>
      <c r="B6528" s="50">
        <v>44581.6950997222</v>
      </c>
      <c r="C6528" s="51">
        <v>1.002</v>
      </c>
      <c r="D6528" s="51">
        <v>64.0</v>
      </c>
      <c r="E6528" s="52" t="s">
        <v>25</v>
      </c>
      <c r="F6528" s="52" t="s">
        <v>26</v>
      </c>
      <c r="G6528" s="53"/>
    </row>
    <row r="6529">
      <c r="A6529" s="49">
        <v>44581.58059172454</v>
      </c>
      <c r="B6529" s="50">
        <v>44581.705567199</v>
      </c>
      <c r="C6529" s="51">
        <v>1.002</v>
      </c>
      <c r="D6529" s="51">
        <v>64.0</v>
      </c>
      <c r="E6529" s="52" t="s">
        <v>25</v>
      </c>
      <c r="F6529" s="52" t="s">
        <v>26</v>
      </c>
      <c r="G6529" s="53"/>
    </row>
    <row r="6530">
      <c r="A6530" s="49">
        <v>44581.59101364583</v>
      </c>
      <c r="B6530" s="50">
        <v>44581.7159863773</v>
      </c>
      <c r="C6530" s="51">
        <v>1.002</v>
      </c>
      <c r="D6530" s="51">
        <v>64.0</v>
      </c>
      <c r="E6530" s="52" t="s">
        <v>25</v>
      </c>
      <c r="F6530" s="52" t="s">
        <v>26</v>
      </c>
      <c r="G6530" s="53"/>
    </row>
    <row r="6531">
      <c r="A6531" s="49">
        <v>44581.601423252316</v>
      </c>
      <c r="B6531" s="50">
        <v>44581.726406875</v>
      </c>
      <c r="C6531" s="51">
        <v>1.002</v>
      </c>
      <c r="D6531" s="51">
        <v>64.0</v>
      </c>
      <c r="E6531" s="52" t="s">
        <v>25</v>
      </c>
      <c r="F6531" s="52" t="s">
        <v>26</v>
      </c>
      <c r="G6531" s="53"/>
    </row>
    <row r="6532">
      <c r="A6532" s="49">
        <v>44581.61184917824</v>
      </c>
      <c r="B6532" s="50">
        <v>44581.7368287499</v>
      </c>
      <c r="C6532" s="51">
        <v>1.002</v>
      </c>
      <c r="D6532" s="51">
        <v>64.0</v>
      </c>
      <c r="E6532" s="52" t="s">
        <v>25</v>
      </c>
      <c r="F6532" s="52" t="s">
        <v>26</v>
      </c>
      <c r="G6532" s="53"/>
    </row>
    <row r="6533">
      <c r="A6533" s="49">
        <v>44581.62226729166</v>
      </c>
      <c r="B6533" s="50">
        <v>44581.7472504513</v>
      </c>
      <c r="C6533" s="51">
        <v>1.001</v>
      </c>
      <c r="D6533" s="51">
        <v>64.0</v>
      </c>
      <c r="E6533" s="52" t="s">
        <v>25</v>
      </c>
      <c r="F6533" s="52" t="s">
        <v>26</v>
      </c>
      <c r="G6533" s="53"/>
    </row>
    <row r="6534">
      <c r="A6534" s="49">
        <v>44581.63270957176</v>
      </c>
      <c r="B6534" s="50">
        <v>44581.7576817361</v>
      </c>
      <c r="C6534" s="51">
        <v>1.002</v>
      </c>
      <c r="D6534" s="51">
        <v>63.0</v>
      </c>
      <c r="E6534" s="52" t="s">
        <v>25</v>
      </c>
      <c r="F6534" s="52" t="s">
        <v>26</v>
      </c>
      <c r="G6534" s="53"/>
    </row>
    <row r="6535">
      <c r="A6535" s="49">
        <v>44581.64314490741</v>
      </c>
      <c r="B6535" s="50">
        <v>44581.7681144907</v>
      </c>
      <c r="C6535" s="51">
        <v>1.002</v>
      </c>
      <c r="D6535" s="51">
        <v>63.0</v>
      </c>
      <c r="E6535" s="52" t="s">
        <v>25</v>
      </c>
      <c r="F6535" s="52" t="s">
        <v>26</v>
      </c>
      <c r="G6535" s="53"/>
    </row>
    <row r="6536">
      <c r="A6536" s="49">
        <v>44581.65355225695</v>
      </c>
      <c r="B6536" s="50">
        <v>44581.7785348148</v>
      </c>
      <c r="C6536" s="51">
        <v>1.002</v>
      </c>
      <c r="D6536" s="51">
        <v>64.0</v>
      </c>
      <c r="E6536" s="52" t="s">
        <v>25</v>
      </c>
      <c r="F6536" s="52" t="s">
        <v>26</v>
      </c>
      <c r="G6536" s="53"/>
    </row>
    <row r="6537">
      <c r="A6537" s="49">
        <v>44581.66397548611</v>
      </c>
      <c r="B6537" s="50">
        <v>44581.788956956</v>
      </c>
      <c r="C6537" s="51">
        <v>1.001</v>
      </c>
      <c r="D6537" s="51">
        <v>63.0</v>
      </c>
      <c r="E6537" s="52" t="s">
        <v>25</v>
      </c>
      <c r="F6537" s="52" t="s">
        <v>26</v>
      </c>
      <c r="G6537" s="53"/>
    </row>
    <row r="6538">
      <c r="A6538" s="49">
        <v>44581.674404895835</v>
      </c>
      <c r="B6538" s="50">
        <v>44581.7993775347</v>
      </c>
      <c r="C6538" s="51">
        <v>1.002</v>
      </c>
      <c r="D6538" s="51">
        <v>63.0</v>
      </c>
      <c r="E6538" s="52" t="s">
        <v>25</v>
      </c>
      <c r="F6538" s="52" t="s">
        <v>26</v>
      </c>
      <c r="G6538" s="53"/>
    </row>
    <row r="6539">
      <c r="A6539" s="49">
        <v>44581.68481413195</v>
      </c>
      <c r="B6539" s="50">
        <v>44581.8097980555</v>
      </c>
      <c r="C6539" s="51">
        <v>1.002</v>
      </c>
      <c r="D6539" s="51">
        <v>63.0</v>
      </c>
      <c r="E6539" s="52" t="s">
        <v>25</v>
      </c>
      <c r="F6539" s="52" t="s">
        <v>26</v>
      </c>
      <c r="G6539" s="53"/>
    </row>
    <row r="6540">
      <c r="A6540" s="49">
        <v>44581.695239444445</v>
      </c>
      <c r="B6540" s="50">
        <v>44581.8202196875</v>
      </c>
      <c r="C6540" s="51">
        <v>1.002</v>
      </c>
      <c r="D6540" s="51">
        <v>63.0</v>
      </c>
      <c r="E6540" s="52" t="s">
        <v>25</v>
      </c>
      <c r="F6540" s="52" t="s">
        <v>26</v>
      </c>
      <c r="G6540" s="53"/>
    </row>
    <row r="6541">
      <c r="A6541" s="49">
        <v>44581.705666979164</v>
      </c>
      <c r="B6541" s="50">
        <v>44581.8306405902</v>
      </c>
      <c r="C6541" s="51">
        <v>1.002</v>
      </c>
      <c r="D6541" s="51">
        <v>63.0</v>
      </c>
      <c r="E6541" s="52" t="s">
        <v>25</v>
      </c>
      <c r="F6541" s="52" t="s">
        <v>26</v>
      </c>
      <c r="G6541" s="53"/>
    </row>
    <row r="6542">
      <c r="A6542" s="49">
        <v>44581.71607987268</v>
      </c>
      <c r="B6542" s="50">
        <v>44581.8410620023</v>
      </c>
      <c r="C6542" s="51">
        <v>1.002</v>
      </c>
      <c r="D6542" s="51">
        <v>63.0</v>
      </c>
      <c r="E6542" s="52" t="s">
        <v>25</v>
      </c>
      <c r="F6542" s="52" t="s">
        <v>26</v>
      </c>
      <c r="G6542" s="53"/>
    </row>
    <row r="6543">
      <c r="A6543" s="49">
        <v>44581.72650113426</v>
      </c>
      <c r="B6543" s="50">
        <v>44581.8514834143</v>
      </c>
      <c r="C6543" s="51">
        <v>1.002</v>
      </c>
      <c r="D6543" s="51">
        <v>63.0</v>
      </c>
      <c r="E6543" s="52" t="s">
        <v>25</v>
      </c>
      <c r="F6543" s="52" t="s">
        <v>26</v>
      </c>
      <c r="G6543" s="53"/>
    </row>
    <row r="6544">
      <c r="A6544" s="49">
        <v>44581.73693358796</v>
      </c>
      <c r="B6544" s="50">
        <v>44581.8619160995</v>
      </c>
      <c r="C6544" s="51">
        <v>1.002</v>
      </c>
      <c r="D6544" s="51">
        <v>63.0</v>
      </c>
      <c r="E6544" s="52" t="s">
        <v>25</v>
      </c>
      <c r="F6544" s="52" t="s">
        <v>26</v>
      </c>
      <c r="G6544" s="53"/>
    </row>
    <row r="6545">
      <c r="A6545" s="49">
        <v>44581.74736165509</v>
      </c>
      <c r="B6545" s="50">
        <v>44581.8723390509</v>
      </c>
      <c r="C6545" s="51">
        <v>1.002</v>
      </c>
      <c r="D6545" s="51">
        <v>63.0</v>
      </c>
      <c r="E6545" s="52" t="s">
        <v>25</v>
      </c>
      <c r="F6545" s="52" t="s">
        <v>26</v>
      </c>
      <c r="G6545" s="53"/>
    </row>
    <row r="6546">
      <c r="A6546" s="49">
        <v>44581.75778585648</v>
      </c>
      <c r="B6546" s="50">
        <v>44581.8827598958</v>
      </c>
      <c r="C6546" s="51">
        <v>1.002</v>
      </c>
      <c r="D6546" s="51">
        <v>63.0</v>
      </c>
      <c r="E6546" s="52" t="s">
        <v>25</v>
      </c>
      <c r="F6546" s="52" t="s">
        <v>26</v>
      </c>
      <c r="G6546" s="53"/>
    </row>
    <row r="6547">
      <c r="A6547" s="49">
        <v>44581.76820802083</v>
      </c>
      <c r="B6547" s="50">
        <v>44581.8931816435</v>
      </c>
      <c r="C6547" s="51">
        <v>1.002</v>
      </c>
      <c r="D6547" s="51">
        <v>63.0</v>
      </c>
      <c r="E6547" s="52" t="s">
        <v>25</v>
      </c>
      <c r="F6547" s="52" t="s">
        <v>26</v>
      </c>
      <c r="G6547" s="53"/>
    </row>
    <row r="6548">
      <c r="A6548" s="49">
        <v>44581.778619178236</v>
      </c>
      <c r="B6548" s="50">
        <v>44581.9036026157</v>
      </c>
      <c r="C6548" s="51">
        <v>1.002</v>
      </c>
      <c r="D6548" s="51">
        <v>63.0</v>
      </c>
      <c r="E6548" s="52" t="s">
        <v>25</v>
      </c>
      <c r="F6548" s="52" t="s">
        <v>26</v>
      </c>
      <c r="G6548" s="53"/>
    </row>
    <row r="6549">
      <c r="A6549" s="49">
        <v>44581.78904094908</v>
      </c>
      <c r="B6549" s="50">
        <v>44581.9140224305</v>
      </c>
      <c r="C6549" s="51">
        <v>1.001</v>
      </c>
      <c r="D6549" s="51">
        <v>63.0</v>
      </c>
      <c r="E6549" s="52" t="s">
        <v>25</v>
      </c>
      <c r="F6549" s="52" t="s">
        <v>26</v>
      </c>
      <c r="G6549" s="53"/>
    </row>
    <row r="6550">
      <c r="A6550" s="49">
        <v>44581.799474479165</v>
      </c>
      <c r="B6550" s="50">
        <v>44581.9244566319</v>
      </c>
      <c r="C6550" s="51">
        <v>1.002</v>
      </c>
      <c r="D6550" s="51">
        <v>63.0</v>
      </c>
      <c r="E6550" s="52" t="s">
        <v>25</v>
      </c>
      <c r="F6550" s="52" t="s">
        <v>26</v>
      </c>
      <c r="G6550" s="53"/>
    </row>
    <row r="6551">
      <c r="A6551" s="49">
        <v>44581.80989579861</v>
      </c>
      <c r="B6551" s="50">
        <v>44581.9348766898</v>
      </c>
      <c r="C6551" s="51">
        <v>1.002</v>
      </c>
      <c r="D6551" s="51">
        <v>63.0</v>
      </c>
      <c r="E6551" s="52" t="s">
        <v>25</v>
      </c>
      <c r="F6551" s="52" t="s">
        <v>26</v>
      </c>
      <c r="G6551" s="53"/>
    </row>
    <row r="6552">
      <c r="A6552" s="49">
        <v>44581.82031465278</v>
      </c>
      <c r="B6552" s="50">
        <v>44581.9452970717</v>
      </c>
      <c r="C6552" s="51">
        <v>1.002</v>
      </c>
      <c r="D6552" s="51">
        <v>63.0</v>
      </c>
      <c r="E6552" s="52" t="s">
        <v>25</v>
      </c>
      <c r="F6552" s="52" t="s">
        <v>26</v>
      </c>
      <c r="G6552" s="53"/>
    </row>
    <row r="6553">
      <c r="A6553" s="49">
        <v>44581.830744293984</v>
      </c>
      <c r="B6553" s="50">
        <v>44581.9557290277</v>
      </c>
      <c r="C6553" s="51">
        <v>1.002</v>
      </c>
      <c r="D6553" s="51">
        <v>63.0</v>
      </c>
      <c r="E6553" s="52" t="s">
        <v>25</v>
      </c>
      <c r="F6553" s="52" t="s">
        <v>26</v>
      </c>
      <c r="G6553" s="53"/>
    </row>
    <row r="6554">
      <c r="A6554" s="49">
        <v>44581.84117773148</v>
      </c>
      <c r="B6554" s="50">
        <v>44581.9661506944</v>
      </c>
      <c r="C6554" s="51">
        <v>1.002</v>
      </c>
      <c r="D6554" s="51">
        <v>63.0</v>
      </c>
      <c r="E6554" s="52" t="s">
        <v>25</v>
      </c>
      <c r="F6554" s="52" t="s">
        <v>26</v>
      </c>
      <c r="G6554" s="53"/>
    </row>
    <row r="6555">
      <c r="A6555" s="49">
        <v>44581.85159706019</v>
      </c>
      <c r="B6555" s="50">
        <v>44581.9765707523</v>
      </c>
      <c r="C6555" s="51">
        <v>1.001</v>
      </c>
      <c r="D6555" s="51">
        <v>63.0</v>
      </c>
      <c r="E6555" s="52" t="s">
        <v>25</v>
      </c>
      <c r="F6555" s="52" t="s">
        <v>26</v>
      </c>
      <c r="G6555" s="53"/>
    </row>
    <row r="6556">
      <c r="A6556" s="49">
        <v>44581.86201557871</v>
      </c>
      <c r="B6556" s="50">
        <v>44581.9869913657</v>
      </c>
      <c r="C6556" s="51">
        <v>1.002</v>
      </c>
      <c r="D6556" s="51">
        <v>63.0</v>
      </c>
      <c r="E6556" s="52" t="s">
        <v>25</v>
      </c>
      <c r="F6556" s="52" t="s">
        <v>26</v>
      </c>
      <c r="G6556" s="53"/>
    </row>
    <row r="6557">
      <c r="A6557" s="49">
        <v>44581.87243658565</v>
      </c>
      <c r="B6557" s="50">
        <v>44581.9974124305</v>
      </c>
      <c r="C6557" s="51">
        <v>1.002</v>
      </c>
      <c r="D6557" s="51">
        <v>63.0</v>
      </c>
      <c r="E6557" s="52" t="s">
        <v>25</v>
      </c>
      <c r="F6557" s="52" t="s">
        <v>26</v>
      </c>
      <c r="G6557" s="53"/>
    </row>
    <row r="6558">
      <c r="A6558" s="49">
        <v>44581.88286219907</v>
      </c>
      <c r="B6558" s="50">
        <v>44582.0078341782</v>
      </c>
      <c r="C6558" s="51">
        <v>1.002</v>
      </c>
      <c r="D6558" s="51">
        <v>63.0</v>
      </c>
      <c r="E6558" s="52" t="s">
        <v>25</v>
      </c>
      <c r="F6558" s="52" t="s">
        <v>26</v>
      </c>
      <c r="G6558" s="53"/>
    </row>
    <row r="6559">
      <c r="A6559" s="49">
        <v>44581.89328966435</v>
      </c>
      <c r="B6559" s="50">
        <v>44582.0182669212</v>
      </c>
      <c r="C6559" s="51">
        <v>1.002</v>
      </c>
      <c r="D6559" s="51">
        <v>63.0</v>
      </c>
      <c r="E6559" s="52" t="s">
        <v>25</v>
      </c>
      <c r="F6559" s="52" t="s">
        <v>26</v>
      </c>
      <c r="G6559" s="53"/>
    </row>
    <row r="6560">
      <c r="A6560" s="49">
        <v>44581.903708391204</v>
      </c>
      <c r="B6560" s="50">
        <v>44582.0286876504</v>
      </c>
      <c r="C6560" s="51">
        <v>1.002</v>
      </c>
      <c r="D6560" s="51">
        <v>63.0</v>
      </c>
      <c r="E6560" s="52" t="s">
        <v>25</v>
      </c>
      <c r="F6560" s="52" t="s">
        <v>26</v>
      </c>
      <c r="G6560" s="53"/>
    </row>
    <row r="6561">
      <c r="A6561" s="49">
        <v>44581.914126284726</v>
      </c>
      <c r="B6561" s="50">
        <v>44582.0391093518</v>
      </c>
      <c r="C6561" s="51">
        <v>1.002</v>
      </c>
      <c r="D6561" s="51">
        <v>63.0</v>
      </c>
      <c r="E6561" s="52" t="s">
        <v>25</v>
      </c>
      <c r="F6561" s="52" t="s">
        <v>26</v>
      </c>
      <c r="G6561" s="53"/>
    </row>
    <row r="6562">
      <c r="A6562" s="49">
        <v>44581.924560810185</v>
      </c>
      <c r="B6562" s="50">
        <v>44582.0495304398</v>
      </c>
      <c r="C6562" s="51">
        <v>1.002</v>
      </c>
      <c r="D6562" s="51">
        <v>63.0</v>
      </c>
      <c r="E6562" s="52" t="s">
        <v>25</v>
      </c>
      <c r="F6562" s="52" t="s">
        <v>26</v>
      </c>
      <c r="G6562" s="53"/>
    </row>
    <row r="6563">
      <c r="A6563" s="49">
        <v>44581.93497747685</v>
      </c>
      <c r="B6563" s="50">
        <v>44582.0599531944</v>
      </c>
      <c r="C6563" s="51">
        <v>1.002</v>
      </c>
      <c r="D6563" s="51">
        <v>63.0</v>
      </c>
      <c r="E6563" s="52" t="s">
        <v>25</v>
      </c>
      <c r="F6563" s="52" t="s">
        <v>26</v>
      </c>
      <c r="G6563" s="53"/>
    </row>
    <row r="6564">
      <c r="A6564" s="49">
        <v>44581.94539738426</v>
      </c>
      <c r="B6564" s="50">
        <v>44582.0703761689</v>
      </c>
      <c r="C6564" s="51">
        <v>1.002</v>
      </c>
      <c r="D6564" s="51">
        <v>63.0</v>
      </c>
      <c r="E6564" s="52" t="s">
        <v>25</v>
      </c>
      <c r="F6564" s="52" t="s">
        <v>26</v>
      </c>
      <c r="G6564" s="53"/>
    </row>
    <row r="6565">
      <c r="A6565" s="49">
        <v>44581.95581971065</v>
      </c>
      <c r="B6565" s="50">
        <v>44582.080797037</v>
      </c>
      <c r="C6565" s="51">
        <v>1.002</v>
      </c>
      <c r="D6565" s="51">
        <v>63.0</v>
      </c>
      <c r="E6565" s="52" t="s">
        <v>25</v>
      </c>
      <c r="F6565" s="52" t="s">
        <v>26</v>
      </c>
      <c r="G6565" s="53"/>
    </row>
    <row r="6566">
      <c r="A6566" s="49">
        <v>44581.96624350695</v>
      </c>
      <c r="B6566" s="50">
        <v>44582.091217662</v>
      </c>
      <c r="C6566" s="51">
        <v>1.002</v>
      </c>
      <c r="D6566" s="51">
        <v>63.0</v>
      </c>
      <c r="E6566" s="52" t="s">
        <v>25</v>
      </c>
      <c r="F6566" s="52" t="s">
        <v>26</v>
      </c>
      <c r="G6566" s="53"/>
    </row>
    <row r="6567">
      <c r="A6567" s="49">
        <v>44581.97666172453</v>
      </c>
      <c r="B6567" s="50">
        <v>44582.1016369097</v>
      </c>
      <c r="C6567" s="51">
        <v>1.002</v>
      </c>
      <c r="D6567" s="51">
        <v>63.0</v>
      </c>
      <c r="E6567" s="52" t="s">
        <v>25</v>
      </c>
      <c r="F6567" s="52" t="s">
        <v>26</v>
      </c>
      <c r="G6567" s="53"/>
    </row>
    <row r="6568">
      <c r="A6568" s="49">
        <v>44581.98708027777</v>
      </c>
      <c r="B6568" s="50">
        <v>44582.1120600231</v>
      </c>
      <c r="C6568" s="51">
        <v>1.002</v>
      </c>
      <c r="D6568" s="51">
        <v>63.0</v>
      </c>
      <c r="E6568" s="52" t="s">
        <v>25</v>
      </c>
      <c r="F6568" s="52" t="s">
        <v>26</v>
      </c>
      <c r="G6568" s="53"/>
    </row>
    <row r="6569">
      <c r="A6569" s="49">
        <v>44581.99750503473</v>
      </c>
      <c r="B6569" s="50">
        <v>44582.122480949</v>
      </c>
      <c r="C6569" s="51">
        <v>1.002</v>
      </c>
      <c r="D6569" s="51">
        <v>63.0</v>
      </c>
      <c r="E6569" s="52" t="s">
        <v>25</v>
      </c>
      <c r="F6569" s="52" t="s">
        <v>26</v>
      </c>
      <c r="G6569" s="53"/>
    </row>
    <row r="6570">
      <c r="A6570" s="49">
        <v>44582.00792199074</v>
      </c>
      <c r="B6570" s="50">
        <v>44582.132900949</v>
      </c>
      <c r="C6570" s="51">
        <v>1.002</v>
      </c>
      <c r="D6570" s="51">
        <v>63.0</v>
      </c>
      <c r="E6570" s="52" t="s">
        <v>25</v>
      </c>
      <c r="F6570" s="52" t="s">
        <v>26</v>
      </c>
      <c r="G6570" s="53"/>
    </row>
    <row r="6571">
      <c r="A6571" s="49">
        <v>44582.018344421296</v>
      </c>
      <c r="B6571" s="50">
        <v>44582.1433230671</v>
      </c>
      <c r="C6571" s="51">
        <v>1.002</v>
      </c>
      <c r="D6571" s="51">
        <v>63.0</v>
      </c>
      <c r="E6571" s="52" t="s">
        <v>25</v>
      </c>
      <c r="F6571" s="52" t="s">
        <v>26</v>
      </c>
      <c r="G6571" s="53"/>
    </row>
    <row r="6572">
      <c r="A6572" s="49">
        <v>44582.02876890046</v>
      </c>
      <c r="B6572" s="50">
        <v>44582.1537458449</v>
      </c>
      <c r="C6572" s="51">
        <v>1.002</v>
      </c>
      <c r="D6572" s="51">
        <v>62.0</v>
      </c>
      <c r="E6572" s="52" t="s">
        <v>25</v>
      </c>
      <c r="F6572" s="52" t="s">
        <v>26</v>
      </c>
      <c r="G6572" s="53"/>
    </row>
    <row r="6573">
      <c r="A6573" s="49">
        <v>44582.03920489583</v>
      </c>
      <c r="B6573" s="50">
        <v>44582.1641761689</v>
      </c>
      <c r="C6573" s="51">
        <v>1.002</v>
      </c>
      <c r="D6573" s="51">
        <v>62.0</v>
      </c>
      <c r="E6573" s="52" t="s">
        <v>25</v>
      </c>
      <c r="F6573" s="52" t="s">
        <v>26</v>
      </c>
      <c r="G6573" s="53"/>
    </row>
    <row r="6574">
      <c r="A6574" s="49">
        <v>44582.04962532407</v>
      </c>
      <c r="B6574" s="50">
        <v>44582.1745964814</v>
      </c>
      <c r="C6574" s="51">
        <v>1.002</v>
      </c>
      <c r="D6574" s="51">
        <v>62.0</v>
      </c>
      <c r="E6574" s="52" t="s">
        <v>25</v>
      </c>
      <c r="F6574" s="52" t="s">
        <v>26</v>
      </c>
      <c r="G6574" s="53"/>
    </row>
    <row r="6575">
      <c r="A6575" s="49">
        <v>44582.0600465162</v>
      </c>
      <c r="B6575" s="50">
        <v>44582.1850303819</v>
      </c>
      <c r="C6575" s="51">
        <v>1.002</v>
      </c>
      <c r="D6575" s="51">
        <v>62.0</v>
      </c>
      <c r="E6575" s="52" t="s">
        <v>25</v>
      </c>
      <c r="F6575" s="52" t="s">
        <v>26</v>
      </c>
      <c r="G6575" s="53"/>
    </row>
    <row r="6576">
      <c r="A6576" s="49">
        <v>44582.07047320602</v>
      </c>
      <c r="B6576" s="50">
        <v>44582.1954529976</v>
      </c>
      <c r="C6576" s="51">
        <v>1.002</v>
      </c>
      <c r="D6576" s="51">
        <v>62.0</v>
      </c>
      <c r="E6576" s="52" t="s">
        <v>25</v>
      </c>
      <c r="F6576" s="52" t="s">
        <v>26</v>
      </c>
      <c r="G6576" s="53"/>
    </row>
    <row r="6577">
      <c r="A6577" s="49">
        <v>44582.0808971875</v>
      </c>
      <c r="B6577" s="50">
        <v>44582.20587228</v>
      </c>
      <c r="C6577" s="51">
        <v>1.002</v>
      </c>
      <c r="D6577" s="51">
        <v>62.0</v>
      </c>
      <c r="E6577" s="52" t="s">
        <v>25</v>
      </c>
      <c r="F6577" s="52" t="s">
        <v>26</v>
      </c>
      <c r="G6577" s="53"/>
    </row>
    <row r="6578">
      <c r="A6578" s="49">
        <v>44582.091343645836</v>
      </c>
      <c r="B6578" s="50">
        <v>44582.2163172222</v>
      </c>
      <c r="C6578" s="51">
        <v>1.002</v>
      </c>
      <c r="D6578" s="51">
        <v>62.0</v>
      </c>
      <c r="E6578" s="52" t="s">
        <v>25</v>
      </c>
      <c r="F6578" s="52" t="s">
        <v>26</v>
      </c>
      <c r="G6578" s="53"/>
    </row>
    <row r="6579">
      <c r="A6579" s="49">
        <v>44582.10176443287</v>
      </c>
      <c r="B6579" s="50">
        <v>44582.2267382291</v>
      </c>
      <c r="C6579" s="51">
        <v>1.002</v>
      </c>
      <c r="D6579" s="51">
        <v>62.0</v>
      </c>
      <c r="E6579" s="52" t="s">
        <v>25</v>
      </c>
      <c r="F6579" s="52" t="s">
        <v>26</v>
      </c>
      <c r="G6579" s="53"/>
    </row>
    <row r="6580">
      <c r="A6580" s="49">
        <v>44582.11218675926</v>
      </c>
      <c r="B6580" s="50">
        <v>44582.2371592129</v>
      </c>
      <c r="C6580" s="51">
        <v>1.002</v>
      </c>
      <c r="D6580" s="51">
        <v>62.0</v>
      </c>
      <c r="E6580" s="52" t="s">
        <v>25</v>
      </c>
      <c r="F6580" s="52" t="s">
        <v>26</v>
      </c>
      <c r="G6580" s="53"/>
    </row>
    <row r="6581">
      <c r="A6581" s="49">
        <v>44582.122599953706</v>
      </c>
      <c r="B6581" s="50">
        <v>44582.24758125</v>
      </c>
      <c r="C6581" s="51">
        <v>1.002</v>
      </c>
      <c r="D6581" s="51">
        <v>62.0</v>
      </c>
      <c r="E6581" s="52" t="s">
        <v>25</v>
      </c>
      <c r="F6581" s="52" t="s">
        <v>26</v>
      </c>
      <c r="G6581" s="53"/>
    </row>
    <row r="6582">
      <c r="A6582" s="49">
        <v>44582.133024317125</v>
      </c>
      <c r="B6582" s="50">
        <v>44582.2580033564</v>
      </c>
      <c r="C6582" s="51">
        <v>1.002</v>
      </c>
      <c r="D6582" s="51">
        <v>62.0</v>
      </c>
      <c r="E6582" s="52" t="s">
        <v>25</v>
      </c>
      <c r="F6582" s="52" t="s">
        <v>26</v>
      </c>
      <c r="G6582" s="53"/>
    </row>
    <row r="6583">
      <c r="A6583" s="49">
        <v>44582.143444050926</v>
      </c>
      <c r="B6583" s="50">
        <v>44582.2684243518</v>
      </c>
      <c r="C6583" s="51">
        <v>1.002</v>
      </c>
      <c r="D6583" s="51">
        <v>62.0</v>
      </c>
      <c r="E6583" s="52" t="s">
        <v>25</v>
      </c>
      <c r="F6583" s="52" t="s">
        <v>26</v>
      </c>
      <c r="G6583" s="53"/>
    </row>
    <row r="6584">
      <c r="A6584" s="49">
        <v>44582.15386766204</v>
      </c>
      <c r="B6584" s="50">
        <v>44582.2788453472</v>
      </c>
      <c r="C6584" s="51">
        <v>1.002</v>
      </c>
      <c r="D6584" s="51">
        <v>62.0</v>
      </c>
      <c r="E6584" s="52" t="s">
        <v>25</v>
      </c>
      <c r="F6584" s="52" t="s">
        <v>26</v>
      </c>
      <c r="G6584" s="53"/>
    </row>
    <row r="6585">
      <c r="A6585" s="49">
        <v>44582.16429487268</v>
      </c>
      <c r="B6585" s="50">
        <v>44582.2892662615</v>
      </c>
      <c r="C6585" s="51">
        <v>1.002</v>
      </c>
      <c r="D6585" s="51">
        <v>62.0</v>
      </c>
      <c r="E6585" s="52" t="s">
        <v>25</v>
      </c>
      <c r="F6585" s="52" t="s">
        <v>26</v>
      </c>
      <c r="G6585" s="53"/>
    </row>
    <row r="6586">
      <c r="A6586" s="49">
        <v>44582.17471746528</v>
      </c>
      <c r="B6586" s="50">
        <v>44582.2996879976</v>
      </c>
      <c r="C6586" s="51">
        <v>1.002</v>
      </c>
      <c r="D6586" s="51">
        <v>62.0</v>
      </c>
      <c r="E6586" s="52" t="s">
        <v>25</v>
      </c>
      <c r="F6586" s="52" t="s">
        <v>26</v>
      </c>
      <c r="G6586" s="53"/>
    </row>
    <row r="6587">
      <c r="A6587" s="49">
        <v>44582.1851321875</v>
      </c>
      <c r="B6587" s="50">
        <v>44582.3101075463</v>
      </c>
      <c r="C6587" s="51">
        <v>1.002</v>
      </c>
      <c r="D6587" s="51">
        <v>62.0</v>
      </c>
      <c r="E6587" s="52" t="s">
        <v>25</v>
      </c>
      <c r="F6587" s="52" t="s">
        <v>26</v>
      </c>
      <c r="G6587" s="53"/>
    </row>
    <row r="6588">
      <c r="A6588" s="49">
        <v>44582.19555561343</v>
      </c>
      <c r="B6588" s="50">
        <v>44582.3205294328</v>
      </c>
      <c r="C6588" s="51">
        <v>1.002</v>
      </c>
      <c r="D6588" s="51">
        <v>62.0</v>
      </c>
      <c r="E6588" s="52" t="s">
        <v>25</v>
      </c>
      <c r="F6588" s="52" t="s">
        <v>26</v>
      </c>
      <c r="G6588" s="53"/>
    </row>
    <row r="6589">
      <c r="A6589" s="49">
        <v>44582.20599420139</v>
      </c>
      <c r="B6589" s="50">
        <v>44582.3309624189</v>
      </c>
      <c r="C6589" s="51">
        <v>1.002</v>
      </c>
      <c r="D6589" s="51">
        <v>62.0</v>
      </c>
      <c r="E6589" s="52" t="s">
        <v>25</v>
      </c>
      <c r="F6589" s="52" t="s">
        <v>26</v>
      </c>
      <c r="G6589" s="53"/>
    </row>
    <row r="6590">
      <c r="A6590" s="49">
        <v>44582.2164068287</v>
      </c>
      <c r="B6590" s="50">
        <v>44582.3413841782</v>
      </c>
      <c r="C6590" s="51">
        <v>1.002</v>
      </c>
      <c r="D6590" s="51">
        <v>62.0</v>
      </c>
      <c r="E6590" s="52" t="s">
        <v>25</v>
      </c>
      <c r="F6590" s="52" t="s">
        <v>26</v>
      </c>
      <c r="G6590" s="53"/>
    </row>
    <row r="6591">
      <c r="A6591" s="49">
        <v>44582.22685574074</v>
      </c>
      <c r="B6591" s="50">
        <v>44582.3518167824</v>
      </c>
      <c r="C6591" s="51">
        <v>1.002</v>
      </c>
      <c r="D6591" s="51">
        <v>62.0</v>
      </c>
      <c r="E6591" s="52" t="s">
        <v>25</v>
      </c>
      <c r="F6591" s="52" t="s">
        <v>26</v>
      </c>
      <c r="G6591" s="53"/>
    </row>
    <row r="6592">
      <c r="A6592" s="49">
        <v>44582.237308599535</v>
      </c>
      <c r="B6592" s="50">
        <v>44582.3622849074</v>
      </c>
      <c r="C6592" s="51">
        <v>1.002</v>
      </c>
      <c r="D6592" s="51">
        <v>62.0</v>
      </c>
      <c r="E6592" s="52" t="s">
        <v>25</v>
      </c>
      <c r="F6592" s="52" t="s">
        <v>26</v>
      </c>
      <c r="G6592" s="53"/>
    </row>
    <row r="6593">
      <c r="A6593" s="49">
        <v>44582.24772743056</v>
      </c>
      <c r="B6593" s="50">
        <v>44582.3727060995</v>
      </c>
      <c r="C6593" s="51">
        <v>1.002</v>
      </c>
      <c r="D6593" s="51">
        <v>62.0</v>
      </c>
      <c r="E6593" s="52" t="s">
        <v>25</v>
      </c>
      <c r="F6593" s="52" t="s">
        <v>26</v>
      </c>
      <c r="G6593" s="53"/>
    </row>
    <row r="6594">
      <c r="A6594" s="49">
        <v>44582.25816541667</v>
      </c>
      <c r="B6594" s="50">
        <v>44582.3831383217</v>
      </c>
      <c r="C6594" s="51">
        <v>1.002</v>
      </c>
      <c r="D6594" s="51">
        <v>62.0</v>
      </c>
      <c r="E6594" s="52" t="s">
        <v>25</v>
      </c>
      <c r="F6594" s="52" t="s">
        <v>26</v>
      </c>
      <c r="G6594" s="53"/>
    </row>
    <row r="6595">
      <c r="A6595" s="49">
        <v>44582.26859756945</v>
      </c>
      <c r="B6595" s="50">
        <v>44582.3935715856</v>
      </c>
      <c r="C6595" s="51">
        <v>1.002</v>
      </c>
      <c r="D6595" s="51">
        <v>62.0</v>
      </c>
      <c r="E6595" s="52" t="s">
        <v>25</v>
      </c>
      <c r="F6595" s="52" t="s">
        <v>26</v>
      </c>
      <c r="G6595" s="53"/>
    </row>
    <row r="6596">
      <c r="A6596" s="49">
        <v>44582.27903619213</v>
      </c>
      <c r="B6596" s="50">
        <v>44582.404003125</v>
      </c>
      <c r="C6596" s="51">
        <v>1.002</v>
      </c>
      <c r="D6596" s="51">
        <v>62.0</v>
      </c>
      <c r="E6596" s="52" t="s">
        <v>25</v>
      </c>
      <c r="F6596" s="52" t="s">
        <v>26</v>
      </c>
      <c r="G6596" s="53"/>
    </row>
    <row r="6597">
      <c r="A6597" s="49">
        <v>44582.28945589121</v>
      </c>
      <c r="B6597" s="50">
        <v>44582.4144228703</v>
      </c>
      <c r="C6597" s="51">
        <v>1.002</v>
      </c>
      <c r="D6597" s="51">
        <v>62.0</v>
      </c>
      <c r="E6597" s="52" t="s">
        <v>25</v>
      </c>
      <c r="F6597" s="52" t="s">
        <v>26</v>
      </c>
      <c r="G6597" s="53"/>
    </row>
    <row r="6598">
      <c r="A6598" s="49">
        <v>44582.29986643518</v>
      </c>
      <c r="B6598" s="50">
        <v>44582.4248430324</v>
      </c>
      <c r="C6598" s="51">
        <v>1.002</v>
      </c>
      <c r="D6598" s="51">
        <v>62.0</v>
      </c>
      <c r="E6598" s="52" t="s">
        <v>25</v>
      </c>
      <c r="F6598" s="52" t="s">
        <v>26</v>
      </c>
      <c r="G6598" s="53"/>
    </row>
    <row r="6599">
      <c r="A6599" s="49">
        <v>44582.31029100694</v>
      </c>
      <c r="B6599" s="50">
        <v>44582.435265</v>
      </c>
      <c r="C6599" s="51">
        <v>1.002</v>
      </c>
      <c r="D6599" s="51">
        <v>62.0</v>
      </c>
      <c r="E6599" s="52" t="s">
        <v>25</v>
      </c>
      <c r="F6599" s="52" t="s">
        <v>26</v>
      </c>
      <c r="G6599" s="53"/>
    </row>
    <row r="6600">
      <c r="A6600" s="49">
        <v>44582.32071130787</v>
      </c>
      <c r="B6600" s="50">
        <v>44582.4456851851</v>
      </c>
      <c r="C6600" s="51">
        <v>1.002</v>
      </c>
      <c r="D6600" s="51">
        <v>62.0</v>
      </c>
      <c r="E6600" s="52" t="s">
        <v>25</v>
      </c>
      <c r="F6600" s="52" t="s">
        <v>26</v>
      </c>
      <c r="G6600" s="53"/>
    </row>
    <row r="6601">
      <c r="A6601" s="49">
        <v>44582.33113399305</v>
      </c>
      <c r="B6601" s="50">
        <v>44582.4561072916</v>
      </c>
      <c r="C6601" s="51">
        <v>1.002</v>
      </c>
      <c r="D6601" s="51">
        <v>62.0</v>
      </c>
      <c r="E6601" s="52" t="s">
        <v>25</v>
      </c>
      <c r="F6601" s="52" t="s">
        <v>26</v>
      </c>
      <c r="G6601" s="53"/>
    </row>
    <row r="6602">
      <c r="A6602" s="49">
        <v>44582.341551805555</v>
      </c>
      <c r="B6602" s="50">
        <v>44582.4665268865</v>
      </c>
      <c r="C6602" s="51">
        <v>1.002</v>
      </c>
      <c r="D6602" s="51">
        <v>62.0</v>
      </c>
      <c r="E6602" s="52" t="s">
        <v>25</v>
      </c>
      <c r="F6602" s="52" t="s">
        <v>26</v>
      </c>
      <c r="G6602" s="53"/>
    </row>
    <row r="6603">
      <c r="A6603" s="49">
        <v>44582.35197396991</v>
      </c>
      <c r="B6603" s="50">
        <v>44582.4769469097</v>
      </c>
      <c r="C6603" s="51">
        <v>1.002</v>
      </c>
      <c r="D6603" s="51">
        <v>62.0</v>
      </c>
      <c r="E6603" s="52" t="s">
        <v>25</v>
      </c>
      <c r="F6603" s="52" t="s">
        <v>26</v>
      </c>
      <c r="G6603" s="53"/>
    </row>
    <row r="6604">
      <c r="A6604" s="49">
        <v>44582.36239947917</v>
      </c>
      <c r="B6604" s="50">
        <v>44582.4873689699</v>
      </c>
      <c r="C6604" s="51">
        <v>1.002</v>
      </c>
      <c r="D6604" s="51">
        <v>62.0</v>
      </c>
      <c r="E6604" s="52" t="s">
        <v>25</v>
      </c>
      <c r="F6604" s="52" t="s">
        <v>26</v>
      </c>
      <c r="G6604" s="53"/>
    </row>
    <row r="6605">
      <c r="A6605" s="49">
        <v>44582.37281835648</v>
      </c>
      <c r="B6605" s="50">
        <v>44582.4977884143</v>
      </c>
      <c r="C6605" s="51">
        <v>1.002</v>
      </c>
      <c r="D6605" s="51">
        <v>62.0</v>
      </c>
      <c r="E6605" s="52" t="s">
        <v>25</v>
      </c>
      <c r="F6605" s="52" t="s">
        <v>26</v>
      </c>
      <c r="G6605" s="53"/>
    </row>
    <row r="6606">
      <c r="A6606" s="49">
        <v>44582.38323841435</v>
      </c>
      <c r="B6606" s="50">
        <v>44582.5082096296</v>
      </c>
      <c r="C6606" s="51">
        <v>1.002</v>
      </c>
      <c r="D6606" s="51">
        <v>62.0</v>
      </c>
      <c r="E6606" s="52" t="s">
        <v>25</v>
      </c>
      <c r="F6606" s="52" t="s">
        <v>26</v>
      </c>
      <c r="G6606" s="53"/>
    </row>
    <row r="6607">
      <c r="A6607" s="49">
        <v>44582.393653148145</v>
      </c>
      <c r="B6607" s="50">
        <v>44582.5186302314</v>
      </c>
      <c r="C6607" s="51">
        <v>1.002</v>
      </c>
      <c r="D6607" s="51">
        <v>62.0</v>
      </c>
      <c r="E6607" s="52" t="s">
        <v>25</v>
      </c>
      <c r="F6607" s="52" t="s">
        <v>26</v>
      </c>
      <c r="G6607" s="53"/>
    </row>
    <row r="6608">
      <c r="A6608" s="49">
        <v>44582.40407104167</v>
      </c>
      <c r="B6608" s="50">
        <v>44582.5290503935</v>
      </c>
      <c r="C6608" s="51">
        <v>1.002</v>
      </c>
      <c r="D6608" s="51">
        <v>62.0</v>
      </c>
      <c r="E6608" s="52" t="s">
        <v>25</v>
      </c>
      <c r="F6608" s="52" t="s">
        <v>26</v>
      </c>
      <c r="G6608" s="53"/>
    </row>
    <row r="6609">
      <c r="A6609" s="49">
        <v>44582.4145027662</v>
      </c>
      <c r="B6609" s="50">
        <v>44582.5394836805</v>
      </c>
      <c r="C6609" s="51">
        <v>1.002</v>
      </c>
      <c r="D6609" s="51">
        <v>62.0</v>
      </c>
      <c r="E6609" s="52" t="s">
        <v>25</v>
      </c>
      <c r="F6609" s="52" t="s">
        <v>26</v>
      </c>
      <c r="G6609" s="53"/>
    </row>
    <row r="6610">
      <c r="A6610" s="49">
        <v>44582.42492523148</v>
      </c>
      <c r="B6610" s="50">
        <v>44582.5499048726</v>
      </c>
      <c r="C6610" s="51">
        <v>1.002</v>
      </c>
      <c r="D6610" s="51">
        <v>62.0</v>
      </c>
      <c r="E6610" s="52" t="s">
        <v>25</v>
      </c>
      <c r="F6610" s="52" t="s">
        <v>26</v>
      </c>
      <c r="G6610" s="53"/>
    </row>
    <row r="6611">
      <c r="A6611" s="49">
        <v>44582.43537893519</v>
      </c>
      <c r="B6611" s="50">
        <v>44582.5603513773</v>
      </c>
      <c r="C6611" s="51">
        <v>1.002</v>
      </c>
      <c r="D6611" s="51">
        <v>62.0</v>
      </c>
      <c r="E6611" s="52" t="s">
        <v>25</v>
      </c>
      <c r="F6611" s="52" t="s">
        <v>26</v>
      </c>
      <c r="G6611" s="53"/>
    </row>
    <row r="6612">
      <c r="A6612" s="49">
        <v>44582.44579834491</v>
      </c>
      <c r="B6612" s="50">
        <v>44582.5707740393</v>
      </c>
      <c r="C6612" s="51">
        <v>1.002</v>
      </c>
      <c r="D6612" s="51">
        <v>62.0</v>
      </c>
      <c r="E6612" s="52" t="s">
        <v>25</v>
      </c>
      <c r="F6612" s="52" t="s">
        <v>26</v>
      </c>
      <c r="G6612" s="53"/>
    </row>
    <row r="6613">
      <c r="A6613" s="49">
        <v>44582.45623228009</v>
      </c>
      <c r="B6613" s="50">
        <v>44582.5812062037</v>
      </c>
      <c r="C6613" s="51">
        <v>1.002</v>
      </c>
      <c r="D6613" s="51">
        <v>62.0</v>
      </c>
      <c r="E6613" s="52" t="s">
        <v>25</v>
      </c>
      <c r="F6613" s="52" t="s">
        <v>26</v>
      </c>
      <c r="G6613" s="53"/>
    </row>
    <row r="6614">
      <c r="A6614" s="49">
        <v>44582.466654918986</v>
      </c>
      <c r="B6614" s="50">
        <v>44582.5916288078</v>
      </c>
      <c r="C6614" s="51">
        <v>1.002</v>
      </c>
      <c r="D6614" s="51">
        <v>62.0</v>
      </c>
      <c r="E6614" s="52" t="s">
        <v>25</v>
      </c>
      <c r="F6614" s="52" t="s">
        <v>26</v>
      </c>
      <c r="G6614" s="53"/>
    </row>
    <row r="6615">
      <c r="A6615" s="49">
        <v>44582.47707375</v>
      </c>
      <c r="B6615" s="50">
        <v>44582.6020482523</v>
      </c>
      <c r="C6615" s="51">
        <v>1.002</v>
      </c>
      <c r="D6615" s="51">
        <v>62.0</v>
      </c>
      <c r="E6615" s="52" t="s">
        <v>25</v>
      </c>
      <c r="F6615" s="52" t="s">
        <v>26</v>
      </c>
      <c r="G6615" s="53"/>
    </row>
    <row r="6616">
      <c r="A6616" s="49">
        <v>44582.487489837964</v>
      </c>
      <c r="B6616" s="50">
        <v>44582.6124705324</v>
      </c>
      <c r="C6616" s="51">
        <v>1.002</v>
      </c>
      <c r="D6616" s="51">
        <v>62.0</v>
      </c>
      <c r="E6616" s="52" t="s">
        <v>25</v>
      </c>
      <c r="F6616" s="52" t="s">
        <v>26</v>
      </c>
      <c r="G6616" s="53"/>
    </row>
    <row r="6617">
      <c r="A6617" s="49">
        <v>44582.49791978009</v>
      </c>
      <c r="B6617" s="50">
        <v>44582.6228912268</v>
      </c>
      <c r="C6617" s="51">
        <v>1.002</v>
      </c>
      <c r="D6617" s="51">
        <v>62.0</v>
      </c>
      <c r="E6617" s="52" t="s">
        <v>25</v>
      </c>
      <c r="F6617" s="52" t="s">
        <v>26</v>
      </c>
      <c r="G6617" s="53"/>
    </row>
    <row r="6618">
      <c r="A6618" s="49">
        <v>44582.50834049769</v>
      </c>
      <c r="B6618" s="50">
        <v>44582.6333119097</v>
      </c>
      <c r="C6618" s="51">
        <v>1.002</v>
      </c>
      <c r="D6618" s="51">
        <v>62.0</v>
      </c>
      <c r="E6618" s="52" t="s">
        <v>25</v>
      </c>
      <c r="F6618" s="52" t="s">
        <v>26</v>
      </c>
      <c r="G6618" s="53"/>
    </row>
    <row r="6619">
      <c r="A6619" s="49">
        <v>44582.51876416667</v>
      </c>
      <c r="B6619" s="50">
        <v>44582.6437319444</v>
      </c>
      <c r="C6619" s="51">
        <v>1.002</v>
      </c>
      <c r="D6619" s="51">
        <v>62.0</v>
      </c>
      <c r="E6619" s="52" t="s">
        <v>25</v>
      </c>
      <c r="F6619" s="52" t="s">
        <v>26</v>
      </c>
      <c r="G6619" s="53"/>
    </row>
    <row r="6620">
      <c r="A6620" s="49">
        <v>44582.529193553244</v>
      </c>
      <c r="B6620" s="50">
        <v>44582.6541631249</v>
      </c>
      <c r="C6620" s="51">
        <v>1.002</v>
      </c>
      <c r="D6620" s="51">
        <v>62.0</v>
      </c>
      <c r="E6620" s="52" t="s">
        <v>25</v>
      </c>
      <c r="F6620" s="52" t="s">
        <v>26</v>
      </c>
      <c r="G6620" s="53"/>
    </row>
    <row r="6621">
      <c r="A6621" s="49">
        <v>44582.539623171295</v>
      </c>
      <c r="B6621" s="50">
        <v>44582.6645954513</v>
      </c>
      <c r="C6621" s="51">
        <v>1.002</v>
      </c>
      <c r="D6621" s="51">
        <v>62.0</v>
      </c>
      <c r="E6621" s="52" t="s">
        <v>25</v>
      </c>
      <c r="F6621" s="52" t="s">
        <v>26</v>
      </c>
      <c r="G6621" s="53"/>
    </row>
    <row r="6622">
      <c r="A6622" s="49">
        <v>44582.55004527778</v>
      </c>
      <c r="B6622" s="50">
        <v>44582.6750159606</v>
      </c>
      <c r="C6622" s="51">
        <v>1.002</v>
      </c>
      <c r="D6622" s="51">
        <v>62.0</v>
      </c>
      <c r="E6622" s="52" t="s">
        <v>25</v>
      </c>
      <c r="F6622" s="52" t="s">
        <v>26</v>
      </c>
      <c r="G6622" s="53"/>
    </row>
    <row r="6623">
      <c r="A6623" s="49">
        <v>44582.560469097225</v>
      </c>
      <c r="B6623" s="50">
        <v>44582.6854395717</v>
      </c>
      <c r="C6623" s="51">
        <v>1.002</v>
      </c>
      <c r="D6623" s="51">
        <v>62.0</v>
      </c>
      <c r="E6623" s="52" t="s">
        <v>25</v>
      </c>
      <c r="F6623" s="52" t="s">
        <v>26</v>
      </c>
      <c r="G6623" s="53"/>
    </row>
    <row r="6624">
      <c r="A6624" s="49">
        <v>44582.57088717593</v>
      </c>
      <c r="B6624" s="50">
        <v>44582.6958605902</v>
      </c>
      <c r="C6624" s="51">
        <v>1.002</v>
      </c>
      <c r="D6624" s="51">
        <v>62.0</v>
      </c>
      <c r="E6624" s="52" t="s">
        <v>25</v>
      </c>
      <c r="F6624" s="52" t="s">
        <v>26</v>
      </c>
      <c r="G6624" s="53"/>
    </row>
    <row r="6625">
      <c r="A6625" s="49">
        <v>44582.58131181713</v>
      </c>
      <c r="B6625" s="50">
        <v>44582.7062814004</v>
      </c>
      <c r="C6625" s="51">
        <v>1.002</v>
      </c>
      <c r="D6625" s="51">
        <v>62.0</v>
      </c>
      <c r="E6625" s="52" t="s">
        <v>25</v>
      </c>
      <c r="F6625" s="52" t="s">
        <v>26</v>
      </c>
      <c r="G6625" s="53"/>
    </row>
    <row r="6626">
      <c r="A6626" s="49">
        <v>44582.5917240625</v>
      </c>
      <c r="B6626" s="50">
        <v>44582.7167039236</v>
      </c>
      <c r="C6626" s="51">
        <v>1.002</v>
      </c>
      <c r="D6626" s="51">
        <v>62.0</v>
      </c>
      <c r="E6626" s="52" t="s">
        <v>25</v>
      </c>
      <c r="F6626" s="52" t="s">
        <v>26</v>
      </c>
      <c r="G6626" s="53"/>
    </row>
    <row r="6627">
      <c r="A6627" s="49">
        <v>44582.602147708334</v>
      </c>
      <c r="B6627" s="50">
        <v>44582.7271262499</v>
      </c>
      <c r="C6627" s="51">
        <v>1.002</v>
      </c>
      <c r="D6627" s="51">
        <v>62.0</v>
      </c>
      <c r="E6627" s="52" t="s">
        <v>25</v>
      </c>
      <c r="F6627" s="52" t="s">
        <v>26</v>
      </c>
      <c r="G6627" s="53"/>
    </row>
    <row r="6628">
      <c r="A6628" s="49">
        <v>44582.61257350694</v>
      </c>
      <c r="B6628" s="50">
        <v>44582.7375486805</v>
      </c>
      <c r="C6628" s="51">
        <v>1.002</v>
      </c>
      <c r="D6628" s="51">
        <v>62.0</v>
      </c>
      <c r="E6628" s="52" t="s">
        <v>25</v>
      </c>
      <c r="F6628" s="52" t="s">
        <v>26</v>
      </c>
      <c r="G6628" s="53"/>
    </row>
    <row r="6629">
      <c r="A6629" s="49">
        <v>44582.622992523146</v>
      </c>
      <c r="B6629" s="50">
        <v>44582.7479693055</v>
      </c>
      <c r="C6629" s="51">
        <v>1.002</v>
      </c>
      <c r="D6629" s="51">
        <v>62.0</v>
      </c>
      <c r="E6629" s="52" t="s">
        <v>25</v>
      </c>
      <c r="F6629" s="52" t="s">
        <v>26</v>
      </c>
      <c r="G6629" s="53"/>
    </row>
    <row r="6630">
      <c r="A6630" s="49">
        <v>44582.63341559027</v>
      </c>
      <c r="B6630" s="50">
        <v>44582.7583899537</v>
      </c>
      <c r="C6630" s="51">
        <v>1.002</v>
      </c>
      <c r="D6630" s="51">
        <v>62.0</v>
      </c>
      <c r="E6630" s="52" t="s">
        <v>25</v>
      </c>
      <c r="F6630" s="52" t="s">
        <v>26</v>
      </c>
      <c r="G6630" s="53"/>
    </row>
    <row r="6631">
      <c r="A6631" s="49">
        <v>44582.64383375</v>
      </c>
      <c r="B6631" s="50">
        <v>44582.768810868</v>
      </c>
      <c r="C6631" s="51">
        <v>1.002</v>
      </c>
      <c r="D6631" s="51">
        <v>62.0</v>
      </c>
      <c r="E6631" s="52" t="s">
        <v>25</v>
      </c>
      <c r="F6631" s="52" t="s">
        <v>26</v>
      </c>
      <c r="G6631" s="53"/>
    </row>
    <row r="6632">
      <c r="A6632" s="49">
        <v>44582.65425104166</v>
      </c>
      <c r="B6632" s="50">
        <v>44582.779233206</v>
      </c>
      <c r="C6632" s="51">
        <v>1.002</v>
      </c>
      <c r="D6632" s="51">
        <v>62.0</v>
      </c>
      <c r="E6632" s="52" t="s">
        <v>25</v>
      </c>
      <c r="F6632" s="52" t="s">
        <v>26</v>
      </c>
      <c r="G6632" s="53"/>
    </row>
    <row r="6633">
      <c r="A6633" s="49">
        <v>44582.664669398146</v>
      </c>
      <c r="B6633" s="50">
        <v>44582.7896534606</v>
      </c>
      <c r="C6633" s="51">
        <v>1.002</v>
      </c>
      <c r="D6633" s="51">
        <v>62.0</v>
      </c>
      <c r="E6633" s="52" t="s">
        <v>25</v>
      </c>
      <c r="F6633" s="52" t="s">
        <v>26</v>
      </c>
      <c r="G6633" s="53"/>
    </row>
    <row r="6634">
      <c r="A6634" s="49">
        <v>44582.6750938426</v>
      </c>
      <c r="B6634" s="50">
        <v>44582.8000741666</v>
      </c>
      <c r="C6634" s="51">
        <v>1.002</v>
      </c>
      <c r="D6634" s="51">
        <v>62.0</v>
      </c>
      <c r="E6634" s="52" t="s">
        <v>25</v>
      </c>
      <c r="F6634" s="52" t="s">
        <v>26</v>
      </c>
      <c r="G6634" s="53"/>
    </row>
    <row r="6635">
      <c r="A6635" s="49">
        <v>44582.685534097225</v>
      </c>
      <c r="B6635" s="50">
        <v>44582.8105057638</v>
      </c>
      <c r="C6635" s="51">
        <v>1.002</v>
      </c>
      <c r="D6635" s="51">
        <v>62.0</v>
      </c>
      <c r="E6635" s="52" t="s">
        <v>25</v>
      </c>
      <c r="F6635" s="52" t="s">
        <v>26</v>
      </c>
      <c r="G6635" s="53"/>
    </row>
    <row r="6636">
      <c r="A6636" s="49">
        <v>44582.69596141204</v>
      </c>
      <c r="B6636" s="50">
        <v>44582.8209280787</v>
      </c>
      <c r="C6636" s="51">
        <v>1.002</v>
      </c>
      <c r="D6636" s="51">
        <v>62.0</v>
      </c>
      <c r="E6636" s="52" t="s">
        <v>25</v>
      </c>
      <c r="F6636" s="52" t="s">
        <v>26</v>
      </c>
      <c r="G6636" s="53"/>
    </row>
    <row r="6637">
      <c r="A6637" s="49">
        <v>44582.70637851852</v>
      </c>
      <c r="B6637" s="50">
        <v>44582.831351574</v>
      </c>
      <c r="C6637" s="51">
        <v>1.002</v>
      </c>
      <c r="D6637" s="51">
        <v>62.0</v>
      </c>
      <c r="E6637" s="52" t="s">
        <v>25</v>
      </c>
      <c r="F6637" s="52" t="s">
        <v>26</v>
      </c>
      <c r="G6637" s="53"/>
    </row>
    <row r="6638">
      <c r="A6638" s="49">
        <v>44582.716796990746</v>
      </c>
      <c r="B6638" s="50">
        <v>44582.8417733217</v>
      </c>
      <c r="C6638" s="51">
        <v>1.002</v>
      </c>
      <c r="D6638" s="51">
        <v>61.0</v>
      </c>
      <c r="E6638" s="52" t="s">
        <v>25</v>
      </c>
      <c r="F6638" s="52" t="s">
        <v>26</v>
      </c>
      <c r="G6638" s="53"/>
    </row>
    <row r="6639">
      <c r="A6639" s="49">
        <v>44582.72721711805</v>
      </c>
      <c r="B6639" s="50">
        <v>44582.8521954513</v>
      </c>
      <c r="C6639" s="51">
        <v>1.002</v>
      </c>
      <c r="D6639" s="51">
        <v>62.0</v>
      </c>
      <c r="E6639" s="52" t="s">
        <v>25</v>
      </c>
      <c r="F6639" s="52" t="s">
        <v>26</v>
      </c>
      <c r="G6639" s="53"/>
    </row>
    <row r="6640">
      <c r="A6640" s="49">
        <v>44582.7376375</v>
      </c>
      <c r="B6640" s="50">
        <v>44582.8626174884</v>
      </c>
      <c r="C6640" s="51">
        <v>1.002</v>
      </c>
      <c r="D6640" s="51">
        <v>62.0</v>
      </c>
      <c r="E6640" s="52" t="s">
        <v>25</v>
      </c>
      <c r="F6640" s="52" t="s">
        <v>26</v>
      </c>
      <c r="G6640" s="53"/>
    </row>
    <row r="6641">
      <c r="A6641" s="49">
        <v>44582.74805715278</v>
      </c>
      <c r="B6641" s="50">
        <v>44582.8730366435</v>
      </c>
      <c r="C6641" s="51">
        <v>1.002</v>
      </c>
      <c r="D6641" s="51">
        <v>62.0</v>
      </c>
      <c r="E6641" s="52" t="s">
        <v>25</v>
      </c>
      <c r="F6641" s="52" t="s">
        <v>26</v>
      </c>
      <c r="G6641" s="53"/>
    </row>
    <row r="6642">
      <c r="A6642" s="49">
        <v>44582.75847429398</v>
      </c>
      <c r="B6642" s="50">
        <v>44582.8834565856</v>
      </c>
      <c r="C6642" s="51">
        <v>1.002</v>
      </c>
      <c r="D6642" s="51">
        <v>62.0</v>
      </c>
      <c r="E6642" s="52" t="s">
        <v>25</v>
      </c>
      <c r="F6642" s="52" t="s">
        <v>26</v>
      </c>
      <c r="G6642" s="53"/>
    </row>
    <row r="6643">
      <c r="A6643" s="49">
        <v>44582.768906840276</v>
      </c>
      <c r="B6643" s="50">
        <v>44582.8938788078</v>
      </c>
      <c r="C6643" s="51">
        <v>1.002</v>
      </c>
      <c r="D6643" s="51">
        <v>63.0</v>
      </c>
      <c r="E6643" s="52" t="s">
        <v>25</v>
      </c>
      <c r="F6643" s="52" t="s">
        <v>26</v>
      </c>
      <c r="G6643" s="53"/>
    </row>
    <row r="6644">
      <c r="A6644" s="49">
        <v>44582.779321828704</v>
      </c>
      <c r="B6644" s="50">
        <v>44582.9042994097</v>
      </c>
      <c r="C6644" s="51">
        <v>1.002</v>
      </c>
      <c r="D6644" s="51">
        <v>63.0</v>
      </c>
      <c r="E6644" s="52" t="s">
        <v>25</v>
      </c>
      <c r="F6644" s="52" t="s">
        <v>26</v>
      </c>
      <c r="G6644" s="53"/>
    </row>
    <row r="6645">
      <c r="A6645" s="49">
        <v>44582.78975226852</v>
      </c>
      <c r="B6645" s="50">
        <v>44582.9147319097</v>
      </c>
      <c r="C6645" s="51">
        <v>1.002</v>
      </c>
      <c r="D6645" s="51">
        <v>64.0</v>
      </c>
      <c r="E6645" s="52" t="s">
        <v>25</v>
      </c>
      <c r="F6645" s="52" t="s">
        <v>26</v>
      </c>
      <c r="G6645" s="53"/>
    </row>
    <row r="6646">
      <c r="A6646" s="49">
        <v>44582.80016831019</v>
      </c>
      <c r="B6646" s="50">
        <v>44582.92515375</v>
      </c>
      <c r="C6646" s="51">
        <v>1.001</v>
      </c>
      <c r="D6646" s="51">
        <v>64.0</v>
      </c>
      <c r="E6646" s="52" t="s">
        <v>25</v>
      </c>
      <c r="F6646" s="52" t="s">
        <v>26</v>
      </c>
      <c r="G6646" s="53"/>
    </row>
    <row r="6647">
      <c r="A6647" s="49">
        <v>44582.81060784722</v>
      </c>
      <c r="B6647" s="50">
        <v>44582.9355757407</v>
      </c>
      <c r="C6647" s="51">
        <v>1.001</v>
      </c>
      <c r="D6647" s="51">
        <v>64.0</v>
      </c>
      <c r="E6647" s="52" t="s">
        <v>25</v>
      </c>
      <c r="F6647" s="52" t="s">
        <v>26</v>
      </c>
      <c r="G6647" s="53"/>
    </row>
    <row r="6648">
      <c r="A6648" s="49">
        <v>44582.82101668981</v>
      </c>
      <c r="B6648" s="50">
        <v>44582.9459956018</v>
      </c>
      <c r="C6648" s="51">
        <v>1.001</v>
      </c>
      <c r="D6648" s="51">
        <v>65.0</v>
      </c>
      <c r="E6648" s="52" t="s">
        <v>25</v>
      </c>
      <c r="F6648" s="52" t="s">
        <v>26</v>
      </c>
      <c r="G6648" s="53"/>
    </row>
    <row r="6649">
      <c r="A6649" s="49">
        <v>44582.8314425</v>
      </c>
      <c r="B6649" s="50">
        <v>44582.9564167476</v>
      </c>
      <c r="C6649" s="51">
        <v>1.001</v>
      </c>
      <c r="D6649" s="51">
        <v>65.0</v>
      </c>
      <c r="E6649" s="52" t="s">
        <v>25</v>
      </c>
      <c r="F6649" s="52" t="s">
        <v>26</v>
      </c>
      <c r="G6649" s="53"/>
    </row>
    <row r="6650">
      <c r="A6650" s="49">
        <v>44582.84186127315</v>
      </c>
      <c r="B6650" s="50">
        <v>44582.9668367824</v>
      </c>
      <c r="C6650" s="51">
        <v>1.001</v>
      </c>
      <c r="D6650" s="51">
        <v>66.0</v>
      </c>
      <c r="E6650" s="52" t="s">
        <v>25</v>
      </c>
      <c r="F6650" s="52" t="s">
        <v>26</v>
      </c>
      <c r="G6650" s="53"/>
    </row>
    <row r="6651">
      <c r="A6651" s="49">
        <v>44582.85228478009</v>
      </c>
      <c r="B6651" s="50">
        <v>44582.977256655</v>
      </c>
      <c r="C6651" s="51">
        <v>1.001</v>
      </c>
      <c r="D6651" s="51">
        <v>66.0</v>
      </c>
      <c r="E6651" s="52" t="s">
        <v>25</v>
      </c>
      <c r="F6651" s="52" t="s">
        <v>26</v>
      </c>
      <c r="G6651" s="53"/>
    </row>
    <row r="6652">
      <c r="A6652" s="49">
        <v>44582.86270167824</v>
      </c>
      <c r="B6652" s="50">
        <v>44582.9876781481</v>
      </c>
      <c r="C6652" s="51">
        <v>1.001</v>
      </c>
      <c r="D6652" s="51">
        <v>67.0</v>
      </c>
      <c r="E6652" s="52" t="s">
        <v>25</v>
      </c>
      <c r="F6652" s="52" t="s">
        <v>26</v>
      </c>
      <c r="G6652" s="53"/>
    </row>
    <row r="6653">
      <c r="A6653" s="49">
        <v>44582.87312369213</v>
      </c>
      <c r="B6653" s="50">
        <v>44582.9980986342</v>
      </c>
      <c r="C6653" s="51">
        <v>1.002</v>
      </c>
      <c r="D6653" s="51">
        <v>67.0</v>
      </c>
      <c r="E6653" s="52" t="s">
        <v>25</v>
      </c>
      <c r="F6653" s="52" t="s">
        <v>26</v>
      </c>
      <c r="G6653" s="53"/>
    </row>
    <row r="6654">
      <c r="A6654" s="49">
        <v>44582.8835406713</v>
      </c>
      <c r="B6654" s="50">
        <v>44583.0085177199</v>
      </c>
      <c r="C6654" s="51">
        <v>1.001</v>
      </c>
      <c r="D6654" s="51">
        <v>67.0</v>
      </c>
      <c r="E6654" s="52" t="s">
        <v>25</v>
      </c>
      <c r="F6654" s="52" t="s">
        <v>26</v>
      </c>
      <c r="G6654" s="53"/>
    </row>
    <row r="6655">
      <c r="A6655" s="49">
        <v>44582.893963449074</v>
      </c>
      <c r="B6655" s="50">
        <v>44583.0189388078</v>
      </c>
      <c r="C6655" s="51">
        <v>1.001</v>
      </c>
      <c r="D6655" s="51">
        <v>68.0</v>
      </c>
      <c r="E6655" s="52" t="s">
        <v>25</v>
      </c>
      <c r="F6655" s="52" t="s">
        <v>26</v>
      </c>
      <c r="G6655" s="53"/>
    </row>
    <row r="6656">
      <c r="A6656" s="49">
        <v>44582.904388553245</v>
      </c>
      <c r="B6656" s="50">
        <v>44583.0293596296</v>
      </c>
      <c r="C6656" s="51">
        <v>1.001</v>
      </c>
      <c r="D6656" s="51">
        <v>68.0</v>
      </c>
      <c r="E6656" s="52" t="s">
        <v>25</v>
      </c>
      <c r="F6656" s="52" t="s">
        <v>26</v>
      </c>
      <c r="G6656" s="53"/>
    </row>
    <row r="6657">
      <c r="A6657" s="49">
        <v>44582.914805243054</v>
      </c>
      <c r="B6657" s="50">
        <v>44583.0397802662</v>
      </c>
      <c r="C6657" s="51">
        <v>1.001</v>
      </c>
      <c r="D6657" s="51">
        <v>68.0</v>
      </c>
      <c r="E6657" s="52" t="s">
        <v>25</v>
      </c>
      <c r="F6657" s="52" t="s">
        <v>26</v>
      </c>
      <c r="G6657" s="53"/>
    </row>
    <row r="6658">
      <c r="A6658" s="49">
        <v>44582.92522631944</v>
      </c>
      <c r="B6658" s="50">
        <v>44583.0502011689</v>
      </c>
      <c r="C6658" s="51">
        <v>1.001</v>
      </c>
      <c r="D6658" s="51">
        <v>68.0</v>
      </c>
      <c r="E6658" s="52" t="s">
        <v>25</v>
      </c>
      <c r="F6658" s="52" t="s">
        <v>26</v>
      </c>
      <c r="G6658" s="53"/>
    </row>
    <row r="6659">
      <c r="A6659" s="49">
        <v>44582.93565452546</v>
      </c>
      <c r="B6659" s="50">
        <v>44583.0606362847</v>
      </c>
      <c r="C6659" s="51">
        <v>1.001</v>
      </c>
      <c r="D6659" s="51">
        <v>68.0</v>
      </c>
      <c r="E6659" s="52" t="s">
        <v>25</v>
      </c>
      <c r="F6659" s="52" t="s">
        <v>26</v>
      </c>
      <c r="G6659" s="53"/>
    </row>
    <row r="6660">
      <c r="A6660" s="49">
        <v>44582.94607928241</v>
      </c>
      <c r="B6660" s="50">
        <v>44583.0710586458</v>
      </c>
      <c r="C6660" s="51">
        <v>1.001</v>
      </c>
      <c r="D6660" s="51">
        <v>67.0</v>
      </c>
      <c r="E6660" s="52" t="s">
        <v>25</v>
      </c>
      <c r="F6660" s="52" t="s">
        <v>26</v>
      </c>
      <c r="G6660" s="53"/>
    </row>
    <row r="6661">
      <c r="A6661" s="49">
        <v>44582.95650921296</v>
      </c>
      <c r="B6661" s="50">
        <v>44583.0814797222</v>
      </c>
      <c r="C6661" s="51">
        <v>1.001</v>
      </c>
      <c r="D6661" s="51">
        <v>67.0</v>
      </c>
      <c r="E6661" s="52" t="s">
        <v>25</v>
      </c>
      <c r="F6661" s="52" t="s">
        <v>26</v>
      </c>
      <c r="G6661" s="53"/>
    </row>
    <row r="6662">
      <c r="A6662" s="49">
        <v>44582.96692219908</v>
      </c>
      <c r="B6662" s="50">
        <v>44583.0919004629</v>
      </c>
      <c r="C6662" s="51">
        <v>1.001</v>
      </c>
      <c r="D6662" s="51">
        <v>67.0</v>
      </c>
      <c r="E6662" s="52" t="s">
        <v>25</v>
      </c>
      <c r="F6662" s="52" t="s">
        <v>26</v>
      </c>
      <c r="G6662" s="53"/>
    </row>
    <row r="6663">
      <c r="A6663" s="49">
        <v>44582.97734537037</v>
      </c>
      <c r="B6663" s="50">
        <v>44583.102320706</v>
      </c>
      <c r="C6663" s="51">
        <v>1.001</v>
      </c>
      <c r="D6663" s="51">
        <v>67.0</v>
      </c>
      <c r="E6663" s="52" t="s">
        <v>25</v>
      </c>
      <c r="F6663" s="52" t="s">
        <v>26</v>
      </c>
      <c r="G6663" s="53"/>
    </row>
    <row r="6664">
      <c r="A6664" s="49">
        <v>44582.98776152778</v>
      </c>
      <c r="B6664" s="50">
        <v>44583.1127414699</v>
      </c>
      <c r="C6664" s="51">
        <v>1.001</v>
      </c>
      <c r="D6664" s="51">
        <v>67.0</v>
      </c>
      <c r="E6664" s="52" t="s">
        <v>25</v>
      </c>
      <c r="F6664" s="52" t="s">
        <v>26</v>
      </c>
      <c r="G6664" s="53"/>
    </row>
    <row r="6665">
      <c r="A6665" s="49">
        <v>44582.99820560185</v>
      </c>
      <c r="B6665" s="50">
        <v>44583.1231845949</v>
      </c>
      <c r="C6665" s="51">
        <v>1.001</v>
      </c>
      <c r="D6665" s="51">
        <v>67.0</v>
      </c>
      <c r="E6665" s="52" t="s">
        <v>25</v>
      </c>
      <c r="F6665" s="52" t="s">
        <v>26</v>
      </c>
      <c r="G6665" s="53"/>
    </row>
    <row r="6666">
      <c r="A6666" s="49">
        <v>44583.008644166664</v>
      </c>
      <c r="B6666" s="50">
        <v>44583.1336177777</v>
      </c>
      <c r="C6666" s="51">
        <v>1.001</v>
      </c>
      <c r="D6666" s="51">
        <v>67.0</v>
      </c>
      <c r="E6666" s="52" t="s">
        <v>25</v>
      </c>
      <c r="F6666" s="52" t="s">
        <v>26</v>
      </c>
      <c r="G6666" s="53"/>
    </row>
    <row r="6667">
      <c r="A6667" s="49">
        <v>44583.01906104167</v>
      </c>
      <c r="B6667" s="50">
        <v>44583.1440363773</v>
      </c>
      <c r="C6667" s="51">
        <v>1.001</v>
      </c>
      <c r="D6667" s="51">
        <v>67.0</v>
      </c>
      <c r="E6667" s="52" t="s">
        <v>25</v>
      </c>
      <c r="F6667" s="52" t="s">
        <v>26</v>
      </c>
      <c r="G6667" s="53"/>
    </row>
    <row r="6668">
      <c r="A6668" s="49">
        <v>44583.0295034375</v>
      </c>
      <c r="B6668" s="50">
        <v>44583.1544810879</v>
      </c>
      <c r="C6668" s="51">
        <v>1.001</v>
      </c>
      <c r="D6668" s="51">
        <v>67.0</v>
      </c>
      <c r="E6668" s="52" t="s">
        <v>25</v>
      </c>
      <c r="F6668" s="52" t="s">
        <v>26</v>
      </c>
      <c r="G6668" s="53"/>
    </row>
    <row r="6669">
      <c r="A6669" s="49">
        <v>44583.0399362037</v>
      </c>
      <c r="B6669" s="50">
        <v>44583.1649140625</v>
      </c>
      <c r="C6669" s="51">
        <v>1.001</v>
      </c>
      <c r="D6669" s="51">
        <v>67.0</v>
      </c>
      <c r="E6669" s="52" t="s">
        <v>25</v>
      </c>
      <c r="F6669" s="52" t="s">
        <v>26</v>
      </c>
      <c r="G6669" s="53"/>
    </row>
    <row r="6670">
      <c r="A6670" s="49">
        <v>44583.050371516205</v>
      </c>
      <c r="B6670" s="50">
        <v>44583.17534478</v>
      </c>
      <c r="C6670" s="51">
        <v>1.001</v>
      </c>
      <c r="D6670" s="51">
        <v>67.0</v>
      </c>
      <c r="E6670" s="52" t="s">
        <v>25</v>
      </c>
      <c r="F6670" s="52" t="s">
        <v>26</v>
      </c>
      <c r="G6670" s="53"/>
    </row>
    <row r="6671">
      <c r="A6671" s="49">
        <v>44583.060783368055</v>
      </c>
      <c r="B6671" s="50">
        <v>44583.1857657986</v>
      </c>
      <c r="C6671" s="51">
        <v>1.001</v>
      </c>
      <c r="D6671" s="51">
        <v>67.0</v>
      </c>
      <c r="E6671" s="52" t="s">
        <v>25</v>
      </c>
      <c r="F6671" s="52" t="s">
        <v>26</v>
      </c>
      <c r="G6671" s="53"/>
    </row>
    <row r="6672">
      <c r="A6672" s="49">
        <v>44583.07120851852</v>
      </c>
      <c r="B6672" s="50">
        <v>44583.1961860532</v>
      </c>
      <c r="C6672" s="51">
        <v>1.001</v>
      </c>
      <c r="D6672" s="51">
        <v>67.0</v>
      </c>
      <c r="E6672" s="52" t="s">
        <v>25</v>
      </c>
      <c r="F6672" s="52" t="s">
        <v>26</v>
      </c>
      <c r="G6672" s="53"/>
    </row>
    <row r="6673">
      <c r="A6673" s="49">
        <v>44583.0816259375</v>
      </c>
      <c r="B6673" s="50">
        <v>44583.2066074768</v>
      </c>
      <c r="C6673" s="51">
        <v>1.001</v>
      </c>
      <c r="D6673" s="51">
        <v>67.0</v>
      </c>
      <c r="E6673" s="52" t="s">
        <v>25</v>
      </c>
      <c r="F6673" s="52" t="s">
        <v>26</v>
      </c>
      <c r="G6673" s="53"/>
    </row>
    <row r="6674">
      <c r="A6674" s="49">
        <v>44583.092046516205</v>
      </c>
      <c r="B6674" s="50">
        <v>44583.2170293055</v>
      </c>
      <c r="C6674" s="51">
        <v>1.001</v>
      </c>
      <c r="D6674" s="51">
        <v>67.0</v>
      </c>
      <c r="E6674" s="52" t="s">
        <v>25</v>
      </c>
      <c r="F6674" s="52" t="s">
        <v>26</v>
      </c>
      <c r="G6674" s="53"/>
    </row>
    <row r="6675">
      <c r="A6675" s="49">
        <v>44583.102471192135</v>
      </c>
      <c r="B6675" s="50">
        <v>44583.227449537</v>
      </c>
      <c r="C6675" s="51">
        <v>1.001</v>
      </c>
      <c r="D6675" s="51">
        <v>67.0</v>
      </c>
      <c r="E6675" s="52" t="s">
        <v>25</v>
      </c>
      <c r="F6675" s="52" t="s">
        <v>26</v>
      </c>
      <c r="G6675" s="53"/>
    </row>
    <row r="6676">
      <c r="A6676" s="49">
        <v>44583.112893530095</v>
      </c>
      <c r="B6676" s="50">
        <v>44583.2378704282</v>
      </c>
      <c r="C6676" s="51">
        <v>1.001</v>
      </c>
      <c r="D6676" s="51">
        <v>67.0</v>
      </c>
      <c r="E6676" s="52" t="s">
        <v>25</v>
      </c>
      <c r="F6676" s="52" t="s">
        <v>26</v>
      </c>
      <c r="G6676" s="53"/>
    </row>
    <row r="6677">
      <c r="A6677" s="49">
        <v>44583.123318576385</v>
      </c>
      <c r="B6677" s="50">
        <v>44583.2482902083</v>
      </c>
      <c r="C6677" s="51">
        <v>1.001</v>
      </c>
      <c r="D6677" s="51">
        <v>67.0</v>
      </c>
      <c r="E6677" s="52" t="s">
        <v>25</v>
      </c>
      <c r="F6677" s="52" t="s">
        <v>26</v>
      </c>
      <c r="G6677" s="53"/>
    </row>
    <row r="6678">
      <c r="A6678" s="49">
        <v>44583.13373486111</v>
      </c>
      <c r="B6678" s="50">
        <v>44583.2587111111</v>
      </c>
      <c r="C6678" s="51">
        <v>1.001</v>
      </c>
      <c r="D6678" s="51">
        <v>67.0</v>
      </c>
      <c r="E6678" s="52" t="s">
        <v>25</v>
      </c>
      <c r="F6678" s="52" t="s">
        <v>26</v>
      </c>
      <c r="G6678" s="53"/>
    </row>
    <row r="6679">
      <c r="A6679" s="49">
        <v>44583.144154305555</v>
      </c>
      <c r="B6679" s="50">
        <v>44583.2691327662</v>
      </c>
      <c r="C6679" s="51">
        <v>1.001</v>
      </c>
      <c r="D6679" s="51">
        <v>67.0</v>
      </c>
      <c r="E6679" s="52" t="s">
        <v>25</v>
      </c>
      <c r="F6679" s="52" t="s">
        <v>26</v>
      </c>
      <c r="G6679" s="53"/>
    </row>
    <row r="6680">
      <c r="A6680" s="49">
        <v>44583.154583807875</v>
      </c>
      <c r="B6680" s="50">
        <v>44583.2795659837</v>
      </c>
      <c r="C6680" s="51">
        <v>1.001</v>
      </c>
      <c r="D6680" s="51">
        <v>67.0</v>
      </c>
      <c r="E6680" s="52" t="s">
        <v>25</v>
      </c>
      <c r="F6680" s="52" t="s">
        <v>26</v>
      </c>
      <c r="G6680" s="53"/>
    </row>
    <row r="6681">
      <c r="A6681" s="49">
        <v>44583.16502056713</v>
      </c>
      <c r="B6681" s="50">
        <v>44583.2899984722</v>
      </c>
      <c r="C6681" s="51">
        <v>1.001</v>
      </c>
      <c r="D6681" s="51">
        <v>66.0</v>
      </c>
      <c r="E6681" s="52" t="s">
        <v>25</v>
      </c>
      <c r="F6681" s="52" t="s">
        <v>26</v>
      </c>
      <c r="G6681" s="53"/>
    </row>
    <row r="6682">
      <c r="A6682" s="49">
        <v>44583.17545173611</v>
      </c>
      <c r="B6682" s="50">
        <v>44583.3004324652</v>
      </c>
      <c r="C6682" s="51">
        <v>1.001</v>
      </c>
      <c r="D6682" s="51">
        <v>66.0</v>
      </c>
      <c r="E6682" s="52" t="s">
        <v>25</v>
      </c>
      <c r="F6682" s="52" t="s">
        <v>26</v>
      </c>
      <c r="G6682" s="53"/>
    </row>
    <row r="6683">
      <c r="A6683" s="49">
        <v>44583.18587153935</v>
      </c>
      <c r="B6683" s="50">
        <v>44583.3108532638</v>
      </c>
      <c r="C6683" s="51">
        <v>1.001</v>
      </c>
      <c r="D6683" s="51">
        <v>66.0</v>
      </c>
      <c r="E6683" s="52" t="s">
        <v>25</v>
      </c>
      <c r="F6683" s="52" t="s">
        <v>26</v>
      </c>
      <c r="G6683" s="53"/>
    </row>
    <row r="6684">
      <c r="A6684" s="49">
        <v>44583.1963006713</v>
      </c>
      <c r="B6684" s="50">
        <v>44583.3212857175</v>
      </c>
      <c r="C6684" s="51">
        <v>1.001</v>
      </c>
      <c r="D6684" s="51">
        <v>66.0</v>
      </c>
      <c r="E6684" s="52" t="s">
        <v>25</v>
      </c>
      <c r="F6684" s="52" t="s">
        <v>26</v>
      </c>
      <c r="G6684" s="53"/>
    </row>
    <row r="6685">
      <c r="A6685" s="49">
        <v>44583.20673795139</v>
      </c>
      <c r="B6685" s="50">
        <v>44583.3317072916</v>
      </c>
      <c r="C6685" s="51">
        <v>1.001</v>
      </c>
      <c r="D6685" s="51">
        <v>66.0</v>
      </c>
      <c r="E6685" s="52" t="s">
        <v>25</v>
      </c>
      <c r="F6685" s="52" t="s">
        <v>26</v>
      </c>
      <c r="G6685" s="53"/>
    </row>
    <row r="6686">
      <c r="A6686" s="49">
        <v>44583.21715251157</v>
      </c>
      <c r="B6686" s="50">
        <v>44583.3421267824</v>
      </c>
      <c r="C6686" s="51">
        <v>1.001</v>
      </c>
      <c r="D6686" s="51">
        <v>66.0</v>
      </c>
      <c r="E6686" s="52" t="s">
        <v>25</v>
      </c>
      <c r="F6686" s="52" t="s">
        <v>26</v>
      </c>
      <c r="G6686" s="53"/>
    </row>
    <row r="6687">
      <c r="A6687" s="49">
        <v>44583.22757275463</v>
      </c>
      <c r="B6687" s="50">
        <v>44583.35254603</v>
      </c>
      <c r="C6687" s="51">
        <v>1.001</v>
      </c>
      <c r="D6687" s="51">
        <v>66.0</v>
      </c>
      <c r="E6687" s="52" t="s">
        <v>25</v>
      </c>
      <c r="F6687" s="52" t="s">
        <v>26</v>
      </c>
      <c r="G6687" s="53"/>
    </row>
    <row r="6688">
      <c r="A6688" s="49">
        <v>44583.23799043981</v>
      </c>
      <c r="B6688" s="50">
        <v>44583.3629680671</v>
      </c>
      <c r="C6688" s="51">
        <v>1.001</v>
      </c>
      <c r="D6688" s="51">
        <v>66.0</v>
      </c>
      <c r="E6688" s="52" t="s">
        <v>25</v>
      </c>
      <c r="F6688" s="52" t="s">
        <v>26</v>
      </c>
      <c r="G6688" s="53"/>
    </row>
    <row r="6689">
      <c r="A6689" s="49">
        <v>44583.24843204861</v>
      </c>
      <c r="B6689" s="50">
        <v>44583.3734007291</v>
      </c>
      <c r="C6689" s="51">
        <v>1.001</v>
      </c>
      <c r="D6689" s="51">
        <v>66.0</v>
      </c>
      <c r="E6689" s="52" t="s">
        <v>25</v>
      </c>
      <c r="F6689" s="52" t="s">
        <v>26</v>
      </c>
      <c r="G6689" s="53"/>
    </row>
    <row r="6690">
      <c r="A6690" s="49">
        <v>44583.25884165509</v>
      </c>
      <c r="B6690" s="50">
        <v>44583.3838208333</v>
      </c>
      <c r="C6690" s="51">
        <v>1.001</v>
      </c>
      <c r="D6690" s="51">
        <v>66.0</v>
      </c>
      <c r="E6690" s="52" t="s">
        <v>25</v>
      </c>
      <c r="F6690" s="52" t="s">
        <v>26</v>
      </c>
      <c r="G6690" s="53"/>
    </row>
    <row r="6691">
      <c r="A6691" s="49">
        <v>44583.269294328704</v>
      </c>
      <c r="B6691" s="50">
        <v>44583.3942638425</v>
      </c>
      <c r="C6691" s="51">
        <v>1.001</v>
      </c>
      <c r="D6691" s="51">
        <v>66.0</v>
      </c>
      <c r="E6691" s="52" t="s">
        <v>25</v>
      </c>
      <c r="F6691" s="52" t="s">
        <v>26</v>
      </c>
      <c r="G6691" s="53"/>
    </row>
    <row r="6692">
      <c r="A6692" s="49">
        <v>44583.27973002315</v>
      </c>
      <c r="B6692" s="50">
        <v>44583.4047081365</v>
      </c>
      <c r="C6692" s="51">
        <v>1.001</v>
      </c>
      <c r="D6692" s="51">
        <v>66.0</v>
      </c>
      <c r="E6692" s="52" t="s">
        <v>25</v>
      </c>
      <c r="F6692" s="52" t="s">
        <v>26</v>
      </c>
      <c r="G6692" s="53"/>
    </row>
    <row r="6693">
      <c r="A6693" s="49">
        <v>44583.29016638889</v>
      </c>
      <c r="B6693" s="50">
        <v>44583.4151415393</v>
      </c>
      <c r="C6693" s="51">
        <v>1.001</v>
      </c>
      <c r="D6693" s="51">
        <v>66.0</v>
      </c>
      <c r="E6693" s="52" t="s">
        <v>25</v>
      </c>
      <c r="F6693" s="52" t="s">
        <v>26</v>
      </c>
      <c r="G6693" s="53"/>
    </row>
    <row r="6694">
      <c r="A6694" s="49">
        <v>44583.300590300925</v>
      </c>
      <c r="B6694" s="50">
        <v>44583.4255633217</v>
      </c>
      <c r="C6694" s="51">
        <v>1.001</v>
      </c>
      <c r="D6694" s="51">
        <v>66.0</v>
      </c>
      <c r="E6694" s="52" t="s">
        <v>25</v>
      </c>
      <c r="F6694" s="52" t="s">
        <v>26</v>
      </c>
      <c r="G6694" s="53"/>
    </row>
    <row r="6695">
      <c r="A6695" s="49">
        <v>44583.3110084838</v>
      </c>
      <c r="B6695" s="50">
        <v>44583.4359847916</v>
      </c>
      <c r="C6695" s="51">
        <v>1.001</v>
      </c>
      <c r="D6695" s="51">
        <v>66.0</v>
      </c>
      <c r="E6695" s="52" t="s">
        <v>25</v>
      </c>
      <c r="F6695" s="52" t="s">
        <v>26</v>
      </c>
      <c r="G6695" s="53"/>
    </row>
    <row r="6696">
      <c r="A6696" s="49">
        <v>44583.32142920139</v>
      </c>
      <c r="B6696" s="50">
        <v>44583.4464070717</v>
      </c>
      <c r="C6696" s="51">
        <v>1.001</v>
      </c>
      <c r="D6696" s="51">
        <v>66.0</v>
      </c>
      <c r="E6696" s="52" t="s">
        <v>25</v>
      </c>
      <c r="F6696" s="52" t="s">
        <v>26</v>
      </c>
      <c r="G6696" s="53"/>
    </row>
    <row r="6697">
      <c r="A6697" s="49">
        <v>44583.33184694445</v>
      </c>
      <c r="B6697" s="50">
        <v>44583.4568279861</v>
      </c>
      <c r="C6697" s="51">
        <v>1.001</v>
      </c>
      <c r="D6697" s="51">
        <v>66.0</v>
      </c>
      <c r="E6697" s="52" t="s">
        <v>25</v>
      </c>
      <c r="F6697" s="52" t="s">
        <v>26</v>
      </c>
      <c r="G6697" s="53"/>
    </row>
    <row r="6698">
      <c r="A6698" s="49">
        <v>44583.34226761574</v>
      </c>
      <c r="B6698" s="50">
        <v>44583.4672481018</v>
      </c>
      <c r="C6698" s="51">
        <v>1.001</v>
      </c>
      <c r="D6698" s="51">
        <v>66.0</v>
      </c>
      <c r="E6698" s="52" t="s">
        <v>25</v>
      </c>
      <c r="F6698" s="52" t="s">
        <v>26</v>
      </c>
      <c r="G6698" s="53"/>
    </row>
    <row r="6699">
      <c r="A6699" s="49">
        <v>44583.35269309027</v>
      </c>
      <c r="B6699" s="50">
        <v>44583.477669155</v>
      </c>
      <c r="C6699" s="51">
        <v>1.001</v>
      </c>
      <c r="D6699" s="51">
        <v>66.0</v>
      </c>
      <c r="E6699" s="52" t="s">
        <v>25</v>
      </c>
      <c r="F6699" s="52" t="s">
        <v>26</v>
      </c>
      <c r="G6699" s="53"/>
    </row>
    <row r="6700">
      <c r="A6700" s="49">
        <v>44583.36311508102</v>
      </c>
      <c r="B6700" s="50">
        <v>44583.4880900462</v>
      </c>
      <c r="C6700" s="51">
        <v>1.001</v>
      </c>
      <c r="D6700" s="51">
        <v>66.0</v>
      </c>
      <c r="E6700" s="52" t="s">
        <v>25</v>
      </c>
      <c r="F6700" s="52" t="s">
        <v>26</v>
      </c>
      <c r="G6700" s="53"/>
    </row>
    <row r="6701">
      <c r="A6701" s="49">
        <v>44583.37353462963</v>
      </c>
      <c r="B6701" s="50">
        <v>44583.4985105555</v>
      </c>
      <c r="C6701" s="51">
        <v>1.001</v>
      </c>
      <c r="D6701" s="51">
        <v>66.0</v>
      </c>
      <c r="E6701" s="52" t="s">
        <v>25</v>
      </c>
      <c r="F6701" s="52" t="s">
        <v>26</v>
      </c>
      <c r="G6701" s="53"/>
    </row>
    <row r="6702">
      <c r="A6702" s="49">
        <v>44583.383954143515</v>
      </c>
      <c r="B6702" s="50">
        <v>44583.5089298495</v>
      </c>
      <c r="C6702" s="51">
        <v>1.001</v>
      </c>
      <c r="D6702" s="51">
        <v>66.0</v>
      </c>
      <c r="E6702" s="52" t="s">
        <v>25</v>
      </c>
      <c r="F6702" s="52" t="s">
        <v>26</v>
      </c>
      <c r="G6702" s="53"/>
    </row>
    <row r="6703">
      <c r="A6703" s="49">
        <v>44583.394376192125</v>
      </c>
      <c r="B6703" s="50">
        <v>44583.5193512731</v>
      </c>
      <c r="C6703" s="51">
        <v>1.001</v>
      </c>
      <c r="D6703" s="51">
        <v>66.0</v>
      </c>
      <c r="E6703" s="52" t="s">
        <v>25</v>
      </c>
      <c r="F6703" s="52" t="s">
        <v>26</v>
      </c>
      <c r="G6703" s="53"/>
    </row>
    <row r="6704">
      <c r="A6704" s="49">
        <v>44583.40479543981</v>
      </c>
      <c r="B6704" s="50">
        <v>44583.5297734722</v>
      </c>
      <c r="C6704" s="51">
        <v>1.001</v>
      </c>
      <c r="D6704" s="51">
        <v>66.0</v>
      </c>
      <c r="E6704" s="52" t="s">
        <v>25</v>
      </c>
      <c r="F6704" s="52" t="s">
        <v>26</v>
      </c>
      <c r="G6704" s="53"/>
    </row>
    <row r="6705">
      <c r="A6705" s="49">
        <v>44583.415216134264</v>
      </c>
      <c r="B6705" s="50">
        <v>44583.5401957291</v>
      </c>
      <c r="C6705" s="51">
        <v>1.001</v>
      </c>
      <c r="D6705" s="51">
        <v>65.0</v>
      </c>
      <c r="E6705" s="52" t="s">
        <v>25</v>
      </c>
      <c r="F6705" s="52" t="s">
        <v>26</v>
      </c>
      <c r="G6705" s="53"/>
    </row>
    <row r="6706">
      <c r="A6706" s="49">
        <v>44583.425634733794</v>
      </c>
      <c r="B6706" s="50">
        <v>44583.5506187615</v>
      </c>
      <c r="C6706" s="51">
        <v>1.001</v>
      </c>
      <c r="D6706" s="51">
        <v>65.0</v>
      </c>
      <c r="E6706" s="52" t="s">
        <v>25</v>
      </c>
      <c r="F6706" s="52" t="s">
        <v>26</v>
      </c>
      <c r="G6706" s="53"/>
    </row>
    <row r="6707">
      <c r="A6707" s="49">
        <v>44583.43606168982</v>
      </c>
      <c r="B6707" s="50">
        <v>44583.5610409837</v>
      </c>
      <c r="C6707" s="51">
        <v>1.001</v>
      </c>
      <c r="D6707" s="51">
        <v>65.0</v>
      </c>
      <c r="E6707" s="52" t="s">
        <v>25</v>
      </c>
      <c r="F6707" s="52" t="s">
        <v>26</v>
      </c>
      <c r="G6707" s="53"/>
    </row>
    <row r="6708">
      <c r="A6708" s="49">
        <v>44583.44652079861</v>
      </c>
      <c r="B6708" s="50">
        <v>44583.5714973842</v>
      </c>
      <c r="C6708" s="51">
        <v>1.001</v>
      </c>
      <c r="D6708" s="51">
        <v>65.0</v>
      </c>
      <c r="E6708" s="52" t="s">
        <v>25</v>
      </c>
      <c r="F6708" s="52" t="s">
        <v>26</v>
      </c>
      <c r="G6708" s="53"/>
    </row>
    <row r="6709">
      <c r="A6709" s="49">
        <v>44583.45694185185</v>
      </c>
      <c r="B6709" s="50">
        <v>44583.5819200925</v>
      </c>
      <c r="C6709" s="51">
        <v>1.001</v>
      </c>
      <c r="D6709" s="51">
        <v>65.0</v>
      </c>
      <c r="E6709" s="52" t="s">
        <v>25</v>
      </c>
      <c r="F6709" s="52" t="s">
        <v>26</v>
      </c>
      <c r="G6709" s="53"/>
    </row>
    <row r="6710">
      <c r="A6710" s="49">
        <v>44583.46737763889</v>
      </c>
      <c r="B6710" s="50">
        <v>44583.5923535185</v>
      </c>
      <c r="C6710" s="51">
        <v>1.001</v>
      </c>
      <c r="D6710" s="51">
        <v>65.0</v>
      </c>
      <c r="E6710" s="52" t="s">
        <v>25</v>
      </c>
      <c r="F6710" s="52" t="s">
        <v>26</v>
      </c>
      <c r="G6710" s="53"/>
    </row>
    <row r="6711">
      <c r="A6711" s="49">
        <v>44583.47780934028</v>
      </c>
      <c r="B6711" s="50">
        <v>44583.6027847106</v>
      </c>
      <c r="C6711" s="51">
        <v>1.001</v>
      </c>
      <c r="D6711" s="51">
        <v>65.0</v>
      </c>
      <c r="E6711" s="52" t="s">
        <v>25</v>
      </c>
      <c r="F6711" s="52" t="s">
        <v>26</v>
      </c>
      <c r="G6711" s="53"/>
    </row>
    <row r="6712">
      <c r="A6712" s="49">
        <v>44583.48823681713</v>
      </c>
      <c r="B6712" s="50">
        <v>44583.6132182523</v>
      </c>
      <c r="C6712" s="51">
        <v>1.001</v>
      </c>
      <c r="D6712" s="51">
        <v>65.0</v>
      </c>
      <c r="E6712" s="52" t="s">
        <v>25</v>
      </c>
      <c r="F6712" s="52" t="s">
        <v>26</v>
      </c>
      <c r="G6712" s="53"/>
    </row>
    <row r="6713">
      <c r="A6713" s="49">
        <v>44583.498662488426</v>
      </c>
      <c r="B6713" s="50">
        <v>44583.62363978</v>
      </c>
      <c r="C6713" s="51">
        <v>1.001</v>
      </c>
      <c r="D6713" s="51">
        <v>65.0</v>
      </c>
      <c r="E6713" s="52" t="s">
        <v>25</v>
      </c>
      <c r="F6713" s="52" t="s">
        <v>26</v>
      </c>
      <c r="G6713" s="53"/>
    </row>
    <row r="6714">
      <c r="A6714" s="49">
        <v>44583.509087638886</v>
      </c>
      <c r="B6714" s="50">
        <v>44583.6340607754</v>
      </c>
      <c r="C6714" s="51">
        <v>1.001</v>
      </c>
      <c r="D6714" s="51">
        <v>65.0</v>
      </c>
      <c r="E6714" s="52" t="s">
        <v>25</v>
      </c>
      <c r="F6714" s="52" t="s">
        <v>26</v>
      </c>
      <c r="G6714" s="53"/>
    </row>
    <row r="6715">
      <c r="A6715" s="49">
        <v>44583.519507476856</v>
      </c>
      <c r="B6715" s="50">
        <v>44583.6444827777</v>
      </c>
      <c r="C6715" s="51">
        <v>1.001</v>
      </c>
      <c r="D6715" s="51">
        <v>65.0</v>
      </c>
      <c r="E6715" s="52" t="s">
        <v>25</v>
      </c>
      <c r="F6715" s="52" t="s">
        <v>26</v>
      </c>
      <c r="G6715" s="53"/>
    </row>
    <row r="6716">
      <c r="A6716" s="49">
        <v>44583.52997192129</v>
      </c>
      <c r="B6716" s="50">
        <v>44583.6549492592</v>
      </c>
      <c r="C6716" s="51">
        <v>1.001</v>
      </c>
      <c r="D6716" s="51">
        <v>65.0</v>
      </c>
      <c r="E6716" s="52" t="s">
        <v>25</v>
      </c>
      <c r="F6716" s="52" t="s">
        <v>26</v>
      </c>
      <c r="G6716" s="53"/>
    </row>
    <row r="6717">
      <c r="A6717" s="49">
        <v>44583.54038543982</v>
      </c>
      <c r="B6717" s="50">
        <v>44583.6653701504</v>
      </c>
      <c r="C6717" s="51">
        <v>1.001</v>
      </c>
      <c r="D6717" s="51">
        <v>65.0</v>
      </c>
      <c r="E6717" s="52" t="s">
        <v>25</v>
      </c>
      <c r="F6717" s="52" t="s">
        <v>26</v>
      </c>
      <c r="G6717" s="53"/>
    </row>
    <row r="6718">
      <c r="A6718" s="49">
        <v>44583.55081259259</v>
      </c>
      <c r="B6718" s="50">
        <v>44583.6757910648</v>
      </c>
      <c r="C6718" s="51">
        <v>1.001</v>
      </c>
      <c r="D6718" s="51">
        <v>65.0</v>
      </c>
      <c r="E6718" s="52" t="s">
        <v>25</v>
      </c>
      <c r="F6718" s="52" t="s">
        <v>26</v>
      </c>
      <c r="G6718" s="53"/>
    </row>
    <row r="6719">
      <c r="A6719" s="49">
        <v>44583.56123663194</v>
      </c>
      <c r="B6719" s="50">
        <v>44583.6862111458</v>
      </c>
      <c r="C6719" s="51">
        <v>1.001</v>
      </c>
      <c r="D6719" s="51">
        <v>65.0</v>
      </c>
      <c r="E6719" s="52" t="s">
        <v>25</v>
      </c>
      <c r="F6719" s="52" t="s">
        <v>26</v>
      </c>
      <c r="G6719" s="53"/>
    </row>
    <row r="6720">
      <c r="A6720" s="49">
        <v>44583.571656527776</v>
      </c>
      <c r="B6720" s="50">
        <v>44583.6966320601</v>
      </c>
      <c r="C6720" s="51">
        <v>1.001</v>
      </c>
      <c r="D6720" s="51">
        <v>65.0</v>
      </c>
      <c r="E6720" s="52" t="s">
        <v>25</v>
      </c>
      <c r="F6720" s="52" t="s">
        <v>26</v>
      </c>
      <c r="G6720" s="53"/>
    </row>
    <row r="6721">
      <c r="A6721" s="49">
        <v>44583.58207696759</v>
      </c>
      <c r="B6721" s="50">
        <v>44583.7070525578</v>
      </c>
      <c r="C6721" s="51">
        <v>1.001</v>
      </c>
      <c r="D6721" s="51">
        <v>65.0</v>
      </c>
      <c r="E6721" s="52" t="s">
        <v>25</v>
      </c>
      <c r="F6721" s="52" t="s">
        <v>26</v>
      </c>
      <c r="G6721" s="53"/>
    </row>
    <row r="6722">
      <c r="A6722" s="49">
        <v>44583.59249914352</v>
      </c>
      <c r="B6722" s="50">
        <v>44583.7174753703</v>
      </c>
      <c r="C6722" s="51">
        <v>1.001</v>
      </c>
      <c r="D6722" s="51">
        <v>65.0</v>
      </c>
      <c r="E6722" s="52" t="s">
        <v>25</v>
      </c>
      <c r="F6722" s="52" t="s">
        <v>26</v>
      </c>
      <c r="G6722" s="53"/>
    </row>
    <row r="6723">
      <c r="A6723" s="49">
        <v>44583.60292185185</v>
      </c>
      <c r="B6723" s="50">
        <v>44583.7278972337</v>
      </c>
      <c r="C6723" s="51">
        <v>1.001</v>
      </c>
      <c r="D6723" s="51">
        <v>65.0</v>
      </c>
      <c r="E6723" s="52" t="s">
        <v>25</v>
      </c>
      <c r="F6723" s="52" t="s">
        <v>26</v>
      </c>
      <c r="G6723" s="53"/>
    </row>
    <row r="6724">
      <c r="A6724" s="49">
        <v>44583.61334439815</v>
      </c>
      <c r="B6724" s="50">
        <v>44583.7383172685</v>
      </c>
      <c r="C6724" s="51">
        <v>1.001</v>
      </c>
      <c r="D6724" s="51">
        <v>65.0</v>
      </c>
      <c r="E6724" s="52" t="s">
        <v>25</v>
      </c>
      <c r="F6724" s="52" t="s">
        <v>26</v>
      </c>
      <c r="G6724" s="53"/>
    </row>
    <row r="6725">
      <c r="A6725" s="49">
        <v>44583.62378699074</v>
      </c>
      <c r="B6725" s="50">
        <v>44583.7487616782</v>
      </c>
      <c r="C6725" s="51">
        <v>1.001</v>
      </c>
      <c r="D6725" s="51">
        <v>65.0</v>
      </c>
      <c r="E6725" s="52" t="s">
        <v>25</v>
      </c>
      <c r="F6725" s="52" t="s">
        <v>26</v>
      </c>
      <c r="G6725" s="53"/>
    </row>
    <row r="6726">
      <c r="A6726" s="49">
        <v>44583.63420768519</v>
      </c>
      <c r="B6726" s="50">
        <v>44583.7591830671</v>
      </c>
      <c r="C6726" s="51">
        <v>1.001</v>
      </c>
      <c r="D6726" s="51">
        <v>65.0</v>
      </c>
      <c r="E6726" s="52" t="s">
        <v>25</v>
      </c>
      <c r="F6726" s="52" t="s">
        <v>26</v>
      </c>
      <c r="G6726" s="53"/>
    </row>
    <row r="6727">
      <c r="A6727" s="49">
        <v>44583.64464079861</v>
      </c>
      <c r="B6727" s="50">
        <v>44583.7696163194</v>
      </c>
      <c r="C6727" s="51">
        <v>1.001</v>
      </c>
      <c r="D6727" s="51">
        <v>65.0</v>
      </c>
      <c r="E6727" s="52" t="s">
        <v>25</v>
      </c>
      <c r="F6727" s="52" t="s">
        <v>26</v>
      </c>
      <c r="G6727" s="53"/>
    </row>
    <row r="6728">
      <c r="A6728" s="49">
        <v>44583.65505123843</v>
      </c>
      <c r="B6728" s="50">
        <v>44583.7800367129</v>
      </c>
      <c r="C6728" s="51">
        <v>1.001</v>
      </c>
      <c r="D6728" s="51">
        <v>65.0</v>
      </c>
      <c r="E6728" s="52" t="s">
        <v>25</v>
      </c>
      <c r="F6728" s="52" t="s">
        <v>26</v>
      </c>
      <c r="G6728" s="53"/>
    </row>
    <row r="6729">
      <c r="A6729" s="49">
        <v>44583.66547958333</v>
      </c>
      <c r="B6729" s="50">
        <v>44583.7904578819</v>
      </c>
      <c r="C6729" s="51">
        <v>1.001</v>
      </c>
      <c r="D6729" s="51">
        <v>65.0</v>
      </c>
      <c r="E6729" s="52" t="s">
        <v>25</v>
      </c>
      <c r="F6729" s="52" t="s">
        <v>26</v>
      </c>
      <c r="G6729" s="53"/>
    </row>
    <row r="6730">
      <c r="A6730" s="49">
        <v>44583.67590353009</v>
      </c>
      <c r="B6730" s="50">
        <v>44583.8008780324</v>
      </c>
      <c r="C6730" s="51">
        <v>1.001</v>
      </c>
      <c r="D6730" s="51">
        <v>64.0</v>
      </c>
      <c r="E6730" s="52" t="s">
        <v>25</v>
      </c>
      <c r="F6730" s="52" t="s">
        <v>26</v>
      </c>
      <c r="G6730" s="53"/>
    </row>
    <row r="6731">
      <c r="A6731" s="49">
        <v>44583.68633488426</v>
      </c>
      <c r="B6731" s="50">
        <v>44583.8113103125</v>
      </c>
      <c r="C6731" s="51">
        <v>1.001</v>
      </c>
      <c r="D6731" s="51">
        <v>64.0</v>
      </c>
      <c r="E6731" s="52" t="s">
        <v>25</v>
      </c>
      <c r="F6731" s="52" t="s">
        <v>26</v>
      </c>
      <c r="G6731" s="53"/>
    </row>
    <row r="6732">
      <c r="A6732" s="49">
        <v>44583.69675716435</v>
      </c>
      <c r="B6732" s="50">
        <v>44583.8217319212</v>
      </c>
      <c r="C6732" s="51">
        <v>1.001</v>
      </c>
      <c r="D6732" s="51">
        <v>64.0</v>
      </c>
      <c r="E6732" s="52" t="s">
        <v>25</v>
      </c>
      <c r="F6732" s="52" t="s">
        <v>26</v>
      </c>
      <c r="G6732" s="53"/>
    </row>
    <row r="6733">
      <c r="A6733" s="49">
        <v>44583.70718165509</v>
      </c>
      <c r="B6733" s="50">
        <v>44583.8321531712</v>
      </c>
      <c r="C6733" s="51">
        <v>1.001</v>
      </c>
      <c r="D6733" s="51">
        <v>64.0</v>
      </c>
      <c r="E6733" s="52" t="s">
        <v>25</v>
      </c>
      <c r="F6733" s="52" t="s">
        <v>26</v>
      </c>
      <c r="G6733" s="53"/>
    </row>
    <row r="6734">
      <c r="A6734" s="49">
        <v>44583.71759811342</v>
      </c>
      <c r="B6734" s="50">
        <v>44583.8425739814</v>
      </c>
      <c r="C6734" s="51">
        <v>1.001</v>
      </c>
      <c r="D6734" s="51">
        <v>64.0</v>
      </c>
      <c r="E6734" s="52" t="s">
        <v>25</v>
      </c>
      <c r="F6734" s="52" t="s">
        <v>26</v>
      </c>
      <c r="G6734" s="53"/>
    </row>
    <row r="6735">
      <c r="A6735" s="49">
        <v>44583.728016134264</v>
      </c>
      <c r="B6735" s="50">
        <v>44583.8529962615</v>
      </c>
      <c r="C6735" s="51">
        <v>1.001</v>
      </c>
      <c r="D6735" s="51">
        <v>64.0</v>
      </c>
      <c r="E6735" s="52" t="s">
        <v>25</v>
      </c>
      <c r="F6735" s="52" t="s">
        <v>26</v>
      </c>
      <c r="G6735" s="53"/>
    </row>
    <row r="6736">
      <c r="A6736" s="49">
        <v>44583.73844244213</v>
      </c>
      <c r="B6736" s="50">
        <v>44583.8634173611</v>
      </c>
      <c r="C6736" s="51">
        <v>1.001</v>
      </c>
      <c r="D6736" s="51">
        <v>64.0</v>
      </c>
      <c r="E6736" s="52" t="s">
        <v>25</v>
      </c>
      <c r="F6736" s="52" t="s">
        <v>26</v>
      </c>
      <c r="G6736" s="53"/>
    </row>
    <row r="6737">
      <c r="A6737" s="49">
        <v>44583.748860266205</v>
      </c>
      <c r="B6737" s="50">
        <v>44583.8738390277</v>
      </c>
      <c r="C6737" s="51">
        <v>1.001</v>
      </c>
      <c r="D6737" s="51">
        <v>64.0</v>
      </c>
      <c r="E6737" s="52" t="s">
        <v>25</v>
      </c>
      <c r="F6737" s="52" t="s">
        <v>26</v>
      </c>
      <c r="G6737" s="53"/>
    </row>
    <row r="6738">
      <c r="A6738" s="49">
        <v>44583.759279571765</v>
      </c>
      <c r="B6738" s="50">
        <v>44583.8842592592</v>
      </c>
      <c r="C6738" s="51">
        <v>1.001</v>
      </c>
      <c r="D6738" s="51">
        <v>64.0</v>
      </c>
      <c r="E6738" s="52" t="s">
        <v>25</v>
      </c>
      <c r="F6738" s="52" t="s">
        <v>26</v>
      </c>
      <c r="G6738" s="53"/>
    </row>
    <row r="6739">
      <c r="A6739" s="49">
        <v>44583.76971011574</v>
      </c>
      <c r="B6739" s="50">
        <v>44583.8946909606</v>
      </c>
      <c r="C6739" s="51">
        <v>1.001</v>
      </c>
      <c r="D6739" s="51">
        <v>64.0</v>
      </c>
      <c r="E6739" s="52" t="s">
        <v>25</v>
      </c>
      <c r="F6739" s="52" t="s">
        <v>26</v>
      </c>
      <c r="G6739" s="53"/>
    </row>
    <row r="6740">
      <c r="A6740" s="49">
        <v>44583.780129618055</v>
      </c>
      <c r="B6740" s="50">
        <v>44583.9051114004</v>
      </c>
      <c r="C6740" s="51">
        <v>1.001</v>
      </c>
      <c r="D6740" s="51">
        <v>64.0</v>
      </c>
      <c r="E6740" s="52" t="s">
        <v>25</v>
      </c>
      <c r="F6740" s="52" t="s">
        <v>26</v>
      </c>
      <c r="G6740" s="53"/>
    </row>
    <row r="6741">
      <c r="A6741" s="49">
        <v>44583.790557175926</v>
      </c>
      <c r="B6741" s="50">
        <v>44583.9155329398</v>
      </c>
      <c r="C6741" s="51">
        <v>1.001</v>
      </c>
      <c r="D6741" s="51">
        <v>64.0</v>
      </c>
      <c r="E6741" s="52" t="s">
        <v>25</v>
      </c>
      <c r="F6741" s="52" t="s">
        <v>26</v>
      </c>
      <c r="G6741" s="53"/>
    </row>
    <row r="6742">
      <c r="A6742" s="49">
        <v>44583.80097784722</v>
      </c>
      <c r="B6742" s="50">
        <v>44583.9259543402</v>
      </c>
      <c r="C6742" s="51">
        <v>1.001</v>
      </c>
      <c r="D6742" s="51">
        <v>64.0</v>
      </c>
      <c r="E6742" s="52" t="s">
        <v>25</v>
      </c>
      <c r="F6742" s="52" t="s">
        <v>26</v>
      </c>
      <c r="G6742" s="53"/>
    </row>
    <row r="6743">
      <c r="A6743" s="49">
        <v>44583.811393738426</v>
      </c>
      <c r="B6743" s="50">
        <v>44583.9363750231</v>
      </c>
      <c r="C6743" s="51">
        <v>1.001</v>
      </c>
      <c r="D6743" s="51">
        <v>64.0</v>
      </c>
      <c r="E6743" s="52" t="s">
        <v>25</v>
      </c>
      <c r="F6743" s="52" t="s">
        <v>26</v>
      </c>
      <c r="G6743" s="53"/>
    </row>
    <row r="6744">
      <c r="A6744" s="49">
        <v>44583.821829583336</v>
      </c>
      <c r="B6744" s="50">
        <v>44583.9467967129</v>
      </c>
      <c r="C6744" s="51">
        <v>1.001</v>
      </c>
      <c r="D6744" s="51">
        <v>64.0</v>
      </c>
      <c r="E6744" s="52" t="s">
        <v>25</v>
      </c>
      <c r="F6744" s="52" t="s">
        <v>26</v>
      </c>
      <c r="G6744" s="53"/>
    </row>
    <row r="6745">
      <c r="A6745" s="49">
        <v>44583.83223684027</v>
      </c>
      <c r="B6745" s="50">
        <v>44583.9572168171</v>
      </c>
      <c r="C6745" s="51">
        <v>1.001</v>
      </c>
      <c r="D6745" s="51">
        <v>64.0</v>
      </c>
      <c r="E6745" s="52" t="s">
        <v>25</v>
      </c>
      <c r="F6745" s="52" t="s">
        <v>26</v>
      </c>
      <c r="G6745" s="53"/>
    </row>
    <row r="6746">
      <c r="A6746" s="49">
        <v>44583.842658333335</v>
      </c>
      <c r="B6746" s="50">
        <v>44583.9676391435</v>
      </c>
      <c r="C6746" s="51">
        <v>1.001</v>
      </c>
      <c r="D6746" s="51">
        <v>64.0</v>
      </c>
      <c r="E6746" s="52" t="s">
        <v>25</v>
      </c>
      <c r="F6746" s="52" t="s">
        <v>26</v>
      </c>
      <c r="G6746" s="53"/>
    </row>
    <row r="6747">
      <c r="A6747" s="49">
        <v>44583.853090543984</v>
      </c>
      <c r="B6747" s="50">
        <v>44583.978059699</v>
      </c>
      <c r="C6747" s="51">
        <v>1.001</v>
      </c>
      <c r="D6747" s="51">
        <v>64.0</v>
      </c>
      <c r="E6747" s="52" t="s">
        <v>25</v>
      </c>
      <c r="F6747" s="52" t="s">
        <v>26</v>
      </c>
      <c r="G6747" s="53"/>
    </row>
    <row r="6748">
      <c r="A6748" s="49">
        <v>44583.86350487269</v>
      </c>
      <c r="B6748" s="50">
        <v>44583.9884805902</v>
      </c>
      <c r="C6748" s="51">
        <v>1.001</v>
      </c>
      <c r="D6748" s="51">
        <v>64.0</v>
      </c>
      <c r="E6748" s="52" t="s">
        <v>25</v>
      </c>
      <c r="F6748" s="52" t="s">
        <v>26</v>
      </c>
      <c r="G6748" s="53"/>
    </row>
    <row r="6749">
      <c r="A6749" s="49">
        <v>44583.87392666667</v>
      </c>
      <c r="B6749" s="50">
        <v>44583.998903368</v>
      </c>
      <c r="C6749" s="51">
        <v>1.001</v>
      </c>
      <c r="D6749" s="51">
        <v>64.0</v>
      </c>
      <c r="E6749" s="52" t="s">
        <v>25</v>
      </c>
      <c r="F6749" s="52" t="s">
        <v>26</v>
      </c>
      <c r="G6749" s="53"/>
    </row>
    <row r="6750">
      <c r="A6750" s="49">
        <v>44583.88434607639</v>
      </c>
      <c r="B6750" s="50">
        <v>44584.0093250578</v>
      </c>
      <c r="C6750" s="51">
        <v>1.001</v>
      </c>
      <c r="D6750" s="51">
        <v>64.0</v>
      </c>
      <c r="E6750" s="52" t="s">
        <v>25</v>
      </c>
      <c r="F6750" s="52" t="s">
        <v>26</v>
      </c>
      <c r="G6750" s="53"/>
    </row>
    <row r="6751">
      <c r="A6751" s="49">
        <v>44583.89478116899</v>
      </c>
      <c r="B6751" s="50">
        <v>44584.0197575578</v>
      </c>
      <c r="C6751" s="51">
        <v>1.001</v>
      </c>
      <c r="D6751" s="51">
        <v>64.0</v>
      </c>
      <c r="E6751" s="52" t="s">
        <v>25</v>
      </c>
      <c r="F6751" s="52" t="s">
        <v>26</v>
      </c>
      <c r="G6751" s="53"/>
    </row>
    <row r="6752">
      <c r="A6752" s="49">
        <v>44583.90519880787</v>
      </c>
      <c r="B6752" s="50">
        <v>44584.030178831</v>
      </c>
      <c r="C6752" s="51">
        <v>1.001</v>
      </c>
      <c r="D6752" s="51">
        <v>64.0</v>
      </c>
      <c r="E6752" s="52" t="s">
        <v>25</v>
      </c>
      <c r="F6752" s="52" t="s">
        <v>26</v>
      </c>
      <c r="G6752" s="53"/>
    </row>
    <row r="6753">
      <c r="A6753" s="49">
        <v>44583.915619074076</v>
      </c>
      <c r="B6753" s="50">
        <v>44584.0406008449</v>
      </c>
      <c r="C6753" s="51">
        <v>1.001</v>
      </c>
      <c r="D6753" s="51">
        <v>64.0</v>
      </c>
      <c r="E6753" s="52" t="s">
        <v>25</v>
      </c>
      <c r="F6753" s="52" t="s">
        <v>26</v>
      </c>
      <c r="G6753" s="53"/>
    </row>
    <row r="6754">
      <c r="A6754" s="49">
        <v>44583.926039178245</v>
      </c>
      <c r="B6754" s="50">
        <v>44584.0510203703</v>
      </c>
      <c r="C6754" s="51">
        <v>1.001</v>
      </c>
      <c r="D6754" s="51">
        <v>64.0</v>
      </c>
      <c r="E6754" s="52" t="s">
        <v>25</v>
      </c>
      <c r="F6754" s="52" t="s">
        <v>26</v>
      </c>
      <c r="G6754" s="53"/>
    </row>
    <row r="6755">
      <c r="A6755" s="49">
        <v>44583.936462592595</v>
      </c>
      <c r="B6755" s="50">
        <v>44584.0614391435</v>
      </c>
      <c r="C6755" s="51">
        <v>1.001</v>
      </c>
      <c r="D6755" s="51">
        <v>64.0</v>
      </c>
      <c r="E6755" s="52" t="s">
        <v>25</v>
      </c>
      <c r="F6755" s="52" t="s">
        <v>26</v>
      </c>
      <c r="G6755" s="53"/>
    </row>
    <row r="6756">
      <c r="A6756" s="49">
        <v>44583.9468959375</v>
      </c>
      <c r="B6756" s="50">
        <v>44584.0718620949</v>
      </c>
      <c r="C6756" s="51">
        <v>1.001</v>
      </c>
      <c r="D6756" s="51">
        <v>64.0</v>
      </c>
      <c r="E6756" s="52" t="s">
        <v>25</v>
      </c>
      <c r="F6756" s="52" t="s">
        <v>26</v>
      </c>
      <c r="G6756" s="53"/>
    </row>
    <row r="6757">
      <c r="A6757" s="49">
        <v>44583.957310682876</v>
      </c>
      <c r="B6757" s="50">
        <v>44584.082283206</v>
      </c>
      <c r="C6757" s="51">
        <v>1.001</v>
      </c>
      <c r="D6757" s="51">
        <v>64.0</v>
      </c>
      <c r="E6757" s="52" t="s">
        <v>25</v>
      </c>
      <c r="F6757" s="52" t="s">
        <v>26</v>
      </c>
      <c r="G6757" s="53"/>
    </row>
    <row r="6758">
      <c r="A6758" s="49">
        <v>44583.96772947916</v>
      </c>
      <c r="B6758" s="50">
        <v>44584.092705324</v>
      </c>
      <c r="C6758" s="51">
        <v>1.001</v>
      </c>
      <c r="D6758" s="51">
        <v>64.0</v>
      </c>
      <c r="E6758" s="52" t="s">
        <v>25</v>
      </c>
      <c r="F6758" s="52" t="s">
        <v>26</v>
      </c>
      <c r="G6758" s="53"/>
    </row>
    <row r="6759">
      <c r="A6759" s="49">
        <v>44583.97815048611</v>
      </c>
      <c r="B6759" s="50">
        <v>44584.1031274189</v>
      </c>
      <c r="C6759" s="51">
        <v>1.001</v>
      </c>
      <c r="D6759" s="51">
        <v>64.0</v>
      </c>
      <c r="E6759" s="52" t="s">
        <v>25</v>
      </c>
      <c r="F6759" s="52" t="s">
        <v>26</v>
      </c>
      <c r="G6759" s="53"/>
    </row>
    <row r="6760">
      <c r="A6760" s="49">
        <v>44583.988563437495</v>
      </c>
      <c r="B6760" s="50">
        <v>44584.113548993</v>
      </c>
      <c r="C6760" s="51">
        <v>1.001</v>
      </c>
      <c r="D6760" s="51">
        <v>64.0</v>
      </c>
      <c r="E6760" s="52" t="s">
        <v>25</v>
      </c>
      <c r="F6760" s="52" t="s">
        <v>26</v>
      </c>
      <c r="G6760" s="53"/>
    </row>
    <row r="6761">
      <c r="A6761" s="49">
        <v>44583.99900782407</v>
      </c>
      <c r="B6761" s="50">
        <v>44584.1239812384</v>
      </c>
      <c r="C6761" s="51">
        <v>1.001</v>
      </c>
      <c r="D6761" s="51">
        <v>64.0</v>
      </c>
      <c r="E6761" s="52" t="s">
        <v>25</v>
      </c>
      <c r="F6761" s="52" t="s">
        <v>26</v>
      </c>
      <c r="G6761" s="53"/>
    </row>
    <row r="6762">
      <c r="A6762" s="49">
        <v>44584.00943265046</v>
      </c>
      <c r="B6762" s="50">
        <v>44584.1344031481</v>
      </c>
      <c r="C6762" s="51">
        <v>1.001</v>
      </c>
      <c r="D6762" s="51">
        <v>63.0</v>
      </c>
      <c r="E6762" s="52" t="s">
        <v>25</v>
      </c>
      <c r="F6762" s="52" t="s">
        <v>26</v>
      </c>
      <c r="G6762" s="53"/>
    </row>
    <row r="6763">
      <c r="A6763" s="49">
        <v>44584.019849212964</v>
      </c>
      <c r="B6763" s="50">
        <v>44584.1448235879</v>
      </c>
      <c r="C6763" s="51">
        <v>1.001</v>
      </c>
      <c r="D6763" s="51">
        <v>63.0</v>
      </c>
      <c r="E6763" s="52" t="s">
        <v>25</v>
      </c>
      <c r="F6763" s="52" t="s">
        <v>26</v>
      </c>
      <c r="G6763" s="53"/>
    </row>
    <row r="6764">
      <c r="A6764" s="49">
        <v>44584.030267002316</v>
      </c>
      <c r="B6764" s="50">
        <v>44584.1552440972</v>
      </c>
      <c r="C6764" s="51">
        <v>1.001</v>
      </c>
      <c r="D6764" s="51">
        <v>63.0</v>
      </c>
      <c r="E6764" s="52" t="s">
        <v>25</v>
      </c>
      <c r="F6764" s="52" t="s">
        <v>26</v>
      </c>
      <c r="G6764" s="53"/>
    </row>
    <row r="6765">
      <c r="A6765" s="49">
        <v>44584.040688877314</v>
      </c>
      <c r="B6765" s="50">
        <v>44584.1656653703</v>
      </c>
      <c r="C6765" s="51">
        <v>1.001</v>
      </c>
      <c r="D6765" s="51">
        <v>63.0</v>
      </c>
      <c r="E6765" s="52" t="s">
        <v>25</v>
      </c>
      <c r="F6765" s="52" t="s">
        <v>26</v>
      </c>
      <c r="G6765" s="53"/>
    </row>
    <row r="6766">
      <c r="A6766" s="49">
        <v>44584.051112546294</v>
      </c>
      <c r="B6766" s="50">
        <v>44584.176086574</v>
      </c>
      <c r="C6766" s="51">
        <v>1.001</v>
      </c>
      <c r="D6766" s="51">
        <v>63.0</v>
      </c>
      <c r="E6766" s="52" t="s">
        <v>25</v>
      </c>
      <c r="F6766" s="52" t="s">
        <v>26</v>
      </c>
      <c r="G6766" s="53"/>
    </row>
    <row r="6767">
      <c r="A6767" s="49">
        <v>44584.06153364583</v>
      </c>
      <c r="B6767" s="50">
        <v>44584.1865095601</v>
      </c>
      <c r="C6767" s="51">
        <v>1.001</v>
      </c>
      <c r="D6767" s="51">
        <v>63.0</v>
      </c>
      <c r="E6767" s="52" t="s">
        <v>25</v>
      </c>
      <c r="F6767" s="52" t="s">
        <v>26</v>
      </c>
      <c r="G6767" s="53"/>
    </row>
    <row r="6768">
      <c r="A6768" s="49">
        <v>44584.07195229166</v>
      </c>
      <c r="B6768" s="50">
        <v>44584.1969316203</v>
      </c>
      <c r="C6768" s="51">
        <v>1.001</v>
      </c>
      <c r="D6768" s="51">
        <v>63.0</v>
      </c>
      <c r="E6768" s="52" t="s">
        <v>25</v>
      </c>
      <c r="F6768" s="52" t="s">
        <v>26</v>
      </c>
      <c r="G6768" s="53"/>
    </row>
    <row r="6769">
      <c r="A6769" s="49">
        <v>44584.08237945602</v>
      </c>
      <c r="B6769" s="50">
        <v>44584.2073625231</v>
      </c>
      <c r="C6769" s="51">
        <v>1.001</v>
      </c>
      <c r="D6769" s="51">
        <v>63.0</v>
      </c>
      <c r="E6769" s="52" t="s">
        <v>25</v>
      </c>
      <c r="F6769" s="52" t="s">
        <v>26</v>
      </c>
      <c r="G6769" s="53"/>
    </row>
    <row r="6770">
      <c r="A6770" s="49">
        <v>44584.09280796297</v>
      </c>
      <c r="B6770" s="50">
        <v>44584.2177852083</v>
      </c>
      <c r="C6770" s="51">
        <v>1.001</v>
      </c>
      <c r="D6770" s="51">
        <v>63.0</v>
      </c>
      <c r="E6770" s="52" t="s">
        <v>25</v>
      </c>
      <c r="F6770" s="52" t="s">
        <v>26</v>
      </c>
      <c r="G6770" s="53"/>
    </row>
    <row r="6771">
      <c r="A6771" s="49">
        <v>44584.103242337966</v>
      </c>
      <c r="B6771" s="50">
        <v>44584.2282181944</v>
      </c>
      <c r="C6771" s="51">
        <v>1.001</v>
      </c>
      <c r="D6771" s="51">
        <v>63.0</v>
      </c>
      <c r="E6771" s="52" t="s">
        <v>25</v>
      </c>
      <c r="F6771" s="52" t="s">
        <v>26</v>
      </c>
      <c r="G6771" s="53"/>
    </row>
    <row r="6772">
      <c r="A6772" s="49">
        <v>44584.11367391204</v>
      </c>
      <c r="B6772" s="50">
        <v>44584.2386533217</v>
      </c>
      <c r="C6772" s="51">
        <v>1.001</v>
      </c>
      <c r="D6772" s="51">
        <v>63.0</v>
      </c>
      <c r="E6772" s="52" t="s">
        <v>25</v>
      </c>
      <c r="F6772" s="52" t="s">
        <v>26</v>
      </c>
      <c r="G6772" s="53"/>
    </row>
    <row r="6773">
      <c r="A6773" s="49">
        <v>44584.12409337963</v>
      </c>
      <c r="B6773" s="50">
        <v>44584.2490753009</v>
      </c>
      <c r="C6773" s="51">
        <v>1.001</v>
      </c>
      <c r="D6773" s="51">
        <v>63.0</v>
      </c>
      <c r="E6773" s="52" t="s">
        <v>25</v>
      </c>
      <c r="F6773" s="52" t="s">
        <v>26</v>
      </c>
      <c r="G6773" s="53"/>
    </row>
    <row r="6774">
      <c r="A6774" s="49">
        <v>44584.13452048611</v>
      </c>
      <c r="B6774" s="50">
        <v>44584.2594962847</v>
      </c>
      <c r="C6774" s="51">
        <v>1.001</v>
      </c>
      <c r="D6774" s="51">
        <v>63.0</v>
      </c>
      <c r="E6774" s="52" t="s">
        <v>25</v>
      </c>
      <c r="F6774" s="52" t="s">
        <v>26</v>
      </c>
      <c r="G6774" s="53"/>
    </row>
    <row r="6775">
      <c r="A6775" s="49">
        <v>44584.14495548611</v>
      </c>
      <c r="B6775" s="50">
        <v>44584.269927581</v>
      </c>
      <c r="C6775" s="51">
        <v>1.001</v>
      </c>
      <c r="D6775" s="51">
        <v>63.0</v>
      </c>
      <c r="E6775" s="52" t="s">
        <v>25</v>
      </c>
      <c r="F6775" s="52" t="s">
        <v>26</v>
      </c>
      <c r="G6775" s="53"/>
    </row>
    <row r="6776">
      <c r="A6776" s="49">
        <v>44584.155370810186</v>
      </c>
      <c r="B6776" s="50">
        <v>44584.2803497337</v>
      </c>
      <c r="C6776" s="51">
        <v>1.001</v>
      </c>
      <c r="D6776" s="51">
        <v>63.0</v>
      </c>
      <c r="E6776" s="52" t="s">
        <v>25</v>
      </c>
      <c r="F6776" s="52" t="s">
        <v>26</v>
      </c>
      <c r="G6776" s="53"/>
    </row>
    <row r="6777">
      <c r="A6777" s="49">
        <v>44584.16580456018</v>
      </c>
      <c r="B6777" s="50">
        <v>44584.2907701967</v>
      </c>
      <c r="C6777" s="51">
        <v>1.001</v>
      </c>
      <c r="D6777" s="51">
        <v>63.0</v>
      </c>
      <c r="E6777" s="52" t="s">
        <v>25</v>
      </c>
      <c r="F6777" s="52" t="s">
        <v>26</v>
      </c>
      <c r="G6777" s="53"/>
    </row>
    <row r="6778">
      <c r="A6778" s="49">
        <v>44584.17621621527</v>
      </c>
      <c r="B6778" s="50">
        <v>44584.3011923495</v>
      </c>
      <c r="C6778" s="51">
        <v>1.001</v>
      </c>
      <c r="D6778" s="51">
        <v>63.0</v>
      </c>
      <c r="E6778" s="52" t="s">
        <v>25</v>
      </c>
      <c r="F6778" s="52" t="s">
        <v>26</v>
      </c>
      <c r="G6778" s="53"/>
    </row>
    <row r="6779">
      <c r="A6779" s="49">
        <v>44584.18663203703</v>
      </c>
      <c r="B6779" s="50">
        <v>44584.3116160416</v>
      </c>
      <c r="C6779" s="51">
        <v>1.001</v>
      </c>
      <c r="D6779" s="51">
        <v>63.0</v>
      </c>
      <c r="E6779" s="52" t="s">
        <v>25</v>
      </c>
      <c r="F6779" s="52" t="s">
        <v>26</v>
      </c>
      <c r="G6779" s="53"/>
    </row>
    <row r="6780">
      <c r="A6780" s="49">
        <v>44584.197052222225</v>
      </c>
      <c r="B6780" s="50">
        <v>44584.3220353819</v>
      </c>
      <c r="C6780" s="51">
        <v>1.001</v>
      </c>
      <c r="D6780" s="51">
        <v>63.0</v>
      </c>
      <c r="E6780" s="52" t="s">
        <v>25</v>
      </c>
      <c r="F6780" s="52" t="s">
        <v>26</v>
      </c>
      <c r="G6780" s="53"/>
    </row>
    <row r="6781">
      <c r="A6781" s="49">
        <v>44584.207479756944</v>
      </c>
      <c r="B6781" s="50">
        <v>44584.3324545717</v>
      </c>
      <c r="C6781" s="51">
        <v>1.001</v>
      </c>
      <c r="D6781" s="51">
        <v>63.0</v>
      </c>
      <c r="E6781" s="52" t="s">
        <v>25</v>
      </c>
      <c r="F6781" s="52" t="s">
        <v>26</v>
      </c>
      <c r="G6781" s="53"/>
    </row>
    <row r="6782">
      <c r="A6782" s="49">
        <v>44584.2179025463</v>
      </c>
      <c r="B6782" s="50">
        <v>44584.3428755787</v>
      </c>
      <c r="C6782" s="51">
        <v>1.001</v>
      </c>
      <c r="D6782" s="51">
        <v>63.0</v>
      </c>
      <c r="E6782" s="52" t="s">
        <v>25</v>
      </c>
      <c r="F6782" s="52" t="s">
        <v>26</v>
      </c>
      <c r="G6782" s="53"/>
    </row>
    <row r="6783">
      <c r="A6783" s="49">
        <v>44584.2283203588</v>
      </c>
      <c r="B6783" s="50">
        <v>44584.3532978703</v>
      </c>
      <c r="C6783" s="51">
        <v>1.001</v>
      </c>
      <c r="D6783" s="51">
        <v>63.0</v>
      </c>
      <c r="E6783" s="52" t="s">
        <v>25</v>
      </c>
      <c r="F6783" s="52" t="s">
        <v>26</v>
      </c>
      <c r="G6783" s="53"/>
    </row>
    <row r="6784">
      <c r="A6784" s="49">
        <v>44584.238743090275</v>
      </c>
      <c r="B6784" s="50">
        <v>44584.3637190856</v>
      </c>
      <c r="C6784" s="51">
        <v>1.001</v>
      </c>
      <c r="D6784" s="51">
        <v>63.0</v>
      </c>
      <c r="E6784" s="52" t="s">
        <v>25</v>
      </c>
      <c r="F6784" s="52" t="s">
        <v>26</v>
      </c>
      <c r="G6784" s="53"/>
    </row>
    <row r="6785">
      <c r="A6785" s="49">
        <v>44584.24916103009</v>
      </c>
      <c r="B6785" s="50">
        <v>44584.3741403009</v>
      </c>
      <c r="C6785" s="51">
        <v>1.001</v>
      </c>
      <c r="D6785" s="51">
        <v>63.0</v>
      </c>
      <c r="E6785" s="52" t="s">
        <v>25</v>
      </c>
      <c r="F6785" s="52" t="s">
        <v>26</v>
      </c>
      <c r="G6785" s="53"/>
    </row>
    <row r="6786">
      <c r="A6786" s="49">
        <v>44584.25959203704</v>
      </c>
      <c r="B6786" s="50">
        <v>44584.384572199</v>
      </c>
      <c r="C6786" s="51">
        <v>1.001</v>
      </c>
      <c r="D6786" s="51">
        <v>63.0</v>
      </c>
      <c r="E6786" s="52" t="s">
        <v>25</v>
      </c>
      <c r="F6786" s="52" t="s">
        <v>26</v>
      </c>
      <c r="G6786" s="53"/>
    </row>
    <row r="6787">
      <c r="A6787" s="49">
        <v>44584.27002335648</v>
      </c>
      <c r="B6787" s="50">
        <v>44584.3950047916</v>
      </c>
      <c r="C6787" s="51">
        <v>1.001</v>
      </c>
      <c r="D6787" s="51">
        <v>63.0</v>
      </c>
      <c r="E6787" s="52" t="s">
        <v>25</v>
      </c>
      <c r="F6787" s="52" t="s">
        <v>26</v>
      </c>
      <c r="G6787" s="53"/>
    </row>
    <row r="6788">
      <c r="A6788" s="49">
        <v>44584.280457071756</v>
      </c>
      <c r="B6788" s="50">
        <v>44584.4054385416</v>
      </c>
      <c r="C6788" s="51">
        <v>1.001</v>
      </c>
      <c r="D6788" s="51">
        <v>63.0</v>
      </c>
      <c r="E6788" s="52" t="s">
        <v>25</v>
      </c>
      <c r="F6788" s="52" t="s">
        <v>26</v>
      </c>
      <c r="G6788" s="53"/>
    </row>
    <row r="6789">
      <c r="A6789" s="49">
        <v>44584.2908747801</v>
      </c>
      <c r="B6789" s="50">
        <v>44584.4158592708</v>
      </c>
      <c r="C6789" s="51">
        <v>1.001</v>
      </c>
      <c r="D6789" s="51">
        <v>63.0</v>
      </c>
      <c r="E6789" s="52" t="s">
        <v>25</v>
      </c>
      <c r="F6789" s="52" t="s">
        <v>26</v>
      </c>
      <c r="G6789" s="53"/>
    </row>
    <row r="6790">
      <c r="A6790" s="49">
        <v>44584.301296412035</v>
      </c>
      <c r="B6790" s="50">
        <v>44584.4262807638</v>
      </c>
      <c r="C6790" s="51">
        <v>1.001</v>
      </c>
      <c r="D6790" s="51">
        <v>63.0</v>
      </c>
      <c r="E6790" s="52" t="s">
        <v>25</v>
      </c>
      <c r="F6790" s="52" t="s">
        <v>26</v>
      </c>
      <c r="G6790" s="53"/>
    </row>
    <row r="6791">
      <c r="A6791" s="49">
        <v>44584.311728506946</v>
      </c>
      <c r="B6791" s="50">
        <v>44584.4367032986</v>
      </c>
      <c r="C6791" s="51">
        <v>1.002</v>
      </c>
      <c r="D6791" s="51">
        <v>63.0</v>
      </c>
      <c r="E6791" s="52" t="s">
        <v>25</v>
      </c>
      <c r="F6791" s="52" t="s">
        <v>26</v>
      </c>
      <c r="G6791" s="53"/>
    </row>
    <row r="6792">
      <c r="A6792" s="49">
        <v>44584.32215260417</v>
      </c>
      <c r="B6792" s="50">
        <v>44584.4471262847</v>
      </c>
      <c r="C6792" s="51">
        <v>1.001</v>
      </c>
      <c r="D6792" s="51">
        <v>63.0</v>
      </c>
      <c r="E6792" s="52" t="s">
        <v>25</v>
      </c>
      <c r="F6792" s="52" t="s">
        <v>26</v>
      </c>
      <c r="G6792" s="53"/>
    </row>
    <row r="6793">
      <c r="A6793" s="49">
        <v>44584.33257784722</v>
      </c>
      <c r="B6793" s="50">
        <v>44584.4575486226</v>
      </c>
      <c r="C6793" s="51">
        <v>1.001</v>
      </c>
      <c r="D6793" s="51">
        <v>63.0</v>
      </c>
      <c r="E6793" s="52" t="s">
        <v>25</v>
      </c>
      <c r="F6793" s="52" t="s">
        <v>26</v>
      </c>
      <c r="G6793" s="53"/>
    </row>
    <row r="6794">
      <c r="A6794" s="49">
        <v>44584.34298769676</v>
      </c>
      <c r="B6794" s="50">
        <v>44584.4679697106</v>
      </c>
      <c r="C6794" s="51">
        <v>1.001</v>
      </c>
      <c r="D6794" s="51">
        <v>62.0</v>
      </c>
      <c r="E6794" s="52" t="s">
        <v>25</v>
      </c>
      <c r="F6794" s="52" t="s">
        <v>26</v>
      </c>
      <c r="G6794" s="53"/>
    </row>
    <row r="6795">
      <c r="A6795" s="49">
        <v>44584.353425706024</v>
      </c>
      <c r="B6795" s="50">
        <v>44584.4784028124</v>
      </c>
      <c r="C6795" s="51">
        <v>1.001</v>
      </c>
      <c r="D6795" s="51">
        <v>62.0</v>
      </c>
      <c r="E6795" s="52" t="s">
        <v>25</v>
      </c>
      <c r="F6795" s="52" t="s">
        <v>26</v>
      </c>
      <c r="G6795" s="53"/>
    </row>
    <row r="6796">
      <c r="A6796" s="49">
        <v>44584.36384494213</v>
      </c>
      <c r="B6796" s="50">
        <v>44584.4888241898</v>
      </c>
      <c r="C6796" s="51">
        <v>1.002</v>
      </c>
      <c r="D6796" s="51">
        <v>62.0</v>
      </c>
      <c r="E6796" s="52" t="s">
        <v>25</v>
      </c>
      <c r="F6796" s="52" t="s">
        <v>26</v>
      </c>
      <c r="G6796" s="53"/>
    </row>
    <row r="6797">
      <c r="A6797" s="49">
        <v>44584.374269085645</v>
      </c>
      <c r="B6797" s="50">
        <v>44584.4992457407</v>
      </c>
      <c r="C6797" s="51">
        <v>1.001</v>
      </c>
      <c r="D6797" s="51">
        <v>62.0</v>
      </c>
      <c r="E6797" s="52" t="s">
        <v>25</v>
      </c>
      <c r="F6797" s="52" t="s">
        <v>26</v>
      </c>
      <c r="G6797" s="53"/>
    </row>
    <row r="6798">
      <c r="A6798" s="49">
        <v>44584.38469280093</v>
      </c>
      <c r="B6798" s="50">
        <v>44584.5096671411</v>
      </c>
      <c r="C6798" s="51">
        <v>1.001</v>
      </c>
      <c r="D6798" s="51">
        <v>62.0</v>
      </c>
      <c r="E6798" s="52" t="s">
        <v>25</v>
      </c>
      <c r="F6798" s="52" t="s">
        <v>26</v>
      </c>
      <c r="G6798" s="53"/>
    </row>
    <row r="6799">
      <c r="A6799" s="49">
        <v>44584.3951159375</v>
      </c>
      <c r="B6799" s="50">
        <v>44584.5200899305</v>
      </c>
      <c r="C6799" s="51">
        <v>1.001</v>
      </c>
      <c r="D6799" s="51">
        <v>62.0</v>
      </c>
      <c r="E6799" s="52" t="s">
        <v>25</v>
      </c>
      <c r="F6799" s="52" t="s">
        <v>26</v>
      </c>
      <c r="G6799" s="53"/>
    </row>
    <row r="6800">
      <c r="A6800" s="49">
        <v>44584.40554013889</v>
      </c>
      <c r="B6800" s="50">
        <v>44584.5305111921</v>
      </c>
      <c r="C6800" s="51">
        <v>1.001</v>
      </c>
      <c r="D6800" s="51">
        <v>62.0</v>
      </c>
      <c r="E6800" s="52" t="s">
        <v>25</v>
      </c>
      <c r="F6800" s="52" t="s">
        <v>26</v>
      </c>
      <c r="G6800" s="53"/>
    </row>
    <row r="6801">
      <c r="A6801" s="49">
        <v>44584.41594899306</v>
      </c>
      <c r="B6801" s="50">
        <v>44584.5409319791</v>
      </c>
      <c r="C6801" s="51">
        <v>1.001</v>
      </c>
      <c r="D6801" s="51">
        <v>62.0</v>
      </c>
      <c r="E6801" s="52" t="s">
        <v>25</v>
      </c>
      <c r="F6801" s="52" t="s">
        <v>26</v>
      </c>
      <c r="G6801" s="53"/>
    </row>
    <row r="6802">
      <c r="A6802" s="49">
        <v>44584.42637685185</v>
      </c>
      <c r="B6802" s="50">
        <v>44584.5513517708</v>
      </c>
      <c r="C6802" s="51">
        <v>1.001</v>
      </c>
      <c r="D6802" s="51">
        <v>62.0</v>
      </c>
      <c r="E6802" s="52" t="s">
        <v>25</v>
      </c>
      <c r="F6802" s="52" t="s">
        <v>26</v>
      </c>
      <c r="G6802" s="53"/>
    </row>
    <row r="6803">
      <c r="A6803" s="49">
        <v>44584.436854467596</v>
      </c>
      <c r="B6803" s="50">
        <v>44584.561832118</v>
      </c>
      <c r="C6803" s="51">
        <v>1.001</v>
      </c>
      <c r="D6803" s="51">
        <v>62.0</v>
      </c>
      <c r="E6803" s="52" t="s">
        <v>25</v>
      </c>
      <c r="F6803" s="52" t="s">
        <v>26</v>
      </c>
      <c r="G6803" s="53"/>
    </row>
    <row r="6804">
      <c r="A6804" s="49">
        <v>44584.44727542824</v>
      </c>
      <c r="B6804" s="50">
        <v>44584.5722515162</v>
      </c>
      <c r="C6804" s="51">
        <v>1.001</v>
      </c>
      <c r="D6804" s="51">
        <v>62.0</v>
      </c>
      <c r="E6804" s="52" t="s">
        <v>25</v>
      </c>
      <c r="F6804" s="52" t="s">
        <v>26</v>
      </c>
      <c r="G6804" s="53"/>
    </row>
    <row r="6805">
      <c r="A6805" s="49">
        <v>44584.4576854051</v>
      </c>
      <c r="B6805" s="50">
        <v>44584.5826717592</v>
      </c>
      <c r="C6805" s="51">
        <v>1.001</v>
      </c>
      <c r="D6805" s="51">
        <v>62.0</v>
      </c>
      <c r="E6805" s="52" t="s">
        <v>25</v>
      </c>
      <c r="F6805" s="52" t="s">
        <v>26</v>
      </c>
      <c r="G6805" s="53"/>
    </row>
    <row r="6806">
      <c r="A6806" s="49">
        <v>44584.46810974537</v>
      </c>
      <c r="B6806" s="50">
        <v>44584.5930939583</v>
      </c>
      <c r="C6806" s="51">
        <v>1.001</v>
      </c>
      <c r="D6806" s="51">
        <v>62.0</v>
      </c>
      <c r="E6806" s="52" t="s">
        <v>25</v>
      </c>
      <c r="F6806" s="52" t="s">
        <v>26</v>
      </c>
      <c r="G6806" s="53"/>
    </row>
    <row r="6807">
      <c r="A6807" s="49">
        <v>44584.47856505787</v>
      </c>
      <c r="B6807" s="50">
        <v>44584.603537905</v>
      </c>
      <c r="C6807" s="51">
        <v>1.001</v>
      </c>
      <c r="D6807" s="51">
        <v>62.0</v>
      </c>
      <c r="E6807" s="52" t="s">
        <v>25</v>
      </c>
      <c r="F6807" s="52" t="s">
        <v>26</v>
      </c>
      <c r="G6807" s="53"/>
    </row>
    <row r="6808">
      <c r="A6808" s="49">
        <v>44584.488988680554</v>
      </c>
      <c r="B6808" s="50">
        <v>44584.6139587615</v>
      </c>
      <c r="C6808" s="51">
        <v>1.001</v>
      </c>
      <c r="D6808" s="51">
        <v>62.0</v>
      </c>
      <c r="E6808" s="52" t="s">
        <v>25</v>
      </c>
      <c r="F6808" s="52" t="s">
        <v>26</v>
      </c>
      <c r="G6808" s="53"/>
    </row>
    <row r="6809">
      <c r="A6809" s="49">
        <v>44584.49940234954</v>
      </c>
      <c r="B6809" s="50">
        <v>44584.6243792361</v>
      </c>
      <c r="C6809" s="51">
        <v>1.001</v>
      </c>
      <c r="D6809" s="51">
        <v>62.0</v>
      </c>
      <c r="E6809" s="52" t="s">
        <v>25</v>
      </c>
      <c r="F6809" s="52" t="s">
        <v>26</v>
      </c>
      <c r="G6809" s="53"/>
    </row>
    <row r="6810">
      <c r="A6810" s="49">
        <v>44584.50983351852</v>
      </c>
      <c r="B6810" s="50">
        <v>44584.6348123379</v>
      </c>
      <c r="C6810" s="51">
        <v>1.001</v>
      </c>
      <c r="D6810" s="51">
        <v>62.0</v>
      </c>
      <c r="E6810" s="52" t="s">
        <v>25</v>
      </c>
      <c r="F6810" s="52" t="s">
        <v>26</v>
      </c>
      <c r="G6810" s="53"/>
    </row>
    <row r="6811">
      <c r="A6811" s="49">
        <v>44584.52025163194</v>
      </c>
      <c r="B6811" s="50">
        <v>44584.6452315393</v>
      </c>
      <c r="C6811" s="51">
        <v>1.001</v>
      </c>
      <c r="D6811" s="51">
        <v>62.0</v>
      </c>
      <c r="E6811" s="52" t="s">
        <v>25</v>
      </c>
      <c r="F6811" s="52" t="s">
        <v>26</v>
      </c>
      <c r="G6811" s="53"/>
    </row>
    <row r="6812">
      <c r="A6812" s="49">
        <v>44584.53066665509</v>
      </c>
      <c r="B6812" s="50">
        <v>44584.6556520254</v>
      </c>
      <c r="C6812" s="51">
        <v>1.001</v>
      </c>
      <c r="D6812" s="51">
        <v>62.0</v>
      </c>
      <c r="E6812" s="52" t="s">
        <v>25</v>
      </c>
      <c r="F6812" s="52" t="s">
        <v>26</v>
      </c>
      <c r="G6812" s="53"/>
    </row>
    <row r="6813">
      <c r="A6813" s="49">
        <v>44584.541101944444</v>
      </c>
      <c r="B6813" s="50">
        <v>44584.6660733333</v>
      </c>
      <c r="C6813" s="51">
        <v>1.001</v>
      </c>
      <c r="D6813" s="51">
        <v>62.0</v>
      </c>
      <c r="E6813" s="52" t="s">
        <v>25</v>
      </c>
      <c r="F6813" s="52" t="s">
        <v>26</v>
      </c>
      <c r="G6813" s="53"/>
    </row>
    <row r="6814">
      <c r="A6814" s="49">
        <v>44584.55152071759</v>
      </c>
      <c r="B6814" s="50">
        <v>44584.6764958564</v>
      </c>
      <c r="C6814" s="51">
        <v>1.001</v>
      </c>
      <c r="D6814" s="51">
        <v>62.0</v>
      </c>
      <c r="E6814" s="52" t="s">
        <v>25</v>
      </c>
      <c r="F6814" s="52" t="s">
        <v>26</v>
      </c>
      <c r="G6814" s="53"/>
    </row>
    <row r="6815">
      <c r="A6815" s="49">
        <v>44584.561931944445</v>
      </c>
      <c r="B6815" s="50">
        <v>44584.6869165972</v>
      </c>
      <c r="C6815" s="51">
        <v>1.001</v>
      </c>
      <c r="D6815" s="51">
        <v>62.0</v>
      </c>
      <c r="E6815" s="52" t="s">
        <v>25</v>
      </c>
      <c r="F6815" s="52" t="s">
        <v>26</v>
      </c>
      <c r="G6815" s="53"/>
    </row>
    <row r="6816">
      <c r="A6816" s="49">
        <v>44584.57236336806</v>
      </c>
      <c r="B6816" s="50">
        <v>44584.6973394328</v>
      </c>
      <c r="C6816" s="51">
        <v>1.001</v>
      </c>
      <c r="D6816" s="51">
        <v>62.0</v>
      </c>
      <c r="E6816" s="52" t="s">
        <v>25</v>
      </c>
      <c r="F6816" s="52" t="s">
        <v>26</v>
      </c>
      <c r="G6816" s="53"/>
    </row>
    <row r="6817">
      <c r="A6817" s="49">
        <v>44584.58277916667</v>
      </c>
      <c r="B6817" s="50">
        <v>44584.7077605902</v>
      </c>
      <c r="C6817" s="51">
        <v>1.002</v>
      </c>
      <c r="D6817" s="51">
        <v>62.0</v>
      </c>
      <c r="E6817" s="52" t="s">
        <v>25</v>
      </c>
      <c r="F6817" s="52" t="s">
        <v>26</v>
      </c>
      <c r="G6817" s="53"/>
    </row>
    <row r="6818">
      <c r="A6818" s="49">
        <v>44584.59319708333</v>
      </c>
      <c r="B6818" s="50">
        <v>44584.7181799421</v>
      </c>
      <c r="C6818" s="51">
        <v>1.001</v>
      </c>
      <c r="D6818" s="51">
        <v>62.0</v>
      </c>
      <c r="E6818" s="52" t="s">
        <v>25</v>
      </c>
      <c r="F6818" s="52" t="s">
        <v>26</v>
      </c>
      <c r="G6818" s="53"/>
    </row>
    <row r="6819">
      <c r="A6819" s="49">
        <v>44584.60362663194</v>
      </c>
      <c r="B6819" s="50">
        <v>44584.7286010069</v>
      </c>
      <c r="C6819" s="51">
        <v>1.001</v>
      </c>
      <c r="D6819" s="51">
        <v>62.0</v>
      </c>
      <c r="E6819" s="52" t="s">
        <v>25</v>
      </c>
      <c r="F6819" s="52" t="s">
        <v>26</v>
      </c>
      <c r="G6819" s="53"/>
    </row>
    <row r="6820">
      <c r="A6820" s="49">
        <v>44584.6140446412</v>
      </c>
      <c r="B6820" s="50">
        <v>44584.7390227546</v>
      </c>
      <c r="C6820" s="51">
        <v>1.001</v>
      </c>
      <c r="D6820" s="51">
        <v>62.0</v>
      </c>
      <c r="E6820" s="52" t="s">
        <v>25</v>
      </c>
      <c r="F6820" s="52" t="s">
        <v>26</v>
      </c>
      <c r="G6820" s="53"/>
    </row>
    <row r="6821">
      <c r="A6821" s="49">
        <v>44584.62446438658</v>
      </c>
      <c r="B6821" s="50">
        <v>44584.7494445254</v>
      </c>
      <c r="C6821" s="51">
        <v>1.001</v>
      </c>
      <c r="D6821" s="51">
        <v>62.0</v>
      </c>
      <c r="E6821" s="52" t="s">
        <v>25</v>
      </c>
      <c r="F6821" s="52" t="s">
        <v>26</v>
      </c>
      <c r="G6821" s="53"/>
    </row>
    <row r="6822">
      <c r="A6822" s="49">
        <v>44584.6348840625</v>
      </c>
      <c r="B6822" s="50">
        <v>44584.7598647916</v>
      </c>
      <c r="C6822" s="51">
        <v>1.001</v>
      </c>
      <c r="D6822" s="51">
        <v>62.0</v>
      </c>
      <c r="E6822" s="52" t="s">
        <v>25</v>
      </c>
      <c r="F6822" s="52" t="s">
        <v>26</v>
      </c>
      <c r="G6822" s="53"/>
    </row>
    <row r="6823">
      <c r="A6823" s="49">
        <v>44584.64532240741</v>
      </c>
      <c r="B6823" s="50">
        <v>44584.7702967361</v>
      </c>
      <c r="C6823" s="51">
        <v>1.001</v>
      </c>
      <c r="D6823" s="51">
        <v>62.0</v>
      </c>
      <c r="E6823" s="52" t="s">
        <v>25</v>
      </c>
      <c r="F6823" s="52" t="s">
        <v>26</v>
      </c>
      <c r="G6823" s="53"/>
    </row>
    <row r="6824">
      <c r="A6824" s="49">
        <v>44584.655739131944</v>
      </c>
      <c r="B6824" s="50">
        <v>44584.78071603</v>
      </c>
      <c r="C6824" s="51">
        <v>1.001</v>
      </c>
      <c r="D6824" s="51">
        <v>62.0</v>
      </c>
      <c r="E6824" s="52" t="s">
        <v>25</v>
      </c>
      <c r="F6824" s="52" t="s">
        <v>26</v>
      </c>
      <c r="G6824" s="53"/>
    </row>
    <row r="6825">
      <c r="A6825" s="49">
        <v>44584.66617273148</v>
      </c>
      <c r="B6825" s="50">
        <v>44584.7911393865</v>
      </c>
      <c r="C6825" s="51">
        <v>1.001</v>
      </c>
      <c r="D6825" s="51">
        <v>62.0</v>
      </c>
      <c r="E6825" s="52" t="s">
        <v>25</v>
      </c>
      <c r="F6825" s="52" t="s">
        <v>26</v>
      </c>
      <c r="G6825" s="53"/>
    </row>
    <row r="6826">
      <c r="A6826" s="49">
        <v>44584.676586574074</v>
      </c>
      <c r="B6826" s="50">
        <v>44584.8015600925</v>
      </c>
      <c r="C6826" s="51">
        <v>1.002</v>
      </c>
      <c r="D6826" s="51">
        <v>62.0</v>
      </c>
      <c r="E6826" s="52" t="s">
        <v>25</v>
      </c>
      <c r="F6826" s="52" t="s">
        <v>26</v>
      </c>
      <c r="G6826" s="53"/>
    </row>
    <row r="6827">
      <c r="A6827" s="49">
        <v>44584.68700313657</v>
      </c>
      <c r="B6827" s="50">
        <v>44584.8119808217</v>
      </c>
      <c r="C6827" s="51">
        <v>1.001</v>
      </c>
      <c r="D6827" s="51">
        <v>62.0</v>
      </c>
      <c r="E6827" s="52" t="s">
        <v>25</v>
      </c>
      <c r="F6827" s="52" t="s">
        <v>26</v>
      </c>
      <c r="G6827" s="53"/>
    </row>
    <row r="6828">
      <c r="A6828" s="49">
        <v>44584.69743219907</v>
      </c>
      <c r="B6828" s="50">
        <v>44584.8224015277</v>
      </c>
      <c r="C6828" s="51">
        <v>1.002</v>
      </c>
      <c r="D6828" s="51">
        <v>62.0</v>
      </c>
      <c r="E6828" s="52" t="s">
        <v>25</v>
      </c>
      <c r="F6828" s="52" t="s">
        <v>26</v>
      </c>
      <c r="G6828" s="53"/>
    </row>
    <row r="6829">
      <c r="A6829" s="49">
        <v>44584.70785003473</v>
      </c>
      <c r="B6829" s="50">
        <v>44584.8328224537</v>
      </c>
      <c r="C6829" s="51">
        <v>1.001</v>
      </c>
      <c r="D6829" s="51">
        <v>62.0</v>
      </c>
      <c r="E6829" s="52" t="s">
        <v>25</v>
      </c>
      <c r="F6829" s="52" t="s">
        <v>26</v>
      </c>
      <c r="G6829" s="53"/>
    </row>
    <row r="6830">
      <c r="A6830" s="49">
        <v>44584.71826850694</v>
      </c>
      <c r="B6830" s="50">
        <v>44584.8432435995</v>
      </c>
      <c r="C6830" s="51">
        <v>1.001</v>
      </c>
      <c r="D6830" s="51">
        <v>62.0</v>
      </c>
      <c r="E6830" s="52" t="s">
        <v>25</v>
      </c>
      <c r="F6830" s="52" t="s">
        <v>26</v>
      </c>
      <c r="G6830" s="53"/>
    </row>
    <row r="6831">
      <c r="A6831" s="49">
        <v>44584.7286827662</v>
      </c>
      <c r="B6831" s="50">
        <v>44584.853663206</v>
      </c>
      <c r="C6831" s="51">
        <v>1.001</v>
      </c>
      <c r="D6831" s="51">
        <v>62.0</v>
      </c>
      <c r="E6831" s="52" t="s">
        <v>25</v>
      </c>
      <c r="F6831" s="52" t="s">
        <v>26</v>
      </c>
      <c r="G6831" s="53"/>
    </row>
    <row r="6832">
      <c r="A6832" s="49">
        <v>44584.739108483795</v>
      </c>
      <c r="B6832" s="50">
        <v>44584.8640852546</v>
      </c>
      <c r="C6832" s="51">
        <v>1.001</v>
      </c>
      <c r="D6832" s="51">
        <v>62.0</v>
      </c>
      <c r="E6832" s="52" t="s">
        <v>25</v>
      </c>
      <c r="F6832" s="52" t="s">
        <v>26</v>
      </c>
      <c r="G6832" s="53"/>
    </row>
    <row r="6833">
      <c r="A6833" s="49">
        <v>44584.74953153935</v>
      </c>
      <c r="B6833" s="50">
        <v>44584.8745061342</v>
      </c>
      <c r="C6833" s="51">
        <v>1.001</v>
      </c>
      <c r="D6833" s="51">
        <v>62.0</v>
      </c>
      <c r="E6833" s="52" t="s">
        <v>25</v>
      </c>
      <c r="F6833" s="52" t="s">
        <v>26</v>
      </c>
      <c r="G6833" s="53"/>
    </row>
    <row r="6834">
      <c r="A6834" s="49">
        <v>44584.75995934028</v>
      </c>
      <c r="B6834" s="50">
        <v>44584.8849274537</v>
      </c>
      <c r="C6834" s="51">
        <v>1.002</v>
      </c>
      <c r="D6834" s="51">
        <v>62.0</v>
      </c>
      <c r="E6834" s="52" t="s">
        <v>25</v>
      </c>
      <c r="F6834" s="52" t="s">
        <v>26</v>
      </c>
      <c r="G6834" s="53"/>
    </row>
    <row r="6835">
      <c r="A6835" s="49">
        <v>44584.77042042824</v>
      </c>
      <c r="B6835" s="50">
        <v>44584.895349074</v>
      </c>
      <c r="C6835" s="51">
        <v>1.001</v>
      </c>
      <c r="D6835" s="51">
        <v>62.0</v>
      </c>
      <c r="E6835" s="52" t="s">
        <v>25</v>
      </c>
      <c r="F6835" s="52" t="s">
        <v>26</v>
      </c>
      <c r="G6835" s="53"/>
    </row>
    <row r="6836">
      <c r="A6836" s="49">
        <v>44584.78078813657</v>
      </c>
      <c r="B6836" s="50">
        <v>44584.9057725694</v>
      </c>
      <c r="C6836" s="51">
        <v>1.001</v>
      </c>
      <c r="D6836" s="51">
        <v>62.0</v>
      </c>
      <c r="E6836" s="52" t="s">
        <v>25</v>
      </c>
      <c r="F6836" s="52" t="s">
        <v>26</v>
      </c>
      <c r="G6836" s="53"/>
    </row>
    <row r="6837">
      <c r="A6837" s="49">
        <v>44584.79121604167</v>
      </c>
      <c r="B6837" s="50">
        <v>44584.9161944791</v>
      </c>
      <c r="C6837" s="51">
        <v>1.001</v>
      </c>
      <c r="D6837" s="51">
        <v>62.0</v>
      </c>
      <c r="E6837" s="52" t="s">
        <v>25</v>
      </c>
      <c r="F6837" s="52" t="s">
        <v>26</v>
      </c>
      <c r="G6837" s="53"/>
    </row>
    <row r="6838">
      <c r="A6838" s="49">
        <v>44584.80164063658</v>
      </c>
      <c r="B6838" s="50">
        <v>44584.9266152083</v>
      </c>
      <c r="C6838" s="51">
        <v>1.001</v>
      </c>
      <c r="D6838" s="51">
        <v>62.0</v>
      </c>
      <c r="E6838" s="52" t="s">
        <v>25</v>
      </c>
      <c r="F6838" s="52" t="s">
        <v>26</v>
      </c>
      <c r="G6838" s="53"/>
    </row>
    <row r="6839">
      <c r="A6839" s="49">
        <v>44584.81205474537</v>
      </c>
      <c r="B6839" s="50">
        <v>44584.9370380439</v>
      </c>
      <c r="C6839" s="51">
        <v>1.001</v>
      </c>
      <c r="D6839" s="51">
        <v>62.0</v>
      </c>
      <c r="E6839" s="52" t="s">
        <v>25</v>
      </c>
      <c r="F6839" s="52" t="s">
        <v>26</v>
      </c>
      <c r="G6839" s="53"/>
    </row>
    <row r="6840">
      <c r="A6840" s="49">
        <v>44584.82249200231</v>
      </c>
      <c r="B6840" s="50">
        <v>44584.9474603703</v>
      </c>
      <c r="C6840" s="51">
        <v>1.001</v>
      </c>
      <c r="D6840" s="51">
        <v>62.0</v>
      </c>
      <c r="E6840" s="52" t="s">
        <v>25</v>
      </c>
      <c r="F6840" s="52" t="s">
        <v>26</v>
      </c>
      <c r="G6840" s="53"/>
    </row>
    <row r="6841">
      <c r="A6841" s="49">
        <v>44584.83291103009</v>
      </c>
      <c r="B6841" s="50">
        <v>44584.9578799537</v>
      </c>
      <c r="C6841" s="51">
        <v>1.001</v>
      </c>
      <c r="D6841" s="51">
        <v>62.0</v>
      </c>
      <c r="E6841" s="52" t="s">
        <v>25</v>
      </c>
      <c r="F6841" s="52" t="s">
        <v>26</v>
      </c>
      <c r="G6841" s="53"/>
    </row>
    <row r="6842">
      <c r="A6842" s="49">
        <v>44584.84332971065</v>
      </c>
      <c r="B6842" s="50">
        <v>44584.9683022337</v>
      </c>
      <c r="C6842" s="51">
        <v>1.001</v>
      </c>
      <c r="D6842" s="51">
        <v>62.0</v>
      </c>
      <c r="E6842" s="52" t="s">
        <v>25</v>
      </c>
      <c r="F6842" s="52" t="s">
        <v>26</v>
      </c>
      <c r="G6842" s="53"/>
    </row>
    <row r="6843">
      <c r="A6843" s="49">
        <v>44584.85376907408</v>
      </c>
      <c r="B6843" s="50">
        <v>44584.9787347337</v>
      </c>
      <c r="C6843" s="51">
        <v>1.001</v>
      </c>
      <c r="D6843" s="51">
        <v>62.0</v>
      </c>
      <c r="E6843" s="52" t="s">
        <v>25</v>
      </c>
      <c r="F6843" s="52" t="s">
        <v>26</v>
      </c>
      <c r="G6843" s="53"/>
    </row>
    <row r="6844">
      <c r="A6844" s="49">
        <v>44584.864175717594</v>
      </c>
      <c r="B6844" s="50">
        <v>44584.9891556828</v>
      </c>
      <c r="C6844" s="51">
        <v>1.001</v>
      </c>
      <c r="D6844" s="51">
        <v>62.0</v>
      </c>
      <c r="E6844" s="52" t="s">
        <v>25</v>
      </c>
      <c r="F6844" s="52" t="s">
        <v>26</v>
      </c>
      <c r="G6844" s="53"/>
    </row>
    <row r="6845">
      <c r="A6845" s="49">
        <v>44584.87460002315</v>
      </c>
      <c r="B6845" s="50">
        <v>44584.999577118</v>
      </c>
      <c r="C6845" s="51">
        <v>1.002</v>
      </c>
      <c r="D6845" s="51">
        <v>62.0</v>
      </c>
      <c r="E6845" s="52" t="s">
        <v>25</v>
      </c>
      <c r="F6845" s="52" t="s">
        <v>26</v>
      </c>
      <c r="G6845" s="53"/>
    </row>
    <row r="6846">
      <c r="A6846" s="49">
        <v>44584.88502645833</v>
      </c>
      <c r="B6846" s="50">
        <v>44585.0099997106</v>
      </c>
      <c r="C6846" s="51">
        <v>1.001</v>
      </c>
      <c r="D6846" s="51">
        <v>62.0</v>
      </c>
      <c r="E6846" s="52" t="s">
        <v>25</v>
      </c>
      <c r="F6846" s="52" t="s">
        <v>26</v>
      </c>
      <c r="G6846" s="53"/>
    </row>
    <row r="6847">
      <c r="A6847" s="49">
        <v>44584.89545891204</v>
      </c>
      <c r="B6847" s="50">
        <v>44585.0204324537</v>
      </c>
      <c r="C6847" s="51">
        <v>1.001</v>
      </c>
      <c r="D6847" s="51">
        <v>62.0</v>
      </c>
      <c r="E6847" s="52" t="s">
        <v>25</v>
      </c>
      <c r="F6847" s="52" t="s">
        <v>26</v>
      </c>
      <c r="G6847" s="53"/>
    </row>
    <row r="6848">
      <c r="A6848" s="49">
        <v>44584.90587653936</v>
      </c>
      <c r="B6848" s="50">
        <v>44585.0308528009</v>
      </c>
      <c r="C6848" s="51">
        <v>1.001</v>
      </c>
      <c r="D6848" s="51">
        <v>62.0</v>
      </c>
      <c r="E6848" s="52" t="s">
        <v>25</v>
      </c>
      <c r="F6848" s="52" t="s">
        <v>26</v>
      </c>
      <c r="G6848" s="53"/>
    </row>
    <row r="6849">
      <c r="A6849" s="49">
        <v>44584.916299247685</v>
      </c>
      <c r="B6849" s="50">
        <v>44585.0412723611</v>
      </c>
      <c r="C6849" s="51">
        <v>1.001</v>
      </c>
      <c r="D6849" s="51">
        <v>62.0</v>
      </c>
      <c r="E6849" s="52" t="s">
        <v>25</v>
      </c>
      <c r="F6849" s="52" t="s">
        <v>26</v>
      </c>
      <c r="G6849" s="53"/>
    </row>
    <row r="6850">
      <c r="A6850" s="49">
        <v>44584.92671569444</v>
      </c>
      <c r="B6850" s="50">
        <v>44585.0516936342</v>
      </c>
      <c r="C6850" s="51">
        <v>1.002</v>
      </c>
      <c r="D6850" s="51">
        <v>62.0</v>
      </c>
      <c r="E6850" s="52" t="s">
        <v>25</v>
      </c>
      <c r="F6850" s="52" t="s">
        <v>26</v>
      </c>
      <c r="G6850" s="53"/>
    </row>
    <row r="6851">
      <c r="A6851" s="49">
        <v>44584.93714140046</v>
      </c>
      <c r="B6851" s="50">
        <v>44585.0621146296</v>
      </c>
      <c r="C6851" s="51">
        <v>1.001</v>
      </c>
      <c r="D6851" s="51">
        <v>62.0</v>
      </c>
      <c r="E6851" s="52" t="s">
        <v>25</v>
      </c>
      <c r="F6851" s="52" t="s">
        <v>26</v>
      </c>
      <c r="G6851" s="53"/>
    </row>
    <row r="6852">
      <c r="A6852" s="49">
        <v>44584.9475650463</v>
      </c>
      <c r="B6852" s="50">
        <v>44585.07253603</v>
      </c>
      <c r="C6852" s="51">
        <v>1.001</v>
      </c>
      <c r="D6852" s="51">
        <v>61.0</v>
      </c>
      <c r="E6852" s="52" t="s">
        <v>25</v>
      </c>
      <c r="F6852" s="52" t="s">
        <v>26</v>
      </c>
      <c r="G6852" s="53"/>
    </row>
    <row r="6853">
      <c r="A6853" s="49">
        <v>44584.957983541666</v>
      </c>
      <c r="B6853" s="50">
        <v>44585.0829574189</v>
      </c>
      <c r="C6853" s="51">
        <v>1.001</v>
      </c>
      <c r="D6853" s="51">
        <v>62.0</v>
      </c>
      <c r="E6853" s="52" t="s">
        <v>25</v>
      </c>
      <c r="F6853" s="52" t="s">
        <v>26</v>
      </c>
      <c r="G6853" s="53"/>
    </row>
    <row r="6854">
      <c r="A6854" s="49">
        <v>44584.968402094906</v>
      </c>
      <c r="B6854" s="50">
        <v>44585.0933789467</v>
      </c>
      <c r="C6854" s="51">
        <v>1.001</v>
      </c>
      <c r="D6854" s="51">
        <v>61.0</v>
      </c>
      <c r="E6854" s="52" t="s">
        <v>25</v>
      </c>
      <c r="F6854" s="52" t="s">
        <v>26</v>
      </c>
      <c r="G6854" s="53"/>
    </row>
    <row r="6855">
      <c r="A6855" s="49">
        <v>44584.978817407406</v>
      </c>
      <c r="B6855" s="50">
        <v>44585.1037985532</v>
      </c>
      <c r="C6855" s="51">
        <v>1.001</v>
      </c>
      <c r="D6855" s="51">
        <v>61.0</v>
      </c>
      <c r="E6855" s="52" t="s">
        <v>25</v>
      </c>
      <c r="F6855" s="52" t="s">
        <v>26</v>
      </c>
      <c r="G6855" s="53"/>
    </row>
    <row r="6856">
      <c r="A6856" s="49">
        <v>44584.989238449074</v>
      </c>
      <c r="B6856" s="50">
        <v>44585.1142193287</v>
      </c>
      <c r="C6856" s="51">
        <v>1.001</v>
      </c>
      <c r="D6856" s="51">
        <v>61.0</v>
      </c>
      <c r="E6856" s="52" t="s">
        <v>25</v>
      </c>
      <c r="F6856" s="52" t="s">
        <v>26</v>
      </c>
      <c r="G6856" s="53"/>
    </row>
    <row r="6857">
      <c r="A6857" s="49">
        <v>44584.99966179398</v>
      </c>
      <c r="B6857" s="50">
        <v>44585.124640706</v>
      </c>
      <c r="C6857" s="51">
        <v>1.001</v>
      </c>
      <c r="D6857" s="51">
        <v>61.0</v>
      </c>
      <c r="E6857" s="52" t="s">
        <v>25</v>
      </c>
      <c r="F6857" s="52" t="s">
        <v>26</v>
      </c>
      <c r="G6857" s="53"/>
    </row>
    <row r="6858">
      <c r="A6858" s="49">
        <v>44585.01009054398</v>
      </c>
      <c r="B6858" s="50">
        <v>44585.1350599884</v>
      </c>
      <c r="C6858" s="51">
        <v>1.001</v>
      </c>
      <c r="D6858" s="51">
        <v>62.0</v>
      </c>
      <c r="E6858" s="52" t="s">
        <v>25</v>
      </c>
      <c r="F6858" s="52" t="s">
        <v>26</v>
      </c>
      <c r="G6858" s="53"/>
    </row>
    <row r="6859">
      <c r="A6859" s="49">
        <v>44585.020955740736</v>
      </c>
      <c r="B6859" s="50">
        <v>44585.1454817476</v>
      </c>
      <c r="C6859" s="51">
        <v>1.001</v>
      </c>
      <c r="D6859" s="51">
        <v>62.0</v>
      </c>
      <c r="E6859" s="52" t="s">
        <v>25</v>
      </c>
      <c r="F6859" s="52" t="s">
        <v>26</v>
      </c>
      <c r="G6859" s="53"/>
    </row>
    <row r="6860">
      <c r="A6860" s="49">
        <v>44585.03094350694</v>
      </c>
      <c r="B6860" s="50">
        <v>44585.1559147222</v>
      </c>
      <c r="C6860" s="51">
        <v>1.001</v>
      </c>
      <c r="D6860" s="51">
        <v>62.0</v>
      </c>
      <c r="E6860" s="52" t="s">
        <v>25</v>
      </c>
      <c r="F6860" s="52" t="s">
        <v>26</v>
      </c>
      <c r="G6860" s="53"/>
    </row>
    <row r="6861">
      <c r="A6861" s="49">
        <v>44585.04135962963</v>
      </c>
      <c r="B6861" s="50">
        <v>44585.166336331</v>
      </c>
      <c r="C6861" s="51">
        <v>1.001</v>
      </c>
      <c r="D6861" s="51">
        <v>63.0</v>
      </c>
      <c r="E6861" s="52" t="s">
        <v>25</v>
      </c>
      <c r="F6861" s="52" t="s">
        <v>26</v>
      </c>
      <c r="G6861" s="53"/>
    </row>
    <row r="6862">
      <c r="A6862" s="49">
        <v>44585.05178327546</v>
      </c>
      <c r="B6862" s="50">
        <v>44585.176756956</v>
      </c>
      <c r="C6862" s="51">
        <v>1.001</v>
      </c>
      <c r="D6862" s="51">
        <v>63.0</v>
      </c>
      <c r="E6862" s="52" t="s">
        <v>25</v>
      </c>
      <c r="F6862" s="52" t="s">
        <v>26</v>
      </c>
      <c r="G6862" s="53"/>
    </row>
    <row r="6863">
      <c r="A6863" s="49">
        <v>44585.062206215276</v>
      </c>
      <c r="B6863" s="50">
        <v>44585.1871889814</v>
      </c>
      <c r="C6863" s="51">
        <v>1.001</v>
      </c>
      <c r="D6863" s="51">
        <v>64.0</v>
      </c>
      <c r="E6863" s="52" t="s">
        <v>25</v>
      </c>
      <c r="F6863" s="52" t="s">
        <v>26</v>
      </c>
      <c r="G6863" s="53"/>
    </row>
    <row r="6864">
      <c r="A6864" s="49">
        <v>44585.07264082176</v>
      </c>
      <c r="B6864" s="50">
        <v>44585.1976088888</v>
      </c>
      <c r="C6864" s="51">
        <v>1.001</v>
      </c>
      <c r="D6864" s="51">
        <v>64.0</v>
      </c>
      <c r="E6864" s="52" t="s">
        <v>25</v>
      </c>
      <c r="F6864" s="52" t="s">
        <v>26</v>
      </c>
      <c r="G6864" s="53"/>
    </row>
    <row r="6865">
      <c r="A6865" s="49">
        <v>44585.083051423615</v>
      </c>
      <c r="B6865" s="50">
        <v>44585.2080291898</v>
      </c>
      <c r="C6865" s="51">
        <v>1.001</v>
      </c>
      <c r="D6865" s="51">
        <v>65.0</v>
      </c>
      <c r="E6865" s="52" t="s">
        <v>25</v>
      </c>
      <c r="F6865" s="52" t="s">
        <v>26</v>
      </c>
      <c r="G6865" s="53"/>
    </row>
    <row r="6866">
      <c r="A6866" s="49">
        <v>44585.09348545139</v>
      </c>
      <c r="B6866" s="50">
        <v>44585.2184502314</v>
      </c>
      <c r="C6866" s="51">
        <v>1.001</v>
      </c>
      <c r="D6866" s="51">
        <v>65.0</v>
      </c>
      <c r="E6866" s="52" t="s">
        <v>25</v>
      </c>
      <c r="F6866" s="52" t="s">
        <v>26</v>
      </c>
      <c r="G6866" s="53"/>
    </row>
    <row r="6867">
      <c r="A6867" s="49">
        <v>44585.10389520833</v>
      </c>
      <c r="B6867" s="50">
        <v>44585.228869537</v>
      </c>
      <c r="C6867" s="51">
        <v>1.001</v>
      </c>
      <c r="D6867" s="51">
        <v>65.0</v>
      </c>
      <c r="E6867" s="52" t="s">
        <v>25</v>
      </c>
      <c r="F6867" s="52" t="s">
        <v>26</v>
      </c>
      <c r="G6867" s="53"/>
    </row>
    <row r="6868">
      <c r="A6868" s="49">
        <v>44585.11431398148</v>
      </c>
      <c r="B6868" s="50">
        <v>44585.2392926967</v>
      </c>
      <c r="C6868" s="51">
        <v>1.001</v>
      </c>
      <c r="D6868" s="51">
        <v>66.0</v>
      </c>
      <c r="E6868" s="52" t="s">
        <v>25</v>
      </c>
      <c r="F6868" s="52" t="s">
        <v>26</v>
      </c>
      <c r="G6868" s="53"/>
    </row>
    <row r="6869">
      <c r="A6869" s="49">
        <v>44585.12473821759</v>
      </c>
      <c r="B6869" s="50">
        <v>44585.2497124652</v>
      </c>
      <c r="C6869" s="51">
        <v>1.001</v>
      </c>
      <c r="D6869" s="51">
        <v>66.0</v>
      </c>
      <c r="E6869" s="52" t="s">
        <v>25</v>
      </c>
      <c r="F6869" s="52" t="s">
        <v>26</v>
      </c>
      <c r="G6869" s="53"/>
    </row>
    <row r="6870">
      <c r="A6870" s="49">
        <v>44585.1351603125</v>
      </c>
      <c r="B6870" s="50">
        <v>44585.2601346064</v>
      </c>
      <c r="C6870" s="51">
        <v>1.001</v>
      </c>
      <c r="D6870" s="51">
        <v>67.0</v>
      </c>
      <c r="E6870" s="52" t="s">
        <v>25</v>
      </c>
      <c r="F6870" s="52" t="s">
        <v>26</v>
      </c>
      <c r="G6870" s="53"/>
    </row>
    <row r="6871">
      <c r="A6871" s="49">
        <v>44585.14558322917</v>
      </c>
      <c r="B6871" s="50">
        <v>44585.2705563888</v>
      </c>
      <c r="C6871" s="51">
        <v>1.001</v>
      </c>
      <c r="D6871" s="51">
        <v>67.0</v>
      </c>
      <c r="E6871" s="52" t="s">
        <v>25</v>
      </c>
      <c r="F6871" s="52" t="s">
        <v>26</v>
      </c>
      <c r="G6871" s="53"/>
    </row>
    <row r="6872">
      <c r="A6872" s="49">
        <v>44585.15599737268</v>
      </c>
      <c r="B6872" s="50">
        <v>44585.280975625</v>
      </c>
      <c r="C6872" s="51">
        <v>1.001</v>
      </c>
      <c r="D6872" s="51">
        <v>68.0</v>
      </c>
      <c r="E6872" s="52" t="s">
        <v>25</v>
      </c>
      <c r="F6872" s="52" t="s">
        <v>26</v>
      </c>
      <c r="G6872" s="53"/>
    </row>
    <row r="6873">
      <c r="A6873" s="49">
        <v>44585.166424930554</v>
      </c>
      <c r="B6873" s="50">
        <v>44585.2913984837</v>
      </c>
      <c r="C6873" s="51">
        <v>1.0</v>
      </c>
      <c r="D6873" s="51">
        <v>68.0</v>
      </c>
      <c r="E6873" s="52" t="s">
        <v>25</v>
      </c>
      <c r="F6873" s="52" t="s">
        <v>26</v>
      </c>
      <c r="G6873" s="53"/>
    </row>
    <row r="6874">
      <c r="A6874" s="49">
        <v>44585.176844340276</v>
      </c>
      <c r="B6874" s="50">
        <v>44585.3018193518</v>
      </c>
      <c r="C6874" s="51">
        <v>1.001</v>
      </c>
      <c r="D6874" s="51">
        <v>68.0</v>
      </c>
      <c r="E6874" s="52" t="s">
        <v>25</v>
      </c>
      <c r="F6874" s="52" t="s">
        <v>26</v>
      </c>
      <c r="G6874" s="53"/>
    </row>
    <row r="6875">
      <c r="A6875" s="49">
        <v>44585.18726369213</v>
      </c>
      <c r="B6875" s="50">
        <v>44585.3122406365</v>
      </c>
      <c r="C6875" s="51">
        <v>1.001</v>
      </c>
      <c r="D6875" s="51">
        <v>68.0</v>
      </c>
      <c r="E6875" s="52" t="s">
        <v>25</v>
      </c>
      <c r="F6875" s="52" t="s">
        <v>26</v>
      </c>
      <c r="G6875" s="53"/>
    </row>
    <row r="6876">
      <c r="A6876" s="49">
        <v>44585.197681157406</v>
      </c>
      <c r="B6876" s="50">
        <v>44585.322661655</v>
      </c>
      <c r="C6876" s="51">
        <v>1.0</v>
      </c>
      <c r="D6876" s="51">
        <v>68.0</v>
      </c>
      <c r="E6876" s="52" t="s">
        <v>25</v>
      </c>
      <c r="F6876" s="52" t="s">
        <v>26</v>
      </c>
      <c r="G6876" s="53"/>
    </row>
    <row r="6877">
      <c r="A6877" s="49">
        <v>44585.2081058912</v>
      </c>
      <c r="B6877" s="50">
        <v>44585.3330817361</v>
      </c>
      <c r="C6877" s="51">
        <v>1.001</v>
      </c>
      <c r="D6877" s="51">
        <v>68.0</v>
      </c>
      <c r="E6877" s="52" t="s">
        <v>25</v>
      </c>
      <c r="F6877" s="52" t="s">
        <v>26</v>
      </c>
      <c r="G6877" s="53"/>
    </row>
    <row r="6878">
      <c r="A6878" s="49">
        <v>44585.21853226852</v>
      </c>
      <c r="B6878" s="50">
        <v>44585.3435026851</v>
      </c>
      <c r="C6878" s="51">
        <v>1.001</v>
      </c>
      <c r="D6878" s="51">
        <v>67.0</v>
      </c>
      <c r="E6878" s="52" t="s">
        <v>25</v>
      </c>
      <c r="F6878" s="52" t="s">
        <v>26</v>
      </c>
      <c r="G6878" s="53"/>
    </row>
    <row r="6879">
      <c r="A6879" s="49">
        <v>44585.22896444444</v>
      </c>
      <c r="B6879" s="50">
        <v>44585.3539353935</v>
      </c>
      <c r="C6879" s="51">
        <v>1.0</v>
      </c>
      <c r="D6879" s="51">
        <v>68.0</v>
      </c>
      <c r="E6879" s="52" t="s">
        <v>25</v>
      </c>
      <c r="F6879" s="52" t="s">
        <v>26</v>
      </c>
      <c r="G6879" s="53"/>
    </row>
    <row r="6880">
      <c r="A6880" s="49">
        <v>44585.23938422454</v>
      </c>
      <c r="B6880" s="50">
        <v>44585.3643566087</v>
      </c>
      <c r="C6880" s="51">
        <v>1.0</v>
      </c>
      <c r="D6880" s="51">
        <v>67.0</v>
      </c>
      <c r="E6880" s="52" t="s">
        <v>25</v>
      </c>
      <c r="F6880" s="52" t="s">
        <v>26</v>
      </c>
      <c r="G6880" s="53"/>
    </row>
    <row r="6881">
      <c r="A6881" s="49">
        <v>44585.24980020833</v>
      </c>
      <c r="B6881" s="50">
        <v>44585.3747778819</v>
      </c>
      <c r="C6881" s="51">
        <v>1.0</v>
      </c>
      <c r="D6881" s="51">
        <v>67.0</v>
      </c>
      <c r="E6881" s="52" t="s">
        <v>25</v>
      </c>
      <c r="F6881" s="52" t="s">
        <v>26</v>
      </c>
      <c r="G6881" s="53"/>
    </row>
    <row r="6882">
      <c r="A6882" s="49">
        <v>44585.260226388884</v>
      </c>
      <c r="B6882" s="50">
        <v>44585.3851991203</v>
      </c>
      <c r="C6882" s="51">
        <v>1.0</v>
      </c>
      <c r="D6882" s="51">
        <v>67.0</v>
      </c>
      <c r="E6882" s="52" t="s">
        <v>25</v>
      </c>
      <c r="F6882" s="52" t="s">
        <v>26</v>
      </c>
      <c r="G6882" s="53"/>
    </row>
    <row r="6883">
      <c r="A6883" s="49">
        <v>44585.27066945602</v>
      </c>
      <c r="B6883" s="50">
        <v>44585.3956434027</v>
      </c>
      <c r="C6883" s="51">
        <v>1.001</v>
      </c>
      <c r="D6883" s="51">
        <v>67.0</v>
      </c>
      <c r="E6883" s="52" t="s">
        <v>25</v>
      </c>
      <c r="F6883" s="52" t="s">
        <v>26</v>
      </c>
      <c r="G6883" s="53"/>
    </row>
    <row r="6884">
      <c r="A6884" s="49">
        <v>44585.28109903935</v>
      </c>
      <c r="B6884" s="50">
        <v>44585.4060663888</v>
      </c>
      <c r="C6884" s="51">
        <v>1.0</v>
      </c>
      <c r="D6884" s="51">
        <v>67.0</v>
      </c>
      <c r="E6884" s="52" t="s">
        <v>25</v>
      </c>
      <c r="F6884" s="52" t="s">
        <v>26</v>
      </c>
      <c r="G6884" s="53"/>
    </row>
    <row r="6885">
      <c r="A6885" s="49">
        <v>44585.291526851855</v>
      </c>
      <c r="B6885" s="50">
        <v>44585.4164985648</v>
      </c>
      <c r="C6885" s="51">
        <v>1.001</v>
      </c>
      <c r="D6885" s="51">
        <v>67.0</v>
      </c>
      <c r="E6885" s="52" t="s">
        <v>25</v>
      </c>
      <c r="F6885" s="52" t="s">
        <v>26</v>
      </c>
      <c r="G6885" s="53"/>
    </row>
    <row r="6886">
      <c r="A6886" s="49">
        <v>44585.301953229166</v>
      </c>
      <c r="B6886" s="50">
        <v>44585.4269191319</v>
      </c>
      <c r="C6886" s="51">
        <v>1.001</v>
      </c>
      <c r="D6886" s="51">
        <v>67.0</v>
      </c>
      <c r="E6886" s="52" t="s">
        <v>25</v>
      </c>
      <c r="F6886" s="52" t="s">
        <v>26</v>
      </c>
      <c r="G6886" s="53"/>
    </row>
    <row r="6887">
      <c r="A6887" s="49">
        <v>44585.31236517361</v>
      </c>
      <c r="B6887" s="50">
        <v>44585.4373400231</v>
      </c>
      <c r="C6887" s="51">
        <v>1.001</v>
      </c>
      <c r="D6887" s="51">
        <v>67.0</v>
      </c>
      <c r="E6887" s="52" t="s">
        <v>25</v>
      </c>
      <c r="F6887" s="52" t="s">
        <v>26</v>
      </c>
      <c r="G6887" s="53"/>
    </row>
    <row r="6888">
      <c r="A6888" s="49">
        <v>44585.322787384255</v>
      </c>
      <c r="B6888" s="50">
        <v>44585.44776</v>
      </c>
      <c r="C6888" s="51">
        <v>1.001</v>
      </c>
      <c r="D6888" s="51">
        <v>67.0</v>
      </c>
      <c r="E6888" s="52" t="s">
        <v>25</v>
      </c>
      <c r="F6888" s="52" t="s">
        <v>26</v>
      </c>
      <c r="G6888" s="53"/>
    </row>
    <row r="6889">
      <c r="A6889" s="49">
        <v>44585.33322234954</v>
      </c>
      <c r="B6889" s="50">
        <v>44585.4581803472</v>
      </c>
      <c r="C6889" s="51">
        <v>1.001</v>
      </c>
      <c r="D6889" s="51">
        <v>67.0</v>
      </c>
      <c r="E6889" s="52" t="s">
        <v>25</v>
      </c>
      <c r="F6889" s="52" t="s">
        <v>26</v>
      </c>
      <c r="G6889" s="53"/>
    </row>
    <row r="6890">
      <c r="A6890" s="49">
        <v>44585.3436227662</v>
      </c>
      <c r="B6890" s="50">
        <v>44585.4686002893</v>
      </c>
      <c r="C6890" s="51">
        <v>1.001</v>
      </c>
      <c r="D6890" s="51">
        <v>67.0</v>
      </c>
      <c r="E6890" s="52" t="s">
        <v>25</v>
      </c>
      <c r="F6890" s="52" t="s">
        <v>26</v>
      </c>
      <c r="G6890" s="53"/>
    </row>
    <row r="6891">
      <c r="A6891" s="49">
        <v>44585.35404896991</v>
      </c>
      <c r="B6891" s="50">
        <v>44585.4790225462</v>
      </c>
      <c r="C6891" s="51">
        <v>1.001</v>
      </c>
      <c r="D6891" s="51">
        <v>67.0</v>
      </c>
      <c r="E6891" s="52" t="s">
        <v>25</v>
      </c>
      <c r="F6891" s="52" t="s">
        <v>26</v>
      </c>
      <c r="G6891" s="53"/>
    </row>
    <row r="6892">
      <c r="A6892" s="49">
        <v>44585.364479780095</v>
      </c>
      <c r="B6892" s="50">
        <v>44585.489456493</v>
      </c>
      <c r="C6892" s="51">
        <v>1.001</v>
      </c>
      <c r="D6892" s="51">
        <v>67.0</v>
      </c>
      <c r="E6892" s="52" t="s">
        <v>25</v>
      </c>
      <c r="F6892" s="52" t="s">
        <v>26</v>
      </c>
      <c r="G6892" s="53"/>
    </row>
    <row r="6893">
      <c r="A6893" s="49">
        <v>44585.37491945602</v>
      </c>
      <c r="B6893" s="50">
        <v>44585.4998895601</v>
      </c>
      <c r="C6893" s="51">
        <v>1.001</v>
      </c>
      <c r="D6893" s="51">
        <v>67.0</v>
      </c>
      <c r="E6893" s="52" t="s">
        <v>25</v>
      </c>
      <c r="F6893" s="52" t="s">
        <v>26</v>
      </c>
      <c r="G6893" s="53"/>
    </row>
    <row r="6894">
      <c r="A6894" s="49">
        <v>44585.38533414352</v>
      </c>
      <c r="B6894" s="50">
        <v>44585.5103099189</v>
      </c>
      <c r="C6894" s="51">
        <v>1.001</v>
      </c>
      <c r="D6894" s="51">
        <v>67.0</v>
      </c>
      <c r="E6894" s="52" t="s">
        <v>25</v>
      </c>
      <c r="F6894" s="52" t="s">
        <v>26</v>
      </c>
      <c r="G6894" s="53"/>
    </row>
    <row r="6895">
      <c r="A6895" s="49">
        <v>44585.39575599537</v>
      </c>
      <c r="B6895" s="50">
        <v>44585.5207325</v>
      </c>
      <c r="C6895" s="51">
        <v>1.001</v>
      </c>
      <c r="D6895" s="51">
        <v>67.0</v>
      </c>
      <c r="E6895" s="52" t="s">
        <v>25</v>
      </c>
      <c r="F6895" s="52" t="s">
        <v>26</v>
      </c>
      <c r="G6895" s="53"/>
    </row>
    <row r="6896">
      <c r="A6896" s="49">
        <v>44585.40618428241</v>
      </c>
      <c r="B6896" s="50">
        <v>44585.531154618</v>
      </c>
      <c r="C6896" s="51">
        <v>1.001</v>
      </c>
      <c r="D6896" s="51">
        <v>67.0</v>
      </c>
      <c r="E6896" s="52" t="s">
        <v>25</v>
      </c>
      <c r="F6896" s="52" t="s">
        <v>26</v>
      </c>
      <c r="G6896" s="53"/>
    </row>
    <row r="6897">
      <c r="A6897" s="49">
        <v>44585.416612002315</v>
      </c>
      <c r="B6897" s="50">
        <v>44585.5415881481</v>
      </c>
      <c r="C6897" s="51">
        <v>1.001</v>
      </c>
      <c r="D6897" s="51">
        <v>67.0</v>
      </c>
      <c r="E6897" s="52" t="s">
        <v>25</v>
      </c>
      <c r="F6897" s="52" t="s">
        <v>26</v>
      </c>
      <c r="G6897" s="53"/>
    </row>
    <row r="6898">
      <c r="A6898" s="49">
        <v>44585.42703638889</v>
      </c>
      <c r="B6898" s="50">
        <v>44585.5520085879</v>
      </c>
      <c r="C6898" s="51">
        <v>1.001</v>
      </c>
      <c r="D6898" s="51">
        <v>67.0</v>
      </c>
      <c r="E6898" s="52" t="s">
        <v>25</v>
      </c>
      <c r="F6898" s="52" t="s">
        <v>26</v>
      </c>
      <c r="G6898" s="53"/>
    </row>
    <row r="6899">
      <c r="A6899" s="49">
        <v>44585.43747070602</v>
      </c>
      <c r="B6899" s="50">
        <v>44585.562441574</v>
      </c>
      <c r="C6899" s="51">
        <v>1.001</v>
      </c>
      <c r="D6899" s="51">
        <v>67.0</v>
      </c>
      <c r="E6899" s="52" t="s">
        <v>25</v>
      </c>
      <c r="F6899" s="52" t="s">
        <v>26</v>
      </c>
      <c r="G6899" s="53"/>
    </row>
    <row r="6900">
      <c r="A6900" s="49">
        <v>44585.447894004625</v>
      </c>
      <c r="B6900" s="50">
        <v>44585.5728749884</v>
      </c>
      <c r="C6900" s="51">
        <v>1.001</v>
      </c>
      <c r="D6900" s="51">
        <v>67.0</v>
      </c>
      <c r="E6900" s="52" t="s">
        <v>25</v>
      </c>
      <c r="F6900" s="52" t="s">
        <v>26</v>
      </c>
      <c r="G6900" s="53"/>
    </row>
    <row r="6901">
      <c r="A6901" s="49">
        <v>44585.458321087965</v>
      </c>
      <c r="B6901" s="50">
        <v>44585.5832946412</v>
      </c>
      <c r="C6901" s="51">
        <v>1.001</v>
      </c>
      <c r="D6901" s="51">
        <v>67.0</v>
      </c>
      <c r="E6901" s="52" t="s">
        <v>25</v>
      </c>
      <c r="F6901" s="52" t="s">
        <v>26</v>
      </c>
      <c r="G6901" s="53"/>
    </row>
    <row r="6902">
      <c r="A6902" s="49">
        <v>44585.468741226854</v>
      </c>
      <c r="B6902" s="50">
        <v>44585.5937158564</v>
      </c>
      <c r="C6902" s="51">
        <v>1.001</v>
      </c>
      <c r="D6902" s="51">
        <v>66.0</v>
      </c>
      <c r="E6902" s="52" t="s">
        <v>25</v>
      </c>
      <c r="F6902" s="52" t="s">
        <v>26</v>
      </c>
      <c r="G6902" s="53"/>
    </row>
    <row r="6903">
      <c r="A6903" s="49">
        <v>44585.47915459491</v>
      </c>
      <c r="B6903" s="50">
        <v>44585.6041348726</v>
      </c>
      <c r="C6903" s="51">
        <v>1.001</v>
      </c>
      <c r="D6903" s="51">
        <v>66.0</v>
      </c>
      <c r="E6903" s="52" t="s">
        <v>25</v>
      </c>
      <c r="F6903" s="52" t="s">
        <v>26</v>
      </c>
      <c r="G6903" s="53"/>
    </row>
    <row r="6904">
      <c r="A6904" s="49">
        <v>44585.48957240741</v>
      </c>
      <c r="B6904" s="50">
        <v>44585.6145568055</v>
      </c>
      <c r="C6904" s="51">
        <v>1.001</v>
      </c>
      <c r="D6904" s="51">
        <v>66.0</v>
      </c>
      <c r="E6904" s="52" t="s">
        <v>25</v>
      </c>
      <c r="F6904" s="52" t="s">
        <v>26</v>
      </c>
      <c r="G6904" s="53"/>
    </row>
    <row r="6905">
      <c r="A6905" s="49">
        <v>44585.49999534722</v>
      </c>
      <c r="B6905" s="50">
        <v>44585.6249776273</v>
      </c>
      <c r="C6905" s="51">
        <v>1.001</v>
      </c>
      <c r="D6905" s="51">
        <v>66.0</v>
      </c>
      <c r="E6905" s="52" t="s">
        <v>25</v>
      </c>
      <c r="F6905" s="52" t="s">
        <v>26</v>
      </c>
      <c r="G6905" s="53"/>
    </row>
    <row r="6906">
      <c r="A6906" s="49">
        <v>44585.510425370376</v>
      </c>
      <c r="B6906" s="50">
        <v>44585.6353971412</v>
      </c>
      <c r="C6906" s="51">
        <v>1.0</v>
      </c>
      <c r="D6906" s="51">
        <v>66.0</v>
      </c>
      <c r="E6906" s="52" t="s">
        <v>25</v>
      </c>
      <c r="F6906" s="52" t="s">
        <v>26</v>
      </c>
      <c r="G6906" s="53"/>
    </row>
    <row r="6907">
      <c r="A6907" s="49">
        <v>44585.52083577546</v>
      </c>
      <c r="B6907" s="50">
        <v>44585.6458168171</v>
      </c>
      <c r="C6907" s="51">
        <v>1.001</v>
      </c>
      <c r="D6907" s="51">
        <v>66.0</v>
      </c>
      <c r="E6907" s="52" t="s">
        <v>25</v>
      </c>
      <c r="F6907" s="52" t="s">
        <v>26</v>
      </c>
      <c r="G6907" s="53"/>
    </row>
    <row r="6908">
      <c r="A6908" s="49">
        <v>44585.53126296296</v>
      </c>
      <c r="B6908" s="50">
        <v>44585.6562377893</v>
      </c>
      <c r="C6908" s="51">
        <v>1.0</v>
      </c>
      <c r="D6908" s="51">
        <v>66.0</v>
      </c>
      <c r="E6908" s="52" t="s">
        <v>25</v>
      </c>
      <c r="F6908" s="52" t="s">
        <v>26</v>
      </c>
      <c r="G6908" s="53"/>
    </row>
    <row r="6909">
      <c r="A6909" s="49">
        <v>44585.541686041666</v>
      </c>
      <c r="B6909" s="50">
        <v>44585.6666595254</v>
      </c>
      <c r="C6909" s="51">
        <v>1.001</v>
      </c>
      <c r="D6909" s="51">
        <v>66.0</v>
      </c>
      <c r="E6909" s="52" t="s">
        <v>25</v>
      </c>
      <c r="F6909" s="52" t="s">
        <v>26</v>
      </c>
      <c r="G6909" s="53"/>
    </row>
    <row r="6910">
      <c r="A6910" s="49">
        <v>44585.5521024537</v>
      </c>
      <c r="B6910" s="50">
        <v>44585.6770810763</v>
      </c>
      <c r="C6910" s="51">
        <v>1.001</v>
      </c>
      <c r="D6910" s="51">
        <v>66.0</v>
      </c>
      <c r="E6910" s="52" t="s">
        <v>25</v>
      </c>
      <c r="F6910" s="52" t="s">
        <v>26</v>
      </c>
      <c r="G6910" s="53"/>
    </row>
    <row r="6911">
      <c r="A6911" s="49">
        <v>44585.562531180556</v>
      </c>
      <c r="B6911" s="50">
        <v>44585.6875018865</v>
      </c>
      <c r="C6911" s="51">
        <v>1.001</v>
      </c>
      <c r="D6911" s="51">
        <v>66.0</v>
      </c>
      <c r="E6911" s="52" t="s">
        <v>25</v>
      </c>
      <c r="F6911" s="52" t="s">
        <v>26</v>
      </c>
      <c r="G6911" s="53"/>
    </row>
    <row r="6912">
      <c r="A6912" s="49">
        <v>44585.5729492824</v>
      </c>
      <c r="B6912" s="50">
        <v>44585.6979231018</v>
      </c>
      <c r="C6912" s="51">
        <v>1.001</v>
      </c>
      <c r="D6912" s="51">
        <v>66.0</v>
      </c>
      <c r="E6912" s="52" t="s">
        <v>25</v>
      </c>
      <c r="F6912" s="52" t="s">
        <v>26</v>
      </c>
      <c r="G6912" s="53"/>
    </row>
    <row r="6913">
      <c r="A6913" s="49">
        <v>44585.58336798611</v>
      </c>
      <c r="B6913" s="50">
        <v>44585.7083439814</v>
      </c>
      <c r="C6913" s="51">
        <v>1.001</v>
      </c>
      <c r="D6913" s="51">
        <v>66.0</v>
      </c>
      <c r="E6913" s="52" t="s">
        <v>25</v>
      </c>
      <c r="F6913" s="52" t="s">
        <v>26</v>
      </c>
      <c r="G6913" s="53"/>
    </row>
    <row r="6914">
      <c r="A6914" s="49">
        <v>44585.59377821759</v>
      </c>
      <c r="B6914" s="50">
        <v>44585.7187648379</v>
      </c>
      <c r="C6914" s="51">
        <v>1.001</v>
      </c>
      <c r="D6914" s="51">
        <v>66.0</v>
      </c>
      <c r="E6914" s="52" t="s">
        <v>25</v>
      </c>
      <c r="F6914" s="52" t="s">
        <v>26</v>
      </c>
      <c r="G6914" s="53"/>
    </row>
    <row r="6915">
      <c r="A6915" s="49">
        <v>44585.604207094904</v>
      </c>
      <c r="B6915" s="50">
        <v>44585.7291862962</v>
      </c>
      <c r="C6915" s="51">
        <v>1.001</v>
      </c>
      <c r="D6915" s="51">
        <v>66.0</v>
      </c>
      <c r="E6915" s="52" t="s">
        <v>25</v>
      </c>
      <c r="F6915" s="52" t="s">
        <v>26</v>
      </c>
      <c r="G6915" s="53"/>
    </row>
    <row r="6916">
      <c r="A6916" s="49">
        <v>44585.61462582176</v>
      </c>
      <c r="B6916" s="50">
        <v>44585.7396068634</v>
      </c>
      <c r="C6916" s="51">
        <v>1.001</v>
      </c>
      <c r="D6916" s="51">
        <v>66.0</v>
      </c>
      <c r="E6916" s="52" t="s">
        <v>25</v>
      </c>
      <c r="F6916" s="52" t="s">
        <v>26</v>
      </c>
      <c r="G6916" s="53"/>
    </row>
    <row r="6917">
      <c r="A6917" s="49">
        <v>44585.62504758102</v>
      </c>
      <c r="B6917" s="50">
        <v>44585.7500266203</v>
      </c>
      <c r="C6917" s="51">
        <v>1.001</v>
      </c>
      <c r="D6917" s="51">
        <v>66.0</v>
      </c>
      <c r="E6917" s="52" t="s">
        <v>25</v>
      </c>
      <c r="F6917" s="52" t="s">
        <v>26</v>
      </c>
      <c r="G6917" s="53"/>
    </row>
    <row r="6918">
      <c r="A6918" s="49">
        <v>44585.63546114584</v>
      </c>
      <c r="B6918" s="50">
        <v>44585.7604468518</v>
      </c>
      <c r="C6918" s="51">
        <v>1.001</v>
      </c>
      <c r="D6918" s="51">
        <v>66.0</v>
      </c>
      <c r="E6918" s="52" t="s">
        <v>25</v>
      </c>
      <c r="F6918" s="52" t="s">
        <v>26</v>
      </c>
      <c r="G6918" s="53"/>
    </row>
    <row r="6919">
      <c r="A6919" s="49">
        <v>44585.645890162035</v>
      </c>
      <c r="B6919" s="50">
        <v>44585.7708665972</v>
      </c>
      <c r="C6919" s="51">
        <v>1.001</v>
      </c>
      <c r="D6919" s="51">
        <v>66.0</v>
      </c>
      <c r="E6919" s="52" t="s">
        <v>25</v>
      </c>
      <c r="F6919" s="52" t="s">
        <v>26</v>
      </c>
      <c r="G6919" s="53"/>
    </row>
    <row r="6920">
      <c r="A6920" s="49">
        <v>44585.65631011574</v>
      </c>
      <c r="B6920" s="50">
        <v>44585.7812877314</v>
      </c>
      <c r="C6920" s="51">
        <v>1.001</v>
      </c>
      <c r="D6920" s="51">
        <v>66.0</v>
      </c>
      <c r="E6920" s="52" t="s">
        <v>25</v>
      </c>
      <c r="F6920" s="52" t="s">
        <v>26</v>
      </c>
      <c r="G6920" s="53"/>
    </row>
    <row r="6921">
      <c r="A6921" s="49">
        <v>44585.66673125</v>
      </c>
      <c r="B6921" s="50">
        <v>44585.7917091087</v>
      </c>
      <c r="C6921" s="51">
        <v>1.001</v>
      </c>
      <c r="D6921" s="51">
        <v>66.0</v>
      </c>
      <c r="E6921" s="52" t="s">
        <v>25</v>
      </c>
      <c r="F6921" s="52" t="s">
        <v>26</v>
      </c>
      <c r="G6921" s="53"/>
    </row>
    <row r="6922">
      <c r="A6922" s="49">
        <v>44585.67715329861</v>
      </c>
      <c r="B6922" s="50">
        <v>44585.8021322222</v>
      </c>
      <c r="C6922" s="51">
        <v>1.001</v>
      </c>
      <c r="D6922" s="51">
        <v>66.0</v>
      </c>
      <c r="E6922" s="52" t="s">
        <v>25</v>
      </c>
      <c r="F6922" s="52" t="s">
        <v>26</v>
      </c>
      <c r="G6922" s="53"/>
    </row>
    <row r="6923">
      <c r="A6923" s="49">
        <v>44585.68758221065</v>
      </c>
      <c r="B6923" s="50">
        <v>44585.8125521412</v>
      </c>
      <c r="C6923" s="51">
        <v>1.0</v>
      </c>
      <c r="D6923" s="51">
        <v>66.0</v>
      </c>
      <c r="E6923" s="52" t="s">
        <v>25</v>
      </c>
      <c r="F6923" s="52" t="s">
        <v>26</v>
      </c>
      <c r="G6923" s="53"/>
    </row>
    <row r="6924">
      <c r="A6924" s="49">
        <v>44585.69800186343</v>
      </c>
      <c r="B6924" s="50">
        <v>44585.8229739467</v>
      </c>
      <c r="C6924" s="51">
        <v>1.001</v>
      </c>
      <c r="D6924" s="51">
        <v>66.0</v>
      </c>
      <c r="E6924" s="52" t="s">
        <v>25</v>
      </c>
      <c r="F6924" s="52" t="s">
        <v>26</v>
      </c>
      <c r="G6924" s="53"/>
    </row>
    <row r="6925">
      <c r="A6925" s="49">
        <v>44585.708409548606</v>
      </c>
      <c r="B6925" s="50">
        <v>44585.8333930208</v>
      </c>
      <c r="C6925" s="51">
        <v>1.001</v>
      </c>
      <c r="D6925" s="51">
        <v>66.0</v>
      </c>
      <c r="E6925" s="52" t="s">
        <v>25</v>
      </c>
      <c r="F6925" s="52" t="s">
        <v>26</v>
      </c>
      <c r="G6925" s="53"/>
    </row>
    <row r="6926">
      <c r="A6926" s="49">
        <v>44585.718839988425</v>
      </c>
      <c r="B6926" s="50">
        <v>44585.8438142013</v>
      </c>
      <c r="C6926" s="51">
        <v>1.001</v>
      </c>
      <c r="D6926" s="51">
        <v>65.0</v>
      </c>
      <c r="E6926" s="52" t="s">
        <v>25</v>
      </c>
      <c r="F6926" s="52" t="s">
        <v>26</v>
      </c>
      <c r="G6926" s="53"/>
    </row>
    <row r="6927">
      <c r="A6927" s="49">
        <v>44585.7292606713</v>
      </c>
      <c r="B6927" s="50">
        <v>44585.8542354166</v>
      </c>
      <c r="C6927" s="51">
        <v>1.001</v>
      </c>
      <c r="D6927" s="51">
        <v>65.0</v>
      </c>
      <c r="E6927" s="52" t="s">
        <v>25</v>
      </c>
      <c r="F6927" s="52" t="s">
        <v>26</v>
      </c>
      <c r="G6927" s="53"/>
    </row>
    <row r="6928">
      <c r="A6928" s="49">
        <v>44585.73967780093</v>
      </c>
      <c r="B6928" s="50">
        <v>44585.8646568981</v>
      </c>
      <c r="C6928" s="51">
        <v>1.001</v>
      </c>
      <c r="D6928" s="51">
        <v>65.0</v>
      </c>
      <c r="E6928" s="52" t="s">
        <v>25</v>
      </c>
      <c r="F6928" s="52" t="s">
        <v>26</v>
      </c>
      <c r="G6928" s="53"/>
    </row>
    <row r="6929">
      <c r="A6929" s="49">
        <v>44585.75009627314</v>
      </c>
      <c r="B6929" s="50">
        <v>44585.8750790972</v>
      </c>
      <c r="C6929" s="51">
        <v>1.001</v>
      </c>
      <c r="D6929" s="51">
        <v>65.0</v>
      </c>
      <c r="E6929" s="52" t="s">
        <v>25</v>
      </c>
      <c r="F6929" s="52" t="s">
        <v>26</v>
      </c>
      <c r="G6929" s="53"/>
    </row>
    <row r="6930">
      <c r="A6930" s="49">
        <v>44585.76054474537</v>
      </c>
      <c r="B6930" s="50">
        <v>44585.8855117824</v>
      </c>
      <c r="C6930" s="51">
        <v>1.001</v>
      </c>
      <c r="D6930" s="51">
        <v>65.0</v>
      </c>
      <c r="E6930" s="52" t="s">
        <v>25</v>
      </c>
      <c r="F6930" s="52" t="s">
        <v>26</v>
      </c>
      <c r="G6930" s="53"/>
    </row>
    <row r="6931">
      <c r="A6931" s="49">
        <v>44585.77095738426</v>
      </c>
      <c r="B6931" s="50">
        <v>44585.895931574</v>
      </c>
      <c r="C6931" s="51">
        <v>1.001</v>
      </c>
      <c r="D6931" s="51">
        <v>65.0</v>
      </c>
      <c r="E6931" s="52" t="s">
        <v>25</v>
      </c>
      <c r="F6931" s="52" t="s">
        <v>26</v>
      </c>
      <c r="G6931" s="53"/>
    </row>
    <row r="6932">
      <c r="A6932" s="49">
        <v>44585.781395625</v>
      </c>
      <c r="B6932" s="50">
        <v>44585.9063756944</v>
      </c>
      <c r="C6932" s="51">
        <v>1.001</v>
      </c>
      <c r="D6932" s="51">
        <v>65.0</v>
      </c>
      <c r="E6932" s="52" t="s">
        <v>25</v>
      </c>
      <c r="F6932" s="52" t="s">
        <v>26</v>
      </c>
      <c r="G6932" s="53"/>
    </row>
    <row r="6933">
      <c r="A6933" s="49">
        <v>44585.7918119213</v>
      </c>
      <c r="B6933" s="50">
        <v>44585.9167973726</v>
      </c>
      <c r="C6933" s="51">
        <v>1.001</v>
      </c>
      <c r="D6933" s="51">
        <v>65.0</v>
      </c>
      <c r="E6933" s="52" t="s">
        <v>25</v>
      </c>
      <c r="F6933" s="52" t="s">
        <v>26</v>
      </c>
      <c r="G6933" s="53"/>
    </row>
    <row r="6934">
      <c r="A6934" s="49">
        <v>44585.80227001157</v>
      </c>
      <c r="B6934" s="50">
        <v>44585.9272404629</v>
      </c>
      <c r="C6934" s="51">
        <v>1.001</v>
      </c>
      <c r="D6934" s="51">
        <v>65.0</v>
      </c>
      <c r="E6934" s="52" t="s">
        <v>25</v>
      </c>
      <c r="F6934" s="52" t="s">
        <v>26</v>
      </c>
      <c r="G6934" s="53"/>
    </row>
    <row r="6935">
      <c r="A6935" s="49">
        <v>44585.81269099537</v>
      </c>
      <c r="B6935" s="50">
        <v>44585.9376740277</v>
      </c>
      <c r="C6935" s="51">
        <v>1.001</v>
      </c>
      <c r="D6935" s="51">
        <v>65.0</v>
      </c>
      <c r="E6935" s="52" t="s">
        <v>25</v>
      </c>
      <c r="F6935" s="52" t="s">
        <v>26</v>
      </c>
      <c r="G6935" s="53"/>
    </row>
    <row r="6936">
      <c r="A6936" s="49">
        <v>44585.82311261574</v>
      </c>
      <c r="B6936" s="50">
        <v>44585.9480941319</v>
      </c>
      <c r="C6936" s="51">
        <v>1.001</v>
      </c>
      <c r="D6936" s="51">
        <v>65.0</v>
      </c>
      <c r="E6936" s="52" t="s">
        <v>25</v>
      </c>
      <c r="F6936" s="52" t="s">
        <v>26</v>
      </c>
      <c r="G6936" s="53"/>
    </row>
    <row r="6937">
      <c r="A6937" s="49">
        <v>44585.833546423615</v>
      </c>
      <c r="B6937" s="50">
        <v>44585.9585165277</v>
      </c>
      <c r="C6937" s="51">
        <v>1.001</v>
      </c>
      <c r="D6937" s="51">
        <v>65.0</v>
      </c>
      <c r="E6937" s="52" t="s">
        <v>25</v>
      </c>
      <c r="F6937" s="52" t="s">
        <v>26</v>
      </c>
      <c r="G6937" s="53"/>
    </row>
    <row r="6938">
      <c r="A6938" s="49">
        <v>44585.843962534724</v>
      </c>
      <c r="B6938" s="50">
        <v>44585.9689377199</v>
      </c>
      <c r="C6938" s="51">
        <v>1.001</v>
      </c>
      <c r="D6938" s="51">
        <v>65.0</v>
      </c>
      <c r="E6938" s="52" t="s">
        <v>25</v>
      </c>
      <c r="F6938" s="52" t="s">
        <v>26</v>
      </c>
      <c r="G6938" s="53"/>
    </row>
    <row r="6939">
      <c r="A6939" s="49">
        <v>44585.85438050926</v>
      </c>
      <c r="B6939" s="50">
        <v>44585.979359074</v>
      </c>
      <c r="C6939" s="51">
        <v>1.001</v>
      </c>
      <c r="D6939" s="51">
        <v>65.0</v>
      </c>
      <c r="E6939" s="52" t="s">
        <v>25</v>
      </c>
      <c r="F6939" s="52" t="s">
        <v>26</v>
      </c>
      <c r="G6939" s="53"/>
    </row>
    <row r="6940">
      <c r="A6940" s="49">
        <v>44585.864805219906</v>
      </c>
      <c r="B6940" s="50">
        <v>44585.989780162</v>
      </c>
      <c r="C6940" s="51">
        <v>1.001</v>
      </c>
      <c r="D6940" s="51">
        <v>65.0</v>
      </c>
      <c r="E6940" s="52" t="s">
        <v>25</v>
      </c>
      <c r="F6940" s="52" t="s">
        <v>26</v>
      </c>
      <c r="G6940" s="53"/>
    </row>
    <row r="6941">
      <c r="A6941" s="49">
        <v>44585.8752221412</v>
      </c>
      <c r="B6941" s="50">
        <v>44586.0002019444</v>
      </c>
      <c r="C6941" s="51">
        <v>1.001</v>
      </c>
      <c r="D6941" s="51">
        <v>65.0</v>
      </c>
      <c r="E6941" s="52" t="s">
        <v>25</v>
      </c>
      <c r="F6941" s="52" t="s">
        <v>26</v>
      </c>
      <c r="G6941" s="53"/>
    </row>
    <row r="6942">
      <c r="A6942" s="49">
        <v>44585.88564417824</v>
      </c>
      <c r="B6942" s="50">
        <v>44586.0106236226</v>
      </c>
      <c r="C6942" s="51">
        <v>1.001</v>
      </c>
      <c r="D6942" s="51">
        <v>65.0</v>
      </c>
      <c r="E6942" s="52" t="s">
        <v>25</v>
      </c>
      <c r="F6942" s="52" t="s">
        <v>26</v>
      </c>
      <c r="G6942" s="53"/>
    </row>
    <row r="6943">
      <c r="A6943" s="49">
        <v>44585.89608697916</v>
      </c>
      <c r="B6943" s="50">
        <v>44586.0210577083</v>
      </c>
      <c r="C6943" s="51">
        <v>1.001</v>
      </c>
      <c r="D6943" s="51">
        <v>65.0</v>
      </c>
      <c r="E6943" s="52" t="s">
        <v>25</v>
      </c>
      <c r="F6943" s="52" t="s">
        <v>26</v>
      </c>
      <c r="G6943" s="53"/>
    </row>
    <row r="6944">
      <c r="A6944" s="49">
        <v>44585.90650479167</v>
      </c>
      <c r="B6944" s="50">
        <v>44586.0314794791</v>
      </c>
      <c r="C6944" s="51">
        <v>1.001</v>
      </c>
      <c r="D6944" s="51">
        <v>65.0</v>
      </c>
      <c r="E6944" s="52" t="s">
        <v>25</v>
      </c>
      <c r="F6944" s="52" t="s">
        <v>26</v>
      </c>
      <c r="G6944" s="53"/>
    </row>
    <row r="6945">
      <c r="A6945" s="49">
        <v>44585.91693460648</v>
      </c>
      <c r="B6945" s="50">
        <v>44586.0419109375</v>
      </c>
      <c r="C6945" s="51">
        <v>1.001</v>
      </c>
      <c r="D6945" s="51">
        <v>65.0</v>
      </c>
      <c r="E6945" s="52" t="s">
        <v>25</v>
      </c>
      <c r="F6945" s="52" t="s">
        <v>26</v>
      </c>
      <c r="G6945" s="53"/>
    </row>
    <row r="6946">
      <c r="A6946" s="49">
        <v>44585.92734866898</v>
      </c>
      <c r="B6946" s="50">
        <v>44586.052332743</v>
      </c>
      <c r="C6946" s="51">
        <v>1.001</v>
      </c>
      <c r="D6946" s="51">
        <v>65.0</v>
      </c>
      <c r="E6946" s="52" t="s">
        <v>25</v>
      </c>
      <c r="F6946" s="52" t="s">
        <v>26</v>
      </c>
      <c r="G6946" s="53"/>
    </row>
    <row r="6947">
      <c r="A6947" s="49">
        <v>44585.93779258102</v>
      </c>
      <c r="B6947" s="50">
        <v>44586.0627656944</v>
      </c>
      <c r="C6947" s="51">
        <v>1.001</v>
      </c>
      <c r="D6947" s="51">
        <v>65.0</v>
      </c>
      <c r="E6947" s="52" t="s">
        <v>25</v>
      </c>
      <c r="F6947" s="52" t="s">
        <v>26</v>
      </c>
      <c r="G6947" s="53"/>
    </row>
    <row r="6948">
      <c r="A6948" s="49">
        <v>44585.94821086805</v>
      </c>
      <c r="B6948" s="50">
        <v>44586.0731849074</v>
      </c>
      <c r="C6948" s="51">
        <v>1.001</v>
      </c>
      <c r="D6948" s="51">
        <v>65.0</v>
      </c>
      <c r="E6948" s="52" t="s">
        <v>25</v>
      </c>
      <c r="F6948" s="52" t="s">
        <v>26</v>
      </c>
      <c r="G6948" s="53"/>
    </row>
    <row r="6949">
      <c r="A6949" s="49">
        <v>44585.95862482639</v>
      </c>
      <c r="B6949" s="50">
        <v>44586.083604537</v>
      </c>
      <c r="C6949" s="51">
        <v>1.001</v>
      </c>
      <c r="D6949" s="51">
        <v>65.0</v>
      </c>
      <c r="E6949" s="52" t="s">
        <v>25</v>
      </c>
      <c r="F6949" s="52" t="s">
        <v>26</v>
      </c>
      <c r="G6949" s="53"/>
    </row>
    <row r="6950">
      <c r="A6950" s="49">
        <v>44585.96907947917</v>
      </c>
      <c r="B6950" s="50">
        <v>44586.0940590972</v>
      </c>
      <c r="C6950" s="51">
        <v>1.001</v>
      </c>
      <c r="D6950" s="51">
        <v>65.0</v>
      </c>
      <c r="E6950" s="52" t="s">
        <v>25</v>
      </c>
      <c r="F6950" s="52" t="s">
        <v>26</v>
      </c>
      <c r="G6950" s="53"/>
    </row>
    <row r="6951">
      <c r="A6951" s="49">
        <v>44585.97949737268</v>
      </c>
      <c r="B6951" s="50">
        <v>44586.1044782175</v>
      </c>
      <c r="C6951" s="51">
        <v>1.001</v>
      </c>
      <c r="D6951" s="51">
        <v>65.0</v>
      </c>
      <c r="E6951" s="52" t="s">
        <v>25</v>
      </c>
      <c r="F6951" s="52" t="s">
        <v>26</v>
      </c>
      <c r="G6951" s="53"/>
    </row>
    <row r="6952">
      <c r="A6952" s="49">
        <v>44585.98992787037</v>
      </c>
      <c r="B6952" s="50">
        <v>44586.1148998148</v>
      </c>
      <c r="C6952" s="51">
        <v>1.001</v>
      </c>
      <c r="D6952" s="51">
        <v>65.0</v>
      </c>
      <c r="E6952" s="52" t="s">
        <v>25</v>
      </c>
      <c r="F6952" s="52" t="s">
        <v>26</v>
      </c>
      <c r="G6952" s="53"/>
    </row>
    <row r="6953">
      <c r="A6953" s="49">
        <v>44586.00034798611</v>
      </c>
      <c r="B6953" s="50">
        <v>44586.1253327777</v>
      </c>
      <c r="C6953" s="51">
        <v>1.001</v>
      </c>
      <c r="D6953" s="51">
        <v>65.0</v>
      </c>
      <c r="E6953" s="52" t="s">
        <v>25</v>
      </c>
      <c r="F6953" s="52" t="s">
        <v>26</v>
      </c>
      <c r="G6953" s="53"/>
    </row>
    <row r="6954">
      <c r="A6954" s="49">
        <v>44586.01077454861</v>
      </c>
      <c r="B6954" s="50">
        <v>44586.1357539236</v>
      </c>
      <c r="C6954" s="51">
        <v>1.001</v>
      </c>
      <c r="D6954" s="51">
        <v>65.0</v>
      </c>
      <c r="E6954" s="52" t="s">
        <v>25</v>
      </c>
      <c r="F6954" s="52" t="s">
        <v>26</v>
      </c>
      <c r="G6954" s="53"/>
    </row>
    <row r="6955">
      <c r="A6955" s="49">
        <v>44586.021197187496</v>
      </c>
      <c r="B6955" s="50">
        <v>44586.146175868</v>
      </c>
      <c r="C6955" s="51">
        <v>1.001</v>
      </c>
      <c r="D6955" s="51">
        <v>64.0</v>
      </c>
      <c r="E6955" s="52" t="s">
        <v>25</v>
      </c>
      <c r="F6955" s="52" t="s">
        <v>26</v>
      </c>
      <c r="G6955" s="53"/>
    </row>
    <row r="6956">
      <c r="A6956" s="49">
        <v>44586.03161983796</v>
      </c>
      <c r="B6956" s="50">
        <v>44586.1565966087</v>
      </c>
      <c r="C6956" s="51">
        <v>1.001</v>
      </c>
      <c r="D6956" s="51">
        <v>64.0</v>
      </c>
      <c r="E6956" s="52" t="s">
        <v>25</v>
      </c>
      <c r="F6956" s="52" t="s">
        <v>26</v>
      </c>
      <c r="G6956" s="53"/>
    </row>
    <row r="6957">
      <c r="A6957" s="49">
        <v>44586.04204372685</v>
      </c>
      <c r="B6957" s="50">
        <v>44586.1670174884</v>
      </c>
      <c r="C6957" s="51">
        <v>1.001</v>
      </c>
      <c r="D6957" s="51">
        <v>64.0</v>
      </c>
      <c r="E6957" s="52" t="s">
        <v>25</v>
      </c>
      <c r="F6957" s="52" t="s">
        <v>26</v>
      </c>
      <c r="G6957" s="53"/>
    </row>
    <row r="6958">
      <c r="A6958" s="49">
        <v>44586.052476736106</v>
      </c>
      <c r="B6958" s="50">
        <v>44586.1774511226</v>
      </c>
      <c r="C6958" s="51">
        <v>1.001</v>
      </c>
      <c r="D6958" s="51">
        <v>64.0</v>
      </c>
      <c r="E6958" s="52" t="s">
        <v>25</v>
      </c>
      <c r="F6958" s="52" t="s">
        <v>26</v>
      </c>
      <c r="G6958" s="53"/>
    </row>
    <row r="6959">
      <c r="A6959" s="49">
        <v>44586.06289459491</v>
      </c>
      <c r="B6959" s="50">
        <v>44586.1878721296</v>
      </c>
      <c r="C6959" s="51">
        <v>1.001</v>
      </c>
      <c r="D6959" s="51">
        <v>64.0</v>
      </c>
      <c r="E6959" s="52" t="s">
        <v>25</v>
      </c>
      <c r="F6959" s="52" t="s">
        <v>26</v>
      </c>
      <c r="G6959" s="53"/>
    </row>
    <row r="6960">
      <c r="A6960" s="49">
        <v>44586.07331688657</v>
      </c>
      <c r="B6960" s="50">
        <v>44586.1982926041</v>
      </c>
      <c r="C6960" s="51">
        <v>1.001</v>
      </c>
      <c r="D6960" s="51">
        <v>64.0</v>
      </c>
      <c r="E6960" s="52" t="s">
        <v>25</v>
      </c>
      <c r="F6960" s="52" t="s">
        <v>26</v>
      </c>
      <c r="G6960" s="53"/>
    </row>
    <row r="6961">
      <c r="A6961" s="49">
        <v>44586.083736678236</v>
      </c>
      <c r="B6961" s="50">
        <v>44586.2087140625</v>
      </c>
      <c r="C6961" s="51">
        <v>1.001</v>
      </c>
      <c r="D6961" s="51">
        <v>64.0</v>
      </c>
      <c r="E6961" s="52" t="s">
        <v>25</v>
      </c>
      <c r="F6961" s="52" t="s">
        <v>26</v>
      </c>
      <c r="G6961" s="53"/>
    </row>
    <row r="6962">
      <c r="A6962" s="49">
        <v>44586.094160636574</v>
      </c>
      <c r="B6962" s="50">
        <v>44586.2191344444</v>
      </c>
      <c r="C6962" s="51">
        <v>1.001</v>
      </c>
      <c r="D6962" s="51">
        <v>64.0</v>
      </c>
      <c r="E6962" s="52" t="s">
        <v>25</v>
      </c>
      <c r="F6962" s="52" t="s">
        <v>26</v>
      </c>
      <c r="G6962" s="53"/>
    </row>
    <row r="6963">
      <c r="A6963" s="49">
        <v>44586.104583252316</v>
      </c>
      <c r="B6963" s="50">
        <v>44586.2295571643</v>
      </c>
      <c r="C6963" s="51">
        <v>1.001</v>
      </c>
      <c r="D6963" s="51">
        <v>64.0</v>
      </c>
      <c r="E6963" s="52" t="s">
        <v>25</v>
      </c>
      <c r="F6963" s="52" t="s">
        <v>26</v>
      </c>
      <c r="G6963" s="53"/>
    </row>
    <row r="6964">
      <c r="A6964" s="49">
        <v>44586.11499894676</v>
      </c>
      <c r="B6964" s="50">
        <v>44586.2399781944</v>
      </c>
      <c r="C6964" s="51">
        <v>1.001</v>
      </c>
      <c r="D6964" s="51">
        <v>64.0</v>
      </c>
      <c r="E6964" s="52" t="s">
        <v>25</v>
      </c>
      <c r="F6964" s="52" t="s">
        <v>26</v>
      </c>
      <c r="G6964" s="53"/>
    </row>
    <row r="6965">
      <c r="A6965" s="49">
        <v>44586.12543341435</v>
      </c>
      <c r="B6965" s="50">
        <v>44586.25039853</v>
      </c>
      <c r="C6965" s="51">
        <v>1.001</v>
      </c>
      <c r="D6965" s="51">
        <v>64.0</v>
      </c>
      <c r="E6965" s="52" t="s">
        <v>25</v>
      </c>
      <c r="F6965" s="52" t="s">
        <v>26</v>
      </c>
      <c r="G6965" s="53"/>
    </row>
    <row r="6966">
      <c r="A6966" s="49">
        <v>44586.135845439814</v>
      </c>
      <c r="B6966" s="50">
        <v>44586.2608196296</v>
      </c>
      <c r="C6966" s="51">
        <v>1.001</v>
      </c>
      <c r="D6966" s="51">
        <v>64.0</v>
      </c>
      <c r="E6966" s="52" t="s">
        <v>25</v>
      </c>
      <c r="F6966" s="52" t="s">
        <v>26</v>
      </c>
      <c r="G6966" s="53"/>
    </row>
    <row r="6967">
      <c r="A6967" s="49">
        <v>44586.14627650463</v>
      </c>
      <c r="B6967" s="50">
        <v>44586.2712408217</v>
      </c>
      <c r="C6967" s="51">
        <v>1.001</v>
      </c>
      <c r="D6967" s="51">
        <v>64.0</v>
      </c>
      <c r="E6967" s="52" t="s">
        <v>25</v>
      </c>
      <c r="F6967" s="52" t="s">
        <v>26</v>
      </c>
      <c r="G6967" s="53"/>
    </row>
    <row r="6968">
      <c r="A6968" s="49">
        <v>44586.156680555556</v>
      </c>
      <c r="B6968" s="50">
        <v>44586.2816630902</v>
      </c>
      <c r="C6968" s="51">
        <v>1.001</v>
      </c>
      <c r="D6968" s="51">
        <v>64.0</v>
      </c>
      <c r="E6968" s="52" t="s">
        <v>25</v>
      </c>
      <c r="F6968" s="52" t="s">
        <v>26</v>
      </c>
      <c r="G6968" s="53"/>
    </row>
    <row r="6969">
      <c r="A6969" s="49">
        <v>44586.167109201386</v>
      </c>
      <c r="B6969" s="50">
        <v>44586.292085405</v>
      </c>
      <c r="C6969" s="51">
        <v>1.001</v>
      </c>
      <c r="D6969" s="51">
        <v>64.0</v>
      </c>
      <c r="E6969" s="52" t="s">
        <v>25</v>
      </c>
      <c r="F6969" s="52" t="s">
        <v>26</v>
      </c>
      <c r="G6969" s="53"/>
    </row>
    <row r="6970">
      <c r="A6970" s="49">
        <v>44586.177532835645</v>
      </c>
      <c r="B6970" s="50">
        <v>44586.3025065972</v>
      </c>
      <c r="C6970" s="51">
        <v>1.001</v>
      </c>
      <c r="D6970" s="51">
        <v>64.0</v>
      </c>
      <c r="E6970" s="52" t="s">
        <v>25</v>
      </c>
      <c r="F6970" s="52" t="s">
        <v>26</v>
      </c>
      <c r="G6970" s="53"/>
    </row>
    <row r="6971">
      <c r="A6971" s="49">
        <v>44586.18795337963</v>
      </c>
      <c r="B6971" s="50">
        <v>44586.3129276388</v>
      </c>
      <c r="C6971" s="51">
        <v>1.001</v>
      </c>
      <c r="D6971" s="51">
        <v>64.0</v>
      </c>
      <c r="E6971" s="52" t="s">
        <v>25</v>
      </c>
      <c r="F6971" s="52" t="s">
        <v>26</v>
      </c>
      <c r="G6971" s="53"/>
    </row>
    <row r="6972">
      <c r="A6972" s="49">
        <v>44586.198373946754</v>
      </c>
      <c r="B6972" s="50">
        <v>44586.3233491319</v>
      </c>
      <c r="C6972" s="51">
        <v>1.001</v>
      </c>
      <c r="D6972" s="51">
        <v>64.0</v>
      </c>
      <c r="E6972" s="52" t="s">
        <v>25</v>
      </c>
      <c r="F6972" s="52" t="s">
        <v>26</v>
      </c>
      <c r="G6972" s="53"/>
    </row>
    <row r="6973">
      <c r="A6973" s="49">
        <v>44586.20879451389</v>
      </c>
      <c r="B6973" s="50">
        <v>44586.3337692129</v>
      </c>
      <c r="C6973" s="51">
        <v>1.001</v>
      </c>
      <c r="D6973" s="51">
        <v>64.0</v>
      </c>
      <c r="E6973" s="52" t="s">
        <v>25</v>
      </c>
      <c r="F6973" s="52" t="s">
        <v>26</v>
      </c>
      <c r="G6973" s="53"/>
    </row>
    <row r="6974">
      <c r="A6974" s="49">
        <v>44586.21920876157</v>
      </c>
      <c r="B6974" s="50">
        <v>44586.3441919675</v>
      </c>
      <c r="C6974" s="51">
        <v>1.001</v>
      </c>
      <c r="D6974" s="51">
        <v>64.0</v>
      </c>
      <c r="E6974" s="52" t="s">
        <v>25</v>
      </c>
      <c r="F6974" s="52" t="s">
        <v>26</v>
      </c>
      <c r="G6974" s="53"/>
    </row>
    <row r="6975">
      <c r="A6975" s="49">
        <v>44586.22963958333</v>
      </c>
      <c r="B6975" s="50">
        <v>44586.3546129166</v>
      </c>
      <c r="C6975" s="51">
        <v>1.001</v>
      </c>
      <c r="D6975" s="51">
        <v>64.0</v>
      </c>
      <c r="E6975" s="52" t="s">
        <v>25</v>
      </c>
      <c r="F6975" s="52" t="s">
        <v>26</v>
      </c>
      <c r="G6975" s="53"/>
    </row>
    <row r="6976">
      <c r="A6976" s="49">
        <v>44586.24005695602</v>
      </c>
      <c r="B6976" s="50">
        <v>44586.3650345949</v>
      </c>
      <c r="C6976" s="51">
        <v>1.001</v>
      </c>
      <c r="D6976" s="51">
        <v>64.0</v>
      </c>
      <c r="E6976" s="52" t="s">
        <v>25</v>
      </c>
      <c r="F6976" s="52" t="s">
        <v>26</v>
      </c>
      <c r="G6976" s="53"/>
    </row>
    <row r="6977">
      <c r="A6977" s="49">
        <v>44586.250474305554</v>
      </c>
      <c r="B6977" s="50">
        <v>44586.3754561574</v>
      </c>
      <c r="C6977" s="51">
        <v>1.001</v>
      </c>
      <c r="D6977" s="51">
        <v>64.0</v>
      </c>
      <c r="E6977" s="52" t="s">
        <v>25</v>
      </c>
      <c r="F6977" s="52" t="s">
        <v>26</v>
      </c>
      <c r="G6977" s="53"/>
    </row>
    <row r="6978">
      <c r="A6978" s="49">
        <v>44586.260903449074</v>
      </c>
      <c r="B6978" s="50">
        <v>44586.385878993</v>
      </c>
      <c r="C6978" s="51">
        <v>1.001</v>
      </c>
      <c r="D6978" s="51">
        <v>64.0</v>
      </c>
      <c r="E6978" s="52" t="s">
        <v>25</v>
      </c>
      <c r="F6978" s="52" t="s">
        <v>26</v>
      </c>
      <c r="G6978" s="53"/>
    </row>
    <row r="6979">
      <c r="A6979" s="49">
        <v>44586.27132792824</v>
      </c>
      <c r="B6979" s="50">
        <v>44586.3962995254</v>
      </c>
      <c r="C6979" s="51">
        <v>1.001</v>
      </c>
      <c r="D6979" s="51">
        <v>64.0</v>
      </c>
      <c r="E6979" s="52" t="s">
        <v>25</v>
      </c>
      <c r="F6979" s="52" t="s">
        <v>26</v>
      </c>
      <c r="G6979" s="53"/>
    </row>
    <row r="6980">
      <c r="A6980" s="49">
        <v>44586.28174359954</v>
      </c>
      <c r="B6980" s="50">
        <v>44586.4067201157</v>
      </c>
      <c r="C6980" s="51">
        <v>1.001</v>
      </c>
      <c r="D6980" s="51">
        <v>64.0</v>
      </c>
      <c r="E6980" s="52" t="s">
        <v>25</v>
      </c>
      <c r="F6980" s="52" t="s">
        <v>26</v>
      </c>
      <c r="G6980" s="53"/>
    </row>
    <row r="6981">
      <c r="A6981" s="49">
        <v>44586.29216355324</v>
      </c>
      <c r="B6981" s="50">
        <v>44586.4171404861</v>
      </c>
      <c r="C6981" s="51">
        <v>1.001</v>
      </c>
      <c r="D6981" s="51">
        <v>64.0</v>
      </c>
      <c r="E6981" s="52" t="s">
        <v>25</v>
      </c>
      <c r="F6981" s="52" t="s">
        <v>26</v>
      </c>
      <c r="G6981" s="53"/>
    </row>
    <row r="6982">
      <c r="A6982" s="49">
        <v>44586.30260434028</v>
      </c>
      <c r="B6982" s="50">
        <v>44586.427560787</v>
      </c>
      <c r="C6982" s="51">
        <v>1.001</v>
      </c>
      <c r="D6982" s="51">
        <v>64.0</v>
      </c>
      <c r="E6982" s="52" t="s">
        <v>25</v>
      </c>
      <c r="F6982" s="52" t="s">
        <v>26</v>
      </c>
      <c r="G6982" s="53"/>
    </row>
    <row r="6983">
      <c r="A6983" s="49">
        <v>44586.313012314815</v>
      </c>
      <c r="B6983" s="50">
        <v>44586.4379814583</v>
      </c>
      <c r="C6983" s="51">
        <v>1.001</v>
      </c>
      <c r="D6983" s="51">
        <v>64.0</v>
      </c>
      <c r="E6983" s="52" t="s">
        <v>25</v>
      </c>
      <c r="F6983" s="52" t="s">
        <v>26</v>
      </c>
      <c r="G6983" s="53"/>
    </row>
    <row r="6984">
      <c r="A6984" s="49">
        <v>44586.32342721065</v>
      </c>
      <c r="B6984" s="50">
        <v>44586.4484040625</v>
      </c>
      <c r="C6984" s="51">
        <v>1.001</v>
      </c>
      <c r="D6984" s="51">
        <v>64.0</v>
      </c>
      <c r="E6984" s="52" t="s">
        <v>25</v>
      </c>
      <c r="F6984" s="52" t="s">
        <v>26</v>
      </c>
      <c r="G6984" s="53"/>
    </row>
    <row r="6985">
      <c r="A6985" s="49">
        <v>44586.33387074074</v>
      </c>
      <c r="B6985" s="50">
        <v>44586.4588467592</v>
      </c>
      <c r="C6985" s="51">
        <v>1.001</v>
      </c>
      <c r="D6985" s="51">
        <v>64.0</v>
      </c>
      <c r="E6985" s="52" t="s">
        <v>25</v>
      </c>
      <c r="F6985" s="52" t="s">
        <v>26</v>
      </c>
      <c r="G6985" s="53"/>
    </row>
    <row r="6986">
      <c r="A6986" s="49">
        <v>44586.34429365741</v>
      </c>
      <c r="B6986" s="50">
        <v>44586.4692679282</v>
      </c>
      <c r="C6986" s="51">
        <v>1.001</v>
      </c>
      <c r="D6986" s="51">
        <v>64.0</v>
      </c>
      <c r="E6986" s="52" t="s">
        <v>25</v>
      </c>
      <c r="F6986" s="52" t="s">
        <v>26</v>
      </c>
      <c r="G6986" s="53"/>
    </row>
    <row r="6987">
      <c r="A6987" s="49">
        <v>44586.3547215162</v>
      </c>
      <c r="B6987" s="50">
        <v>44586.4796902662</v>
      </c>
      <c r="C6987" s="51">
        <v>1.001</v>
      </c>
      <c r="D6987" s="51">
        <v>64.0</v>
      </c>
      <c r="E6987" s="52" t="s">
        <v>25</v>
      </c>
      <c r="F6987" s="52" t="s">
        <v>26</v>
      </c>
      <c r="G6987" s="53"/>
    </row>
    <row r="6988">
      <c r="A6988" s="49">
        <v>44586.36514568287</v>
      </c>
      <c r="B6988" s="50">
        <v>44586.4901218865</v>
      </c>
      <c r="C6988" s="51">
        <v>1.001</v>
      </c>
      <c r="D6988" s="51">
        <v>64.0</v>
      </c>
      <c r="E6988" s="52" t="s">
        <v>25</v>
      </c>
      <c r="F6988" s="52" t="s">
        <v>26</v>
      </c>
      <c r="G6988" s="53"/>
    </row>
    <row r="6989">
      <c r="A6989" s="49">
        <v>44586.375561493056</v>
      </c>
      <c r="B6989" s="50">
        <v>44586.5005456365</v>
      </c>
      <c r="C6989" s="51">
        <v>1.001</v>
      </c>
      <c r="D6989" s="51">
        <v>64.0</v>
      </c>
      <c r="E6989" s="52" t="s">
        <v>25</v>
      </c>
      <c r="F6989" s="52" t="s">
        <v>26</v>
      </c>
      <c r="G6989" s="53"/>
    </row>
    <row r="6990">
      <c r="A6990" s="49">
        <v>44586.38600462963</v>
      </c>
      <c r="B6990" s="50">
        <v>44586.5109776388</v>
      </c>
      <c r="C6990" s="51">
        <v>1.001</v>
      </c>
      <c r="D6990" s="51">
        <v>63.0</v>
      </c>
      <c r="E6990" s="52" t="s">
        <v>25</v>
      </c>
      <c r="F6990" s="52" t="s">
        <v>26</v>
      </c>
      <c r="G6990" s="53"/>
    </row>
    <row r="6991">
      <c r="A6991" s="49">
        <v>44586.39643628472</v>
      </c>
      <c r="B6991" s="50">
        <v>44586.521409375</v>
      </c>
      <c r="C6991" s="51">
        <v>1.001</v>
      </c>
      <c r="D6991" s="51">
        <v>63.0</v>
      </c>
      <c r="E6991" s="52" t="s">
        <v>25</v>
      </c>
      <c r="F6991" s="52" t="s">
        <v>26</v>
      </c>
      <c r="G6991" s="53"/>
    </row>
    <row r="6992">
      <c r="A6992" s="49">
        <v>44586.406852395834</v>
      </c>
      <c r="B6992" s="50">
        <v>44586.5318315509</v>
      </c>
      <c r="C6992" s="51">
        <v>1.001</v>
      </c>
      <c r="D6992" s="51">
        <v>63.0</v>
      </c>
      <c r="E6992" s="52" t="s">
        <v>25</v>
      </c>
      <c r="F6992" s="52" t="s">
        <v>26</v>
      </c>
      <c r="G6992" s="53"/>
    </row>
    <row r="6993">
      <c r="A6993" s="49">
        <v>44586.41729067129</v>
      </c>
      <c r="B6993" s="50">
        <v>44586.542265162</v>
      </c>
      <c r="C6993" s="51">
        <v>1.001</v>
      </c>
      <c r="D6993" s="51">
        <v>63.0</v>
      </c>
      <c r="E6993" s="52" t="s">
        <v>25</v>
      </c>
      <c r="F6993" s="52" t="s">
        <v>26</v>
      </c>
      <c r="G6993" s="53"/>
    </row>
    <row r="6994">
      <c r="A6994" s="49">
        <v>44586.427709571755</v>
      </c>
      <c r="B6994" s="50">
        <v>44586.5526852893</v>
      </c>
      <c r="C6994" s="51">
        <v>1.001</v>
      </c>
      <c r="D6994" s="51">
        <v>63.0</v>
      </c>
      <c r="E6994" s="52" t="s">
        <v>25</v>
      </c>
      <c r="F6994" s="52" t="s">
        <v>26</v>
      </c>
      <c r="G6994" s="53"/>
    </row>
    <row r="6995">
      <c r="A6995" s="49">
        <v>44586.4381255787</v>
      </c>
      <c r="B6995" s="50">
        <v>44586.563107662</v>
      </c>
      <c r="C6995" s="51">
        <v>1.001</v>
      </c>
      <c r="D6995" s="51">
        <v>63.0</v>
      </c>
      <c r="E6995" s="52" t="s">
        <v>25</v>
      </c>
      <c r="F6995" s="52" t="s">
        <v>26</v>
      </c>
      <c r="G6995" s="53"/>
    </row>
    <row r="6996">
      <c r="A6996" s="49">
        <v>44586.44855678241</v>
      </c>
      <c r="B6996" s="50">
        <v>44586.5735294675</v>
      </c>
      <c r="C6996" s="51">
        <v>1.001</v>
      </c>
      <c r="D6996" s="51">
        <v>63.0</v>
      </c>
      <c r="E6996" s="52" t="s">
        <v>25</v>
      </c>
      <c r="F6996" s="52" t="s">
        <v>26</v>
      </c>
      <c r="G6996" s="53"/>
    </row>
    <row r="6997">
      <c r="A6997" s="49">
        <v>44586.45897929398</v>
      </c>
      <c r="B6997" s="50">
        <v>44586.5839512847</v>
      </c>
      <c r="C6997" s="51">
        <v>1.001</v>
      </c>
      <c r="D6997" s="51">
        <v>63.0</v>
      </c>
      <c r="E6997" s="52" t="s">
        <v>25</v>
      </c>
      <c r="F6997" s="52" t="s">
        <v>26</v>
      </c>
      <c r="G6997" s="53"/>
    </row>
    <row r="6998">
      <c r="A6998" s="49">
        <v>44586.46938807871</v>
      </c>
      <c r="B6998" s="50">
        <v>44586.5943727083</v>
      </c>
      <c r="C6998" s="51">
        <v>1.001</v>
      </c>
      <c r="D6998" s="51">
        <v>63.0</v>
      </c>
      <c r="E6998" s="52" t="s">
        <v>25</v>
      </c>
      <c r="F6998" s="52" t="s">
        <v>26</v>
      </c>
      <c r="G6998" s="53"/>
    </row>
    <row r="6999">
      <c r="A6999" s="49">
        <v>44586.47981712963</v>
      </c>
      <c r="B6999" s="50">
        <v>44586.6047928703</v>
      </c>
      <c r="C6999" s="51">
        <v>1.001</v>
      </c>
      <c r="D6999" s="51">
        <v>63.0</v>
      </c>
      <c r="E6999" s="52" t="s">
        <v>25</v>
      </c>
      <c r="F6999" s="52" t="s">
        <v>26</v>
      </c>
      <c r="G6999" s="53"/>
    </row>
    <row r="7000">
      <c r="A7000" s="49">
        <v>44586.490251724535</v>
      </c>
      <c r="B7000" s="50">
        <v>44586.6152249074</v>
      </c>
      <c r="C7000" s="51">
        <v>1.001</v>
      </c>
      <c r="D7000" s="51">
        <v>63.0</v>
      </c>
      <c r="E7000" s="52" t="s">
        <v>25</v>
      </c>
      <c r="F7000" s="52" t="s">
        <v>26</v>
      </c>
      <c r="G7000" s="53"/>
    </row>
    <row r="7001">
      <c r="A7001" s="49">
        <v>44586.50068922454</v>
      </c>
      <c r="B7001" s="50">
        <v>44586.6256574884</v>
      </c>
      <c r="C7001" s="51">
        <v>1.001</v>
      </c>
      <c r="D7001" s="51">
        <v>63.0</v>
      </c>
      <c r="E7001" s="52" t="s">
        <v>25</v>
      </c>
      <c r="F7001" s="52" t="s">
        <v>26</v>
      </c>
      <c r="G7001" s="53"/>
    </row>
    <row r="7002">
      <c r="A7002" s="49">
        <v>44586.511102557866</v>
      </c>
      <c r="B7002" s="50">
        <v>44586.6360789583</v>
      </c>
      <c r="C7002" s="51">
        <v>1.001</v>
      </c>
      <c r="D7002" s="51">
        <v>63.0</v>
      </c>
      <c r="E7002" s="52" t="s">
        <v>25</v>
      </c>
      <c r="F7002" s="52" t="s">
        <v>26</v>
      </c>
      <c r="G7002" s="53"/>
    </row>
    <row r="7003">
      <c r="A7003" s="49">
        <v>44586.52152355324</v>
      </c>
      <c r="B7003" s="50">
        <v>44586.6464999074</v>
      </c>
      <c r="C7003" s="51">
        <v>1.001</v>
      </c>
      <c r="D7003" s="51">
        <v>63.0</v>
      </c>
      <c r="E7003" s="52" t="s">
        <v>25</v>
      </c>
      <c r="F7003" s="52" t="s">
        <v>26</v>
      </c>
      <c r="G7003" s="53"/>
    </row>
    <row r="7004">
      <c r="A7004" s="49">
        <v>44586.53194326389</v>
      </c>
      <c r="B7004" s="50">
        <v>44586.6569212384</v>
      </c>
      <c r="C7004" s="51">
        <v>1.001</v>
      </c>
      <c r="D7004" s="51">
        <v>63.0</v>
      </c>
      <c r="E7004" s="52" t="s">
        <v>25</v>
      </c>
      <c r="F7004" s="52" t="s">
        <v>26</v>
      </c>
      <c r="G7004" s="53"/>
    </row>
    <row r="7005">
      <c r="A7005" s="49">
        <v>44586.54237524305</v>
      </c>
      <c r="B7005" s="50">
        <v>44586.6673529629</v>
      </c>
      <c r="C7005" s="51">
        <v>1.001</v>
      </c>
      <c r="D7005" s="51">
        <v>63.0</v>
      </c>
      <c r="E7005" s="52" t="s">
        <v>25</v>
      </c>
      <c r="F7005" s="52" t="s">
        <v>26</v>
      </c>
      <c r="G7005" s="53"/>
    </row>
    <row r="7006">
      <c r="A7006" s="49">
        <v>44586.55279920139</v>
      </c>
      <c r="B7006" s="50">
        <v>44586.677773831</v>
      </c>
      <c r="C7006" s="51">
        <v>1.001</v>
      </c>
      <c r="D7006" s="51">
        <v>63.0</v>
      </c>
      <c r="E7006" s="52" t="s">
        <v>25</v>
      </c>
      <c r="F7006" s="52" t="s">
        <v>26</v>
      </c>
      <c r="G7006" s="53"/>
    </row>
    <row r="7007">
      <c r="A7007" s="49">
        <v>44586.563220428245</v>
      </c>
      <c r="B7007" s="50">
        <v>44586.6881949884</v>
      </c>
      <c r="C7007" s="51">
        <v>1.001</v>
      </c>
      <c r="D7007" s="51">
        <v>63.0</v>
      </c>
      <c r="E7007" s="52" t="s">
        <v>25</v>
      </c>
      <c r="F7007" s="52" t="s">
        <v>26</v>
      </c>
      <c r="G7007" s="53"/>
    </row>
    <row r="7008">
      <c r="A7008" s="49">
        <v>44586.573636747686</v>
      </c>
      <c r="B7008" s="50">
        <v>44586.6986152662</v>
      </c>
      <c r="C7008" s="51">
        <v>1.001</v>
      </c>
      <c r="D7008" s="51">
        <v>63.0</v>
      </c>
      <c r="E7008" s="52" t="s">
        <v>25</v>
      </c>
      <c r="F7008" s="52" t="s">
        <v>26</v>
      </c>
      <c r="G7008" s="53"/>
    </row>
    <row r="7009">
      <c r="A7009" s="49">
        <v>44586.58406282407</v>
      </c>
      <c r="B7009" s="50">
        <v>44586.7090379745</v>
      </c>
      <c r="C7009" s="51">
        <v>1.001</v>
      </c>
      <c r="D7009" s="51">
        <v>63.0</v>
      </c>
      <c r="E7009" s="52" t="s">
        <v>25</v>
      </c>
      <c r="F7009" s="52" t="s">
        <v>26</v>
      </c>
      <c r="G7009" s="53"/>
    </row>
    <row r="7010">
      <c r="A7010" s="49">
        <v>44586.594486608796</v>
      </c>
      <c r="B7010" s="50">
        <v>44586.7194575578</v>
      </c>
      <c r="C7010" s="51">
        <v>1.001</v>
      </c>
      <c r="D7010" s="51">
        <v>63.0</v>
      </c>
      <c r="E7010" s="52" t="s">
        <v>25</v>
      </c>
      <c r="F7010" s="52" t="s">
        <v>26</v>
      </c>
      <c r="G7010" s="53"/>
    </row>
    <row r="7011">
      <c r="A7011" s="49">
        <v>44586.60490637731</v>
      </c>
      <c r="B7011" s="50">
        <v>44586.7298792824</v>
      </c>
      <c r="C7011" s="51">
        <v>1.001</v>
      </c>
      <c r="D7011" s="51">
        <v>63.0</v>
      </c>
      <c r="E7011" s="52" t="s">
        <v>25</v>
      </c>
      <c r="F7011" s="52" t="s">
        <v>26</v>
      </c>
      <c r="G7011" s="53"/>
    </row>
    <row r="7012">
      <c r="A7012" s="49">
        <v>44586.61532094907</v>
      </c>
      <c r="B7012" s="50">
        <v>44586.7402993171</v>
      </c>
      <c r="C7012" s="51">
        <v>1.001</v>
      </c>
      <c r="D7012" s="51">
        <v>63.0</v>
      </c>
      <c r="E7012" s="52" t="s">
        <v>25</v>
      </c>
      <c r="F7012" s="52" t="s">
        <v>26</v>
      </c>
      <c r="G7012" s="53"/>
    </row>
    <row r="7013">
      <c r="A7013" s="49">
        <v>44586.62576350695</v>
      </c>
      <c r="B7013" s="50">
        <v>44586.7507330555</v>
      </c>
      <c r="C7013" s="51">
        <v>1.001</v>
      </c>
      <c r="D7013" s="51">
        <v>63.0</v>
      </c>
      <c r="E7013" s="52" t="s">
        <v>25</v>
      </c>
      <c r="F7013" s="52" t="s">
        <v>26</v>
      </c>
      <c r="G7013" s="53"/>
    </row>
    <row r="7014">
      <c r="A7014" s="49">
        <v>44586.63618746528</v>
      </c>
      <c r="B7014" s="50">
        <v>44586.7611558217</v>
      </c>
      <c r="C7014" s="51">
        <v>1.001</v>
      </c>
      <c r="D7014" s="51">
        <v>63.0</v>
      </c>
      <c r="E7014" s="52" t="s">
        <v>25</v>
      </c>
      <c r="F7014" s="52" t="s">
        <v>26</v>
      </c>
      <c r="G7014" s="53"/>
    </row>
    <row r="7015">
      <c r="A7015" s="49">
        <v>44586.64659534722</v>
      </c>
      <c r="B7015" s="50">
        <v>44586.7715758796</v>
      </c>
      <c r="C7015" s="51">
        <v>1.001</v>
      </c>
      <c r="D7015" s="51">
        <v>63.0</v>
      </c>
      <c r="E7015" s="52" t="s">
        <v>25</v>
      </c>
      <c r="F7015" s="52" t="s">
        <v>26</v>
      </c>
      <c r="G7015" s="53"/>
    </row>
    <row r="7016">
      <c r="A7016" s="49">
        <v>44586.657016701385</v>
      </c>
      <c r="B7016" s="50">
        <v>44586.7819952546</v>
      </c>
      <c r="C7016" s="51">
        <v>1.001</v>
      </c>
      <c r="D7016" s="51">
        <v>63.0</v>
      </c>
      <c r="E7016" s="52" t="s">
        <v>25</v>
      </c>
      <c r="F7016" s="52" t="s">
        <v>26</v>
      </c>
      <c r="G7016" s="53"/>
    </row>
    <row r="7017">
      <c r="A7017" s="49">
        <v>44586.66744640046</v>
      </c>
      <c r="B7017" s="50">
        <v>44586.7924160763</v>
      </c>
      <c r="C7017" s="51">
        <v>1.001</v>
      </c>
      <c r="D7017" s="51">
        <v>63.0</v>
      </c>
      <c r="E7017" s="52" t="s">
        <v>25</v>
      </c>
      <c r="F7017" s="52" t="s">
        <v>26</v>
      </c>
      <c r="G7017" s="53"/>
    </row>
    <row r="7018">
      <c r="A7018" s="49">
        <v>44586.6778646412</v>
      </c>
      <c r="B7018" s="50">
        <v>44586.8028384259</v>
      </c>
      <c r="C7018" s="51">
        <v>1.001</v>
      </c>
      <c r="D7018" s="51">
        <v>63.0</v>
      </c>
      <c r="E7018" s="52" t="s">
        <v>25</v>
      </c>
      <c r="F7018" s="52" t="s">
        <v>26</v>
      </c>
      <c r="G7018" s="53"/>
    </row>
    <row r="7019">
      <c r="A7019" s="49">
        <v>44586.6882840162</v>
      </c>
      <c r="B7019" s="50">
        <v>44586.8132590856</v>
      </c>
      <c r="C7019" s="51">
        <v>1.001</v>
      </c>
      <c r="D7019" s="51">
        <v>63.0</v>
      </c>
      <c r="E7019" s="52" t="s">
        <v>25</v>
      </c>
      <c r="F7019" s="52" t="s">
        <v>26</v>
      </c>
      <c r="G7019" s="53"/>
    </row>
    <row r="7020">
      <c r="A7020" s="49">
        <v>44586.69870800926</v>
      </c>
      <c r="B7020" s="50">
        <v>44586.823680243</v>
      </c>
      <c r="C7020" s="51">
        <v>1.001</v>
      </c>
      <c r="D7020" s="51">
        <v>63.0</v>
      </c>
      <c r="E7020" s="52" t="s">
        <v>25</v>
      </c>
      <c r="F7020" s="52" t="s">
        <v>26</v>
      </c>
      <c r="G7020" s="53"/>
    </row>
    <row r="7021">
      <c r="A7021" s="49">
        <v>44586.70912090278</v>
      </c>
      <c r="B7021" s="50">
        <v>44586.8341037731</v>
      </c>
      <c r="C7021" s="51">
        <v>1.001</v>
      </c>
      <c r="D7021" s="51">
        <v>63.0</v>
      </c>
      <c r="E7021" s="52" t="s">
        <v>25</v>
      </c>
      <c r="F7021" s="52" t="s">
        <v>26</v>
      </c>
      <c r="G7021" s="53"/>
    </row>
    <row r="7022">
      <c r="A7022" s="49">
        <v>44586.71954232639</v>
      </c>
      <c r="B7022" s="50">
        <v>44586.8445249537</v>
      </c>
      <c r="C7022" s="51">
        <v>1.001</v>
      </c>
      <c r="D7022" s="51">
        <v>63.0</v>
      </c>
      <c r="E7022" s="52" t="s">
        <v>25</v>
      </c>
      <c r="F7022" s="52" t="s">
        <v>26</v>
      </c>
      <c r="G7022" s="53"/>
    </row>
    <row r="7023">
      <c r="A7023" s="49">
        <v>44586.7299770949</v>
      </c>
      <c r="B7023" s="50">
        <v>44586.8549563773</v>
      </c>
      <c r="C7023" s="51">
        <v>1.001</v>
      </c>
      <c r="D7023" s="51">
        <v>63.0</v>
      </c>
      <c r="E7023" s="52" t="s">
        <v>25</v>
      </c>
      <c r="F7023" s="52" t="s">
        <v>26</v>
      </c>
      <c r="G7023" s="53"/>
    </row>
    <row r="7024">
      <c r="A7024" s="49">
        <v>44586.74040234953</v>
      </c>
      <c r="B7024" s="50">
        <v>44586.8653779745</v>
      </c>
      <c r="C7024" s="51">
        <v>1.001</v>
      </c>
      <c r="D7024" s="51">
        <v>63.0</v>
      </c>
      <c r="E7024" s="52" t="s">
        <v>25</v>
      </c>
      <c r="F7024" s="52" t="s">
        <v>26</v>
      </c>
      <c r="G7024" s="53"/>
    </row>
    <row r="7025">
      <c r="A7025" s="49">
        <v>44586.75081952546</v>
      </c>
      <c r="B7025" s="50">
        <v>44586.8757987847</v>
      </c>
      <c r="C7025" s="51">
        <v>1.001</v>
      </c>
      <c r="D7025" s="51">
        <v>62.0</v>
      </c>
      <c r="E7025" s="52" t="s">
        <v>25</v>
      </c>
      <c r="F7025" s="52" t="s">
        <v>26</v>
      </c>
      <c r="G7025" s="53"/>
    </row>
    <row r="7026">
      <c r="A7026" s="49">
        <v>44586.76124590277</v>
      </c>
      <c r="B7026" s="50">
        <v>44586.8862188194</v>
      </c>
      <c r="C7026" s="51">
        <v>1.001</v>
      </c>
      <c r="D7026" s="51">
        <v>63.0</v>
      </c>
      <c r="E7026" s="52" t="s">
        <v>25</v>
      </c>
      <c r="F7026" s="52" t="s">
        <v>26</v>
      </c>
      <c r="G7026" s="53"/>
    </row>
    <row r="7027">
      <c r="A7027" s="49">
        <v>44586.77167091436</v>
      </c>
      <c r="B7027" s="50">
        <v>44586.896640405</v>
      </c>
      <c r="C7027" s="51">
        <v>1.001</v>
      </c>
      <c r="D7027" s="51">
        <v>62.0</v>
      </c>
      <c r="E7027" s="52" t="s">
        <v>25</v>
      </c>
      <c r="F7027" s="52" t="s">
        <v>26</v>
      </c>
      <c r="G7027" s="53"/>
    </row>
    <row r="7028">
      <c r="A7028" s="49">
        <v>44586.78209685185</v>
      </c>
      <c r="B7028" s="50">
        <v>44586.9070733101</v>
      </c>
      <c r="C7028" s="51">
        <v>1.001</v>
      </c>
      <c r="D7028" s="51">
        <v>62.0</v>
      </c>
      <c r="E7028" s="52" t="s">
        <v>25</v>
      </c>
      <c r="F7028" s="52" t="s">
        <v>26</v>
      </c>
      <c r="G7028" s="53"/>
    </row>
    <row r="7029">
      <c r="A7029" s="49">
        <v>44586.79251842592</v>
      </c>
      <c r="B7029" s="50">
        <v>44586.9174951157</v>
      </c>
      <c r="C7029" s="51">
        <v>1.001</v>
      </c>
      <c r="D7029" s="51">
        <v>62.0</v>
      </c>
      <c r="E7029" s="52" t="s">
        <v>25</v>
      </c>
      <c r="F7029" s="52" t="s">
        <v>26</v>
      </c>
      <c r="G7029" s="53"/>
    </row>
    <row r="7030">
      <c r="A7030" s="49">
        <v>44586.802940891204</v>
      </c>
      <c r="B7030" s="50">
        <v>44586.9279136689</v>
      </c>
      <c r="C7030" s="51">
        <v>1.001</v>
      </c>
      <c r="D7030" s="51">
        <v>62.0</v>
      </c>
      <c r="E7030" s="52" t="s">
        <v>25</v>
      </c>
      <c r="F7030" s="52" t="s">
        <v>26</v>
      </c>
      <c r="G7030" s="53"/>
    </row>
    <row r="7031">
      <c r="A7031" s="49">
        <v>44586.81336428241</v>
      </c>
      <c r="B7031" s="50">
        <v>44586.9383361689</v>
      </c>
      <c r="C7031" s="51">
        <v>1.001</v>
      </c>
      <c r="D7031" s="51">
        <v>62.0</v>
      </c>
      <c r="E7031" s="52" t="s">
        <v>25</v>
      </c>
      <c r="F7031" s="52" t="s">
        <v>26</v>
      </c>
      <c r="G7031" s="53"/>
    </row>
    <row r="7032">
      <c r="A7032" s="49">
        <v>44586.823784837965</v>
      </c>
      <c r="B7032" s="50">
        <v>44586.9487603009</v>
      </c>
      <c r="C7032" s="51">
        <v>1.001</v>
      </c>
      <c r="D7032" s="51">
        <v>62.0</v>
      </c>
      <c r="E7032" s="52" t="s">
        <v>25</v>
      </c>
      <c r="F7032" s="52" t="s">
        <v>26</v>
      </c>
      <c r="G7032" s="53"/>
    </row>
    <row r="7033">
      <c r="A7033" s="49">
        <v>44586.834209050925</v>
      </c>
      <c r="B7033" s="50">
        <v>44586.9591807175</v>
      </c>
      <c r="C7033" s="51">
        <v>1.001</v>
      </c>
      <c r="D7033" s="51">
        <v>62.0</v>
      </c>
      <c r="E7033" s="52" t="s">
        <v>25</v>
      </c>
      <c r="F7033" s="52" t="s">
        <v>26</v>
      </c>
      <c r="G7033" s="53"/>
    </row>
    <row r="7034">
      <c r="A7034" s="49">
        <v>44586.84463782408</v>
      </c>
      <c r="B7034" s="50">
        <v>44586.969613993</v>
      </c>
      <c r="C7034" s="51">
        <v>1.001</v>
      </c>
      <c r="D7034" s="51">
        <v>62.0</v>
      </c>
      <c r="E7034" s="52" t="s">
        <v>25</v>
      </c>
      <c r="F7034" s="52" t="s">
        <v>26</v>
      </c>
      <c r="G7034" s="53"/>
    </row>
    <row r="7035">
      <c r="A7035" s="49">
        <v>44586.85506271991</v>
      </c>
      <c r="B7035" s="50">
        <v>44586.9800349652</v>
      </c>
      <c r="C7035" s="51">
        <v>1.001</v>
      </c>
      <c r="D7035" s="51">
        <v>62.0</v>
      </c>
      <c r="E7035" s="52" t="s">
        <v>25</v>
      </c>
      <c r="F7035" s="52" t="s">
        <v>26</v>
      </c>
      <c r="G7035" s="53"/>
    </row>
    <row r="7036">
      <c r="A7036" s="49">
        <v>44586.86548142361</v>
      </c>
      <c r="B7036" s="50">
        <v>44586.9904552199</v>
      </c>
      <c r="C7036" s="51">
        <v>1.001</v>
      </c>
      <c r="D7036" s="51">
        <v>62.0</v>
      </c>
      <c r="E7036" s="52" t="s">
        <v>25</v>
      </c>
      <c r="F7036" s="52" t="s">
        <v>26</v>
      </c>
      <c r="G7036" s="53"/>
    </row>
    <row r="7037">
      <c r="A7037" s="49">
        <v>44586.87590954861</v>
      </c>
      <c r="B7037" s="50">
        <v>44587.0008792939</v>
      </c>
      <c r="C7037" s="51">
        <v>1.001</v>
      </c>
      <c r="D7037" s="51">
        <v>62.0</v>
      </c>
      <c r="E7037" s="52" t="s">
        <v>25</v>
      </c>
      <c r="F7037" s="52" t="s">
        <v>26</v>
      </c>
      <c r="G7037" s="53"/>
    </row>
    <row r="7038">
      <c r="A7038" s="49">
        <v>44586.88632986111</v>
      </c>
      <c r="B7038" s="50">
        <v>44587.0112997685</v>
      </c>
      <c r="C7038" s="51">
        <v>1.001</v>
      </c>
      <c r="D7038" s="51">
        <v>62.0</v>
      </c>
      <c r="E7038" s="52" t="s">
        <v>25</v>
      </c>
      <c r="F7038" s="52" t="s">
        <v>26</v>
      </c>
      <c r="G7038" s="53"/>
    </row>
    <row r="7039">
      <c r="A7039" s="49">
        <v>44586.89675075232</v>
      </c>
      <c r="B7039" s="50">
        <v>44587.0217325347</v>
      </c>
      <c r="C7039" s="51">
        <v>1.001</v>
      </c>
      <c r="D7039" s="51">
        <v>62.0</v>
      </c>
      <c r="E7039" s="52" t="s">
        <v>25</v>
      </c>
      <c r="F7039" s="52" t="s">
        <v>26</v>
      </c>
      <c r="G7039" s="53"/>
    </row>
    <row r="7040">
      <c r="A7040" s="49">
        <v>44586.90718194444</v>
      </c>
      <c r="B7040" s="50">
        <v>44587.0321543402</v>
      </c>
      <c r="C7040" s="51">
        <v>1.001</v>
      </c>
      <c r="D7040" s="51">
        <v>62.0</v>
      </c>
      <c r="E7040" s="52" t="s">
        <v>25</v>
      </c>
      <c r="F7040" s="52" t="s">
        <v>26</v>
      </c>
      <c r="G7040" s="53"/>
    </row>
    <row r="7041">
      <c r="A7041" s="49">
        <v>44586.91760443287</v>
      </c>
      <c r="B7041" s="50">
        <v>44587.042576956</v>
      </c>
      <c r="C7041" s="51">
        <v>1.001</v>
      </c>
      <c r="D7041" s="51">
        <v>62.0</v>
      </c>
      <c r="E7041" s="52" t="s">
        <v>25</v>
      </c>
      <c r="F7041" s="52" t="s">
        <v>26</v>
      </c>
      <c r="G7041" s="53"/>
    </row>
    <row r="7042">
      <c r="A7042" s="49">
        <v>44586.92802482639</v>
      </c>
      <c r="B7042" s="50">
        <v>44587.0529974305</v>
      </c>
      <c r="C7042" s="51">
        <v>1.001</v>
      </c>
      <c r="D7042" s="51">
        <v>62.0</v>
      </c>
      <c r="E7042" s="52" t="s">
        <v>25</v>
      </c>
      <c r="F7042" s="52" t="s">
        <v>26</v>
      </c>
      <c r="G7042" s="53"/>
    </row>
    <row r="7043">
      <c r="A7043" s="49">
        <v>44586.93844462963</v>
      </c>
      <c r="B7043" s="50">
        <v>44587.0634174074</v>
      </c>
      <c r="C7043" s="51">
        <v>1.001</v>
      </c>
      <c r="D7043" s="51">
        <v>62.0</v>
      </c>
      <c r="E7043" s="52" t="s">
        <v>25</v>
      </c>
      <c r="F7043" s="52" t="s">
        <v>26</v>
      </c>
      <c r="G7043" s="53"/>
    </row>
    <row r="7044">
      <c r="A7044" s="49">
        <v>44586.94888114583</v>
      </c>
      <c r="B7044" s="50">
        <v>44587.0738516435</v>
      </c>
      <c r="C7044" s="51">
        <v>1.001</v>
      </c>
      <c r="D7044" s="51">
        <v>62.0</v>
      </c>
      <c r="E7044" s="52" t="s">
        <v>25</v>
      </c>
      <c r="F7044" s="52" t="s">
        <v>26</v>
      </c>
      <c r="G7044" s="53"/>
    </row>
    <row r="7045">
      <c r="A7045" s="49">
        <v>44586.9593009838</v>
      </c>
      <c r="B7045" s="50">
        <v>44587.0842737962</v>
      </c>
      <c r="C7045" s="51">
        <v>1.001</v>
      </c>
      <c r="D7045" s="51">
        <v>62.0</v>
      </c>
      <c r="E7045" s="52" t="s">
        <v>25</v>
      </c>
      <c r="F7045" s="52" t="s">
        <v>26</v>
      </c>
      <c r="G7045" s="53"/>
    </row>
    <row r="7046">
      <c r="A7046" s="49">
        <v>44586.96972168981</v>
      </c>
      <c r="B7046" s="50">
        <v>44587.0946960879</v>
      </c>
      <c r="C7046" s="51">
        <v>1.001</v>
      </c>
      <c r="D7046" s="51">
        <v>62.0</v>
      </c>
      <c r="E7046" s="52" t="s">
        <v>25</v>
      </c>
      <c r="F7046" s="52" t="s">
        <v>26</v>
      </c>
      <c r="G7046" s="53"/>
    </row>
    <row r="7047">
      <c r="A7047" s="49">
        <v>44586.98015181713</v>
      </c>
      <c r="B7047" s="50">
        <v>44587.1051286342</v>
      </c>
      <c r="C7047" s="51">
        <v>1.001</v>
      </c>
      <c r="D7047" s="51">
        <v>62.0</v>
      </c>
      <c r="E7047" s="52" t="s">
        <v>25</v>
      </c>
      <c r="F7047" s="52" t="s">
        <v>26</v>
      </c>
      <c r="G7047" s="53"/>
    </row>
    <row r="7048">
      <c r="A7048" s="49">
        <v>44586.99057793981</v>
      </c>
      <c r="B7048" s="50">
        <v>44587.1155484837</v>
      </c>
      <c r="C7048" s="51">
        <v>1.001</v>
      </c>
      <c r="D7048" s="51">
        <v>62.0</v>
      </c>
      <c r="E7048" s="52" t="s">
        <v>25</v>
      </c>
      <c r="F7048" s="52" t="s">
        <v>26</v>
      </c>
      <c r="G7048" s="53"/>
    </row>
    <row r="7049">
      <c r="A7049" s="49">
        <v>44587.000998993055</v>
      </c>
      <c r="B7049" s="50">
        <v>44587.1259690277</v>
      </c>
      <c r="C7049" s="51">
        <v>1.001</v>
      </c>
      <c r="D7049" s="51">
        <v>62.0</v>
      </c>
      <c r="E7049" s="52" t="s">
        <v>25</v>
      </c>
      <c r="F7049" s="52" t="s">
        <v>26</v>
      </c>
      <c r="G7049" s="53"/>
    </row>
    <row r="7050">
      <c r="A7050" s="49">
        <v>44587.011421689815</v>
      </c>
      <c r="B7050" s="50">
        <v>44587.1363910069</v>
      </c>
      <c r="C7050" s="51">
        <v>1.001</v>
      </c>
      <c r="D7050" s="51">
        <v>62.0</v>
      </c>
      <c r="E7050" s="52" t="s">
        <v>25</v>
      </c>
      <c r="F7050" s="52" t="s">
        <v>26</v>
      </c>
      <c r="G7050" s="53"/>
    </row>
    <row r="7051">
      <c r="A7051" s="49">
        <v>44587.02183258102</v>
      </c>
      <c r="B7051" s="50">
        <v>44587.1468114583</v>
      </c>
      <c r="C7051" s="51">
        <v>1.001</v>
      </c>
      <c r="D7051" s="51">
        <v>62.0</v>
      </c>
      <c r="E7051" s="52" t="s">
        <v>25</v>
      </c>
      <c r="F7051" s="52" t="s">
        <v>26</v>
      </c>
      <c r="G7051" s="53"/>
    </row>
    <row r="7052">
      <c r="A7052" s="49">
        <v>44587.032273310186</v>
      </c>
      <c r="B7052" s="50">
        <v>44587.1572452314</v>
      </c>
      <c r="C7052" s="51">
        <v>1.001</v>
      </c>
      <c r="D7052" s="51">
        <v>62.0</v>
      </c>
      <c r="E7052" s="52" t="s">
        <v>25</v>
      </c>
      <c r="F7052" s="52" t="s">
        <v>26</v>
      </c>
      <c r="G7052" s="53"/>
    </row>
    <row r="7053">
      <c r="A7053" s="49">
        <v>44587.0426960301</v>
      </c>
      <c r="B7053" s="50">
        <v>44587.1676661111</v>
      </c>
      <c r="C7053" s="51">
        <v>1.001</v>
      </c>
      <c r="D7053" s="51">
        <v>62.0</v>
      </c>
      <c r="E7053" s="52" t="s">
        <v>25</v>
      </c>
      <c r="F7053" s="52" t="s">
        <v>26</v>
      </c>
      <c r="G7053" s="53"/>
    </row>
    <row r="7054">
      <c r="A7054" s="49">
        <v>44587.05311409722</v>
      </c>
      <c r="B7054" s="50">
        <v>44587.1780865046</v>
      </c>
      <c r="C7054" s="51">
        <v>1.001</v>
      </c>
      <c r="D7054" s="51">
        <v>62.0</v>
      </c>
      <c r="E7054" s="52" t="s">
        <v>25</v>
      </c>
      <c r="F7054" s="52" t="s">
        <v>26</v>
      </c>
      <c r="G7054" s="53"/>
    </row>
    <row r="7055">
      <c r="A7055" s="49">
        <v>44587.0635479051</v>
      </c>
      <c r="B7055" s="50">
        <v>44587.1885202083</v>
      </c>
      <c r="C7055" s="51">
        <v>1.001</v>
      </c>
      <c r="D7055" s="51">
        <v>62.0</v>
      </c>
      <c r="E7055" s="52" t="s">
        <v>25</v>
      </c>
      <c r="F7055" s="52" t="s">
        <v>26</v>
      </c>
      <c r="G7055" s="53"/>
    </row>
    <row r="7056">
      <c r="A7056" s="49">
        <v>44587.07396836806</v>
      </c>
      <c r="B7056" s="50">
        <v>44587.1989440393</v>
      </c>
      <c r="C7056" s="51">
        <v>1.001</v>
      </c>
      <c r="D7056" s="51">
        <v>62.0</v>
      </c>
      <c r="E7056" s="52" t="s">
        <v>25</v>
      </c>
      <c r="F7056" s="52" t="s">
        <v>26</v>
      </c>
      <c r="G7056" s="53"/>
    </row>
    <row r="7057">
      <c r="A7057" s="49">
        <v>44587.08439181713</v>
      </c>
      <c r="B7057" s="50">
        <v>44587.2093643634</v>
      </c>
      <c r="C7057" s="51">
        <v>1.001</v>
      </c>
      <c r="D7057" s="51">
        <v>62.0</v>
      </c>
      <c r="E7057" s="52" t="s">
        <v>25</v>
      </c>
      <c r="F7057" s="52" t="s">
        <v>26</v>
      </c>
      <c r="G7057" s="53"/>
    </row>
    <row r="7058">
      <c r="A7058" s="49">
        <v>44587.09481866898</v>
      </c>
      <c r="B7058" s="50">
        <v>44587.219785324</v>
      </c>
      <c r="C7058" s="51">
        <v>1.001</v>
      </c>
      <c r="D7058" s="51">
        <v>62.0</v>
      </c>
      <c r="E7058" s="52" t="s">
        <v>25</v>
      </c>
      <c r="F7058" s="52" t="s">
        <v>26</v>
      </c>
      <c r="G7058" s="53"/>
    </row>
    <row r="7059">
      <c r="A7059" s="49">
        <v>44587.10524391204</v>
      </c>
      <c r="B7059" s="50">
        <v>44587.2302162268</v>
      </c>
      <c r="C7059" s="51">
        <v>1.001</v>
      </c>
      <c r="D7059" s="51">
        <v>62.0</v>
      </c>
      <c r="E7059" s="52" t="s">
        <v>25</v>
      </c>
      <c r="F7059" s="52" t="s">
        <v>26</v>
      </c>
      <c r="G7059" s="53"/>
    </row>
    <row r="7060">
      <c r="A7060" s="49">
        <v>44587.1156821412</v>
      </c>
      <c r="B7060" s="50">
        <v>44587.2406492939</v>
      </c>
      <c r="C7060" s="51">
        <v>1.001</v>
      </c>
      <c r="D7060" s="51">
        <v>62.0</v>
      </c>
      <c r="E7060" s="52" t="s">
        <v>25</v>
      </c>
      <c r="F7060" s="52" t="s">
        <v>26</v>
      </c>
      <c r="G7060" s="53"/>
    </row>
    <row r="7061">
      <c r="A7061" s="49">
        <v>44587.12609505787</v>
      </c>
      <c r="B7061" s="50">
        <v>44587.25107125</v>
      </c>
      <c r="C7061" s="51">
        <v>1.001</v>
      </c>
      <c r="D7061" s="51">
        <v>62.0</v>
      </c>
      <c r="E7061" s="52" t="s">
        <v>25</v>
      </c>
      <c r="F7061" s="52" t="s">
        <v>26</v>
      </c>
      <c r="G7061" s="53"/>
    </row>
    <row r="7062">
      <c r="A7062" s="49">
        <v>44587.13654925926</v>
      </c>
      <c r="B7062" s="50">
        <v>44587.2615271759</v>
      </c>
      <c r="C7062" s="51">
        <v>1.001</v>
      </c>
      <c r="D7062" s="51">
        <v>62.0</v>
      </c>
      <c r="E7062" s="52" t="s">
        <v>25</v>
      </c>
      <c r="F7062" s="52" t="s">
        <v>26</v>
      </c>
      <c r="G7062" s="53"/>
    </row>
    <row r="7063">
      <c r="A7063" s="49">
        <v>44587.14697685185</v>
      </c>
      <c r="B7063" s="50">
        <v>44587.2719496064</v>
      </c>
      <c r="C7063" s="51">
        <v>1.001</v>
      </c>
      <c r="D7063" s="51">
        <v>62.0</v>
      </c>
      <c r="E7063" s="52" t="s">
        <v>25</v>
      </c>
      <c r="F7063" s="52" t="s">
        <v>26</v>
      </c>
      <c r="G7063" s="53"/>
    </row>
    <row r="7064">
      <c r="A7064" s="49">
        <v>44587.15739491898</v>
      </c>
      <c r="B7064" s="50">
        <v>44587.2823717708</v>
      </c>
      <c r="C7064" s="51">
        <v>1.001</v>
      </c>
      <c r="D7064" s="51">
        <v>62.0</v>
      </c>
      <c r="E7064" s="52" t="s">
        <v>25</v>
      </c>
      <c r="F7064" s="52" t="s">
        <v>26</v>
      </c>
      <c r="G7064" s="53"/>
    </row>
    <row r="7065">
      <c r="A7065" s="49">
        <v>44587.16783826389</v>
      </c>
      <c r="B7065" s="50">
        <v>44587.2928036226</v>
      </c>
      <c r="C7065" s="51">
        <v>1.001</v>
      </c>
      <c r="D7065" s="51">
        <v>62.0</v>
      </c>
      <c r="E7065" s="52" t="s">
        <v>25</v>
      </c>
      <c r="F7065" s="52" t="s">
        <v>26</v>
      </c>
      <c r="G7065" s="53"/>
    </row>
    <row r="7066">
      <c r="A7066" s="49">
        <v>44587.178244421295</v>
      </c>
      <c r="B7066" s="50">
        <v>44587.3032240162</v>
      </c>
      <c r="C7066" s="51">
        <v>1.001</v>
      </c>
      <c r="D7066" s="51">
        <v>62.0</v>
      </c>
      <c r="E7066" s="52" t="s">
        <v>25</v>
      </c>
      <c r="F7066" s="52" t="s">
        <v>26</v>
      </c>
      <c r="G7066" s="53"/>
    </row>
    <row r="7067">
      <c r="A7067" s="49">
        <v>44587.18866375</v>
      </c>
      <c r="B7067" s="50">
        <v>44587.3136451273</v>
      </c>
      <c r="C7067" s="51">
        <v>1.001</v>
      </c>
      <c r="D7067" s="51">
        <v>62.0</v>
      </c>
      <c r="E7067" s="52" t="s">
        <v>25</v>
      </c>
      <c r="F7067" s="52" t="s">
        <v>26</v>
      </c>
      <c r="G7067" s="53"/>
    </row>
    <row r="7068">
      <c r="A7068" s="49">
        <v>44587.199097812496</v>
      </c>
      <c r="B7068" s="50">
        <v>44587.3240666203</v>
      </c>
      <c r="C7068" s="51">
        <v>1.001</v>
      </c>
      <c r="D7068" s="51">
        <v>62.0</v>
      </c>
      <c r="E7068" s="52" t="s">
        <v>25</v>
      </c>
      <c r="F7068" s="52" t="s">
        <v>26</v>
      </c>
      <c r="G7068" s="53"/>
    </row>
    <row r="7069">
      <c r="A7069" s="49">
        <v>44587.2095127662</v>
      </c>
      <c r="B7069" s="50">
        <v>44587.3344889236</v>
      </c>
      <c r="C7069" s="51">
        <v>1.001</v>
      </c>
      <c r="D7069" s="51">
        <v>62.0</v>
      </c>
      <c r="E7069" s="52" t="s">
        <v>25</v>
      </c>
      <c r="F7069" s="52" t="s">
        <v>26</v>
      </c>
      <c r="G7069" s="53"/>
    </row>
    <row r="7070">
      <c r="A7070" s="49">
        <v>44587.2199425463</v>
      </c>
      <c r="B7070" s="50">
        <v>44587.3449118518</v>
      </c>
      <c r="C7070" s="51">
        <v>1.001</v>
      </c>
      <c r="D7070" s="51">
        <v>62.0</v>
      </c>
      <c r="E7070" s="52" t="s">
        <v>25</v>
      </c>
      <c r="F7070" s="52" t="s">
        <v>26</v>
      </c>
      <c r="G7070" s="53"/>
    </row>
    <row r="7071">
      <c r="A7071" s="49">
        <v>44587.23036425926</v>
      </c>
      <c r="B7071" s="50">
        <v>44587.3553320601</v>
      </c>
      <c r="C7071" s="51">
        <v>1.001</v>
      </c>
      <c r="D7071" s="51">
        <v>62.0</v>
      </c>
      <c r="E7071" s="52" t="s">
        <v>25</v>
      </c>
      <c r="F7071" s="52" t="s">
        <v>26</v>
      </c>
      <c r="G7071" s="53"/>
    </row>
    <row r="7072">
      <c r="A7072" s="49">
        <v>44587.24077452546</v>
      </c>
      <c r="B7072" s="50">
        <v>44587.3657532638</v>
      </c>
      <c r="C7072" s="51">
        <v>1.001</v>
      </c>
      <c r="D7072" s="51">
        <v>62.0</v>
      </c>
      <c r="E7072" s="52" t="s">
        <v>25</v>
      </c>
      <c r="F7072" s="52" t="s">
        <v>26</v>
      </c>
      <c r="G7072" s="53"/>
    </row>
    <row r="7073">
      <c r="A7073" s="49">
        <v>44587.25120304398</v>
      </c>
      <c r="B7073" s="50">
        <v>44587.3761735185</v>
      </c>
      <c r="C7073" s="51">
        <v>1.001</v>
      </c>
      <c r="D7073" s="51">
        <v>62.0</v>
      </c>
      <c r="E7073" s="52" t="s">
        <v>25</v>
      </c>
      <c r="F7073" s="52" t="s">
        <v>26</v>
      </c>
      <c r="G7073" s="53"/>
    </row>
    <row r="7074">
      <c r="A7074" s="49">
        <v>44587.26162131944</v>
      </c>
      <c r="B7074" s="50">
        <v>44587.3865930787</v>
      </c>
      <c r="C7074" s="51">
        <v>1.001</v>
      </c>
      <c r="D7074" s="51">
        <v>62.0</v>
      </c>
      <c r="E7074" s="52" t="s">
        <v>25</v>
      </c>
      <c r="F7074" s="52" t="s">
        <v>26</v>
      </c>
      <c r="G7074" s="53"/>
    </row>
    <row r="7075">
      <c r="A7075" s="49">
        <v>44587.27205834491</v>
      </c>
      <c r="B7075" s="50">
        <v>44587.3970273148</v>
      </c>
      <c r="C7075" s="51">
        <v>1.001</v>
      </c>
      <c r="D7075" s="51">
        <v>62.0</v>
      </c>
      <c r="E7075" s="52" t="s">
        <v>25</v>
      </c>
      <c r="F7075" s="52" t="s">
        <v>26</v>
      </c>
      <c r="G7075" s="53"/>
    </row>
    <row r="7076">
      <c r="A7076" s="49">
        <v>44587.28247825231</v>
      </c>
      <c r="B7076" s="50">
        <v>44587.4074479166</v>
      </c>
      <c r="C7076" s="51">
        <v>1.001</v>
      </c>
      <c r="D7076" s="51">
        <v>62.0</v>
      </c>
      <c r="E7076" s="52" t="s">
        <v>25</v>
      </c>
      <c r="F7076" s="52" t="s">
        <v>26</v>
      </c>
      <c r="G7076" s="53"/>
    </row>
    <row r="7077">
      <c r="A7077" s="49">
        <v>44587.292899872686</v>
      </c>
      <c r="B7077" s="50">
        <v>44587.4178695254</v>
      </c>
      <c r="C7077" s="51">
        <v>1.001</v>
      </c>
      <c r="D7077" s="51">
        <v>62.0</v>
      </c>
      <c r="E7077" s="52" t="s">
        <v>25</v>
      </c>
      <c r="F7077" s="52" t="s">
        <v>26</v>
      </c>
      <c r="G7077" s="53"/>
    </row>
    <row r="7078">
      <c r="A7078" s="49">
        <v>44587.303316307865</v>
      </c>
      <c r="B7078" s="50">
        <v>44587.4282907175</v>
      </c>
      <c r="C7078" s="51">
        <v>1.001</v>
      </c>
      <c r="D7078" s="51">
        <v>62.0</v>
      </c>
      <c r="E7078" s="52" t="s">
        <v>25</v>
      </c>
      <c r="F7078" s="52" t="s">
        <v>26</v>
      </c>
      <c r="G7078" s="53"/>
    </row>
    <row r="7079">
      <c r="A7079" s="49">
        <v>44587.3137830787</v>
      </c>
      <c r="B7079" s="50">
        <v>44587.43871125</v>
      </c>
      <c r="C7079" s="51">
        <v>1.001</v>
      </c>
      <c r="D7079" s="51">
        <v>62.0</v>
      </c>
      <c r="E7079" s="52" t="s">
        <v>25</v>
      </c>
      <c r="F7079" s="52" t="s">
        <v>26</v>
      </c>
      <c r="G7079" s="53"/>
    </row>
    <row r="7080">
      <c r="A7080" s="49">
        <v>44587.32418476851</v>
      </c>
      <c r="B7080" s="50">
        <v>44587.4491452314</v>
      </c>
      <c r="C7080" s="51">
        <v>1.001</v>
      </c>
      <c r="D7080" s="51">
        <v>62.0</v>
      </c>
      <c r="E7080" s="52" t="s">
        <v>25</v>
      </c>
      <c r="F7080" s="52" t="s">
        <v>26</v>
      </c>
      <c r="G7080" s="53"/>
    </row>
    <row r="7081">
      <c r="A7081" s="49">
        <v>44587.33461082176</v>
      </c>
      <c r="B7081" s="50">
        <v>44587.4595786458</v>
      </c>
      <c r="C7081" s="51">
        <v>1.001</v>
      </c>
      <c r="D7081" s="51">
        <v>62.0</v>
      </c>
      <c r="E7081" s="52" t="s">
        <v>25</v>
      </c>
      <c r="F7081" s="52" t="s">
        <v>26</v>
      </c>
      <c r="G7081" s="53"/>
    </row>
    <row r="7082">
      <c r="A7082" s="49">
        <v>44587.34503621528</v>
      </c>
      <c r="B7082" s="50">
        <v>44587.4700009722</v>
      </c>
      <c r="C7082" s="51">
        <v>1.001</v>
      </c>
      <c r="D7082" s="51">
        <v>61.0</v>
      </c>
      <c r="E7082" s="52" t="s">
        <v>25</v>
      </c>
      <c r="F7082" s="52" t="s">
        <v>26</v>
      </c>
      <c r="G7082" s="53"/>
    </row>
    <row r="7083">
      <c r="A7083" s="49">
        <v>44587.35544730324</v>
      </c>
      <c r="B7083" s="50">
        <v>44587.4804209143</v>
      </c>
      <c r="C7083" s="51">
        <v>1.001</v>
      </c>
      <c r="D7083" s="51">
        <v>61.0</v>
      </c>
      <c r="E7083" s="52" t="s">
        <v>25</v>
      </c>
      <c r="F7083" s="52" t="s">
        <v>26</v>
      </c>
      <c r="G7083" s="53"/>
    </row>
    <row r="7084">
      <c r="A7084" s="49">
        <v>44587.36586641204</v>
      </c>
      <c r="B7084" s="50">
        <v>44587.4908422106</v>
      </c>
      <c r="C7084" s="51">
        <v>1.001</v>
      </c>
      <c r="D7084" s="51">
        <v>61.0</v>
      </c>
      <c r="E7084" s="52" t="s">
        <v>25</v>
      </c>
      <c r="F7084" s="52" t="s">
        <v>26</v>
      </c>
      <c r="G7084" s="53"/>
    </row>
    <row r="7085">
      <c r="A7085" s="49">
        <v>44587.376342268515</v>
      </c>
      <c r="B7085" s="50">
        <v>44587.5013112152</v>
      </c>
      <c r="C7085" s="51">
        <v>1.001</v>
      </c>
      <c r="D7085" s="51">
        <v>61.0</v>
      </c>
      <c r="E7085" s="52" t="s">
        <v>25</v>
      </c>
      <c r="F7085" s="52" t="s">
        <v>26</v>
      </c>
      <c r="G7085" s="53"/>
    </row>
    <row r="7086">
      <c r="A7086" s="49">
        <v>44587.38676297454</v>
      </c>
      <c r="B7086" s="50">
        <v>44587.5117338425</v>
      </c>
      <c r="C7086" s="51">
        <v>1.001</v>
      </c>
      <c r="D7086" s="51">
        <v>61.0</v>
      </c>
      <c r="E7086" s="52" t="s">
        <v>25</v>
      </c>
      <c r="F7086" s="52" t="s">
        <v>26</v>
      </c>
      <c r="G7086" s="53"/>
    </row>
    <row r="7087">
      <c r="A7087" s="49">
        <v>44587.39717454861</v>
      </c>
      <c r="B7087" s="50">
        <v>44587.5221556481</v>
      </c>
      <c r="C7087" s="51">
        <v>1.001</v>
      </c>
      <c r="D7087" s="51">
        <v>61.0</v>
      </c>
      <c r="E7087" s="52" t="s">
        <v>25</v>
      </c>
      <c r="F7087" s="52" t="s">
        <v>26</v>
      </c>
      <c r="G7087" s="53"/>
    </row>
    <row r="7088">
      <c r="A7088" s="49">
        <v>44587.40759899306</v>
      </c>
      <c r="B7088" s="50">
        <v>44587.5325767708</v>
      </c>
      <c r="C7088" s="51">
        <v>1.001</v>
      </c>
      <c r="D7088" s="51">
        <v>61.0</v>
      </c>
      <c r="E7088" s="52" t="s">
        <v>25</v>
      </c>
      <c r="F7088" s="52" t="s">
        <v>26</v>
      </c>
      <c r="G7088" s="53"/>
    </row>
    <row r="7089">
      <c r="A7089" s="49">
        <v>44587.418024467595</v>
      </c>
      <c r="B7089" s="50">
        <v>44587.5429975925</v>
      </c>
      <c r="C7089" s="51">
        <v>1.001</v>
      </c>
      <c r="D7089" s="51">
        <v>61.0</v>
      </c>
      <c r="E7089" s="52" t="s">
        <v>25</v>
      </c>
      <c r="F7089" s="52" t="s">
        <v>26</v>
      </c>
      <c r="G7089" s="53"/>
    </row>
    <row r="7090">
      <c r="A7090" s="49">
        <v>44587.42844991898</v>
      </c>
      <c r="B7090" s="50">
        <v>44587.5534185879</v>
      </c>
      <c r="C7090" s="51">
        <v>1.001</v>
      </c>
      <c r="D7090" s="51">
        <v>61.0</v>
      </c>
      <c r="E7090" s="52" t="s">
        <v>25</v>
      </c>
      <c r="F7090" s="52" t="s">
        <v>26</v>
      </c>
      <c r="G7090" s="53"/>
    </row>
    <row r="7091">
      <c r="A7091" s="49">
        <v>44587.43886998843</v>
      </c>
      <c r="B7091" s="50">
        <v>44587.5638383796</v>
      </c>
      <c r="C7091" s="51">
        <v>1.001</v>
      </c>
      <c r="D7091" s="51">
        <v>62.0</v>
      </c>
      <c r="E7091" s="52" t="s">
        <v>25</v>
      </c>
      <c r="F7091" s="52" t="s">
        <v>26</v>
      </c>
      <c r="G7091" s="53"/>
    </row>
    <row r="7092">
      <c r="A7092" s="49">
        <v>44587.449284849536</v>
      </c>
      <c r="B7092" s="50">
        <v>44587.5742591203</v>
      </c>
      <c r="C7092" s="51">
        <v>1.001</v>
      </c>
      <c r="D7092" s="51">
        <v>62.0</v>
      </c>
      <c r="E7092" s="52" t="s">
        <v>25</v>
      </c>
      <c r="F7092" s="52" t="s">
        <v>26</v>
      </c>
      <c r="G7092" s="53"/>
    </row>
    <row r="7093">
      <c r="A7093" s="49">
        <v>44587.459707256945</v>
      </c>
      <c r="B7093" s="50">
        <v>44587.5846806828</v>
      </c>
      <c r="C7093" s="51">
        <v>1.001</v>
      </c>
      <c r="D7093" s="51">
        <v>63.0</v>
      </c>
      <c r="E7093" s="52" t="s">
        <v>25</v>
      </c>
      <c r="F7093" s="52" t="s">
        <v>26</v>
      </c>
      <c r="G7093" s="53"/>
    </row>
    <row r="7094">
      <c r="A7094" s="49">
        <v>44587.47012439815</v>
      </c>
      <c r="B7094" s="50">
        <v>44587.5951017129</v>
      </c>
      <c r="C7094" s="51">
        <v>1.001</v>
      </c>
      <c r="D7094" s="51">
        <v>63.0</v>
      </c>
      <c r="E7094" s="52" t="s">
        <v>25</v>
      </c>
      <c r="F7094" s="52" t="s">
        <v>26</v>
      </c>
      <c r="G7094" s="53"/>
    </row>
    <row r="7095">
      <c r="A7095" s="49">
        <v>44587.48055731482</v>
      </c>
      <c r="B7095" s="50">
        <v>44587.6055224652</v>
      </c>
      <c r="C7095" s="51">
        <v>1.001</v>
      </c>
      <c r="D7095" s="51">
        <v>63.0</v>
      </c>
      <c r="E7095" s="52" t="s">
        <v>25</v>
      </c>
      <c r="F7095" s="52" t="s">
        <v>26</v>
      </c>
      <c r="G7095" s="53"/>
    </row>
    <row r="7096">
      <c r="A7096" s="49">
        <v>44587.490971481486</v>
      </c>
      <c r="B7096" s="50">
        <v>44587.6159431365</v>
      </c>
      <c r="C7096" s="51">
        <v>1.001</v>
      </c>
      <c r="D7096" s="51">
        <v>64.0</v>
      </c>
      <c r="E7096" s="52" t="s">
        <v>25</v>
      </c>
      <c r="F7096" s="52" t="s">
        <v>26</v>
      </c>
      <c r="G7096" s="53"/>
    </row>
    <row r="7097">
      <c r="A7097" s="49">
        <v>44587.50139734954</v>
      </c>
      <c r="B7097" s="50">
        <v>44587.6263762499</v>
      </c>
      <c r="C7097" s="51">
        <v>1.001</v>
      </c>
      <c r="D7097" s="51">
        <v>64.0</v>
      </c>
      <c r="E7097" s="52" t="s">
        <v>25</v>
      </c>
      <c r="F7097" s="52" t="s">
        <v>26</v>
      </c>
      <c r="G7097" s="53"/>
    </row>
    <row r="7098">
      <c r="A7098" s="49">
        <v>44587.51182627315</v>
      </c>
      <c r="B7098" s="50">
        <v>44587.6367987731</v>
      </c>
      <c r="C7098" s="51">
        <v>1.0</v>
      </c>
      <c r="D7098" s="51">
        <v>65.0</v>
      </c>
      <c r="E7098" s="52" t="s">
        <v>25</v>
      </c>
      <c r="F7098" s="52" t="s">
        <v>26</v>
      </c>
      <c r="G7098" s="53"/>
    </row>
    <row r="7099">
      <c r="A7099" s="49">
        <v>44587.5222430787</v>
      </c>
      <c r="B7099" s="50">
        <v>44587.6472197916</v>
      </c>
      <c r="C7099" s="51">
        <v>1.001</v>
      </c>
      <c r="D7099" s="51">
        <v>65.0</v>
      </c>
      <c r="E7099" s="52" t="s">
        <v>25</v>
      </c>
      <c r="F7099" s="52" t="s">
        <v>26</v>
      </c>
      <c r="G7099" s="53"/>
    </row>
    <row r="7100">
      <c r="A7100" s="49">
        <v>44587.53268118056</v>
      </c>
      <c r="B7100" s="50">
        <v>44587.65765353</v>
      </c>
      <c r="C7100" s="51">
        <v>1.001</v>
      </c>
      <c r="D7100" s="51">
        <v>66.0</v>
      </c>
      <c r="E7100" s="52" t="s">
        <v>25</v>
      </c>
      <c r="F7100" s="52" t="s">
        <v>26</v>
      </c>
      <c r="G7100" s="53"/>
    </row>
    <row r="7101">
      <c r="A7101" s="49">
        <v>44587.54311064815</v>
      </c>
      <c r="B7101" s="50">
        <v>44587.6680860763</v>
      </c>
      <c r="C7101" s="51">
        <v>1.0</v>
      </c>
      <c r="D7101" s="51">
        <v>66.0</v>
      </c>
      <c r="E7101" s="52" t="s">
        <v>25</v>
      </c>
      <c r="F7101" s="52" t="s">
        <v>26</v>
      </c>
      <c r="G7101" s="53"/>
    </row>
    <row r="7102">
      <c r="A7102" s="49">
        <v>44587.55355979167</v>
      </c>
      <c r="B7102" s="50">
        <v>44587.678516493</v>
      </c>
      <c r="C7102" s="51">
        <v>1.0</v>
      </c>
      <c r="D7102" s="51">
        <v>66.0</v>
      </c>
      <c r="E7102" s="52" t="s">
        <v>25</v>
      </c>
      <c r="F7102" s="52" t="s">
        <v>26</v>
      </c>
      <c r="G7102" s="53"/>
    </row>
    <row r="7103">
      <c r="A7103" s="49">
        <v>44587.56395848379</v>
      </c>
      <c r="B7103" s="50">
        <v>44587.6889377893</v>
      </c>
      <c r="C7103" s="51">
        <v>1.0</v>
      </c>
      <c r="D7103" s="51">
        <v>67.0</v>
      </c>
      <c r="E7103" s="52" t="s">
        <v>25</v>
      </c>
      <c r="F7103" s="52" t="s">
        <v>26</v>
      </c>
      <c r="G7103" s="53"/>
    </row>
    <row r="7104">
      <c r="A7104" s="49">
        <v>44587.5743990162</v>
      </c>
      <c r="B7104" s="50">
        <v>44587.6993707523</v>
      </c>
      <c r="C7104" s="51">
        <v>1.0</v>
      </c>
      <c r="D7104" s="51">
        <v>67.0</v>
      </c>
      <c r="E7104" s="52" t="s">
        <v>25</v>
      </c>
      <c r="F7104" s="52" t="s">
        <v>26</v>
      </c>
      <c r="G7104" s="53"/>
    </row>
    <row r="7105">
      <c r="A7105" s="49">
        <v>44587.58481809028</v>
      </c>
      <c r="B7105" s="50">
        <v>44587.7097936921</v>
      </c>
      <c r="C7105" s="51">
        <v>1.0</v>
      </c>
      <c r="D7105" s="51">
        <v>68.0</v>
      </c>
      <c r="E7105" s="52" t="s">
        <v>25</v>
      </c>
      <c r="F7105" s="52" t="s">
        <v>26</v>
      </c>
      <c r="G7105" s="53"/>
    </row>
    <row r="7106">
      <c r="A7106" s="49">
        <v>44587.59523734954</v>
      </c>
      <c r="B7106" s="50">
        <v>44587.720215162</v>
      </c>
      <c r="C7106" s="51">
        <v>1.0</v>
      </c>
      <c r="D7106" s="51">
        <v>68.0</v>
      </c>
      <c r="E7106" s="52" t="s">
        <v>25</v>
      </c>
      <c r="F7106" s="52" t="s">
        <v>26</v>
      </c>
      <c r="G7106" s="53"/>
    </row>
    <row r="7107">
      <c r="A7107" s="49">
        <v>44587.605673935184</v>
      </c>
      <c r="B7107" s="50">
        <v>44587.7306468865</v>
      </c>
      <c r="C7107" s="51">
        <v>1.0</v>
      </c>
      <c r="D7107" s="51">
        <v>68.0</v>
      </c>
      <c r="E7107" s="52" t="s">
        <v>25</v>
      </c>
      <c r="F7107" s="52" t="s">
        <v>26</v>
      </c>
      <c r="G7107" s="53"/>
    </row>
    <row r="7108">
      <c r="A7108" s="49">
        <v>44587.61609653935</v>
      </c>
      <c r="B7108" s="50">
        <v>44587.7410673958</v>
      </c>
      <c r="C7108" s="51">
        <v>1.0</v>
      </c>
      <c r="D7108" s="51">
        <v>68.0</v>
      </c>
      <c r="E7108" s="52" t="s">
        <v>25</v>
      </c>
      <c r="F7108" s="52" t="s">
        <v>26</v>
      </c>
      <c r="G7108" s="53"/>
    </row>
    <row r="7109">
      <c r="A7109" s="49">
        <v>44587.626518668985</v>
      </c>
      <c r="B7109" s="50">
        <v>44587.7514881481</v>
      </c>
      <c r="C7109" s="51">
        <v>1.0</v>
      </c>
      <c r="D7109" s="51">
        <v>67.0</v>
      </c>
      <c r="E7109" s="52" t="s">
        <v>25</v>
      </c>
      <c r="F7109" s="52" t="s">
        <v>26</v>
      </c>
      <c r="G7109" s="53"/>
    </row>
    <row r="7110">
      <c r="A7110" s="49">
        <v>44587.6369296412</v>
      </c>
      <c r="B7110" s="50">
        <v>44587.7619094444</v>
      </c>
      <c r="C7110" s="51">
        <v>1.0</v>
      </c>
      <c r="D7110" s="51">
        <v>67.0</v>
      </c>
      <c r="E7110" s="52" t="s">
        <v>25</v>
      </c>
      <c r="F7110" s="52" t="s">
        <v>26</v>
      </c>
      <c r="G7110" s="53"/>
    </row>
    <row r="7111">
      <c r="A7111" s="49">
        <v>44587.6473703125</v>
      </c>
      <c r="B7111" s="50">
        <v>44587.7723418518</v>
      </c>
      <c r="C7111" s="51">
        <v>1.0</v>
      </c>
      <c r="D7111" s="51">
        <v>67.0</v>
      </c>
      <c r="E7111" s="52" t="s">
        <v>25</v>
      </c>
      <c r="F7111" s="52" t="s">
        <v>26</v>
      </c>
      <c r="G7111" s="53"/>
    </row>
    <row r="7112">
      <c r="A7112" s="49">
        <v>44587.65778613426</v>
      </c>
      <c r="B7112" s="50">
        <v>44587.7827632407</v>
      </c>
      <c r="C7112" s="51">
        <v>1.0</v>
      </c>
      <c r="D7112" s="51">
        <v>67.0</v>
      </c>
      <c r="E7112" s="52" t="s">
        <v>25</v>
      </c>
      <c r="F7112" s="52" t="s">
        <v>26</v>
      </c>
      <c r="G7112" s="53"/>
    </row>
    <row r="7113">
      <c r="A7113" s="49">
        <v>44587.66820516204</v>
      </c>
      <c r="B7113" s="50">
        <v>44587.793183831</v>
      </c>
      <c r="C7113" s="51">
        <v>1.0</v>
      </c>
      <c r="D7113" s="51">
        <v>67.0</v>
      </c>
      <c r="E7113" s="52" t="s">
        <v>25</v>
      </c>
      <c r="F7113" s="52" t="s">
        <v>26</v>
      </c>
      <c r="G7113" s="53"/>
    </row>
    <row r="7114">
      <c r="A7114" s="49">
        <v>44587.6786339699</v>
      </c>
      <c r="B7114" s="50">
        <v>44587.8036031018</v>
      </c>
      <c r="C7114" s="51">
        <v>1.0</v>
      </c>
      <c r="D7114" s="51">
        <v>67.0</v>
      </c>
      <c r="E7114" s="52" t="s">
        <v>25</v>
      </c>
      <c r="F7114" s="52" t="s">
        <v>26</v>
      </c>
      <c r="G7114" s="53"/>
    </row>
    <row r="7115">
      <c r="A7115" s="49">
        <v>44587.68904902777</v>
      </c>
      <c r="B7115" s="50">
        <v>44587.8140252546</v>
      </c>
      <c r="C7115" s="51">
        <v>1.0</v>
      </c>
      <c r="D7115" s="51">
        <v>67.0</v>
      </c>
      <c r="E7115" s="52" t="s">
        <v>25</v>
      </c>
      <c r="F7115" s="52" t="s">
        <v>26</v>
      </c>
      <c r="G7115" s="53"/>
    </row>
    <row r="7116">
      <c r="A7116" s="49">
        <v>44587.69947099537</v>
      </c>
      <c r="B7116" s="50">
        <v>44587.8244449189</v>
      </c>
      <c r="C7116" s="51">
        <v>1.0</v>
      </c>
      <c r="D7116" s="51">
        <v>67.0</v>
      </c>
      <c r="E7116" s="52" t="s">
        <v>25</v>
      </c>
      <c r="F7116" s="52" t="s">
        <v>26</v>
      </c>
      <c r="G7116" s="53"/>
    </row>
    <row r="7117">
      <c r="A7117" s="49">
        <v>44587.709897962966</v>
      </c>
      <c r="B7117" s="50">
        <v>44587.834867662</v>
      </c>
      <c r="C7117" s="51">
        <v>1.001</v>
      </c>
      <c r="D7117" s="51">
        <v>67.0</v>
      </c>
      <c r="E7117" s="52" t="s">
        <v>25</v>
      </c>
      <c r="F7117" s="52" t="s">
        <v>26</v>
      </c>
      <c r="G7117" s="53"/>
    </row>
    <row r="7118">
      <c r="A7118" s="49">
        <v>44587.72032061343</v>
      </c>
      <c r="B7118" s="50">
        <v>44587.8452894444</v>
      </c>
      <c r="C7118" s="51">
        <v>1.0</v>
      </c>
      <c r="D7118" s="51">
        <v>67.0</v>
      </c>
      <c r="E7118" s="52" t="s">
        <v>25</v>
      </c>
      <c r="F7118" s="52" t="s">
        <v>26</v>
      </c>
      <c r="G7118" s="53"/>
    </row>
    <row r="7119">
      <c r="A7119" s="49">
        <v>44587.73073766204</v>
      </c>
      <c r="B7119" s="50">
        <v>44587.8557117129</v>
      </c>
      <c r="C7119" s="51">
        <v>1.0</v>
      </c>
      <c r="D7119" s="51">
        <v>67.0</v>
      </c>
      <c r="E7119" s="52" t="s">
        <v>25</v>
      </c>
      <c r="F7119" s="52" t="s">
        <v>26</v>
      </c>
      <c r="G7119" s="53"/>
    </row>
    <row r="7120">
      <c r="A7120" s="49">
        <v>44587.74115922453</v>
      </c>
      <c r="B7120" s="50">
        <v>44587.8661337962</v>
      </c>
      <c r="C7120" s="51">
        <v>1.0</v>
      </c>
      <c r="D7120" s="51">
        <v>67.0</v>
      </c>
      <c r="E7120" s="52" t="s">
        <v>25</v>
      </c>
      <c r="F7120" s="52" t="s">
        <v>26</v>
      </c>
      <c r="G7120" s="53"/>
    </row>
    <row r="7121">
      <c r="A7121" s="49">
        <v>44587.75158574074</v>
      </c>
      <c r="B7121" s="50">
        <v>44587.8765541898</v>
      </c>
      <c r="C7121" s="51">
        <v>1.0</v>
      </c>
      <c r="D7121" s="51">
        <v>67.0</v>
      </c>
      <c r="E7121" s="52" t="s">
        <v>25</v>
      </c>
      <c r="F7121" s="52" t="s">
        <v>26</v>
      </c>
      <c r="G7121" s="53"/>
    </row>
    <row r="7122">
      <c r="A7122" s="49">
        <v>44587.76200128472</v>
      </c>
      <c r="B7122" s="50">
        <v>44587.8869753472</v>
      </c>
      <c r="C7122" s="51">
        <v>1.0</v>
      </c>
      <c r="D7122" s="51">
        <v>67.0</v>
      </c>
      <c r="E7122" s="52" t="s">
        <v>25</v>
      </c>
      <c r="F7122" s="52" t="s">
        <v>26</v>
      </c>
      <c r="G7122" s="53"/>
    </row>
    <row r="7123">
      <c r="A7123" s="49">
        <v>44587.772422662034</v>
      </c>
      <c r="B7123" s="50">
        <v>44587.8973947222</v>
      </c>
      <c r="C7123" s="51">
        <v>1.0</v>
      </c>
      <c r="D7123" s="51">
        <v>67.0</v>
      </c>
      <c r="E7123" s="52" t="s">
        <v>25</v>
      </c>
      <c r="F7123" s="52" t="s">
        <v>26</v>
      </c>
      <c r="G7123" s="53"/>
    </row>
    <row r="7124">
      <c r="A7124" s="49">
        <v>44587.78284247685</v>
      </c>
      <c r="B7124" s="50">
        <v>44587.9078165277</v>
      </c>
      <c r="C7124" s="51">
        <v>1.0</v>
      </c>
      <c r="D7124" s="51">
        <v>67.0</v>
      </c>
      <c r="E7124" s="52" t="s">
        <v>25</v>
      </c>
      <c r="F7124" s="52" t="s">
        <v>26</v>
      </c>
      <c r="G7124" s="53"/>
    </row>
    <row r="7125">
      <c r="A7125" s="49">
        <v>44587.79326158565</v>
      </c>
      <c r="B7125" s="50">
        <v>44587.9182358564</v>
      </c>
      <c r="C7125" s="51">
        <v>1.0</v>
      </c>
      <c r="D7125" s="51">
        <v>67.0</v>
      </c>
      <c r="E7125" s="52" t="s">
        <v>25</v>
      </c>
      <c r="F7125" s="52" t="s">
        <v>26</v>
      </c>
      <c r="G7125" s="53"/>
    </row>
    <row r="7126">
      <c r="A7126" s="49">
        <v>44587.80367980324</v>
      </c>
      <c r="B7126" s="50">
        <v>44587.9286566898</v>
      </c>
      <c r="C7126" s="51">
        <v>1.0</v>
      </c>
      <c r="D7126" s="51">
        <v>67.0</v>
      </c>
      <c r="E7126" s="52" t="s">
        <v>25</v>
      </c>
      <c r="F7126" s="52" t="s">
        <v>26</v>
      </c>
      <c r="G7126" s="53"/>
    </row>
    <row r="7127">
      <c r="A7127" s="49">
        <v>44587.81410671296</v>
      </c>
      <c r="B7127" s="50">
        <v>44587.9390782291</v>
      </c>
      <c r="C7127" s="51">
        <v>1.0</v>
      </c>
      <c r="D7127" s="51">
        <v>67.0</v>
      </c>
      <c r="E7127" s="52" t="s">
        <v>25</v>
      </c>
      <c r="F7127" s="52" t="s">
        <v>26</v>
      </c>
      <c r="G7127" s="53"/>
    </row>
    <row r="7128">
      <c r="A7128" s="49">
        <v>44587.8245402662</v>
      </c>
      <c r="B7128" s="50">
        <v>44587.9495115046</v>
      </c>
      <c r="C7128" s="51">
        <v>1.0</v>
      </c>
      <c r="D7128" s="51">
        <v>67.0</v>
      </c>
      <c r="E7128" s="52" t="s">
        <v>25</v>
      </c>
      <c r="F7128" s="52" t="s">
        <v>26</v>
      </c>
      <c r="G7128" s="53"/>
    </row>
    <row r="7129">
      <c r="A7129" s="49">
        <v>44587.83495503472</v>
      </c>
      <c r="B7129" s="50">
        <v>44587.9599323032</v>
      </c>
      <c r="C7129" s="51">
        <v>1.001</v>
      </c>
      <c r="D7129" s="51">
        <v>67.0</v>
      </c>
      <c r="E7129" s="52" t="s">
        <v>25</v>
      </c>
      <c r="F7129" s="52" t="s">
        <v>26</v>
      </c>
      <c r="G7129" s="53"/>
    </row>
    <row r="7130">
      <c r="A7130" s="49">
        <v>44587.84538145833</v>
      </c>
      <c r="B7130" s="50">
        <v>44587.9703519907</v>
      </c>
      <c r="C7130" s="51">
        <v>1.0</v>
      </c>
      <c r="D7130" s="51">
        <v>67.0</v>
      </c>
      <c r="E7130" s="52" t="s">
        <v>25</v>
      </c>
      <c r="F7130" s="52" t="s">
        <v>26</v>
      </c>
      <c r="G7130" s="53"/>
    </row>
    <row r="7131">
      <c r="A7131" s="49">
        <v>44587.85580012732</v>
      </c>
      <c r="B7131" s="50">
        <v>44587.9807727777</v>
      </c>
      <c r="C7131" s="51">
        <v>1.0</v>
      </c>
      <c r="D7131" s="51">
        <v>67.0</v>
      </c>
      <c r="E7131" s="52" t="s">
        <v>25</v>
      </c>
      <c r="F7131" s="52" t="s">
        <v>26</v>
      </c>
      <c r="G7131" s="53"/>
    </row>
    <row r="7132">
      <c r="A7132" s="49">
        <v>44587.86622303241</v>
      </c>
      <c r="B7132" s="50">
        <v>44587.991194537</v>
      </c>
      <c r="C7132" s="51">
        <v>1.001</v>
      </c>
      <c r="D7132" s="51">
        <v>67.0</v>
      </c>
      <c r="E7132" s="52" t="s">
        <v>25</v>
      </c>
      <c r="F7132" s="52" t="s">
        <v>26</v>
      </c>
      <c r="G7132" s="53"/>
    </row>
    <row r="7133">
      <c r="A7133" s="49">
        <v>44587.87663920139</v>
      </c>
      <c r="B7133" s="50">
        <v>44588.0016155902</v>
      </c>
      <c r="C7133" s="51">
        <v>1.0</v>
      </c>
      <c r="D7133" s="51">
        <v>67.0</v>
      </c>
      <c r="E7133" s="52" t="s">
        <v>25</v>
      </c>
      <c r="F7133" s="52" t="s">
        <v>26</v>
      </c>
      <c r="G7133" s="53"/>
    </row>
    <row r="7134">
      <c r="A7134" s="49">
        <v>44587.88706450231</v>
      </c>
      <c r="B7134" s="50">
        <v>44588.0120378703</v>
      </c>
      <c r="C7134" s="51">
        <v>1.0</v>
      </c>
      <c r="D7134" s="51">
        <v>66.0</v>
      </c>
      <c r="E7134" s="52" t="s">
        <v>25</v>
      </c>
      <c r="F7134" s="52" t="s">
        <v>26</v>
      </c>
      <c r="G7134" s="53"/>
    </row>
    <row r="7135">
      <c r="A7135" s="49">
        <v>44587.89748467592</v>
      </c>
      <c r="B7135" s="50">
        <v>44588.0224603935</v>
      </c>
      <c r="C7135" s="51">
        <v>1.0</v>
      </c>
      <c r="D7135" s="51">
        <v>66.0</v>
      </c>
      <c r="E7135" s="52" t="s">
        <v>25</v>
      </c>
      <c r="F7135" s="52" t="s">
        <v>26</v>
      </c>
      <c r="G7135" s="53"/>
    </row>
    <row r="7136">
      <c r="A7136" s="49">
        <v>44587.90790153935</v>
      </c>
      <c r="B7136" s="50">
        <v>44588.0328812615</v>
      </c>
      <c r="C7136" s="51">
        <v>1.0</v>
      </c>
      <c r="D7136" s="51">
        <v>66.0</v>
      </c>
      <c r="E7136" s="52" t="s">
        <v>25</v>
      </c>
      <c r="F7136" s="52" t="s">
        <v>26</v>
      </c>
      <c r="G7136" s="53"/>
    </row>
    <row r="7137">
      <c r="A7137" s="49">
        <v>44587.91832802084</v>
      </c>
      <c r="B7137" s="50">
        <v>44588.0433023495</v>
      </c>
      <c r="C7137" s="51">
        <v>1.0</v>
      </c>
      <c r="D7137" s="51">
        <v>66.0</v>
      </c>
      <c r="E7137" s="52" t="s">
        <v>25</v>
      </c>
      <c r="F7137" s="52" t="s">
        <v>26</v>
      </c>
      <c r="G7137" s="53"/>
    </row>
    <row r="7138">
      <c r="A7138" s="49">
        <v>44587.92874751157</v>
      </c>
      <c r="B7138" s="50">
        <v>44588.0537233449</v>
      </c>
      <c r="C7138" s="51">
        <v>1.0</v>
      </c>
      <c r="D7138" s="51">
        <v>66.0</v>
      </c>
      <c r="E7138" s="52" t="s">
        <v>25</v>
      </c>
      <c r="F7138" s="52" t="s">
        <v>26</v>
      </c>
      <c r="G7138" s="53"/>
    </row>
    <row r="7139">
      <c r="A7139" s="49">
        <v>44587.93917583334</v>
      </c>
      <c r="B7139" s="50">
        <v>44588.0641428703</v>
      </c>
      <c r="C7139" s="51">
        <v>1.0</v>
      </c>
      <c r="D7139" s="51">
        <v>66.0</v>
      </c>
      <c r="E7139" s="52" t="s">
        <v>25</v>
      </c>
      <c r="F7139" s="52" t="s">
        <v>26</v>
      </c>
      <c r="G7139" s="53"/>
    </row>
    <row r="7140">
      <c r="A7140" s="49">
        <v>44587.94958741898</v>
      </c>
      <c r="B7140" s="50">
        <v>44588.0745632523</v>
      </c>
      <c r="C7140" s="51">
        <v>1.0</v>
      </c>
      <c r="D7140" s="51">
        <v>66.0</v>
      </c>
      <c r="E7140" s="52" t="s">
        <v>25</v>
      </c>
      <c r="F7140" s="52" t="s">
        <v>26</v>
      </c>
      <c r="G7140" s="53"/>
    </row>
    <row r="7141">
      <c r="A7141" s="49">
        <v>44587.96003844908</v>
      </c>
      <c r="B7141" s="50">
        <v>44588.0850066319</v>
      </c>
      <c r="C7141" s="51">
        <v>1.0</v>
      </c>
      <c r="D7141" s="51">
        <v>66.0</v>
      </c>
      <c r="E7141" s="52" t="s">
        <v>25</v>
      </c>
      <c r="F7141" s="52" t="s">
        <v>26</v>
      </c>
      <c r="G7141" s="53"/>
    </row>
    <row r="7142">
      <c r="A7142" s="49">
        <v>44587.97045116898</v>
      </c>
      <c r="B7142" s="50">
        <v>44588.0954269212</v>
      </c>
      <c r="C7142" s="51">
        <v>1.0</v>
      </c>
      <c r="D7142" s="51">
        <v>66.0</v>
      </c>
      <c r="E7142" s="52" t="s">
        <v>25</v>
      </c>
      <c r="F7142" s="52" t="s">
        <v>26</v>
      </c>
      <c r="G7142" s="53"/>
    </row>
    <row r="7143">
      <c r="A7143" s="49">
        <v>44587.98088097222</v>
      </c>
      <c r="B7143" s="50">
        <v>44588.105847662</v>
      </c>
      <c r="C7143" s="51">
        <v>1.0</v>
      </c>
      <c r="D7143" s="51">
        <v>66.0</v>
      </c>
      <c r="E7143" s="52" t="s">
        <v>25</v>
      </c>
      <c r="F7143" s="52" t="s">
        <v>26</v>
      </c>
      <c r="G7143" s="53"/>
    </row>
    <row r="7144">
      <c r="A7144" s="49">
        <v>44587.991287488425</v>
      </c>
      <c r="B7144" s="50">
        <v>44588.1162685995</v>
      </c>
      <c r="C7144" s="51">
        <v>1.0</v>
      </c>
      <c r="D7144" s="51">
        <v>66.0</v>
      </c>
      <c r="E7144" s="52" t="s">
        <v>25</v>
      </c>
      <c r="F7144" s="52" t="s">
        <v>26</v>
      </c>
      <c r="G7144" s="53"/>
    </row>
    <row r="7145">
      <c r="A7145" s="49">
        <v>44588.00172212963</v>
      </c>
      <c r="B7145" s="50">
        <v>44588.1266879629</v>
      </c>
      <c r="C7145" s="51">
        <v>1.0</v>
      </c>
      <c r="D7145" s="51">
        <v>66.0</v>
      </c>
      <c r="E7145" s="52" t="s">
        <v>25</v>
      </c>
      <c r="F7145" s="52" t="s">
        <v>26</v>
      </c>
      <c r="G7145" s="53"/>
    </row>
    <row r="7146">
      <c r="A7146" s="49">
        <v>44588.012139513885</v>
      </c>
      <c r="B7146" s="50">
        <v>44588.137108449</v>
      </c>
      <c r="C7146" s="51">
        <v>1.001</v>
      </c>
      <c r="D7146" s="51">
        <v>66.0</v>
      </c>
      <c r="E7146" s="52" t="s">
        <v>25</v>
      </c>
      <c r="F7146" s="52" t="s">
        <v>26</v>
      </c>
      <c r="G7146" s="53"/>
    </row>
    <row r="7147">
      <c r="A7147" s="49">
        <v>44588.02256875</v>
      </c>
      <c r="B7147" s="50">
        <v>44588.1475397338</v>
      </c>
      <c r="C7147" s="51">
        <v>1.0</v>
      </c>
      <c r="D7147" s="51">
        <v>66.0</v>
      </c>
      <c r="E7147" s="52" t="s">
        <v>25</v>
      </c>
      <c r="F7147" s="52" t="s">
        <v>26</v>
      </c>
      <c r="G7147" s="53"/>
    </row>
    <row r="7148">
      <c r="A7148" s="49">
        <v>44588.03300122685</v>
      </c>
      <c r="B7148" s="50">
        <v>44588.1579733796</v>
      </c>
      <c r="C7148" s="51">
        <v>1.0</v>
      </c>
      <c r="D7148" s="51">
        <v>66.0</v>
      </c>
      <c r="E7148" s="52" t="s">
        <v>25</v>
      </c>
      <c r="F7148" s="52" t="s">
        <v>26</v>
      </c>
      <c r="G7148" s="53"/>
    </row>
    <row r="7149">
      <c r="A7149" s="49">
        <v>44588.04342239583</v>
      </c>
      <c r="B7149" s="50">
        <v>44588.1683941898</v>
      </c>
      <c r="C7149" s="51">
        <v>1.0</v>
      </c>
      <c r="D7149" s="51">
        <v>66.0</v>
      </c>
      <c r="E7149" s="52" t="s">
        <v>25</v>
      </c>
      <c r="F7149" s="52" t="s">
        <v>26</v>
      </c>
      <c r="G7149" s="53"/>
    </row>
    <row r="7150">
      <c r="A7150" s="49">
        <v>44588.05385693287</v>
      </c>
      <c r="B7150" s="50">
        <v>44588.1788269675</v>
      </c>
      <c r="C7150" s="51">
        <v>1.0</v>
      </c>
      <c r="D7150" s="51">
        <v>66.0</v>
      </c>
      <c r="E7150" s="52" t="s">
        <v>25</v>
      </c>
      <c r="F7150" s="52" t="s">
        <v>26</v>
      </c>
      <c r="G7150" s="53"/>
    </row>
    <row r="7151">
      <c r="A7151" s="49">
        <v>44588.064286493056</v>
      </c>
      <c r="B7151" s="50">
        <v>44588.1892613078</v>
      </c>
      <c r="C7151" s="51">
        <v>1.0</v>
      </c>
      <c r="D7151" s="51">
        <v>66.0</v>
      </c>
      <c r="E7151" s="52" t="s">
        <v>25</v>
      </c>
      <c r="F7151" s="52" t="s">
        <v>26</v>
      </c>
      <c r="G7151" s="53"/>
    </row>
    <row r="7152">
      <c r="A7152" s="49">
        <v>44588.07470408565</v>
      </c>
      <c r="B7152" s="50">
        <v>44588.1996815393</v>
      </c>
      <c r="C7152" s="51">
        <v>1.0</v>
      </c>
      <c r="D7152" s="51">
        <v>66.0</v>
      </c>
      <c r="E7152" s="52" t="s">
        <v>25</v>
      </c>
      <c r="F7152" s="52" t="s">
        <v>26</v>
      </c>
      <c r="G7152" s="53"/>
    </row>
    <row r="7153">
      <c r="A7153" s="49">
        <v>44588.08512827546</v>
      </c>
      <c r="B7153" s="50">
        <v>44588.2101039236</v>
      </c>
      <c r="C7153" s="51">
        <v>1.0</v>
      </c>
      <c r="D7153" s="51">
        <v>66.0</v>
      </c>
      <c r="E7153" s="52" t="s">
        <v>25</v>
      </c>
      <c r="F7153" s="52" t="s">
        <v>26</v>
      </c>
      <c r="G7153" s="53"/>
    </row>
    <row r="7154">
      <c r="A7154" s="49">
        <v>44588.09555210648</v>
      </c>
      <c r="B7154" s="50">
        <v>44588.2205247222</v>
      </c>
      <c r="C7154" s="51">
        <v>1.0</v>
      </c>
      <c r="D7154" s="51">
        <v>66.0</v>
      </c>
      <c r="E7154" s="52" t="s">
        <v>25</v>
      </c>
      <c r="F7154" s="52" t="s">
        <v>26</v>
      </c>
      <c r="G7154" s="53"/>
    </row>
    <row r="7155">
      <c r="A7155" s="49">
        <v>44588.105976782404</v>
      </c>
      <c r="B7155" s="50">
        <v>44588.2309456365</v>
      </c>
      <c r="C7155" s="51">
        <v>1.001</v>
      </c>
      <c r="D7155" s="51">
        <v>66.0</v>
      </c>
      <c r="E7155" s="52" t="s">
        <v>25</v>
      </c>
      <c r="F7155" s="52" t="s">
        <v>26</v>
      </c>
      <c r="G7155" s="53"/>
    </row>
    <row r="7156">
      <c r="A7156" s="49">
        <v>44588.116393854165</v>
      </c>
      <c r="B7156" s="50">
        <v>44588.2413695023</v>
      </c>
      <c r="C7156" s="51">
        <v>1.001</v>
      </c>
      <c r="D7156" s="51">
        <v>66.0</v>
      </c>
      <c r="E7156" s="52" t="s">
        <v>25</v>
      </c>
      <c r="F7156" s="52" t="s">
        <v>26</v>
      </c>
      <c r="G7156" s="53"/>
    </row>
    <row r="7157">
      <c r="A7157" s="49">
        <v>44588.1268184838</v>
      </c>
      <c r="B7157" s="50">
        <v>44588.2517899652</v>
      </c>
      <c r="C7157" s="51">
        <v>1.001</v>
      </c>
      <c r="D7157" s="51">
        <v>66.0</v>
      </c>
      <c r="E7157" s="52" t="s">
        <v>25</v>
      </c>
      <c r="F7157" s="52" t="s">
        <v>26</v>
      </c>
      <c r="G7157" s="53"/>
    </row>
    <row r="7158">
      <c r="A7158" s="49">
        <v>44588.13723115741</v>
      </c>
      <c r="B7158" s="50">
        <v>44588.2622106828</v>
      </c>
      <c r="C7158" s="51">
        <v>1.0</v>
      </c>
      <c r="D7158" s="51">
        <v>65.0</v>
      </c>
      <c r="E7158" s="52" t="s">
        <v>25</v>
      </c>
      <c r="F7158" s="52" t="s">
        <v>26</v>
      </c>
      <c r="G7158" s="53"/>
    </row>
    <row r="7159">
      <c r="A7159" s="49">
        <v>44588.14766103009</v>
      </c>
      <c r="B7159" s="50">
        <v>44588.2726312615</v>
      </c>
      <c r="C7159" s="51">
        <v>1.0</v>
      </c>
      <c r="D7159" s="51">
        <v>65.0</v>
      </c>
      <c r="E7159" s="52" t="s">
        <v>25</v>
      </c>
      <c r="F7159" s="52" t="s">
        <v>26</v>
      </c>
      <c r="G7159" s="53"/>
    </row>
    <row r="7160">
      <c r="A7160" s="49">
        <v>44588.15808313657</v>
      </c>
      <c r="B7160" s="50">
        <v>44588.2830531712</v>
      </c>
      <c r="C7160" s="51">
        <v>1.0</v>
      </c>
      <c r="D7160" s="51">
        <v>65.0</v>
      </c>
      <c r="E7160" s="52" t="s">
        <v>25</v>
      </c>
      <c r="F7160" s="52" t="s">
        <v>26</v>
      </c>
      <c r="G7160" s="53"/>
    </row>
    <row r="7161">
      <c r="A7161" s="49">
        <v>44588.168495879625</v>
      </c>
      <c r="B7161" s="50">
        <v>44588.2934740625</v>
      </c>
      <c r="C7161" s="51">
        <v>1.0</v>
      </c>
      <c r="D7161" s="51">
        <v>65.0</v>
      </c>
      <c r="E7161" s="52" t="s">
        <v>25</v>
      </c>
      <c r="F7161" s="52" t="s">
        <v>26</v>
      </c>
      <c r="G7161" s="53"/>
    </row>
    <row r="7162">
      <c r="A7162" s="49">
        <v>44588.17892042824</v>
      </c>
      <c r="B7162" s="50">
        <v>44588.3038940856</v>
      </c>
      <c r="C7162" s="51">
        <v>1.0</v>
      </c>
      <c r="D7162" s="51">
        <v>65.0</v>
      </c>
      <c r="E7162" s="52" t="s">
        <v>25</v>
      </c>
      <c r="F7162" s="52" t="s">
        <v>26</v>
      </c>
      <c r="G7162" s="53"/>
    </row>
    <row r="7163">
      <c r="A7163" s="49">
        <v>44588.18934215278</v>
      </c>
      <c r="B7163" s="50">
        <v>44588.3143164236</v>
      </c>
      <c r="C7163" s="51">
        <v>1.0</v>
      </c>
      <c r="D7163" s="51">
        <v>65.0</v>
      </c>
      <c r="E7163" s="52" t="s">
        <v>25</v>
      </c>
      <c r="F7163" s="52" t="s">
        <v>26</v>
      </c>
      <c r="G7163" s="53"/>
    </row>
    <row r="7164">
      <c r="A7164" s="49">
        <v>44588.19976011574</v>
      </c>
      <c r="B7164" s="50">
        <v>44588.3247381134</v>
      </c>
      <c r="C7164" s="51">
        <v>1.001</v>
      </c>
      <c r="D7164" s="51">
        <v>65.0</v>
      </c>
      <c r="E7164" s="52" t="s">
        <v>25</v>
      </c>
      <c r="F7164" s="52" t="s">
        <v>26</v>
      </c>
      <c r="G7164" s="53"/>
    </row>
    <row r="7165">
      <c r="A7165" s="49">
        <v>44588.210199548615</v>
      </c>
      <c r="B7165" s="50">
        <v>44588.3351709606</v>
      </c>
      <c r="C7165" s="51">
        <v>1.001</v>
      </c>
      <c r="D7165" s="51">
        <v>65.0</v>
      </c>
      <c r="E7165" s="52" t="s">
        <v>25</v>
      </c>
      <c r="F7165" s="52" t="s">
        <v>26</v>
      </c>
      <c r="G7165" s="53"/>
    </row>
    <row r="7166">
      <c r="A7166" s="49">
        <v>44588.22061936343</v>
      </c>
      <c r="B7166" s="50">
        <v>44588.3455938888</v>
      </c>
      <c r="C7166" s="51">
        <v>1.0</v>
      </c>
      <c r="D7166" s="51">
        <v>65.0</v>
      </c>
      <c r="E7166" s="52" t="s">
        <v>25</v>
      </c>
      <c r="F7166" s="52" t="s">
        <v>26</v>
      </c>
      <c r="G7166" s="53"/>
    </row>
    <row r="7167">
      <c r="A7167" s="49">
        <v>44588.23106263889</v>
      </c>
      <c r="B7167" s="50">
        <v>44588.3560382291</v>
      </c>
      <c r="C7167" s="51">
        <v>1.0</v>
      </c>
      <c r="D7167" s="51">
        <v>65.0</v>
      </c>
      <c r="E7167" s="52" t="s">
        <v>25</v>
      </c>
      <c r="F7167" s="52" t="s">
        <v>26</v>
      </c>
      <c r="G7167" s="53"/>
    </row>
    <row r="7168">
      <c r="A7168" s="49">
        <v>44588.24148726852</v>
      </c>
      <c r="B7168" s="50">
        <v>44588.3664591898</v>
      </c>
      <c r="C7168" s="51">
        <v>1.0</v>
      </c>
      <c r="D7168" s="51">
        <v>65.0</v>
      </c>
      <c r="E7168" s="52" t="s">
        <v>25</v>
      </c>
      <c r="F7168" s="52" t="s">
        <v>26</v>
      </c>
      <c r="G7168" s="53"/>
    </row>
    <row r="7169">
      <c r="A7169" s="49">
        <v>44588.25191210648</v>
      </c>
      <c r="B7169" s="50">
        <v>44588.3768797685</v>
      </c>
      <c r="C7169" s="51">
        <v>1.001</v>
      </c>
      <c r="D7169" s="51">
        <v>65.0</v>
      </c>
      <c r="E7169" s="52" t="s">
        <v>25</v>
      </c>
      <c r="F7169" s="52" t="s">
        <v>26</v>
      </c>
      <c r="G7169" s="53"/>
    </row>
    <row r="7170">
      <c r="A7170" s="49">
        <v>44588.262326550925</v>
      </c>
      <c r="B7170" s="50">
        <v>44588.387299618</v>
      </c>
      <c r="C7170" s="51">
        <v>1.0</v>
      </c>
      <c r="D7170" s="51">
        <v>65.0</v>
      </c>
      <c r="E7170" s="52" t="s">
        <v>25</v>
      </c>
      <c r="F7170" s="52" t="s">
        <v>26</v>
      </c>
      <c r="G7170" s="53"/>
    </row>
    <row r="7171">
      <c r="A7171" s="49">
        <v>44588.27275722222</v>
      </c>
      <c r="B7171" s="50">
        <v>44588.3977318518</v>
      </c>
      <c r="C7171" s="51">
        <v>1.001</v>
      </c>
      <c r="D7171" s="51">
        <v>65.0</v>
      </c>
      <c r="E7171" s="52" t="s">
        <v>25</v>
      </c>
      <c r="F7171" s="52" t="s">
        <v>26</v>
      </c>
      <c r="G7171" s="53"/>
    </row>
    <row r="7172">
      <c r="A7172" s="49">
        <v>44588.28317789352</v>
      </c>
      <c r="B7172" s="50">
        <v>44588.4081536574</v>
      </c>
      <c r="C7172" s="51">
        <v>1.0</v>
      </c>
      <c r="D7172" s="51">
        <v>65.0</v>
      </c>
      <c r="E7172" s="52" t="s">
        <v>25</v>
      </c>
      <c r="F7172" s="52" t="s">
        <v>26</v>
      </c>
      <c r="G7172" s="53"/>
    </row>
    <row r="7173">
      <c r="A7173" s="49">
        <v>44588.2935984838</v>
      </c>
      <c r="B7173" s="50">
        <v>44588.4185744907</v>
      </c>
      <c r="C7173" s="51">
        <v>1.001</v>
      </c>
      <c r="D7173" s="51">
        <v>65.0</v>
      </c>
      <c r="E7173" s="52" t="s">
        <v>25</v>
      </c>
      <c r="F7173" s="52" t="s">
        <v>26</v>
      </c>
      <c r="G7173" s="53"/>
    </row>
    <row r="7174">
      <c r="A7174" s="49">
        <v>44588.30401694444</v>
      </c>
      <c r="B7174" s="50">
        <v>44588.4289955208</v>
      </c>
      <c r="C7174" s="51">
        <v>1.001</v>
      </c>
      <c r="D7174" s="51">
        <v>65.0</v>
      </c>
      <c r="E7174" s="52" t="s">
        <v>25</v>
      </c>
      <c r="F7174" s="52" t="s">
        <v>26</v>
      </c>
      <c r="G7174" s="53"/>
    </row>
    <row r="7175">
      <c r="A7175" s="49">
        <v>44588.3144596875</v>
      </c>
      <c r="B7175" s="50">
        <v>44588.4394293981</v>
      </c>
      <c r="C7175" s="51">
        <v>1.001</v>
      </c>
      <c r="D7175" s="51">
        <v>65.0</v>
      </c>
      <c r="E7175" s="52" t="s">
        <v>25</v>
      </c>
      <c r="F7175" s="52" t="s">
        <v>26</v>
      </c>
      <c r="G7175" s="53"/>
    </row>
    <row r="7176">
      <c r="A7176" s="49">
        <v>44588.324879074076</v>
      </c>
      <c r="B7176" s="50">
        <v>44588.4498507638</v>
      </c>
      <c r="C7176" s="51">
        <v>1.0</v>
      </c>
      <c r="D7176" s="51">
        <v>65.0</v>
      </c>
      <c r="E7176" s="52" t="s">
        <v>25</v>
      </c>
      <c r="F7176" s="52" t="s">
        <v>26</v>
      </c>
      <c r="G7176" s="53"/>
    </row>
    <row r="7177">
      <c r="A7177" s="49">
        <v>44588.335302499996</v>
      </c>
      <c r="B7177" s="50">
        <v>44588.4602720833</v>
      </c>
      <c r="C7177" s="51">
        <v>1.001</v>
      </c>
      <c r="D7177" s="51">
        <v>65.0</v>
      </c>
      <c r="E7177" s="52" t="s">
        <v>25</v>
      </c>
      <c r="F7177" s="52" t="s">
        <v>26</v>
      </c>
      <c r="G7177" s="53"/>
    </row>
    <row r="7178">
      <c r="A7178" s="49">
        <v>44588.34571678241</v>
      </c>
      <c r="B7178" s="50">
        <v>44588.4706898263</v>
      </c>
      <c r="C7178" s="51">
        <v>1.0</v>
      </c>
      <c r="D7178" s="51">
        <v>65.0</v>
      </c>
      <c r="E7178" s="52" t="s">
        <v>25</v>
      </c>
      <c r="F7178" s="52" t="s">
        <v>26</v>
      </c>
      <c r="G7178" s="53"/>
    </row>
    <row r="7179">
      <c r="A7179" s="49">
        <v>44588.35613184028</v>
      </c>
      <c r="B7179" s="50">
        <v>44588.4811102083</v>
      </c>
      <c r="C7179" s="51">
        <v>1.001</v>
      </c>
      <c r="D7179" s="51">
        <v>65.0</v>
      </c>
      <c r="E7179" s="52" t="s">
        <v>25</v>
      </c>
      <c r="F7179" s="52" t="s">
        <v>26</v>
      </c>
      <c r="G7179" s="53"/>
    </row>
    <row r="7180">
      <c r="A7180" s="49">
        <v>44588.36656597222</v>
      </c>
      <c r="B7180" s="50">
        <v>44588.4915315972</v>
      </c>
      <c r="C7180" s="51">
        <v>1.0</v>
      </c>
      <c r="D7180" s="51">
        <v>65.0</v>
      </c>
      <c r="E7180" s="52" t="s">
        <v>25</v>
      </c>
      <c r="F7180" s="52" t="s">
        <v>26</v>
      </c>
      <c r="G7180" s="53"/>
    </row>
    <row r="7181">
      <c r="A7181" s="49">
        <v>44588.3769828125</v>
      </c>
      <c r="B7181" s="50">
        <v>44588.5019526851</v>
      </c>
      <c r="C7181" s="51">
        <v>1.001</v>
      </c>
      <c r="D7181" s="51">
        <v>65.0</v>
      </c>
      <c r="E7181" s="52" t="s">
        <v>25</v>
      </c>
      <c r="F7181" s="52" t="s">
        <v>26</v>
      </c>
      <c r="G7181" s="53"/>
    </row>
    <row r="7182">
      <c r="A7182" s="49">
        <v>44588.38739931713</v>
      </c>
      <c r="B7182" s="50">
        <v>44588.5123757754</v>
      </c>
      <c r="C7182" s="51">
        <v>1.001</v>
      </c>
      <c r="D7182" s="51">
        <v>65.0</v>
      </c>
      <c r="E7182" s="52" t="s">
        <v>25</v>
      </c>
      <c r="F7182" s="52" t="s">
        <v>26</v>
      </c>
      <c r="G7182" s="53"/>
    </row>
    <row r="7183">
      <c r="A7183" s="49">
        <v>44588.397832222225</v>
      </c>
      <c r="B7183" s="50">
        <v>44588.522807743</v>
      </c>
      <c r="C7183" s="51">
        <v>1.0</v>
      </c>
      <c r="D7183" s="51">
        <v>65.0</v>
      </c>
      <c r="E7183" s="52" t="s">
        <v>25</v>
      </c>
      <c r="F7183" s="52" t="s">
        <v>26</v>
      </c>
      <c r="G7183" s="53"/>
    </row>
    <row r="7184">
      <c r="A7184" s="49">
        <v>44588.40826561343</v>
      </c>
      <c r="B7184" s="50">
        <v>44588.5332389699</v>
      </c>
      <c r="C7184" s="51">
        <v>1.0</v>
      </c>
      <c r="D7184" s="51">
        <v>64.0</v>
      </c>
      <c r="E7184" s="52" t="s">
        <v>25</v>
      </c>
      <c r="F7184" s="52" t="s">
        <v>26</v>
      </c>
      <c r="G7184" s="53"/>
    </row>
    <row r="7185">
      <c r="A7185" s="49">
        <v>44588.418702407405</v>
      </c>
      <c r="B7185" s="50">
        <v>44588.5436712615</v>
      </c>
      <c r="C7185" s="51">
        <v>1.001</v>
      </c>
      <c r="D7185" s="51">
        <v>64.0</v>
      </c>
      <c r="E7185" s="52" t="s">
        <v>25</v>
      </c>
      <c r="F7185" s="52" t="s">
        <v>26</v>
      </c>
      <c r="G7185" s="53"/>
    </row>
    <row r="7186">
      <c r="A7186" s="49">
        <v>44588.429120914356</v>
      </c>
      <c r="B7186" s="50">
        <v>44588.5540916666</v>
      </c>
      <c r="C7186" s="51">
        <v>1.001</v>
      </c>
      <c r="D7186" s="51">
        <v>64.0</v>
      </c>
      <c r="E7186" s="52" t="s">
        <v>25</v>
      </c>
      <c r="F7186" s="52" t="s">
        <v>26</v>
      </c>
      <c r="G7186" s="53"/>
    </row>
    <row r="7187">
      <c r="A7187" s="49">
        <v>44588.439537488426</v>
      </c>
      <c r="B7187" s="50">
        <v>44588.5645124884</v>
      </c>
      <c r="C7187" s="51">
        <v>1.0</v>
      </c>
      <c r="D7187" s="51">
        <v>64.0</v>
      </c>
      <c r="E7187" s="52" t="s">
        <v>25</v>
      </c>
      <c r="F7187" s="52" t="s">
        <v>26</v>
      </c>
      <c r="G7187" s="53"/>
    </row>
    <row r="7188">
      <c r="A7188" s="49">
        <v>44588.44995793981</v>
      </c>
      <c r="B7188" s="50">
        <v>44588.5749337499</v>
      </c>
      <c r="C7188" s="51">
        <v>1.0</v>
      </c>
      <c r="D7188" s="51">
        <v>64.0</v>
      </c>
      <c r="E7188" s="52" t="s">
        <v>25</v>
      </c>
      <c r="F7188" s="52" t="s">
        <v>26</v>
      </c>
      <c r="G7188" s="53"/>
    </row>
    <row r="7189">
      <c r="A7189" s="49">
        <v>44588.46040976852</v>
      </c>
      <c r="B7189" s="50">
        <v>44588.585355162</v>
      </c>
      <c r="C7189" s="51">
        <v>1.0</v>
      </c>
      <c r="D7189" s="51">
        <v>64.0</v>
      </c>
      <c r="E7189" s="52" t="s">
        <v>25</v>
      </c>
      <c r="F7189" s="52" t="s">
        <v>26</v>
      </c>
      <c r="G7189" s="53"/>
    </row>
    <row r="7190">
      <c r="A7190" s="49">
        <v>44588.47079409722</v>
      </c>
      <c r="B7190" s="50">
        <v>44588.5957751851</v>
      </c>
      <c r="C7190" s="51">
        <v>1.001</v>
      </c>
      <c r="D7190" s="51">
        <v>64.0</v>
      </c>
      <c r="E7190" s="52" t="s">
        <v>25</v>
      </c>
      <c r="F7190" s="52" t="s">
        <v>26</v>
      </c>
      <c r="G7190" s="53"/>
    </row>
    <row r="7191">
      <c r="A7191" s="49">
        <v>44588.48122914352</v>
      </c>
      <c r="B7191" s="50">
        <v>44588.6061979629</v>
      </c>
      <c r="C7191" s="51">
        <v>1.001</v>
      </c>
      <c r="D7191" s="51">
        <v>64.0</v>
      </c>
      <c r="E7191" s="52" t="s">
        <v>25</v>
      </c>
      <c r="F7191" s="52" t="s">
        <v>26</v>
      </c>
      <c r="G7191" s="53"/>
    </row>
    <row r="7192">
      <c r="A7192" s="49">
        <v>44588.491656134254</v>
      </c>
      <c r="B7192" s="50">
        <v>44588.616630868</v>
      </c>
      <c r="C7192" s="51">
        <v>1.0</v>
      </c>
      <c r="D7192" s="51">
        <v>64.0</v>
      </c>
      <c r="E7192" s="52" t="s">
        <v>25</v>
      </c>
      <c r="F7192" s="52" t="s">
        <v>26</v>
      </c>
      <c r="G7192" s="53"/>
    </row>
    <row r="7193">
      <c r="A7193" s="49">
        <v>44588.50207710648</v>
      </c>
      <c r="B7193" s="50">
        <v>44588.6270509953</v>
      </c>
      <c r="C7193" s="51">
        <v>1.001</v>
      </c>
      <c r="D7193" s="51">
        <v>64.0</v>
      </c>
      <c r="E7193" s="52" t="s">
        <v>25</v>
      </c>
      <c r="F7193" s="52" t="s">
        <v>26</v>
      </c>
      <c r="G7193" s="53"/>
    </row>
    <row r="7194">
      <c r="A7194" s="49">
        <v>44588.51249864583</v>
      </c>
      <c r="B7194" s="50">
        <v>44588.637471331</v>
      </c>
      <c r="C7194" s="51">
        <v>1.0</v>
      </c>
      <c r="D7194" s="51">
        <v>64.0</v>
      </c>
      <c r="E7194" s="52" t="s">
        <v>25</v>
      </c>
      <c r="F7194" s="52" t="s">
        <v>26</v>
      </c>
      <c r="G7194" s="53"/>
    </row>
    <row r="7195">
      <c r="A7195" s="49">
        <v>44588.522964918986</v>
      </c>
      <c r="B7195" s="50">
        <v>44588.6479371064</v>
      </c>
      <c r="C7195" s="51">
        <v>1.0</v>
      </c>
      <c r="D7195" s="51">
        <v>64.0</v>
      </c>
      <c r="E7195" s="52" t="s">
        <v>25</v>
      </c>
      <c r="F7195" s="52" t="s">
        <v>26</v>
      </c>
      <c r="G7195" s="53"/>
    </row>
    <row r="7196">
      <c r="A7196" s="49">
        <v>44588.533385821764</v>
      </c>
      <c r="B7196" s="50">
        <v>44588.6583580208</v>
      </c>
      <c r="C7196" s="51">
        <v>1.001</v>
      </c>
      <c r="D7196" s="51">
        <v>64.0</v>
      </c>
      <c r="E7196" s="52" t="s">
        <v>25</v>
      </c>
      <c r="F7196" s="52" t="s">
        <v>26</v>
      </c>
      <c r="G7196" s="53"/>
    </row>
    <row r="7197">
      <c r="A7197" s="49">
        <v>44588.543807071765</v>
      </c>
      <c r="B7197" s="50">
        <v>44588.6687804398</v>
      </c>
      <c r="C7197" s="51">
        <v>1.0</v>
      </c>
      <c r="D7197" s="51">
        <v>64.0</v>
      </c>
      <c r="E7197" s="52" t="s">
        <v>25</v>
      </c>
      <c r="F7197" s="52" t="s">
        <v>26</v>
      </c>
      <c r="G7197" s="53"/>
    </row>
    <row r="7198">
      <c r="A7198" s="49">
        <v>44588.55423100694</v>
      </c>
      <c r="B7198" s="50">
        <v>44588.6792022685</v>
      </c>
      <c r="C7198" s="51">
        <v>1.001</v>
      </c>
      <c r="D7198" s="51">
        <v>64.0</v>
      </c>
      <c r="E7198" s="52" t="s">
        <v>25</v>
      </c>
      <c r="F7198" s="52" t="s">
        <v>26</v>
      </c>
      <c r="G7198" s="53"/>
    </row>
    <row r="7199">
      <c r="A7199" s="49">
        <v>44588.56465024306</v>
      </c>
      <c r="B7199" s="50">
        <v>44588.6896237037</v>
      </c>
      <c r="C7199" s="51">
        <v>1.0</v>
      </c>
      <c r="D7199" s="51">
        <v>64.0</v>
      </c>
      <c r="E7199" s="52" t="s">
        <v>25</v>
      </c>
      <c r="F7199" s="52" t="s">
        <v>26</v>
      </c>
      <c r="G7199" s="53"/>
    </row>
    <row r="7200">
      <c r="A7200" s="49">
        <v>44588.57507211805</v>
      </c>
      <c r="B7200" s="50">
        <v>44588.7000446296</v>
      </c>
      <c r="C7200" s="51">
        <v>1.0</v>
      </c>
      <c r="D7200" s="51">
        <v>64.0</v>
      </c>
      <c r="E7200" s="52" t="s">
        <v>25</v>
      </c>
      <c r="F7200" s="52" t="s">
        <v>26</v>
      </c>
      <c r="G7200" s="53"/>
    </row>
    <row r="7201">
      <c r="A7201" s="49">
        <v>44588.585492488426</v>
      </c>
      <c r="B7201" s="50">
        <v>44588.7104662037</v>
      </c>
      <c r="C7201" s="51">
        <v>1.0</v>
      </c>
      <c r="D7201" s="51">
        <v>64.0</v>
      </c>
      <c r="E7201" s="52" t="s">
        <v>25</v>
      </c>
      <c r="F7201" s="52" t="s">
        <v>26</v>
      </c>
      <c r="G7201" s="53"/>
    </row>
    <row r="7202">
      <c r="A7202" s="49">
        <v>44588.595914571764</v>
      </c>
      <c r="B7202" s="50">
        <v>44588.7208874652</v>
      </c>
      <c r="C7202" s="51">
        <v>1.0</v>
      </c>
      <c r="D7202" s="51">
        <v>64.0</v>
      </c>
      <c r="E7202" s="52" t="s">
        <v>25</v>
      </c>
      <c r="F7202" s="52" t="s">
        <v>26</v>
      </c>
      <c r="G7202" s="53"/>
    </row>
    <row r="7203">
      <c r="A7203" s="49">
        <v>44588.60633400463</v>
      </c>
      <c r="B7203" s="50">
        <v>44588.7313077314</v>
      </c>
      <c r="C7203" s="51">
        <v>1.001</v>
      </c>
      <c r="D7203" s="51">
        <v>64.0</v>
      </c>
      <c r="E7203" s="52" t="s">
        <v>25</v>
      </c>
      <c r="F7203" s="52" t="s">
        <v>26</v>
      </c>
      <c r="G7203" s="53"/>
    </row>
    <row r="7204">
      <c r="A7204" s="49">
        <v>44588.61674524305</v>
      </c>
      <c r="B7204" s="50">
        <v>44588.7417280092</v>
      </c>
      <c r="C7204" s="51">
        <v>1.001</v>
      </c>
      <c r="D7204" s="51">
        <v>64.0</v>
      </c>
      <c r="E7204" s="52" t="s">
        <v>25</v>
      </c>
      <c r="F7204" s="52" t="s">
        <v>26</v>
      </c>
      <c r="G7204" s="53"/>
    </row>
    <row r="7205">
      <c r="A7205" s="49">
        <v>44588.627173217596</v>
      </c>
      <c r="B7205" s="50">
        <v>44588.7521498032</v>
      </c>
      <c r="C7205" s="51">
        <v>1.0</v>
      </c>
      <c r="D7205" s="51">
        <v>64.0</v>
      </c>
      <c r="E7205" s="52" t="s">
        <v>25</v>
      </c>
      <c r="F7205" s="52" t="s">
        <v>26</v>
      </c>
      <c r="G7205" s="53"/>
    </row>
    <row r="7206">
      <c r="A7206" s="49">
        <v>44588.637609247686</v>
      </c>
      <c r="B7206" s="50">
        <v>44588.7625823726</v>
      </c>
      <c r="C7206" s="51">
        <v>1.0</v>
      </c>
      <c r="D7206" s="51">
        <v>64.0</v>
      </c>
      <c r="E7206" s="52" t="s">
        <v>25</v>
      </c>
      <c r="F7206" s="52" t="s">
        <v>26</v>
      </c>
      <c r="G7206" s="53"/>
    </row>
    <row r="7207">
      <c r="A7207" s="49">
        <v>44588.64802881944</v>
      </c>
      <c r="B7207" s="50">
        <v>44588.7730021296</v>
      </c>
      <c r="C7207" s="51">
        <v>1.0</v>
      </c>
      <c r="D7207" s="51">
        <v>64.0</v>
      </c>
      <c r="E7207" s="52" t="s">
        <v>25</v>
      </c>
      <c r="F7207" s="52" t="s">
        <v>26</v>
      </c>
      <c r="G7207" s="53"/>
    </row>
    <row r="7208">
      <c r="A7208" s="49">
        <v>44588.658447361115</v>
      </c>
      <c r="B7208" s="50">
        <v>44588.7834224884</v>
      </c>
      <c r="C7208" s="51">
        <v>1.001</v>
      </c>
      <c r="D7208" s="51">
        <v>64.0</v>
      </c>
      <c r="E7208" s="52" t="s">
        <v>25</v>
      </c>
      <c r="F7208" s="52" t="s">
        <v>26</v>
      </c>
      <c r="G7208" s="53"/>
    </row>
    <row r="7209">
      <c r="A7209" s="49">
        <v>44588.66886910879</v>
      </c>
      <c r="B7209" s="50">
        <v>44588.7938440046</v>
      </c>
      <c r="C7209" s="51">
        <v>1.001</v>
      </c>
      <c r="D7209" s="51">
        <v>64.0</v>
      </c>
      <c r="E7209" s="52" t="s">
        <v>25</v>
      </c>
      <c r="F7209" s="52" t="s">
        <v>26</v>
      </c>
      <c r="G7209" s="53"/>
    </row>
    <row r="7210">
      <c r="A7210" s="49">
        <v>44588.679286087965</v>
      </c>
      <c r="B7210" s="50">
        <v>44588.8042648842</v>
      </c>
      <c r="C7210" s="51">
        <v>1.0</v>
      </c>
      <c r="D7210" s="51">
        <v>64.0</v>
      </c>
      <c r="E7210" s="52" t="s">
        <v>25</v>
      </c>
      <c r="F7210" s="52" t="s">
        <v>26</v>
      </c>
      <c r="G7210" s="53"/>
    </row>
    <row r="7211">
      <c r="A7211" s="49">
        <v>44588.689705983794</v>
      </c>
      <c r="B7211" s="50">
        <v>44588.8146840277</v>
      </c>
      <c r="C7211" s="51">
        <v>1.0</v>
      </c>
      <c r="D7211" s="51">
        <v>64.0</v>
      </c>
      <c r="E7211" s="52" t="s">
        <v>25</v>
      </c>
      <c r="F7211" s="52" t="s">
        <v>26</v>
      </c>
      <c r="G7211" s="53"/>
    </row>
    <row r="7212">
      <c r="A7212" s="49">
        <v>44588.70014270833</v>
      </c>
      <c r="B7212" s="50">
        <v>44588.8251064583</v>
      </c>
      <c r="C7212" s="51">
        <v>1.0</v>
      </c>
      <c r="D7212" s="51">
        <v>64.0</v>
      </c>
      <c r="E7212" s="52" t="s">
        <v>25</v>
      </c>
      <c r="F7212" s="52" t="s">
        <v>26</v>
      </c>
      <c r="G7212" s="53"/>
    </row>
    <row r="7213">
      <c r="A7213" s="49">
        <v>44588.710555474536</v>
      </c>
      <c r="B7213" s="50">
        <v>44588.8355272453</v>
      </c>
      <c r="C7213" s="51">
        <v>1.0</v>
      </c>
      <c r="D7213" s="51">
        <v>63.0</v>
      </c>
      <c r="E7213" s="52" t="s">
        <v>25</v>
      </c>
      <c r="F7213" s="52" t="s">
        <v>26</v>
      </c>
      <c r="G7213" s="53"/>
    </row>
    <row r="7214">
      <c r="A7214" s="49">
        <v>44588.72097253472</v>
      </c>
      <c r="B7214" s="50">
        <v>44588.8459487962</v>
      </c>
      <c r="C7214" s="51">
        <v>1.001</v>
      </c>
      <c r="D7214" s="51">
        <v>63.0</v>
      </c>
      <c r="E7214" s="52" t="s">
        <v>25</v>
      </c>
      <c r="F7214" s="52" t="s">
        <v>26</v>
      </c>
      <c r="G7214" s="53"/>
    </row>
    <row r="7215">
      <c r="A7215" s="49">
        <v>44588.73140256944</v>
      </c>
      <c r="B7215" s="50">
        <v>44588.8563705439</v>
      </c>
      <c r="C7215" s="51">
        <v>1.001</v>
      </c>
      <c r="D7215" s="51">
        <v>63.0</v>
      </c>
      <c r="E7215" s="52" t="s">
        <v>25</v>
      </c>
      <c r="F7215" s="52" t="s">
        <v>26</v>
      </c>
      <c r="G7215" s="53"/>
    </row>
    <row r="7216">
      <c r="A7216" s="49">
        <v>44588.74182460648</v>
      </c>
      <c r="B7216" s="50">
        <v>44588.8667920833</v>
      </c>
      <c r="C7216" s="51">
        <v>1.0</v>
      </c>
      <c r="D7216" s="51">
        <v>63.0</v>
      </c>
      <c r="E7216" s="52" t="s">
        <v>25</v>
      </c>
      <c r="F7216" s="52" t="s">
        <v>26</v>
      </c>
      <c r="G7216" s="53"/>
    </row>
    <row r="7217">
      <c r="A7217" s="49">
        <v>44588.752250578706</v>
      </c>
      <c r="B7217" s="50">
        <v>44588.8772242708</v>
      </c>
      <c r="C7217" s="51">
        <v>1.001</v>
      </c>
      <c r="D7217" s="51">
        <v>63.0</v>
      </c>
      <c r="E7217" s="52" t="s">
        <v>25</v>
      </c>
      <c r="F7217" s="52" t="s">
        <v>26</v>
      </c>
      <c r="G7217" s="53"/>
    </row>
    <row r="7218">
      <c r="A7218" s="49">
        <v>44588.76266565973</v>
      </c>
      <c r="B7218" s="50">
        <v>44588.8876455555</v>
      </c>
      <c r="C7218" s="51">
        <v>1.0</v>
      </c>
      <c r="D7218" s="51">
        <v>63.0</v>
      </c>
      <c r="E7218" s="52" t="s">
        <v>25</v>
      </c>
      <c r="F7218" s="52" t="s">
        <v>26</v>
      </c>
      <c r="G7218" s="53"/>
    </row>
    <row r="7219">
      <c r="A7219" s="49">
        <v>44588.77309559028</v>
      </c>
      <c r="B7219" s="50">
        <v>44588.8980656712</v>
      </c>
      <c r="C7219" s="51">
        <v>1.001</v>
      </c>
      <c r="D7219" s="51">
        <v>63.0</v>
      </c>
      <c r="E7219" s="52" t="s">
        <v>25</v>
      </c>
      <c r="F7219" s="52" t="s">
        <v>26</v>
      </c>
      <c r="G7219" s="53"/>
    </row>
    <row r="7220">
      <c r="A7220" s="49">
        <v>44588.78351350695</v>
      </c>
      <c r="B7220" s="50">
        <v>44588.9084876504</v>
      </c>
      <c r="C7220" s="51">
        <v>1.001</v>
      </c>
      <c r="D7220" s="51">
        <v>63.0</v>
      </c>
      <c r="E7220" s="52" t="s">
        <v>25</v>
      </c>
      <c r="F7220" s="52" t="s">
        <v>26</v>
      </c>
      <c r="G7220" s="53"/>
    </row>
    <row r="7221">
      <c r="A7221" s="49">
        <v>44588.79393613426</v>
      </c>
      <c r="B7221" s="50">
        <v>44588.9189075925</v>
      </c>
      <c r="C7221" s="51">
        <v>1.001</v>
      </c>
      <c r="D7221" s="51">
        <v>63.0</v>
      </c>
      <c r="E7221" s="52" t="s">
        <v>25</v>
      </c>
      <c r="F7221" s="52" t="s">
        <v>26</v>
      </c>
      <c r="G7221" s="53"/>
    </row>
    <row r="7222">
      <c r="A7222" s="49">
        <v>44588.80435453704</v>
      </c>
      <c r="B7222" s="50">
        <v>44588.9293284953</v>
      </c>
      <c r="C7222" s="51">
        <v>1.0</v>
      </c>
      <c r="D7222" s="51">
        <v>63.0</v>
      </c>
      <c r="E7222" s="52" t="s">
        <v>25</v>
      </c>
      <c r="F7222" s="52" t="s">
        <v>26</v>
      </c>
      <c r="G7222" s="53"/>
    </row>
    <row r="7223">
      <c r="A7223" s="49">
        <v>44588.81477273148</v>
      </c>
      <c r="B7223" s="50">
        <v>44588.939749537</v>
      </c>
      <c r="C7223" s="51">
        <v>1.001</v>
      </c>
      <c r="D7223" s="51">
        <v>63.0</v>
      </c>
      <c r="E7223" s="52" t="s">
        <v>25</v>
      </c>
      <c r="F7223" s="52" t="s">
        <v>26</v>
      </c>
      <c r="G7223" s="53"/>
    </row>
    <row r="7224">
      <c r="A7224" s="49">
        <v>44588.82521912037</v>
      </c>
      <c r="B7224" s="50">
        <v>44588.9501938425</v>
      </c>
      <c r="C7224" s="51">
        <v>1.0</v>
      </c>
      <c r="D7224" s="51">
        <v>63.0</v>
      </c>
      <c r="E7224" s="52" t="s">
        <v>25</v>
      </c>
      <c r="F7224" s="52" t="s">
        <v>26</v>
      </c>
      <c r="G7224" s="53"/>
    </row>
    <row r="7225">
      <c r="A7225" s="49">
        <v>44588.835654826384</v>
      </c>
      <c r="B7225" s="50">
        <v>44588.9606265393</v>
      </c>
      <c r="C7225" s="51">
        <v>1.001</v>
      </c>
      <c r="D7225" s="51">
        <v>63.0</v>
      </c>
      <c r="E7225" s="52" t="s">
        <v>25</v>
      </c>
      <c r="F7225" s="52" t="s">
        <v>26</v>
      </c>
      <c r="G7225" s="53"/>
    </row>
    <row r="7226">
      <c r="A7226" s="49">
        <v>44588.846067754625</v>
      </c>
      <c r="B7226" s="50">
        <v>44588.9710468287</v>
      </c>
      <c r="C7226" s="51">
        <v>1.0</v>
      </c>
      <c r="D7226" s="51">
        <v>63.0</v>
      </c>
      <c r="E7226" s="52" t="s">
        <v>25</v>
      </c>
      <c r="F7226" s="52" t="s">
        <v>26</v>
      </c>
      <c r="G7226" s="53"/>
    </row>
    <row r="7227">
      <c r="A7227" s="49">
        <v>44588.85649074074</v>
      </c>
      <c r="B7227" s="50">
        <v>44588.9814665046</v>
      </c>
      <c r="C7227" s="51">
        <v>1.0</v>
      </c>
      <c r="D7227" s="51">
        <v>63.0</v>
      </c>
      <c r="E7227" s="52" t="s">
        <v>25</v>
      </c>
      <c r="F7227" s="52" t="s">
        <v>26</v>
      </c>
      <c r="G7227" s="53"/>
    </row>
    <row r="7228">
      <c r="A7228" s="49">
        <v>44588.86692680555</v>
      </c>
      <c r="B7228" s="50">
        <v>44588.9919010648</v>
      </c>
      <c r="C7228" s="51">
        <v>1.001</v>
      </c>
      <c r="D7228" s="51">
        <v>63.0</v>
      </c>
      <c r="E7228" s="52" t="s">
        <v>25</v>
      </c>
      <c r="F7228" s="52" t="s">
        <v>26</v>
      </c>
      <c r="G7228" s="53"/>
    </row>
    <row r="7229">
      <c r="A7229" s="49">
        <v>44588.87734769676</v>
      </c>
      <c r="B7229" s="50">
        <v>44589.002321655</v>
      </c>
      <c r="C7229" s="51">
        <v>1.0</v>
      </c>
      <c r="D7229" s="51">
        <v>63.0</v>
      </c>
      <c r="E7229" s="52" t="s">
        <v>25</v>
      </c>
      <c r="F7229" s="52" t="s">
        <v>26</v>
      </c>
      <c r="G7229" s="53"/>
    </row>
    <row r="7230">
      <c r="A7230" s="49">
        <v>44588.88776520833</v>
      </c>
      <c r="B7230" s="50">
        <v>44589.0127438888</v>
      </c>
      <c r="C7230" s="51">
        <v>1.001</v>
      </c>
      <c r="D7230" s="51">
        <v>63.0</v>
      </c>
      <c r="E7230" s="52" t="s">
        <v>25</v>
      </c>
      <c r="F7230" s="52" t="s">
        <v>26</v>
      </c>
      <c r="G7230" s="53"/>
    </row>
    <row r="7231">
      <c r="A7231" s="49">
        <v>44588.898200717595</v>
      </c>
      <c r="B7231" s="50">
        <v>44589.0231765625</v>
      </c>
      <c r="C7231" s="51">
        <v>1.0</v>
      </c>
      <c r="D7231" s="51">
        <v>63.0</v>
      </c>
      <c r="E7231" s="52" t="s">
        <v>25</v>
      </c>
      <c r="F7231" s="52" t="s">
        <v>26</v>
      </c>
      <c r="G7231" s="53"/>
    </row>
    <row r="7232">
      <c r="A7232" s="49">
        <v>44588.90862869213</v>
      </c>
      <c r="B7232" s="50">
        <v>44589.0336090625</v>
      </c>
      <c r="C7232" s="51">
        <v>1.001</v>
      </c>
      <c r="D7232" s="51">
        <v>63.0</v>
      </c>
      <c r="E7232" s="52" t="s">
        <v>25</v>
      </c>
      <c r="F7232" s="52" t="s">
        <v>26</v>
      </c>
      <c r="G7232" s="53"/>
    </row>
    <row r="7233">
      <c r="A7233" s="49">
        <v>44588.91905837963</v>
      </c>
      <c r="B7233" s="50">
        <v>44589.0440302893</v>
      </c>
      <c r="C7233" s="51">
        <v>1.0</v>
      </c>
      <c r="D7233" s="51">
        <v>63.0</v>
      </c>
      <c r="E7233" s="52" t="s">
        <v>25</v>
      </c>
      <c r="F7233" s="52" t="s">
        <v>26</v>
      </c>
      <c r="G7233" s="53"/>
    </row>
    <row r="7234">
      <c r="A7234" s="49">
        <v>44588.92948160879</v>
      </c>
      <c r="B7234" s="50">
        <v>44589.0544514699</v>
      </c>
      <c r="C7234" s="51">
        <v>1.0</v>
      </c>
      <c r="D7234" s="51">
        <v>63.0</v>
      </c>
      <c r="E7234" s="52" t="s">
        <v>25</v>
      </c>
      <c r="F7234" s="52" t="s">
        <v>26</v>
      </c>
      <c r="G7234" s="53"/>
    </row>
    <row r="7235">
      <c r="A7235" s="49">
        <v>44588.939903356484</v>
      </c>
      <c r="B7235" s="50">
        <v>44589.0648737268</v>
      </c>
      <c r="C7235" s="51">
        <v>1.001</v>
      </c>
      <c r="D7235" s="51">
        <v>63.0</v>
      </c>
      <c r="E7235" s="52" t="s">
        <v>25</v>
      </c>
      <c r="F7235" s="52" t="s">
        <v>26</v>
      </c>
      <c r="G7235" s="53"/>
    </row>
    <row r="7236">
      <c r="A7236" s="49">
        <v>44588.950318194446</v>
      </c>
      <c r="B7236" s="50">
        <v>44589.0752967592</v>
      </c>
      <c r="C7236" s="51">
        <v>1.001</v>
      </c>
      <c r="D7236" s="51">
        <v>63.0</v>
      </c>
      <c r="E7236" s="52" t="s">
        <v>25</v>
      </c>
      <c r="F7236" s="52" t="s">
        <v>26</v>
      </c>
      <c r="G7236" s="53"/>
    </row>
    <row r="7237">
      <c r="A7237" s="49">
        <v>44588.96074420139</v>
      </c>
      <c r="B7237" s="50">
        <v>44589.085717824</v>
      </c>
      <c r="C7237" s="51">
        <v>1.0</v>
      </c>
      <c r="D7237" s="51">
        <v>63.0</v>
      </c>
      <c r="E7237" s="52" t="s">
        <v>25</v>
      </c>
      <c r="F7237" s="52" t="s">
        <v>26</v>
      </c>
      <c r="G7237" s="53"/>
    </row>
    <row r="7238">
      <c r="A7238" s="49">
        <v>44588.971167129625</v>
      </c>
      <c r="B7238" s="50">
        <v>44589.0961374305</v>
      </c>
      <c r="C7238" s="51">
        <v>1.001</v>
      </c>
      <c r="D7238" s="51">
        <v>63.0</v>
      </c>
      <c r="E7238" s="52" t="s">
        <v>25</v>
      </c>
      <c r="F7238" s="52" t="s">
        <v>26</v>
      </c>
      <c r="G7238" s="53"/>
    </row>
    <row r="7239">
      <c r="A7239" s="49">
        <v>44588.98158458334</v>
      </c>
      <c r="B7239" s="50">
        <v>44589.1065590509</v>
      </c>
      <c r="C7239" s="51">
        <v>1.0</v>
      </c>
      <c r="D7239" s="51">
        <v>63.0</v>
      </c>
      <c r="E7239" s="52" t="s">
        <v>25</v>
      </c>
      <c r="F7239" s="52" t="s">
        <v>26</v>
      </c>
      <c r="G7239" s="53"/>
    </row>
    <row r="7240">
      <c r="A7240" s="49">
        <v>44588.99200909722</v>
      </c>
      <c r="B7240" s="50">
        <v>44589.1169796875</v>
      </c>
      <c r="C7240" s="51">
        <v>1.001</v>
      </c>
      <c r="D7240" s="51">
        <v>63.0</v>
      </c>
      <c r="E7240" s="52" t="s">
        <v>25</v>
      </c>
      <c r="F7240" s="52" t="s">
        <v>26</v>
      </c>
      <c r="G7240" s="53"/>
    </row>
    <row r="7241">
      <c r="A7241" s="49">
        <v>44589.00242636574</v>
      </c>
      <c r="B7241" s="50">
        <v>44589.1274003819</v>
      </c>
      <c r="C7241" s="51">
        <v>1.001</v>
      </c>
      <c r="D7241" s="51">
        <v>63.0</v>
      </c>
      <c r="E7241" s="52" t="s">
        <v>25</v>
      </c>
      <c r="F7241" s="52" t="s">
        <v>26</v>
      </c>
      <c r="G7241" s="53"/>
    </row>
    <row r="7242">
      <c r="A7242" s="49">
        <v>44589.01284905092</v>
      </c>
      <c r="B7242" s="50">
        <v>44589.1378227199</v>
      </c>
      <c r="C7242" s="51">
        <v>1.0</v>
      </c>
      <c r="D7242" s="51">
        <v>63.0</v>
      </c>
      <c r="E7242" s="52" t="s">
        <v>25</v>
      </c>
      <c r="F7242" s="52" t="s">
        <v>26</v>
      </c>
      <c r="G7242" s="53"/>
    </row>
    <row r="7243">
      <c r="A7243" s="49">
        <v>44589.02327280093</v>
      </c>
      <c r="B7243" s="50">
        <v>44589.1482447685</v>
      </c>
      <c r="C7243" s="51">
        <v>1.0</v>
      </c>
      <c r="D7243" s="51">
        <v>63.0</v>
      </c>
      <c r="E7243" s="52" t="s">
        <v>25</v>
      </c>
      <c r="F7243" s="52" t="s">
        <v>26</v>
      </c>
      <c r="G7243" s="53"/>
    </row>
    <row r="7244">
      <c r="A7244" s="49">
        <v>44589.03370803241</v>
      </c>
      <c r="B7244" s="50">
        <v>44589.1586786458</v>
      </c>
      <c r="C7244" s="51">
        <v>1.0</v>
      </c>
      <c r="D7244" s="51">
        <v>62.0</v>
      </c>
      <c r="E7244" s="52" t="s">
        <v>25</v>
      </c>
      <c r="F7244" s="52" t="s">
        <v>26</v>
      </c>
      <c r="G7244" s="53"/>
    </row>
    <row r="7245">
      <c r="A7245" s="49">
        <v>44589.044124004635</v>
      </c>
      <c r="B7245" s="50">
        <v>44589.1691012384</v>
      </c>
      <c r="C7245" s="51">
        <v>1.0</v>
      </c>
      <c r="D7245" s="51">
        <v>62.0</v>
      </c>
      <c r="E7245" s="52" t="s">
        <v>25</v>
      </c>
      <c r="F7245" s="52" t="s">
        <v>26</v>
      </c>
      <c r="G7245" s="53"/>
    </row>
    <row r="7246">
      <c r="A7246" s="49">
        <v>44589.054554710645</v>
      </c>
      <c r="B7246" s="50">
        <v>44589.1795218055</v>
      </c>
      <c r="C7246" s="51">
        <v>1.0</v>
      </c>
      <c r="D7246" s="51">
        <v>62.0</v>
      </c>
      <c r="E7246" s="52" t="s">
        <v>25</v>
      </c>
      <c r="F7246" s="52" t="s">
        <v>26</v>
      </c>
      <c r="G7246" s="53"/>
    </row>
    <row r="7247">
      <c r="A7247" s="49">
        <v>44589.064970810185</v>
      </c>
      <c r="B7247" s="50">
        <v>44589.1899426967</v>
      </c>
      <c r="C7247" s="51">
        <v>1.0</v>
      </c>
      <c r="D7247" s="51">
        <v>62.0</v>
      </c>
      <c r="E7247" s="52" t="s">
        <v>25</v>
      </c>
      <c r="F7247" s="52" t="s">
        <v>26</v>
      </c>
      <c r="G7247" s="53"/>
    </row>
    <row r="7248">
      <c r="A7248" s="49">
        <v>44589.07538859954</v>
      </c>
      <c r="B7248" s="50">
        <v>44589.2003631018</v>
      </c>
      <c r="C7248" s="51">
        <v>1.001</v>
      </c>
      <c r="D7248" s="51">
        <v>62.0</v>
      </c>
      <c r="E7248" s="52" t="s">
        <v>25</v>
      </c>
      <c r="F7248" s="52" t="s">
        <v>26</v>
      </c>
      <c r="G7248" s="53"/>
    </row>
    <row r="7249">
      <c r="A7249" s="49">
        <v>44589.08581675926</v>
      </c>
      <c r="B7249" s="50">
        <v>44589.2107827314</v>
      </c>
      <c r="C7249" s="51">
        <v>1.0</v>
      </c>
      <c r="D7249" s="51">
        <v>62.0</v>
      </c>
      <c r="E7249" s="52" t="s">
        <v>25</v>
      </c>
      <c r="F7249" s="52" t="s">
        <v>26</v>
      </c>
      <c r="G7249" s="53"/>
    </row>
    <row r="7250">
      <c r="A7250" s="49">
        <v>44589.09623510417</v>
      </c>
      <c r="B7250" s="50">
        <v>44589.2212024884</v>
      </c>
      <c r="C7250" s="51">
        <v>1.0</v>
      </c>
      <c r="D7250" s="51">
        <v>62.0</v>
      </c>
      <c r="E7250" s="52" t="s">
        <v>25</v>
      </c>
      <c r="F7250" s="52" t="s">
        <v>26</v>
      </c>
      <c r="G7250" s="53"/>
    </row>
    <row r="7251">
      <c r="A7251" s="49">
        <v>44589.106648796296</v>
      </c>
      <c r="B7251" s="50">
        <v>44589.2316224421</v>
      </c>
      <c r="C7251" s="51">
        <v>1.0</v>
      </c>
      <c r="D7251" s="51">
        <v>62.0</v>
      </c>
      <c r="E7251" s="52" t="s">
        <v>25</v>
      </c>
      <c r="F7251" s="52" t="s">
        <v>26</v>
      </c>
      <c r="G7251" s="53"/>
    </row>
    <row r="7252">
      <c r="A7252" s="49">
        <v>44589.117074525464</v>
      </c>
      <c r="B7252" s="50">
        <v>44589.2420432754</v>
      </c>
      <c r="C7252" s="51">
        <v>1.001</v>
      </c>
      <c r="D7252" s="51">
        <v>62.0</v>
      </c>
      <c r="E7252" s="52" t="s">
        <v>25</v>
      </c>
      <c r="F7252" s="52" t="s">
        <v>26</v>
      </c>
      <c r="G7252" s="53"/>
    </row>
    <row r="7253">
      <c r="A7253" s="49">
        <v>44589.127492604166</v>
      </c>
      <c r="B7253" s="50">
        <v>44589.2524655902</v>
      </c>
      <c r="C7253" s="51">
        <v>1.001</v>
      </c>
      <c r="D7253" s="51">
        <v>62.0</v>
      </c>
      <c r="E7253" s="52" t="s">
        <v>25</v>
      </c>
      <c r="F7253" s="52" t="s">
        <v>26</v>
      </c>
      <c r="G7253" s="53"/>
    </row>
    <row r="7254">
      <c r="A7254" s="49">
        <v>44589.13791289352</v>
      </c>
      <c r="B7254" s="50">
        <v>44589.2628875347</v>
      </c>
      <c r="C7254" s="51">
        <v>1.0</v>
      </c>
      <c r="D7254" s="51">
        <v>62.0</v>
      </c>
      <c r="E7254" s="52" t="s">
        <v>25</v>
      </c>
      <c r="F7254" s="52" t="s">
        <v>26</v>
      </c>
      <c r="G7254" s="53"/>
    </row>
    <row r="7255">
      <c r="A7255" s="49">
        <v>44589.14833777778</v>
      </c>
      <c r="B7255" s="50">
        <v>44589.273310405</v>
      </c>
      <c r="C7255" s="51">
        <v>1.001</v>
      </c>
      <c r="D7255" s="51">
        <v>62.0</v>
      </c>
      <c r="E7255" s="52" t="s">
        <v>25</v>
      </c>
      <c r="F7255" s="52" t="s">
        <v>26</v>
      </c>
      <c r="G7255" s="53"/>
    </row>
    <row r="7256">
      <c r="A7256" s="49">
        <v>44589.15877309028</v>
      </c>
      <c r="B7256" s="50">
        <v>44589.2837435069</v>
      </c>
      <c r="C7256" s="51">
        <v>1.0</v>
      </c>
      <c r="D7256" s="51">
        <v>62.0</v>
      </c>
      <c r="E7256" s="52" t="s">
        <v>25</v>
      </c>
      <c r="F7256" s="52" t="s">
        <v>26</v>
      </c>
      <c r="G7256" s="53"/>
    </row>
    <row r="7257">
      <c r="A7257" s="49">
        <v>44589.169195243056</v>
      </c>
      <c r="B7257" s="50">
        <v>44589.2941632175</v>
      </c>
      <c r="C7257" s="51">
        <v>1.001</v>
      </c>
      <c r="D7257" s="51">
        <v>62.0</v>
      </c>
      <c r="E7257" s="52" t="s">
        <v>25</v>
      </c>
      <c r="F7257" s="52" t="s">
        <v>26</v>
      </c>
      <c r="G7257" s="53"/>
    </row>
    <row r="7258">
      <c r="A7258" s="49">
        <v>44589.179610520834</v>
      </c>
      <c r="B7258" s="50">
        <v>44589.3045836921</v>
      </c>
      <c r="C7258" s="51">
        <v>1.0</v>
      </c>
      <c r="D7258" s="51">
        <v>62.0</v>
      </c>
      <c r="E7258" s="52" t="s">
        <v>25</v>
      </c>
      <c r="F7258" s="52" t="s">
        <v>26</v>
      </c>
      <c r="G7258" s="53"/>
    </row>
    <row r="7259">
      <c r="A7259" s="49">
        <v>44589.190029108795</v>
      </c>
      <c r="B7259" s="50">
        <v>44589.3150061458</v>
      </c>
      <c r="C7259" s="51">
        <v>1.0</v>
      </c>
      <c r="D7259" s="51">
        <v>62.0</v>
      </c>
      <c r="E7259" s="52" t="s">
        <v>25</v>
      </c>
      <c r="F7259" s="52" t="s">
        <v>26</v>
      </c>
      <c r="G7259" s="53"/>
    </row>
    <row r="7260">
      <c r="A7260" s="49">
        <v>44589.20046269676</v>
      </c>
      <c r="B7260" s="50">
        <v>44589.3254250578</v>
      </c>
      <c r="C7260" s="51">
        <v>1.001</v>
      </c>
      <c r="D7260" s="51">
        <v>62.0</v>
      </c>
      <c r="E7260" s="52" t="s">
        <v>25</v>
      </c>
      <c r="F7260" s="52" t="s">
        <v>26</v>
      </c>
      <c r="G7260" s="53"/>
    </row>
    <row r="7261">
      <c r="A7261" s="49">
        <v>44589.21087851852</v>
      </c>
      <c r="B7261" s="50">
        <v>44589.3358480324</v>
      </c>
      <c r="C7261" s="51">
        <v>1.0</v>
      </c>
      <c r="D7261" s="51">
        <v>62.0</v>
      </c>
      <c r="E7261" s="52" t="s">
        <v>25</v>
      </c>
      <c r="F7261" s="52" t="s">
        <v>26</v>
      </c>
      <c r="G7261" s="53"/>
    </row>
    <row r="7262">
      <c r="A7262" s="49">
        <v>44589.221294849536</v>
      </c>
      <c r="B7262" s="50">
        <v>44589.346269699</v>
      </c>
      <c r="C7262" s="51">
        <v>1.0</v>
      </c>
      <c r="D7262" s="51">
        <v>62.0</v>
      </c>
      <c r="E7262" s="52" t="s">
        <v>25</v>
      </c>
      <c r="F7262" s="52" t="s">
        <v>26</v>
      </c>
      <c r="G7262" s="53"/>
    </row>
    <row r="7263">
      <c r="A7263" s="49">
        <v>44589.23171792824</v>
      </c>
      <c r="B7263" s="50">
        <v>44589.3566898842</v>
      </c>
      <c r="C7263" s="51">
        <v>1.001</v>
      </c>
      <c r="D7263" s="51">
        <v>62.0</v>
      </c>
      <c r="E7263" s="52" t="s">
        <v>25</v>
      </c>
      <c r="F7263" s="52" t="s">
        <v>26</v>
      </c>
      <c r="G7263" s="53"/>
    </row>
    <row r="7264">
      <c r="A7264" s="49">
        <v>44589.24214043982</v>
      </c>
      <c r="B7264" s="50">
        <v>44589.3671123379</v>
      </c>
      <c r="C7264" s="51">
        <v>1.001</v>
      </c>
      <c r="D7264" s="51">
        <v>62.0</v>
      </c>
      <c r="E7264" s="52" t="s">
        <v>25</v>
      </c>
      <c r="F7264" s="52" t="s">
        <v>26</v>
      </c>
      <c r="G7264" s="53"/>
    </row>
    <row r="7265">
      <c r="A7265" s="49">
        <v>44589.25257537037</v>
      </c>
      <c r="B7265" s="50">
        <v>44589.3775437268</v>
      </c>
      <c r="C7265" s="51">
        <v>1.0</v>
      </c>
      <c r="D7265" s="51">
        <v>62.0</v>
      </c>
      <c r="E7265" s="52" t="s">
        <v>25</v>
      </c>
      <c r="F7265" s="52" t="s">
        <v>26</v>
      </c>
      <c r="G7265" s="53"/>
    </row>
    <row r="7266">
      <c r="A7266" s="49">
        <v>44589.263002430554</v>
      </c>
      <c r="B7266" s="50">
        <v>44589.3879751851</v>
      </c>
      <c r="C7266" s="51">
        <v>1.001</v>
      </c>
      <c r="D7266" s="51">
        <v>62.0</v>
      </c>
      <c r="E7266" s="52" t="s">
        <v>25</v>
      </c>
      <c r="F7266" s="52" t="s">
        <v>26</v>
      </c>
      <c r="G7266" s="53"/>
    </row>
    <row r="7267">
      <c r="A7267" s="49">
        <v>44589.27343568287</v>
      </c>
      <c r="B7267" s="50">
        <v>44589.3984088425</v>
      </c>
      <c r="C7267" s="51">
        <v>1.001</v>
      </c>
      <c r="D7267" s="51">
        <v>62.0</v>
      </c>
      <c r="E7267" s="52" t="s">
        <v>25</v>
      </c>
      <c r="F7267" s="52" t="s">
        <v>26</v>
      </c>
      <c r="G7267" s="53"/>
    </row>
    <row r="7268">
      <c r="A7268" s="49">
        <v>44589.28387458333</v>
      </c>
      <c r="B7268" s="50">
        <v>44589.4088420601</v>
      </c>
      <c r="C7268" s="51">
        <v>1.001</v>
      </c>
      <c r="D7268" s="51">
        <v>62.0</v>
      </c>
      <c r="E7268" s="52" t="s">
        <v>25</v>
      </c>
      <c r="F7268" s="52" t="s">
        <v>26</v>
      </c>
      <c r="G7268" s="53"/>
    </row>
    <row r="7269">
      <c r="A7269" s="49">
        <v>44589.294295740736</v>
      </c>
      <c r="B7269" s="50">
        <v>44589.4192652662</v>
      </c>
      <c r="C7269" s="51">
        <v>1.001</v>
      </c>
      <c r="D7269" s="51">
        <v>62.0</v>
      </c>
      <c r="E7269" s="52" t="s">
        <v>25</v>
      </c>
      <c r="F7269" s="52" t="s">
        <v>26</v>
      </c>
      <c r="G7269" s="53"/>
    </row>
    <row r="7270">
      <c r="A7270" s="49">
        <v>44589.304717314815</v>
      </c>
      <c r="B7270" s="50">
        <v>44589.4296854513</v>
      </c>
      <c r="C7270" s="51">
        <v>1.001</v>
      </c>
      <c r="D7270" s="51">
        <v>62.0</v>
      </c>
      <c r="E7270" s="52" t="s">
        <v>25</v>
      </c>
      <c r="F7270" s="52" t="s">
        <v>26</v>
      </c>
      <c r="G7270" s="53"/>
    </row>
    <row r="7271">
      <c r="A7271" s="49">
        <v>44589.31512925926</v>
      </c>
      <c r="B7271" s="50">
        <v>44589.4401075925</v>
      </c>
      <c r="C7271" s="51">
        <v>1.001</v>
      </c>
      <c r="D7271" s="51">
        <v>62.0</v>
      </c>
      <c r="E7271" s="52" t="s">
        <v>25</v>
      </c>
      <c r="F7271" s="52" t="s">
        <v>26</v>
      </c>
      <c r="G7271" s="53"/>
    </row>
    <row r="7272">
      <c r="A7272" s="49">
        <v>44589.32559112269</v>
      </c>
      <c r="B7272" s="50">
        <v>44589.4505618287</v>
      </c>
      <c r="C7272" s="51">
        <v>1.001</v>
      </c>
      <c r="D7272" s="51">
        <v>62.0</v>
      </c>
      <c r="E7272" s="52" t="s">
        <v>25</v>
      </c>
      <c r="F7272" s="52" t="s">
        <v>26</v>
      </c>
      <c r="G7272" s="53"/>
    </row>
    <row r="7273">
      <c r="A7273" s="49">
        <v>44589.33602207176</v>
      </c>
      <c r="B7273" s="50">
        <v>44589.4609969791</v>
      </c>
      <c r="C7273" s="51">
        <v>1.001</v>
      </c>
      <c r="D7273" s="51">
        <v>62.0</v>
      </c>
      <c r="E7273" s="52" t="s">
        <v>25</v>
      </c>
      <c r="F7273" s="52" t="s">
        <v>26</v>
      </c>
      <c r="G7273" s="53"/>
    </row>
    <row r="7274">
      <c r="A7274" s="49">
        <v>44589.34645158565</v>
      </c>
      <c r="B7274" s="50">
        <v>44589.4714290509</v>
      </c>
      <c r="C7274" s="51">
        <v>1.0</v>
      </c>
      <c r="D7274" s="51">
        <v>62.0</v>
      </c>
      <c r="E7274" s="52" t="s">
        <v>25</v>
      </c>
      <c r="F7274" s="52" t="s">
        <v>26</v>
      </c>
      <c r="G7274" s="53"/>
    </row>
    <row r="7275">
      <c r="A7275" s="49">
        <v>44589.35687236111</v>
      </c>
      <c r="B7275" s="50">
        <v>44589.481849155</v>
      </c>
      <c r="C7275" s="51">
        <v>1.001</v>
      </c>
      <c r="D7275" s="51">
        <v>62.0</v>
      </c>
      <c r="E7275" s="52" t="s">
        <v>25</v>
      </c>
      <c r="F7275" s="52" t="s">
        <v>26</v>
      </c>
      <c r="G7275" s="53"/>
    </row>
    <row r="7276">
      <c r="A7276" s="49">
        <v>44589.36729521991</v>
      </c>
      <c r="B7276" s="50">
        <v>44589.4922694097</v>
      </c>
      <c r="C7276" s="51">
        <v>1.001</v>
      </c>
      <c r="D7276" s="51">
        <v>62.0</v>
      </c>
      <c r="E7276" s="52" t="s">
        <v>25</v>
      </c>
      <c r="F7276" s="52" t="s">
        <v>26</v>
      </c>
      <c r="G7276" s="53"/>
    </row>
    <row r="7277">
      <c r="A7277" s="49">
        <v>44589.37771883102</v>
      </c>
      <c r="B7277" s="50">
        <v>44589.5026893865</v>
      </c>
      <c r="C7277" s="51">
        <v>1.001</v>
      </c>
      <c r="D7277" s="51">
        <v>62.0</v>
      </c>
      <c r="E7277" s="52" t="s">
        <v>25</v>
      </c>
      <c r="F7277" s="52" t="s">
        <v>26</v>
      </c>
      <c r="G7277" s="53"/>
    </row>
    <row r="7278">
      <c r="A7278" s="49">
        <v>44589.38814391204</v>
      </c>
      <c r="B7278" s="50">
        <v>44589.5131083333</v>
      </c>
      <c r="C7278" s="51">
        <v>1.001</v>
      </c>
      <c r="D7278" s="51">
        <v>62.0</v>
      </c>
      <c r="E7278" s="52" t="s">
        <v>25</v>
      </c>
      <c r="F7278" s="52" t="s">
        <v>26</v>
      </c>
      <c r="G7278" s="53"/>
    </row>
    <row r="7279">
      <c r="A7279" s="49">
        <v>44589.398558472225</v>
      </c>
      <c r="B7279" s="50">
        <v>44589.5235405555</v>
      </c>
      <c r="C7279" s="51">
        <v>1.001</v>
      </c>
      <c r="D7279" s="51">
        <v>62.0</v>
      </c>
      <c r="E7279" s="52" t="s">
        <v>25</v>
      </c>
      <c r="F7279" s="52" t="s">
        <v>26</v>
      </c>
      <c r="G7279" s="53"/>
    </row>
    <row r="7280">
      <c r="A7280" s="49">
        <v>44589.40899465278</v>
      </c>
      <c r="B7280" s="50">
        <v>44589.5339642592</v>
      </c>
      <c r="C7280" s="51">
        <v>1.001</v>
      </c>
      <c r="D7280" s="51">
        <v>62.0</v>
      </c>
      <c r="E7280" s="52" t="s">
        <v>25</v>
      </c>
      <c r="F7280" s="52" t="s">
        <v>26</v>
      </c>
      <c r="G7280" s="53"/>
    </row>
    <row r="7281">
      <c r="A7281" s="49">
        <v>44589.41941045139</v>
      </c>
      <c r="B7281" s="50">
        <v>44589.5443833217</v>
      </c>
      <c r="C7281" s="51">
        <v>1.0</v>
      </c>
      <c r="D7281" s="51">
        <v>62.0</v>
      </c>
      <c r="E7281" s="52" t="s">
        <v>25</v>
      </c>
      <c r="F7281" s="52" t="s">
        <v>26</v>
      </c>
      <c r="G7281" s="53"/>
    </row>
    <row r="7282">
      <c r="A7282" s="49">
        <v>44589.42983569445</v>
      </c>
      <c r="B7282" s="50">
        <v>44589.5548054861</v>
      </c>
      <c r="C7282" s="51">
        <v>1.001</v>
      </c>
      <c r="D7282" s="51">
        <v>62.0</v>
      </c>
      <c r="E7282" s="52" t="s">
        <v>25</v>
      </c>
      <c r="F7282" s="52" t="s">
        <v>26</v>
      </c>
      <c r="G7282" s="53"/>
    </row>
    <row r="7283">
      <c r="A7283" s="49">
        <v>44589.44027234954</v>
      </c>
      <c r="B7283" s="50">
        <v>44589.5652368749</v>
      </c>
      <c r="C7283" s="51">
        <v>1.001</v>
      </c>
      <c r="D7283" s="51">
        <v>62.0</v>
      </c>
      <c r="E7283" s="52" t="s">
        <v>25</v>
      </c>
      <c r="F7283" s="52" t="s">
        <v>26</v>
      </c>
      <c r="G7283" s="53"/>
    </row>
    <row r="7284">
      <c r="A7284" s="49">
        <v>44589.45068792824</v>
      </c>
      <c r="B7284" s="50">
        <v>44589.5756580787</v>
      </c>
      <c r="C7284" s="51">
        <v>1.001</v>
      </c>
      <c r="D7284" s="51">
        <v>62.0</v>
      </c>
      <c r="E7284" s="52" t="s">
        <v>25</v>
      </c>
      <c r="F7284" s="52" t="s">
        <v>26</v>
      </c>
      <c r="G7284" s="53"/>
    </row>
    <row r="7285">
      <c r="A7285" s="49">
        <v>44589.46110082176</v>
      </c>
      <c r="B7285" s="50">
        <v>44589.5860801273</v>
      </c>
      <c r="C7285" s="51">
        <v>1.001</v>
      </c>
      <c r="D7285" s="51">
        <v>62.0</v>
      </c>
      <c r="E7285" s="52" t="s">
        <v>25</v>
      </c>
      <c r="F7285" s="52" t="s">
        <v>26</v>
      </c>
      <c r="G7285" s="53"/>
    </row>
    <row r="7286">
      <c r="A7286" s="49">
        <v>44589.47153577546</v>
      </c>
      <c r="B7286" s="50">
        <v>44589.5965032754</v>
      </c>
      <c r="C7286" s="51">
        <v>1.001</v>
      </c>
      <c r="D7286" s="51">
        <v>62.0</v>
      </c>
      <c r="E7286" s="52" t="s">
        <v>25</v>
      </c>
      <c r="F7286" s="52" t="s">
        <v>26</v>
      </c>
      <c r="G7286" s="53"/>
    </row>
    <row r="7287">
      <c r="A7287" s="49">
        <v>44589.481944618055</v>
      </c>
      <c r="B7287" s="50">
        <v>44589.6069239583</v>
      </c>
      <c r="C7287" s="51">
        <v>1.0</v>
      </c>
      <c r="D7287" s="51">
        <v>62.0</v>
      </c>
      <c r="E7287" s="52" t="s">
        <v>25</v>
      </c>
      <c r="F7287" s="52" t="s">
        <v>26</v>
      </c>
      <c r="G7287" s="53"/>
    </row>
    <row r="7288">
      <c r="A7288" s="49">
        <v>44589.49237190972</v>
      </c>
      <c r="B7288" s="50">
        <v>44589.6173438078</v>
      </c>
      <c r="C7288" s="51">
        <v>1.0</v>
      </c>
      <c r="D7288" s="51">
        <v>62.0</v>
      </c>
      <c r="E7288" s="52" t="s">
        <v>25</v>
      </c>
      <c r="F7288" s="52" t="s">
        <v>26</v>
      </c>
      <c r="G7288" s="53"/>
    </row>
    <row r="7289">
      <c r="A7289" s="49">
        <v>44589.50279835648</v>
      </c>
      <c r="B7289" s="50">
        <v>44589.6277652314</v>
      </c>
      <c r="C7289" s="51">
        <v>1.001</v>
      </c>
      <c r="D7289" s="51">
        <v>62.0</v>
      </c>
      <c r="E7289" s="52" t="s">
        <v>25</v>
      </c>
      <c r="F7289" s="52" t="s">
        <v>26</v>
      </c>
      <c r="G7289" s="53"/>
    </row>
    <row r="7290">
      <c r="A7290" s="49">
        <v>44589.5132153125</v>
      </c>
      <c r="B7290" s="50">
        <v>44589.6381849652</v>
      </c>
      <c r="C7290" s="51">
        <v>1.001</v>
      </c>
      <c r="D7290" s="51">
        <v>62.0</v>
      </c>
      <c r="E7290" s="52" t="s">
        <v>25</v>
      </c>
      <c r="F7290" s="52" t="s">
        <v>26</v>
      </c>
      <c r="G7290" s="53"/>
    </row>
    <row r="7291">
      <c r="A7291" s="49">
        <v>44589.523630972224</v>
      </c>
      <c r="B7291" s="50">
        <v>44589.6486053125</v>
      </c>
      <c r="C7291" s="51">
        <v>1.001</v>
      </c>
      <c r="D7291" s="51">
        <v>62.0</v>
      </c>
      <c r="E7291" s="52" t="s">
        <v>25</v>
      </c>
      <c r="F7291" s="52" t="s">
        <v>26</v>
      </c>
      <c r="G7291" s="53"/>
    </row>
    <row r="7292">
      <c r="A7292" s="49">
        <v>44589.53404810185</v>
      </c>
      <c r="B7292" s="50">
        <v>44589.6590288773</v>
      </c>
      <c r="C7292" s="51">
        <v>1.001</v>
      </c>
      <c r="D7292" s="51">
        <v>62.0</v>
      </c>
      <c r="E7292" s="52" t="s">
        <v>25</v>
      </c>
      <c r="F7292" s="52" t="s">
        <v>26</v>
      </c>
      <c r="G7292" s="53"/>
    </row>
    <row r="7293">
      <c r="A7293" s="49">
        <v>44589.54447980324</v>
      </c>
      <c r="B7293" s="50">
        <v>44589.6694496875</v>
      </c>
      <c r="C7293" s="51">
        <v>1.001</v>
      </c>
      <c r="D7293" s="51">
        <v>62.0</v>
      </c>
      <c r="E7293" s="52" t="s">
        <v>25</v>
      </c>
      <c r="F7293" s="52" t="s">
        <v>26</v>
      </c>
      <c r="G7293" s="53"/>
    </row>
    <row r="7294">
      <c r="A7294" s="49">
        <v>44589.554894375004</v>
      </c>
      <c r="B7294" s="50">
        <v>44589.6798694212</v>
      </c>
      <c r="C7294" s="51">
        <v>1.0</v>
      </c>
      <c r="D7294" s="51">
        <v>62.0</v>
      </c>
      <c r="E7294" s="52" t="s">
        <v>25</v>
      </c>
      <c r="F7294" s="52" t="s">
        <v>26</v>
      </c>
      <c r="G7294" s="53"/>
    </row>
    <row r="7295">
      <c r="A7295" s="49">
        <v>44589.56532375</v>
      </c>
      <c r="B7295" s="50">
        <v>44589.6902902199</v>
      </c>
      <c r="C7295" s="51">
        <v>1.001</v>
      </c>
      <c r="D7295" s="51">
        <v>62.0</v>
      </c>
      <c r="E7295" s="52" t="s">
        <v>25</v>
      </c>
      <c r="F7295" s="52" t="s">
        <v>26</v>
      </c>
      <c r="G7295" s="53"/>
    </row>
    <row r="7296">
      <c r="A7296" s="49">
        <v>44589.57573861111</v>
      </c>
      <c r="B7296" s="50">
        <v>44589.7007101736</v>
      </c>
      <c r="C7296" s="51">
        <v>1.001</v>
      </c>
      <c r="D7296" s="51">
        <v>62.0</v>
      </c>
      <c r="E7296" s="52" t="s">
        <v>25</v>
      </c>
      <c r="F7296" s="52" t="s">
        <v>26</v>
      </c>
      <c r="G7296" s="53"/>
    </row>
    <row r="7297">
      <c r="A7297" s="49">
        <v>44589.58615883102</v>
      </c>
      <c r="B7297" s="50">
        <v>44589.7111308333</v>
      </c>
      <c r="C7297" s="51">
        <v>1.001</v>
      </c>
      <c r="D7297" s="51">
        <v>62.0</v>
      </c>
      <c r="E7297" s="52" t="s">
        <v>25</v>
      </c>
      <c r="F7297" s="52" t="s">
        <v>26</v>
      </c>
      <c r="G7297" s="53"/>
    </row>
    <row r="7298">
      <c r="A7298" s="49">
        <v>44589.59658668982</v>
      </c>
      <c r="B7298" s="50">
        <v>44589.7215639236</v>
      </c>
      <c r="C7298" s="51">
        <v>1.001</v>
      </c>
      <c r="D7298" s="51">
        <v>62.0</v>
      </c>
      <c r="E7298" s="52" t="s">
        <v>25</v>
      </c>
      <c r="F7298" s="52" t="s">
        <v>26</v>
      </c>
      <c r="G7298" s="53"/>
    </row>
    <row r="7299">
      <c r="A7299" s="49">
        <v>44589.60702452547</v>
      </c>
      <c r="B7299" s="50">
        <v>44589.7319971412</v>
      </c>
      <c r="C7299" s="51">
        <v>1.001</v>
      </c>
      <c r="D7299" s="51">
        <v>62.0</v>
      </c>
      <c r="E7299" s="52" t="s">
        <v>25</v>
      </c>
      <c r="F7299" s="52" t="s">
        <v>26</v>
      </c>
      <c r="G7299" s="53"/>
    </row>
    <row r="7300">
      <c r="A7300" s="49">
        <v>44589.61746439815</v>
      </c>
      <c r="B7300" s="50">
        <v>44589.7424421412</v>
      </c>
      <c r="C7300" s="51">
        <v>1.001</v>
      </c>
      <c r="D7300" s="51">
        <v>62.0</v>
      </c>
      <c r="E7300" s="52" t="s">
        <v>25</v>
      </c>
      <c r="F7300" s="52" t="s">
        <v>26</v>
      </c>
      <c r="G7300" s="53"/>
    </row>
    <row r="7301">
      <c r="A7301" s="49">
        <v>44589.62789483796</v>
      </c>
      <c r="B7301" s="50">
        <v>44589.752874537</v>
      </c>
      <c r="C7301" s="51">
        <v>1.001</v>
      </c>
      <c r="D7301" s="51">
        <v>61.0</v>
      </c>
      <c r="E7301" s="52" t="s">
        <v>25</v>
      </c>
      <c r="F7301" s="52" t="s">
        <v>26</v>
      </c>
      <c r="G7301" s="53"/>
    </row>
    <row r="7302">
      <c r="A7302" s="49">
        <v>44589.638325092594</v>
      </c>
      <c r="B7302" s="50">
        <v>44589.7633079629</v>
      </c>
      <c r="C7302" s="51">
        <v>1.001</v>
      </c>
      <c r="D7302" s="51">
        <v>61.0</v>
      </c>
      <c r="E7302" s="52" t="s">
        <v>25</v>
      </c>
      <c r="F7302" s="52" t="s">
        <v>26</v>
      </c>
      <c r="G7302" s="53"/>
    </row>
    <row r="7303">
      <c r="A7303" s="49">
        <v>44589.64875046296</v>
      </c>
      <c r="B7303" s="50">
        <v>44589.7737291666</v>
      </c>
      <c r="C7303" s="51">
        <v>1.001</v>
      </c>
      <c r="D7303" s="51">
        <v>61.0</v>
      </c>
      <c r="E7303" s="52" t="s">
        <v>25</v>
      </c>
      <c r="F7303" s="52" t="s">
        <v>26</v>
      </c>
      <c r="G7303" s="53"/>
    </row>
    <row r="7304">
      <c r="A7304" s="49">
        <v>44589.65917466435</v>
      </c>
      <c r="B7304" s="50">
        <v>44589.7841503703</v>
      </c>
      <c r="C7304" s="51">
        <v>1.0</v>
      </c>
      <c r="D7304" s="51">
        <v>61.0</v>
      </c>
      <c r="E7304" s="52" t="s">
        <v>25</v>
      </c>
      <c r="F7304" s="52" t="s">
        <v>26</v>
      </c>
      <c r="G7304" s="53"/>
    </row>
    <row r="7305">
      <c r="A7305" s="49">
        <v>44589.669598692126</v>
      </c>
      <c r="B7305" s="50">
        <v>44589.7945739814</v>
      </c>
      <c r="C7305" s="51">
        <v>1.001</v>
      </c>
      <c r="D7305" s="51">
        <v>62.0</v>
      </c>
      <c r="E7305" s="52" t="s">
        <v>25</v>
      </c>
      <c r="F7305" s="52" t="s">
        <v>26</v>
      </c>
      <c r="G7305" s="53"/>
    </row>
    <row r="7306">
      <c r="A7306" s="49">
        <v>44589.68003113426</v>
      </c>
      <c r="B7306" s="50">
        <v>44589.8050075115</v>
      </c>
      <c r="C7306" s="51">
        <v>1.001</v>
      </c>
      <c r="D7306" s="51">
        <v>61.0</v>
      </c>
      <c r="E7306" s="52" t="s">
        <v>25</v>
      </c>
      <c r="F7306" s="52" t="s">
        <v>26</v>
      </c>
      <c r="G7306" s="53"/>
    </row>
    <row r="7307">
      <c r="A7307" s="49">
        <v>44589.69045527778</v>
      </c>
      <c r="B7307" s="50">
        <v>44589.8154302777</v>
      </c>
      <c r="C7307" s="51">
        <v>1.001</v>
      </c>
      <c r="D7307" s="51">
        <v>61.0</v>
      </c>
      <c r="E7307" s="52" t="s">
        <v>25</v>
      </c>
      <c r="F7307" s="52" t="s">
        <v>26</v>
      </c>
      <c r="G7307" s="53"/>
    </row>
    <row r="7308">
      <c r="A7308" s="49">
        <v>44589.700890312495</v>
      </c>
      <c r="B7308" s="50">
        <v>44589.8258656597</v>
      </c>
      <c r="C7308" s="51">
        <v>1.0</v>
      </c>
      <c r="D7308" s="51">
        <v>61.0</v>
      </c>
      <c r="E7308" s="52" t="s">
        <v>25</v>
      </c>
      <c r="F7308" s="52" t="s">
        <v>26</v>
      </c>
      <c r="G7308" s="53"/>
    </row>
    <row r="7309">
      <c r="A7309" s="49">
        <v>44589.71130318287</v>
      </c>
      <c r="B7309" s="50">
        <v>44589.8362862036</v>
      </c>
      <c r="C7309" s="51">
        <v>1.0</v>
      </c>
      <c r="D7309" s="51">
        <v>61.0</v>
      </c>
      <c r="E7309" s="52" t="s">
        <v>25</v>
      </c>
      <c r="F7309" s="52" t="s">
        <v>26</v>
      </c>
      <c r="G7309" s="53"/>
    </row>
    <row r="7310">
      <c r="A7310" s="49">
        <v>44589.72174248843</v>
      </c>
      <c r="B7310" s="50">
        <v>44589.8467181828</v>
      </c>
      <c r="C7310" s="51">
        <v>1.001</v>
      </c>
      <c r="D7310" s="51">
        <v>62.0</v>
      </c>
      <c r="E7310" s="52" t="s">
        <v>25</v>
      </c>
      <c r="F7310" s="52" t="s">
        <v>26</v>
      </c>
      <c r="G7310" s="53"/>
    </row>
    <row r="7311">
      <c r="A7311" s="49">
        <v>44589.73217498843</v>
      </c>
      <c r="B7311" s="50">
        <v>44589.85715125</v>
      </c>
      <c r="C7311" s="51">
        <v>1.0</v>
      </c>
      <c r="D7311" s="51">
        <v>62.0</v>
      </c>
      <c r="E7311" s="52" t="s">
        <v>25</v>
      </c>
      <c r="F7311" s="52" t="s">
        <v>26</v>
      </c>
      <c r="G7311" s="53"/>
    </row>
    <row r="7312">
      <c r="A7312" s="49">
        <v>44589.742592372684</v>
      </c>
      <c r="B7312" s="50">
        <v>44589.8675713194</v>
      </c>
      <c r="C7312" s="51">
        <v>1.001</v>
      </c>
      <c r="D7312" s="51">
        <v>62.0</v>
      </c>
      <c r="E7312" s="52" t="s">
        <v>25</v>
      </c>
      <c r="F7312" s="52" t="s">
        <v>26</v>
      </c>
      <c r="G7312" s="53"/>
    </row>
    <row r="7313">
      <c r="A7313" s="49">
        <v>44589.753025150465</v>
      </c>
      <c r="B7313" s="50">
        <v>44589.8780047685</v>
      </c>
      <c r="C7313" s="51">
        <v>1.0</v>
      </c>
      <c r="D7313" s="51">
        <v>63.0</v>
      </c>
      <c r="E7313" s="52" t="s">
        <v>25</v>
      </c>
      <c r="F7313" s="52" t="s">
        <v>26</v>
      </c>
      <c r="G7313" s="53"/>
    </row>
    <row r="7314">
      <c r="A7314" s="49">
        <v>44589.76345533565</v>
      </c>
      <c r="B7314" s="50">
        <v>44589.8884264467</v>
      </c>
      <c r="C7314" s="51">
        <v>1.0</v>
      </c>
      <c r="D7314" s="51">
        <v>63.0</v>
      </c>
      <c r="E7314" s="52" t="s">
        <v>25</v>
      </c>
      <c r="F7314" s="52" t="s">
        <v>26</v>
      </c>
      <c r="G7314" s="53"/>
    </row>
    <row r="7315">
      <c r="A7315" s="49">
        <v>44589.77387456018</v>
      </c>
      <c r="B7315" s="50">
        <v>44589.8988441319</v>
      </c>
      <c r="C7315" s="51">
        <v>1.0</v>
      </c>
      <c r="D7315" s="51">
        <v>64.0</v>
      </c>
      <c r="E7315" s="52" t="s">
        <v>25</v>
      </c>
      <c r="F7315" s="52" t="s">
        <v>26</v>
      </c>
      <c r="G7315" s="53"/>
    </row>
    <row r="7316">
      <c r="A7316" s="49">
        <v>44589.78428820602</v>
      </c>
      <c r="B7316" s="50">
        <v>44589.9092648726</v>
      </c>
      <c r="C7316" s="51">
        <v>1.0</v>
      </c>
      <c r="D7316" s="51">
        <v>64.0</v>
      </c>
      <c r="E7316" s="52" t="s">
        <v>25</v>
      </c>
      <c r="F7316" s="52" t="s">
        <v>26</v>
      </c>
      <c r="G7316" s="53"/>
    </row>
    <row r="7317">
      <c r="A7317" s="49">
        <v>44589.7947130324</v>
      </c>
      <c r="B7317" s="50">
        <v>44589.9196863657</v>
      </c>
      <c r="C7317" s="51">
        <v>1.0</v>
      </c>
      <c r="D7317" s="51">
        <v>65.0</v>
      </c>
      <c r="E7317" s="52" t="s">
        <v>25</v>
      </c>
      <c r="F7317" s="52" t="s">
        <v>26</v>
      </c>
      <c r="G7317" s="53"/>
    </row>
    <row r="7318">
      <c r="A7318" s="49">
        <v>44589.80512761574</v>
      </c>
      <c r="B7318" s="50">
        <v>44589.9301078703</v>
      </c>
      <c r="C7318" s="51">
        <v>1.0</v>
      </c>
      <c r="D7318" s="51">
        <v>65.0</v>
      </c>
      <c r="E7318" s="52" t="s">
        <v>25</v>
      </c>
      <c r="F7318" s="52" t="s">
        <v>26</v>
      </c>
      <c r="G7318" s="53"/>
    </row>
    <row r="7319">
      <c r="A7319" s="49">
        <v>44589.815567858794</v>
      </c>
      <c r="B7319" s="50">
        <v>44589.9405406713</v>
      </c>
      <c r="C7319" s="51">
        <v>1.0</v>
      </c>
      <c r="D7319" s="51">
        <v>66.0</v>
      </c>
      <c r="E7319" s="52" t="s">
        <v>25</v>
      </c>
      <c r="F7319" s="52" t="s">
        <v>26</v>
      </c>
      <c r="G7319" s="53"/>
    </row>
    <row r="7320">
      <c r="A7320" s="49">
        <v>44589.82598847222</v>
      </c>
      <c r="B7320" s="50">
        <v>44589.9509624536</v>
      </c>
      <c r="C7320" s="51">
        <v>1.0</v>
      </c>
      <c r="D7320" s="51">
        <v>66.0</v>
      </c>
      <c r="E7320" s="52" t="s">
        <v>25</v>
      </c>
      <c r="F7320" s="52" t="s">
        <v>26</v>
      </c>
      <c r="G7320" s="53"/>
    </row>
    <row r="7321">
      <c r="A7321" s="49">
        <v>44589.836438935185</v>
      </c>
      <c r="B7321" s="50">
        <v>44589.9614067939</v>
      </c>
      <c r="C7321" s="51">
        <v>1.0</v>
      </c>
      <c r="D7321" s="51">
        <v>67.0</v>
      </c>
      <c r="E7321" s="52" t="s">
        <v>25</v>
      </c>
      <c r="F7321" s="52" t="s">
        <v>26</v>
      </c>
      <c r="G7321" s="53"/>
    </row>
    <row r="7322">
      <c r="A7322" s="49">
        <v>44589.84685645833</v>
      </c>
      <c r="B7322" s="50">
        <v>44589.9718400115</v>
      </c>
      <c r="C7322" s="51">
        <v>1.0</v>
      </c>
      <c r="D7322" s="51">
        <v>67.0</v>
      </c>
      <c r="E7322" s="52" t="s">
        <v>25</v>
      </c>
      <c r="F7322" s="52" t="s">
        <v>26</v>
      </c>
      <c r="G7322" s="53"/>
    </row>
    <row r="7323">
      <c r="A7323" s="49">
        <v>44589.85729163194</v>
      </c>
      <c r="B7323" s="50">
        <v>44589.9822629282</v>
      </c>
      <c r="C7323" s="51">
        <v>1.0</v>
      </c>
      <c r="D7323" s="51">
        <v>67.0</v>
      </c>
      <c r="E7323" s="52" t="s">
        <v>25</v>
      </c>
      <c r="F7323" s="52" t="s">
        <v>26</v>
      </c>
      <c r="G7323" s="53"/>
    </row>
    <row r="7324">
      <c r="A7324" s="49">
        <v>44589.867712534724</v>
      </c>
      <c r="B7324" s="50">
        <v>44589.9926837615</v>
      </c>
      <c r="C7324" s="51">
        <v>1.0</v>
      </c>
      <c r="D7324" s="51">
        <v>68.0</v>
      </c>
      <c r="E7324" s="52" t="s">
        <v>25</v>
      </c>
      <c r="F7324" s="52" t="s">
        <v>26</v>
      </c>
      <c r="G7324" s="53"/>
    </row>
    <row r="7325">
      <c r="A7325" s="49">
        <v>44589.87812887732</v>
      </c>
      <c r="B7325" s="50">
        <v>44590.0031046064</v>
      </c>
      <c r="C7325" s="51">
        <v>1.0</v>
      </c>
      <c r="D7325" s="51">
        <v>68.0</v>
      </c>
      <c r="E7325" s="52" t="s">
        <v>25</v>
      </c>
      <c r="F7325" s="52" t="s">
        <v>26</v>
      </c>
      <c r="G7325" s="53"/>
    </row>
    <row r="7326">
      <c r="A7326" s="49">
        <v>44589.88855364583</v>
      </c>
      <c r="B7326" s="50">
        <v>44590.0135250115</v>
      </c>
      <c r="C7326" s="51">
        <v>1.0</v>
      </c>
      <c r="D7326" s="51">
        <v>67.0</v>
      </c>
      <c r="E7326" s="52" t="s">
        <v>25</v>
      </c>
      <c r="F7326" s="52" t="s">
        <v>26</v>
      </c>
      <c r="G7326" s="53"/>
    </row>
    <row r="7327">
      <c r="A7327" s="49">
        <v>44589.898978680554</v>
      </c>
      <c r="B7327" s="50">
        <v>44590.0239576157</v>
      </c>
      <c r="C7327" s="51">
        <v>1.0</v>
      </c>
      <c r="D7327" s="51">
        <v>67.0</v>
      </c>
      <c r="E7327" s="52" t="s">
        <v>25</v>
      </c>
      <c r="F7327" s="52" t="s">
        <v>26</v>
      </c>
      <c r="G7327" s="53"/>
    </row>
    <row r="7328">
      <c r="A7328" s="49">
        <v>44589.90940508102</v>
      </c>
      <c r="B7328" s="50">
        <v>44590.0343781249</v>
      </c>
      <c r="C7328" s="51">
        <v>1.0</v>
      </c>
      <c r="D7328" s="51">
        <v>67.0</v>
      </c>
      <c r="E7328" s="52" t="s">
        <v>25</v>
      </c>
      <c r="F7328" s="52" t="s">
        <v>26</v>
      </c>
      <c r="G7328" s="53"/>
    </row>
    <row r="7329">
      <c r="A7329" s="49">
        <v>44589.91982186343</v>
      </c>
      <c r="B7329" s="50">
        <v>44590.0447973148</v>
      </c>
      <c r="C7329" s="51">
        <v>1.0</v>
      </c>
      <c r="D7329" s="51">
        <v>67.0</v>
      </c>
      <c r="E7329" s="52" t="s">
        <v>25</v>
      </c>
      <c r="F7329" s="52" t="s">
        <v>26</v>
      </c>
      <c r="G7329" s="53"/>
    </row>
    <row r="7330">
      <c r="A7330" s="49">
        <v>44589.93024741898</v>
      </c>
      <c r="B7330" s="50">
        <v>44590.0552196643</v>
      </c>
      <c r="C7330" s="51">
        <v>1.0</v>
      </c>
      <c r="D7330" s="51">
        <v>67.0</v>
      </c>
      <c r="E7330" s="52" t="s">
        <v>25</v>
      </c>
      <c r="F7330" s="52" t="s">
        <v>26</v>
      </c>
      <c r="G7330" s="53"/>
    </row>
    <row r="7331">
      <c r="A7331" s="49">
        <v>44589.94066328704</v>
      </c>
      <c r="B7331" s="50">
        <v>44590.0656405092</v>
      </c>
      <c r="C7331" s="51">
        <v>1.0</v>
      </c>
      <c r="D7331" s="51">
        <v>67.0</v>
      </c>
      <c r="E7331" s="52" t="s">
        <v>25</v>
      </c>
      <c r="F7331" s="52" t="s">
        <v>26</v>
      </c>
      <c r="G7331" s="53"/>
    </row>
    <row r="7332">
      <c r="A7332" s="49">
        <v>44589.95108596065</v>
      </c>
      <c r="B7332" s="50">
        <v>44590.0760621296</v>
      </c>
      <c r="C7332" s="51">
        <v>1.0</v>
      </c>
      <c r="D7332" s="51">
        <v>67.0</v>
      </c>
      <c r="E7332" s="52" t="s">
        <v>25</v>
      </c>
      <c r="F7332" s="52" t="s">
        <v>26</v>
      </c>
      <c r="G7332" s="53"/>
    </row>
    <row r="7333">
      <c r="A7333" s="49">
        <v>44589.961501921294</v>
      </c>
      <c r="B7333" s="50">
        <v>44590.0864832407</v>
      </c>
      <c r="C7333" s="51">
        <v>1.0</v>
      </c>
      <c r="D7333" s="51">
        <v>67.0</v>
      </c>
      <c r="E7333" s="52" t="s">
        <v>25</v>
      </c>
      <c r="F7333" s="52" t="s">
        <v>26</v>
      </c>
      <c r="G7333" s="53"/>
    </row>
    <row r="7334">
      <c r="A7334" s="49">
        <v>44589.97193774306</v>
      </c>
      <c r="B7334" s="50">
        <v>44590.0969151273</v>
      </c>
      <c r="C7334" s="51">
        <v>1.0</v>
      </c>
      <c r="D7334" s="51">
        <v>67.0</v>
      </c>
      <c r="E7334" s="52" t="s">
        <v>25</v>
      </c>
      <c r="F7334" s="52" t="s">
        <v>26</v>
      </c>
      <c r="G7334" s="53"/>
    </row>
    <row r="7335">
      <c r="A7335" s="49">
        <v>44589.98236484954</v>
      </c>
      <c r="B7335" s="50">
        <v>44590.1073367361</v>
      </c>
      <c r="C7335" s="51">
        <v>1.0</v>
      </c>
      <c r="D7335" s="51">
        <v>67.0</v>
      </c>
      <c r="E7335" s="52" t="s">
        <v>25</v>
      </c>
      <c r="F7335" s="52" t="s">
        <v>26</v>
      </c>
      <c r="G7335" s="53"/>
    </row>
    <row r="7336">
      <c r="A7336" s="49">
        <v>44589.99278884259</v>
      </c>
      <c r="B7336" s="50">
        <v>44590.1177687384</v>
      </c>
      <c r="C7336" s="51">
        <v>1.0</v>
      </c>
      <c r="D7336" s="51">
        <v>67.0</v>
      </c>
      <c r="E7336" s="52" t="s">
        <v>25</v>
      </c>
      <c r="F7336" s="52" t="s">
        <v>26</v>
      </c>
      <c r="G7336" s="53"/>
    </row>
    <row r="7337">
      <c r="A7337" s="49">
        <v>44590.00320665509</v>
      </c>
      <c r="B7337" s="50">
        <v>44590.1281890277</v>
      </c>
      <c r="C7337" s="51">
        <v>1.0</v>
      </c>
      <c r="D7337" s="51">
        <v>67.0</v>
      </c>
      <c r="E7337" s="52" t="s">
        <v>25</v>
      </c>
      <c r="F7337" s="52" t="s">
        <v>26</v>
      </c>
      <c r="G7337" s="53"/>
    </row>
    <row r="7338">
      <c r="A7338" s="49">
        <v>44590.01365822917</v>
      </c>
      <c r="B7338" s="50">
        <v>44590.1386338194</v>
      </c>
      <c r="C7338" s="51">
        <v>1.0</v>
      </c>
      <c r="D7338" s="51">
        <v>67.0</v>
      </c>
      <c r="E7338" s="52" t="s">
        <v>25</v>
      </c>
      <c r="F7338" s="52" t="s">
        <v>26</v>
      </c>
      <c r="G7338" s="53"/>
    </row>
    <row r="7339">
      <c r="A7339" s="49">
        <v>44590.024077870374</v>
      </c>
      <c r="B7339" s="50">
        <v>44590.1490554513</v>
      </c>
      <c r="C7339" s="51">
        <v>1.0</v>
      </c>
      <c r="D7339" s="51">
        <v>67.0</v>
      </c>
      <c r="E7339" s="52" t="s">
        <v>25</v>
      </c>
      <c r="F7339" s="52" t="s">
        <v>26</v>
      </c>
      <c r="G7339" s="53"/>
    </row>
    <row r="7340">
      <c r="A7340" s="49">
        <v>44590.034495949076</v>
      </c>
      <c r="B7340" s="50">
        <v>44590.1594771296</v>
      </c>
      <c r="C7340" s="51">
        <v>1.0</v>
      </c>
      <c r="D7340" s="51">
        <v>67.0</v>
      </c>
      <c r="E7340" s="52" t="s">
        <v>25</v>
      </c>
      <c r="F7340" s="52" t="s">
        <v>26</v>
      </c>
      <c r="G7340" s="53"/>
    </row>
    <row r="7341">
      <c r="A7341" s="49">
        <v>44590.04493491898</v>
      </c>
      <c r="B7341" s="50">
        <v>44590.1699092361</v>
      </c>
      <c r="C7341" s="51">
        <v>1.0</v>
      </c>
      <c r="D7341" s="51">
        <v>67.0</v>
      </c>
      <c r="E7341" s="52" t="s">
        <v>25</v>
      </c>
      <c r="F7341" s="52" t="s">
        <v>26</v>
      </c>
      <c r="G7341" s="53"/>
    </row>
    <row r="7342">
      <c r="A7342" s="49">
        <v>44590.05535563658</v>
      </c>
      <c r="B7342" s="50">
        <v>44590.1803321064</v>
      </c>
      <c r="C7342" s="51">
        <v>1.0</v>
      </c>
      <c r="D7342" s="51">
        <v>67.0</v>
      </c>
      <c r="E7342" s="52" t="s">
        <v>25</v>
      </c>
      <c r="F7342" s="52" t="s">
        <v>26</v>
      </c>
      <c r="G7342" s="53"/>
    </row>
    <row r="7343">
      <c r="A7343" s="49">
        <v>44590.06579119213</v>
      </c>
      <c r="B7343" s="50">
        <v>44590.1907662384</v>
      </c>
      <c r="C7343" s="51">
        <v>1.0</v>
      </c>
      <c r="D7343" s="51">
        <v>67.0</v>
      </c>
      <c r="E7343" s="52" t="s">
        <v>25</v>
      </c>
      <c r="F7343" s="52" t="s">
        <v>26</v>
      </c>
      <c r="G7343" s="53"/>
    </row>
    <row r="7344">
      <c r="A7344" s="49">
        <v>44590.07620848379</v>
      </c>
      <c r="B7344" s="50">
        <v>44590.2011868518</v>
      </c>
      <c r="C7344" s="51">
        <v>1.0</v>
      </c>
      <c r="D7344" s="51">
        <v>67.0</v>
      </c>
      <c r="E7344" s="52" t="s">
        <v>25</v>
      </c>
      <c r="F7344" s="52" t="s">
        <v>26</v>
      </c>
      <c r="G7344" s="53"/>
    </row>
    <row r="7345">
      <c r="A7345" s="49">
        <v>44590.08664313657</v>
      </c>
      <c r="B7345" s="50">
        <v>44590.2116187268</v>
      </c>
      <c r="C7345" s="51">
        <v>1.0</v>
      </c>
      <c r="D7345" s="51">
        <v>67.0</v>
      </c>
      <c r="E7345" s="52" t="s">
        <v>25</v>
      </c>
      <c r="F7345" s="52" t="s">
        <v>26</v>
      </c>
      <c r="G7345" s="53"/>
    </row>
    <row r="7346">
      <c r="A7346" s="49">
        <v>44590.09706165509</v>
      </c>
      <c r="B7346" s="50">
        <v>44590.2220402662</v>
      </c>
      <c r="C7346" s="51">
        <v>1.0</v>
      </c>
      <c r="D7346" s="51">
        <v>67.0</v>
      </c>
      <c r="E7346" s="52" t="s">
        <v>25</v>
      </c>
      <c r="F7346" s="52" t="s">
        <v>26</v>
      </c>
      <c r="G7346" s="53"/>
    </row>
    <row r="7347">
      <c r="A7347" s="49">
        <v>44590.10747962963</v>
      </c>
      <c r="B7347" s="50">
        <v>44590.2324606365</v>
      </c>
      <c r="C7347" s="51">
        <v>1.0</v>
      </c>
      <c r="D7347" s="51">
        <v>67.0</v>
      </c>
      <c r="E7347" s="52" t="s">
        <v>25</v>
      </c>
      <c r="F7347" s="52" t="s">
        <v>26</v>
      </c>
      <c r="G7347" s="53"/>
    </row>
    <row r="7348">
      <c r="A7348" s="49">
        <v>44590.11789627315</v>
      </c>
      <c r="B7348" s="50">
        <v>44590.2428818402</v>
      </c>
      <c r="C7348" s="51">
        <v>1.0</v>
      </c>
      <c r="D7348" s="51">
        <v>67.0</v>
      </c>
      <c r="E7348" s="52" t="s">
        <v>25</v>
      </c>
      <c r="F7348" s="52" t="s">
        <v>26</v>
      </c>
      <c r="G7348" s="53"/>
    </row>
    <row r="7349">
      <c r="A7349" s="49">
        <v>44590.128329942134</v>
      </c>
      <c r="B7349" s="50">
        <v>44590.253302905</v>
      </c>
      <c r="C7349" s="51">
        <v>1.0</v>
      </c>
      <c r="D7349" s="51">
        <v>66.0</v>
      </c>
      <c r="E7349" s="52" t="s">
        <v>25</v>
      </c>
      <c r="F7349" s="52" t="s">
        <v>26</v>
      </c>
      <c r="G7349" s="53"/>
    </row>
    <row r="7350">
      <c r="A7350" s="49">
        <v>44590.13876166666</v>
      </c>
      <c r="B7350" s="50">
        <v>44590.2637361111</v>
      </c>
      <c r="C7350" s="51">
        <v>1.0</v>
      </c>
      <c r="D7350" s="51">
        <v>66.0</v>
      </c>
      <c r="E7350" s="52" t="s">
        <v>25</v>
      </c>
      <c r="F7350" s="52" t="s">
        <v>26</v>
      </c>
      <c r="G7350" s="53"/>
    </row>
    <row r="7351">
      <c r="A7351" s="49">
        <v>44590.14917261574</v>
      </c>
      <c r="B7351" s="50">
        <v>44590.2741576736</v>
      </c>
      <c r="C7351" s="51">
        <v>1.0</v>
      </c>
      <c r="D7351" s="51">
        <v>66.0</v>
      </c>
      <c r="E7351" s="52" t="s">
        <v>25</v>
      </c>
      <c r="F7351" s="52" t="s">
        <v>26</v>
      </c>
      <c r="G7351" s="53"/>
    </row>
    <row r="7352">
      <c r="A7352" s="49">
        <v>44590.159599074075</v>
      </c>
      <c r="B7352" s="50">
        <v>44590.2845790856</v>
      </c>
      <c r="C7352" s="51">
        <v>1.0</v>
      </c>
      <c r="D7352" s="51">
        <v>66.0</v>
      </c>
      <c r="E7352" s="52" t="s">
        <v>25</v>
      </c>
      <c r="F7352" s="52" t="s">
        <v>26</v>
      </c>
      <c r="G7352" s="53"/>
    </row>
    <row r="7353">
      <c r="A7353" s="49">
        <v>44590.17002518519</v>
      </c>
      <c r="B7353" s="50">
        <v>44590.2949994791</v>
      </c>
      <c r="C7353" s="51">
        <v>1.0</v>
      </c>
      <c r="D7353" s="51">
        <v>66.0</v>
      </c>
      <c r="E7353" s="52" t="s">
        <v>25</v>
      </c>
      <c r="F7353" s="52" t="s">
        <v>26</v>
      </c>
      <c r="G7353" s="53"/>
    </row>
    <row r="7354">
      <c r="A7354" s="49">
        <v>44590.18044125</v>
      </c>
      <c r="B7354" s="50">
        <v>44590.3054192476</v>
      </c>
      <c r="C7354" s="51">
        <v>1.0</v>
      </c>
      <c r="D7354" s="51">
        <v>66.0</v>
      </c>
      <c r="E7354" s="52" t="s">
        <v>25</v>
      </c>
      <c r="F7354" s="52" t="s">
        <v>26</v>
      </c>
      <c r="G7354" s="53"/>
    </row>
    <row r="7355">
      <c r="A7355" s="49">
        <v>44590.19085969907</v>
      </c>
      <c r="B7355" s="50">
        <v>44590.3158393865</v>
      </c>
      <c r="C7355" s="51">
        <v>1.0</v>
      </c>
      <c r="D7355" s="51">
        <v>66.0</v>
      </c>
      <c r="E7355" s="52" t="s">
        <v>25</v>
      </c>
      <c r="F7355" s="52" t="s">
        <v>26</v>
      </c>
      <c r="G7355" s="53"/>
    </row>
    <row r="7356">
      <c r="A7356" s="49">
        <v>44590.201312199075</v>
      </c>
      <c r="B7356" s="50">
        <v>44590.3262835416</v>
      </c>
      <c r="C7356" s="51">
        <v>1.0</v>
      </c>
      <c r="D7356" s="51">
        <v>66.0</v>
      </c>
      <c r="E7356" s="52" t="s">
        <v>25</v>
      </c>
      <c r="F7356" s="52" t="s">
        <v>26</v>
      </c>
      <c r="G7356" s="53"/>
    </row>
    <row r="7357">
      <c r="A7357" s="49">
        <v>44590.21172918982</v>
      </c>
      <c r="B7357" s="50">
        <v>44590.3367050694</v>
      </c>
      <c r="C7357" s="51">
        <v>1.0</v>
      </c>
      <c r="D7357" s="51">
        <v>66.0</v>
      </c>
      <c r="E7357" s="52" t="s">
        <v>25</v>
      </c>
      <c r="F7357" s="52" t="s">
        <v>26</v>
      </c>
      <c r="G7357" s="53"/>
    </row>
    <row r="7358">
      <c r="A7358" s="49">
        <v>44590.22216258102</v>
      </c>
      <c r="B7358" s="50">
        <v>44590.3471397916</v>
      </c>
      <c r="C7358" s="51">
        <v>1.0</v>
      </c>
      <c r="D7358" s="51">
        <v>66.0</v>
      </c>
      <c r="E7358" s="52" t="s">
        <v>25</v>
      </c>
      <c r="F7358" s="52" t="s">
        <v>26</v>
      </c>
      <c r="G7358" s="53"/>
    </row>
    <row r="7359">
      <c r="A7359" s="49">
        <v>44590.23258546296</v>
      </c>
      <c r="B7359" s="50">
        <v>44590.3575608912</v>
      </c>
      <c r="C7359" s="51">
        <v>1.0</v>
      </c>
      <c r="D7359" s="51">
        <v>66.0</v>
      </c>
      <c r="E7359" s="52" t="s">
        <v>25</v>
      </c>
      <c r="F7359" s="52" t="s">
        <v>26</v>
      </c>
      <c r="G7359" s="53"/>
    </row>
    <row r="7360">
      <c r="A7360" s="49">
        <v>44590.2430252662</v>
      </c>
      <c r="B7360" s="50">
        <v>44590.3679935069</v>
      </c>
      <c r="C7360" s="51">
        <v>1.0</v>
      </c>
      <c r="D7360" s="51">
        <v>66.0</v>
      </c>
      <c r="E7360" s="52" t="s">
        <v>25</v>
      </c>
      <c r="F7360" s="52" t="s">
        <v>26</v>
      </c>
      <c r="G7360" s="53"/>
    </row>
    <row r="7361">
      <c r="A7361" s="49">
        <v>44590.25345267361</v>
      </c>
      <c r="B7361" s="50">
        <v>44590.3784275</v>
      </c>
      <c r="C7361" s="51">
        <v>1.0</v>
      </c>
      <c r="D7361" s="51">
        <v>66.0</v>
      </c>
      <c r="E7361" s="52" t="s">
        <v>25</v>
      </c>
      <c r="F7361" s="52" t="s">
        <v>26</v>
      </c>
      <c r="G7361" s="53"/>
    </row>
    <row r="7362">
      <c r="A7362" s="49">
        <v>44590.263867002315</v>
      </c>
      <c r="B7362" s="50">
        <v>44590.3888495138</v>
      </c>
      <c r="C7362" s="51">
        <v>1.0</v>
      </c>
      <c r="D7362" s="51">
        <v>66.0</v>
      </c>
      <c r="E7362" s="52" t="s">
        <v>25</v>
      </c>
      <c r="F7362" s="52" t="s">
        <v>26</v>
      </c>
      <c r="G7362" s="53"/>
    </row>
    <row r="7363">
      <c r="A7363" s="49">
        <v>44590.27429636574</v>
      </c>
      <c r="B7363" s="50">
        <v>44590.3992712962</v>
      </c>
      <c r="C7363" s="51">
        <v>1.0</v>
      </c>
      <c r="D7363" s="51">
        <v>66.0</v>
      </c>
      <c r="E7363" s="52" t="s">
        <v>25</v>
      </c>
      <c r="F7363" s="52" t="s">
        <v>26</v>
      </c>
      <c r="G7363" s="53"/>
    </row>
    <row r="7364">
      <c r="A7364" s="49">
        <v>44590.28471608796</v>
      </c>
      <c r="B7364" s="50">
        <v>44590.4096912384</v>
      </c>
      <c r="C7364" s="51">
        <v>1.0</v>
      </c>
      <c r="D7364" s="51">
        <v>66.0</v>
      </c>
      <c r="E7364" s="52" t="s">
        <v>25</v>
      </c>
      <c r="F7364" s="52" t="s">
        <v>26</v>
      </c>
      <c r="G7364" s="53"/>
    </row>
    <row r="7365">
      <c r="A7365" s="49">
        <v>44590.295134513886</v>
      </c>
      <c r="B7365" s="50">
        <v>44590.420111412</v>
      </c>
      <c r="C7365" s="51">
        <v>1.0</v>
      </c>
      <c r="D7365" s="51">
        <v>66.0</v>
      </c>
      <c r="E7365" s="52" t="s">
        <v>25</v>
      </c>
      <c r="F7365" s="52" t="s">
        <v>26</v>
      </c>
      <c r="G7365" s="53"/>
    </row>
    <row r="7366">
      <c r="A7366" s="49">
        <v>44590.30554973379</v>
      </c>
      <c r="B7366" s="50">
        <v>44590.4305310995</v>
      </c>
      <c r="C7366" s="51">
        <v>1.0</v>
      </c>
      <c r="D7366" s="51">
        <v>66.0</v>
      </c>
      <c r="E7366" s="52" t="s">
        <v>25</v>
      </c>
      <c r="F7366" s="52" t="s">
        <v>26</v>
      </c>
      <c r="G7366" s="53"/>
    </row>
    <row r="7367">
      <c r="A7367" s="49">
        <v>44590.31597930555</v>
      </c>
      <c r="B7367" s="50">
        <v>44590.4409526736</v>
      </c>
      <c r="C7367" s="51">
        <v>1.0</v>
      </c>
      <c r="D7367" s="51">
        <v>66.0</v>
      </c>
      <c r="E7367" s="52" t="s">
        <v>25</v>
      </c>
      <c r="F7367" s="52" t="s">
        <v>26</v>
      </c>
      <c r="G7367" s="53"/>
    </row>
    <row r="7368">
      <c r="A7368" s="49">
        <v>44590.326409733796</v>
      </c>
      <c r="B7368" s="50">
        <v>44590.451384537</v>
      </c>
      <c r="C7368" s="51">
        <v>1.0</v>
      </c>
      <c r="D7368" s="51">
        <v>66.0</v>
      </c>
      <c r="E7368" s="52" t="s">
        <v>25</v>
      </c>
      <c r="F7368" s="52" t="s">
        <v>26</v>
      </c>
      <c r="G7368" s="53"/>
    </row>
    <row r="7369">
      <c r="A7369" s="49">
        <v>44590.336834166665</v>
      </c>
      <c r="B7369" s="50">
        <v>44590.4618176157</v>
      </c>
      <c r="C7369" s="51">
        <v>1.0</v>
      </c>
      <c r="D7369" s="51">
        <v>66.0</v>
      </c>
      <c r="E7369" s="52" t="s">
        <v>25</v>
      </c>
      <c r="F7369" s="52" t="s">
        <v>26</v>
      </c>
      <c r="G7369" s="53"/>
    </row>
    <row r="7370">
      <c r="A7370" s="49">
        <v>44590.34726378472</v>
      </c>
      <c r="B7370" s="50">
        <v>44590.4722377314</v>
      </c>
      <c r="C7370" s="51">
        <v>1.0</v>
      </c>
      <c r="D7370" s="51">
        <v>66.0</v>
      </c>
      <c r="E7370" s="52" t="s">
        <v>25</v>
      </c>
      <c r="F7370" s="52" t="s">
        <v>26</v>
      </c>
      <c r="G7370" s="53"/>
    </row>
    <row r="7371">
      <c r="A7371" s="49">
        <v>44590.357697280095</v>
      </c>
      <c r="B7371" s="50">
        <v>44590.4826726157</v>
      </c>
      <c r="C7371" s="51">
        <v>1.0</v>
      </c>
      <c r="D7371" s="51">
        <v>66.0</v>
      </c>
      <c r="E7371" s="52" t="s">
        <v>25</v>
      </c>
      <c r="F7371" s="52" t="s">
        <v>26</v>
      </c>
      <c r="G7371" s="53"/>
    </row>
    <row r="7372">
      <c r="A7372" s="49">
        <v>44590.368109999996</v>
      </c>
      <c r="B7372" s="50">
        <v>44590.4930935995</v>
      </c>
      <c r="C7372" s="51">
        <v>1.0</v>
      </c>
      <c r="D7372" s="51">
        <v>66.0</v>
      </c>
      <c r="E7372" s="52" t="s">
        <v>25</v>
      </c>
      <c r="F7372" s="52" t="s">
        <v>26</v>
      </c>
      <c r="G7372" s="53"/>
    </row>
    <row r="7373">
      <c r="A7373" s="49">
        <v>44590.37856670139</v>
      </c>
      <c r="B7373" s="50">
        <v>44590.5035369097</v>
      </c>
      <c r="C7373" s="51">
        <v>1.0</v>
      </c>
      <c r="D7373" s="51">
        <v>65.0</v>
      </c>
      <c r="E7373" s="52" t="s">
        <v>25</v>
      </c>
      <c r="F7373" s="52" t="s">
        <v>26</v>
      </c>
      <c r="G7373" s="53"/>
    </row>
    <row r="7374">
      <c r="A7374" s="49">
        <v>44590.38899743056</v>
      </c>
      <c r="B7374" s="50">
        <v>44590.5139699305</v>
      </c>
      <c r="C7374" s="51">
        <v>1.0</v>
      </c>
      <c r="D7374" s="51">
        <v>65.0</v>
      </c>
      <c r="E7374" s="52" t="s">
        <v>25</v>
      </c>
      <c r="F7374" s="52" t="s">
        <v>26</v>
      </c>
      <c r="G7374" s="53"/>
    </row>
    <row r="7375">
      <c r="A7375" s="49">
        <v>44590.39940954861</v>
      </c>
      <c r="B7375" s="50">
        <v>44590.5243930555</v>
      </c>
      <c r="C7375" s="51">
        <v>1.0</v>
      </c>
      <c r="D7375" s="51">
        <v>65.0</v>
      </c>
      <c r="E7375" s="52" t="s">
        <v>25</v>
      </c>
      <c r="F7375" s="52" t="s">
        <v>26</v>
      </c>
      <c r="G7375" s="53"/>
    </row>
    <row r="7376">
      <c r="A7376" s="49">
        <v>44590.40983261574</v>
      </c>
      <c r="B7376" s="50">
        <v>44590.5348147453</v>
      </c>
      <c r="C7376" s="51">
        <v>1.0</v>
      </c>
      <c r="D7376" s="51">
        <v>65.0</v>
      </c>
      <c r="E7376" s="52" t="s">
        <v>25</v>
      </c>
      <c r="F7376" s="52" t="s">
        <v>26</v>
      </c>
      <c r="G7376" s="53"/>
    </row>
    <row r="7377">
      <c r="A7377" s="49">
        <v>44590.4202702662</v>
      </c>
      <c r="B7377" s="50">
        <v>44590.5452482291</v>
      </c>
      <c r="C7377" s="51">
        <v>1.0</v>
      </c>
      <c r="D7377" s="51">
        <v>65.0</v>
      </c>
      <c r="E7377" s="52" t="s">
        <v>25</v>
      </c>
      <c r="F7377" s="52" t="s">
        <v>26</v>
      </c>
      <c r="G7377" s="53"/>
    </row>
    <row r="7378">
      <c r="A7378" s="49">
        <v>44590.43069148148</v>
      </c>
      <c r="B7378" s="50">
        <v>44590.5556692013</v>
      </c>
      <c r="C7378" s="51">
        <v>1.0</v>
      </c>
      <c r="D7378" s="51">
        <v>65.0</v>
      </c>
      <c r="E7378" s="52" t="s">
        <v>25</v>
      </c>
      <c r="F7378" s="52" t="s">
        <v>26</v>
      </c>
      <c r="G7378" s="53"/>
    </row>
    <row r="7379">
      <c r="A7379" s="49">
        <v>44590.44111770834</v>
      </c>
      <c r="B7379" s="50">
        <v>44590.5660903587</v>
      </c>
      <c r="C7379" s="51">
        <v>1.0</v>
      </c>
      <c r="D7379" s="51">
        <v>65.0</v>
      </c>
      <c r="E7379" s="52" t="s">
        <v>25</v>
      </c>
      <c r="F7379" s="52" t="s">
        <v>26</v>
      </c>
      <c r="G7379" s="53"/>
    </row>
    <row r="7380">
      <c r="A7380" s="49">
        <v>44590.45152722222</v>
      </c>
      <c r="B7380" s="50">
        <v>44590.576511655</v>
      </c>
      <c r="C7380" s="51">
        <v>1.0</v>
      </c>
      <c r="D7380" s="51">
        <v>65.0</v>
      </c>
      <c r="E7380" s="52" t="s">
        <v>25</v>
      </c>
      <c r="F7380" s="52" t="s">
        <v>26</v>
      </c>
      <c r="G7380" s="53"/>
    </row>
    <row r="7381">
      <c r="A7381" s="49">
        <v>44590.46195327546</v>
      </c>
      <c r="B7381" s="50">
        <v>44590.586932905</v>
      </c>
      <c r="C7381" s="51">
        <v>1.0</v>
      </c>
      <c r="D7381" s="51">
        <v>65.0</v>
      </c>
      <c r="E7381" s="52" t="s">
        <v>25</v>
      </c>
      <c r="F7381" s="52" t="s">
        <v>26</v>
      </c>
      <c r="G7381" s="53"/>
    </row>
    <row r="7382">
      <c r="A7382" s="49">
        <v>44590.472370787036</v>
      </c>
      <c r="B7382" s="50">
        <v>44590.5973539004</v>
      </c>
      <c r="C7382" s="51">
        <v>1.0</v>
      </c>
      <c r="D7382" s="51">
        <v>65.0</v>
      </c>
      <c r="E7382" s="52" t="s">
        <v>25</v>
      </c>
      <c r="F7382" s="52" t="s">
        <v>26</v>
      </c>
      <c r="G7382" s="53"/>
    </row>
    <row r="7383">
      <c r="A7383" s="49">
        <v>44590.482792152776</v>
      </c>
      <c r="B7383" s="50">
        <v>44590.6077721875</v>
      </c>
      <c r="C7383" s="51">
        <v>1.0</v>
      </c>
      <c r="D7383" s="51">
        <v>65.0</v>
      </c>
      <c r="E7383" s="52" t="s">
        <v>25</v>
      </c>
      <c r="F7383" s="52" t="s">
        <v>26</v>
      </c>
      <c r="G7383" s="53"/>
    </row>
    <row r="7384">
      <c r="A7384" s="49">
        <v>44590.49322747685</v>
      </c>
      <c r="B7384" s="50">
        <v>44590.6182037615</v>
      </c>
      <c r="C7384" s="51">
        <v>1.0</v>
      </c>
      <c r="D7384" s="51">
        <v>65.0</v>
      </c>
      <c r="E7384" s="52" t="s">
        <v>25</v>
      </c>
      <c r="F7384" s="52" t="s">
        <v>26</v>
      </c>
      <c r="G7384" s="53"/>
    </row>
    <row r="7385">
      <c r="A7385" s="49">
        <v>44590.50363726851</v>
      </c>
      <c r="B7385" s="50">
        <v>44590.6286224652</v>
      </c>
      <c r="C7385" s="51">
        <v>1.0</v>
      </c>
      <c r="D7385" s="51">
        <v>65.0</v>
      </c>
      <c r="E7385" s="52" t="s">
        <v>25</v>
      </c>
      <c r="F7385" s="52" t="s">
        <v>26</v>
      </c>
      <c r="G7385" s="53"/>
    </row>
    <row r="7386">
      <c r="A7386" s="49">
        <v>44590.51406385416</v>
      </c>
      <c r="B7386" s="50">
        <v>44590.6390425462</v>
      </c>
      <c r="C7386" s="51">
        <v>1.0</v>
      </c>
      <c r="D7386" s="51">
        <v>65.0</v>
      </c>
      <c r="E7386" s="52" t="s">
        <v>25</v>
      </c>
      <c r="F7386" s="52" t="s">
        <v>26</v>
      </c>
      <c r="G7386" s="53"/>
    </row>
    <row r="7387">
      <c r="A7387" s="49">
        <v>44590.524485208334</v>
      </c>
      <c r="B7387" s="50">
        <v>44590.6494637037</v>
      </c>
      <c r="C7387" s="51">
        <v>1.0</v>
      </c>
      <c r="D7387" s="51">
        <v>65.0</v>
      </c>
      <c r="E7387" s="52" t="s">
        <v>25</v>
      </c>
      <c r="F7387" s="52" t="s">
        <v>26</v>
      </c>
      <c r="G7387" s="53"/>
    </row>
    <row r="7388">
      <c r="A7388" s="49">
        <v>44590.534907685185</v>
      </c>
      <c r="B7388" s="50">
        <v>44590.6598835763</v>
      </c>
      <c r="C7388" s="51">
        <v>1.0</v>
      </c>
      <c r="D7388" s="51">
        <v>65.0</v>
      </c>
      <c r="E7388" s="52" t="s">
        <v>25</v>
      </c>
      <c r="F7388" s="52" t="s">
        <v>26</v>
      </c>
      <c r="G7388" s="53"/>
    </row>
    <row r="7389">
      <c r="A7389" s="49">
        <v>44590.545326527776</v>
      </c>
      <c r="B7389" s="50">
        <v>44590.6703073263</v>
      </c>
      <c r="C7389" s="51">
        <v>1.0</v>
      </c>
      <c r="D7389" s="51">
        <v>65.0</v>
      </c>
      <c r="E7389" s="52" t="s">
        <v>25</v>
      </c>
      <c r="F7389" s="52" t="s">
        <v>26</v>
      </c>
      <c r="G7389" s="53"/>
    </row>
    <row r="7390">
      <c r="A7390" s="49">
        <v>44590.555746053244</v>
      </c>
      <c r="B7390" s="50">
        <v>44590.6807273379</v>
      </c>
      <c r="C7390" s="51">
        <v>1.0</v>
      </c>
      <c r="D7390" s="51">
        <v>65.0</v>
      </c>
      <c r="E7390" s="52" t="s">
        <v>25</v>
      </c>
      <c r="F7390" s="52" t="s">
        <v>26</v>
      </c>
      <c r="G7390" s="53"/>
    </row>
    <row r="7391">
      <c r="A7391" s="49">
        <v>44590.56616909722</v>
      </c>
      <c r="B7391" s="50">
        <v>44590.6911484374</v>
      </c>
      <c r="C7391" s="51">
        <v>1.0</v>
      </c>
      <c r="D7391" s="51">
        <v>65.0</v>
      </c>
      <c r="E7391" s="52" t="s">
        <v>25</v>
      </c>
      <c r="F7391" s="52" t="s">
        <v>26</v>
      </c>
      <c r="G7391" s="53"/>
    </row>
    <row r="7392">
      <c r="A7392" s="49">
        <v>44590.57659190972</v>
      </c>
      <c r="B7392" s="50">
        <v>44590.7015695138</v>
      </c>
      <c r="C7392" s="51">
        <v>1.0</v>
      </c>
      <c r="D7392" s="51">
        <v>65.0</v>
      </c>
      <c r="E7392" s="52" t="s">
        <v>25</v>
      </c>
      <c r="F7392" s="52" t="s">
        <v>26</v>
      </c>
      <c r="G7392" s="53"/>
    </row>
    <row r="7393">
      <c r="A7393" s="49">
        <v>44590.587007546295</v>
      </c>
      <c r="B7393" s="50">
        <v>44590.7119918171</v>
      </c>
      <c r="C7393" s="51">
        <v>1.0</v>
      </c>
      <c r="D7393" s="51">
        <v>65.0</v>
      </c>
      <c r="E7393" s="52" t="s">
        <v>25</v>
      </c>
      <c r="F7393" s="52" t="s">
        <v>26</v>
      </c>
      <c r="G7393" s="53"/>
    </row>
    <row r="7394">
      <c r="A7394" s="49">
        <v>44590.597483425925</v>
      </c>
      <c r="B7394" s="50">
        <v>44590.7224606712</v>
      </c>
      <c r="C7394" s="51">
        <v>1.0</v>
      </c>
      <c r="D7394" s="51">
        <v>65.0</v>
      </c>
      <c r="E7394" s="52" t="s">
        <v>25</v>
      </c>
      <c r="F7394" s="52" t="s">
        <v>26</v>
      </c>
      <c r="G7394" s="53"/>
    </row>
    <row r="7395">
      <c r="A7395" s="49">
        <v>44590.60791222222</v>
      </c>
      <c r="B7395" s="50">
        <v>44590.732882199</v>
      </c>
      <c r="C7395" s="51">
        <v>1.0</v>
      </c>
      <c r="D7395" s="51">
        <v>65.0</v>
      </c>
      <c r="E7395" s="52" t="s">
        <v>25</v>
      </c>
      <c r="F7395" s="52" t="s">
        <v>26</v>
      </c>
      <c r="G7395" s="53"/>
    </row>
    <row r="7396">
      <c r="A7396" s="49">
        <v>44590.6183446412</v>
      </c>
      <c r="B7396" s="50">
        <v>44590.7433165277</v>
      </c>
      <c r="C7396" s="51">
        <v>1.0</v>
      </c>
      <c r="D7396" s="51">
        <v>65.0</v>
      </c>
      <c r="E7396" s="52" t="s">
        <v>25</v>
      </c>
      <c r="F7396" s="52" t="s">
        <v>26</v>
      </c>
      <c r="G7396" s="53"/>
    </row>
    <row r="7397">
      <c r="A7397" s="49">
        <v>44590.62876100694</v>
      </c>
      <c r="B7397" s="50">
        <v>44590.7537377314</v>
      </c>
      <c r="C7397" s="51">
        <v>1.0</v>
      </c>
      <c r="D7397" s="51">
        <v>65.0</v>
      </c>
      <c r="E7397" s="52" t="s">
        <v>25</v>
      </c>
      <c r="F7397" s="52" t="s">
        <v>26</v>
      </c>
      <c r="G7397" s="53"/>
    </row>
    <row r="7398">
      <c r="A7398" s="49">
        <v>44590.63918532408</v>
      </c>
      <c r="B7398" s="50">
        <v>44590.7641572569</v>
      </c>
      <c r="C7398" s="51">
        <v>1.0</v>
      </c>
      <c r="D7398" s="51">
        <v>65.0</v>
      </c>
      <c r="E7398" s="52" t="s">
        <v>25</v>
      </c>
      <c r="F7398" s="52" t="s">
        <v>26</v>
      </c>
      <c r="G7398" s="53"/>
    </row>
    <row r="7399">
      <c r="A7399" s="49">
        <v>44590.64960597223</v>
      </c>
      <c r="B7399" s="50">
        <v>44590.7745794675</v>
      </c>
      <c r="C7399" s="51">
        <v>1.0</v>
      </c>
      <c r="D7399" s="51">
        <v>65.0</v>
      </c>
      <c r="E7399" s="52" t="s">
        <v>25</v>
      </c>
      <c r="F7399" s="52" t="s">
        <v>26</v>
      </c>
      <c r="G7399" s="53"/>
    </row>
    <row r="7400">
      <c r="A7400" s="49">
        <v>44590.66002241898</v>
      </c>
      <c r="B7400" s="50">
        <v>44590.7850000694</v>
      </c>
      <c r="C7400" s="51">
        <v>1.0</v>
      </c>
      <c r="D7400" s="51">
        <v>65.0</v>
      </c>
      <c r="E7400" s="52" t="s">
        <v>25</v>
      </c>
      <c r="F7400" s="52" t="s">
        <v>26</v>
      </c>
      <c r="G7400" s="53"/>
    </row>
    <row r="7401">
      <c r="A7401" s="49">
        <v>44590.67044560185</v>
      </c>
      <c r="B7401" s="50">
        <v>44590.7954224421</v>
      </c>
      <c r="C7401" s="51">
        <v>1.0</v>
      </c>
      <c r="D7401" s="51">
        <v>64.0</v>
      </c>
      <c r="E7401" s="52" t="s">
        <v>25</v>
      </c>
      <c r="F7401" s="52" t="s">
        <v>26</v>
      </c>
      <c r="G7401" s="53"/>
    </row>
    <row r="7402">
      <c r="A7402" s="49">
        <v>44590.68086846065</v>
      </c>
      <c r="B7402" s="50">
        <v>44590.8058420949</v>
      </c>
      <c r="C7402" s="51">
        <v>1.0</v>
      </c>
      <c r="D7402" s="51">
        <v>64.0</v>
      </c>
      <c r="E7402" s="52" t="s">
        <v>25</v>
      </c>
      <c r="F7402" s="52" t="s">
        <v>26</v>
      </c>
      <c r="G7402" s="53"/>
    </row>
    <row r="7403">
      <c r="A7403" s="49">
        <v>44590.69128318287</v>
      </c>
      <c r="B7403" s="50">
        <v>44590.8162633564</v>
      </c>
      <c r="C7403" s="51">
        <v>1.0</v>
      </c>
      <c r="D7403" s="51">
        <v>64.0</v>
      </c>
      <c r="E7403" s="52" t="s">
        <v>25</v>
      </c>
      <c r="F7403" s="52" t="s">
        <v>26</v>
      </c>
      <c r="G7403" s="53"/>
    </row>
    <row r="7404">
      <c r="A7404" s="49">
        <v>44590.70170854167</v>
      </c>
      <c r="B7404" s="50">
        <v>44590.8266853356</v>
      </c>
      <c r="C7404" s="51">
        <v>1.0</v>
      </c>
      <c r="D7404" s="51">
        <v>64.0</v>
      </c>
      <c r="E7404" s="52" t="s">
        <v>25</v>
      </c>
      <c r="F7404" s="52" t="s">
        <v>26</v>
      </c>
      <c r="G7404" s="53"/>
    </row>
    <row r="7405">
      <c r="A7405" s="49">
        <v>44590.71212541667</v>
      </c>
      <c r="B7405" s="50">
        <v>44590.8371074074</v>
      </c>
      <c r="C7405" s="51">
        <v>1.0</v>
      </c>
      <c r="D7405" s="51">
        <v>64.0</v>
      </c>
      <c r="E7405" s="52" t="s">
        <v>25</v>
      </c>
      <c r="F7405" s="52" t="s">
        <v>26</v>
      </c>
      <c r="G7405" s="53"/>
    </row>
    <row r="7406">
      <c r="A7406" s="49">
        <v>44590.72256715278</v>
      </c>
      <c r="B7406" s="50">
        <v>44590.8475413078</v>
      </c>
      <c r="C7406" s="51">
        <v>1.0</v>
      </c>
      <c r="D7406" s="51">
        <v>64.0</v>
      </c>
      <c r="E7406" s="52" t="s">
        <v>25</v>
      </c>
      <c r="F7406" s="52" t="s">
        <v>26</v>
      </c>
      <c r="G7406" s="53"/>
    </row>
    <row r="7407">
      <c r="A7407" s="49">
        <v>44590.732985995375</v>
      </c>
      <c r="B7407" s="50">
        <v>44590.8579626736</v>
      </c>
      <c r="C7407" s="51">
        <v>1.0</v>
      </c>
      <c r="D7407" s="51">
        <v>64.0</v>
      </c>
      <c r="E7407" s="52" t="s">
        <v>25</v>
      </c>
      <c r="F7407" s="52" t="s">
        <v>26</v>
      </c>
      <c r="G7407" s="53"/>
    </row>
    <row r="7408">
      <c r="A7408" s="49">
        <v>44590.74341743055</v>
      </c>
      <c r="B7408" s="50">
        <v>44590.8683956481</v>
      </c>
      <c r="C7408" s="51">
        <v>1.0</v>
      </c>
      <c r="D7408" s="51">
        <v>64.0</v>
      </c>
      <c r="E7408" s="52" t="s">
        <v>25</v>
      </c>
      <c r="F7408" s="52" t="s">
        <v>26</v>
      </c>
      <c r="G7408" s="53"/>
    </row>
    <row r="7409">
      <c r="A7409" s="49">
        <v>44590.7538325</v>
      </c>
      <c r="B7409" s="50">
        <v>44590.8788161458</v>
      </c>
      <c r="C7409" s="51">
        <v>1.0</v>
      </c>
      <c r="D7409" s="51">
        <v>64.0</v>
      </c>
      <c r="E7409" s="52" t="s">
        <v>25</v>
      </c>
      <c r="F7409" s="52" t="s">
        <v>26</v>
      </c>
      <c r="G7409" s="53"/>
    </row>
    <row r="7410">
      <c r="A7410" s="49">
        <v>44590.764264618054</v>
      </c>
      <c r="B7410" s="50">
        <v>44590.8892481712</v>
      </c>
      <c r="C7410" s="51">
        <v>1.0</v>
      </c>
      <c r="D7410" s="51">
        <v>64.0</v>
      </c>
      <c r="E7410" s="52" t="s">
        <v>25</v>
      </c>
      <c r="F7410" s="52" t="s">
        <v>26</v>
      </c>
      <c r="G7410" s="53"/>
    </row>
    <row r="7411">
      <c r="A7411" s="49">
        <v>44590.77469237268</v>
      </c>
      <c r="B7411" s="50">
        <v>44590.8996699884</v>
      </c>
      <c r="C7411" s="51">
        <v>1.0</v>
      </c>
      <c r="D7411" s="51">
        <v>64.0</v>
      </c>
      <c r="E7411" s="52" t="s">
        <v>25</v>
      </c>
      <c r="F7411" s="52" t="s">
        <v>26</v>
      </c>
      <c r="G7411" s="53"/>
    </row>
    <row r="7412">
      <c r="A7412" s="49">
        <v>44590.785115798615</v>
      </c>
      <c r="B7412" s="50">
        <v>44590.9100902546</v>
      </c>
      <c r="C7412" s="51">
        <v>1.0</v>
      </c>
      <c r="D7412" s="51">
        <v>64.0</v>
      </c>
      <c r="E7412" s="52" t="s">
        <v>25</v>
      </c>
      <c r="F7412" s="52" t="s">
        <v>26</v>
      </c>
      <c r="G7412" s="53"/>
    </row>
    <row r="7413">
      <c r="A7413" s="49">
        <v>44590.79561863426</v>
      </c>
      <c r="B7413" s="50">
        <v>44590.9205922801</v>
      </c>
      <c r="C7413" s="51">
        <v>1.0</v>
      </c>
      <c r="D7413" s="51">
        <v>64.0</v>
      </c>
      <c r="E7413" s="52" t="s">
        <v>25</v>
      </c>
      <c r="F7413" s="52" t="s">
        <v>26</v>
      </c>
      <c r="G7413" s="53"/>
    </row>
    <row r="7414">
      <c r="A7414" s="49">
        <v>44590.80605533565</v>
      </c>
      <c r="B7414" s="50">
        <v>44590.9310248842</v>
      </c>
      <c r="C7414" s="51">
        <v>1.0</v>
      </c>
      <c r="D7414" s="51">
        <v>64.0</v>
      </c>
      <c r="E7414" s="52" t="s">
        <v>25</v>
      </c>
      <c r="F7414" s="52" t="s">
        <v>26</v>
      </c>
      <c r="G7414" s="53"/>
    </row>
    <row r="7415">
      <c r="A7415" s="49">
        <v>44590.81646165509</v>
      </c>
      <c r="B7415" s="50">
        <v>44590.9414462615</v>
      </c>
      <c r="C7415" s="51">
        <v>1.0</v>
      </c>
      <c r="D7415" s="51">
        <v>64.0</v>
      </c>
      <c r="E7415" s="52" t="s">
        <v>25</v>
      </c>
      <c r="F7415" s="52" t="s">
        <v>26</v>
      </c>
      <c r="G7415" s="53"/>
    </row>
    <row r="7416">
      <c r="A7416" s="49">
        <v>44590.826890613425</v>
      </c>
      <c r="B7416" s="50">
        <v>44590.9518680208</v>
      </c>
      <c r="C7416" s="51">
        <v>1.0</v>
      </c>
      <c r="D7416" s="51">
        <v>64.0</v>
      </c>
      <c r="E7416" s="52" t="s">
        <v>25</v>
      </c>
      <c r="F7416" s="52" t="s">
        <v>26</v>
      </c>
      <c r="G7416" s="53"/>
    </row>
    <row r="7417">
      <c r="A7417" s="49">
        <v>44590.83732261574</v>
      </c>
      <c r="B7417" s="50">
        <v>44590.9622998379</v>
      </c>
      <c r="C7417" s="51">
        <v>1.0</v>
      </c>
      <c r="D7417" s="51">
        <v>64.0</v>
      </c>
      <c r="E7417" s="52" t="s">
        <v>25</v>
      </c>
      <c r="F7417" s="52" t="s">
        <v>26</v>
      </c>
      <c r="G7417" s="53"/>
    </row>
    <row r="7418">
      <c r="A7418" s="49">
        <v>44590.847749050925</v>
      </c>
      <c r="B7418" s="50">
        <v>44590.9727217824</v>
      </c>
      <c r="C7418" s="51">
        <v>1.0</v>
      </c>
      <c r="D7418" s="51">
        <v>64.0</v>
      </c>
      <c r="E7418" s="52" t="s">
        <v>25</v>
      </c>
      <c r="F7418" s="52" t="s">
        <v>26</v>
      </c>
      <c r="G7418" s="53"/>
    </row>
    <row r="7419">
      <c r="A7419" s="49">
        <v>44590.85817866898</v>
      </c>
      <c r="B7419" s="50">
        <v>44590.9831542361</v>
      </c>
      <c r="C7419" s="51">
        <v>1.0</v>
      </c>
      <c r="D7419" s="51">
        <v>64.0</v>
      </c>
      <c r="E7419" s="52" t="s">
        <v>25</v>
      </c>
      <c r="F7419" s="52" t="s">
        <v>26</v>
      </c>
      <c r="G7419" s="53"/>
    </row>
    <row r="7420">
      <c r="A7420" s="49">
        <v>44590.86860173611</v>
      </c>
      <c r="B7420" s="50">
        <v>44590.9935766782</v>
      </c>
      <c r="C7420" s="51">
        <v>1.0</v>
      </c>
      <c r="D7420" s="51">
        <v>64.0</v>
      </c>
      <c r="E7420" s="52" t="s">
        <v>25</v>
      </c>
      <c r="F7420" s="52" t="s">
        <v>26</v>
      </c>
      <c r="G7420" s="53"/>
    </row>
    <row r="7421">
      <c r="A7421" s="49">
        <v>44590.87902386574</v>
      </c>
      <c r="B7421" s="50">
        <v>44591.0039973842</v>
      </c>
      <c r="C7421" s="51">
        <v>1.0</v>
      </c>
      <c r="D7421" s="51">
        <v>64.0</v>
      </c>
      <c r="E7421" s="52" t="s">
        <v>25</v>
      </c>
      <c r="F7421" s="52" t="s">
        <v>26</v>
      </c>
      <c r="G7421" s="53"/>
    </row>
    <row r="7422">
      <c r="A7422" s="49">
        <v>44590.88943873842</v>
      </c>
      <c r="B7422" s="50">
        <v>44591.0144204282</v>
      </c>
      <c r="C7422" s="51">
        <v>1.0</v>
      </c>
      <c r="D7422" s="51">
        <v>64.0</v>
      </c>
      <c r="E7422" s="52" t="s">
        <v>25</v>
      </c>
      <c r="F7422" s="52" t="s">
        <v>26</v>
      </c>
      <c r="G7422" s="53"/>
    </row>
    <row r="7423">
      <c r="A7423" s="49">
        <v>44590.89987607639</v>
      </c>
      <c r="B7423" s="50">
        <v>44591.0248530555</v>
      </c>
      <c r="C7423" s="51">
        <v>1.0</v>
      </c>
      <c r="D7423" s="51">
        <v>64.0</v>
      </c>
      <c r="E7423" s="52" t="s">
        <v>25</v>
      </c>
      <c r="F7423" s="52" t="s">
        <v>26</v>
      </c>
      <c r="G7423" s="53"/>
    </row>
    <row r="7424">
      <c r="A7424" s="49">
        <v>44590.91030295139</v>
      </c>
      <c r="B7424" s="50">
        <v>44591.0352753356</v>
      </c>
      <c r="C7424" s="51">
        <v>1.0</v>
      </c>
      <c r="D7424" s="51">
        <v>64.0</v>
      </c>
      <c r="E7424" s="52" t="s">
        <v>25</v>
      </c>
      <c r="F7424" s="52" t="s">
        <v>26</v>
      </c>
      <c r="G7424" s="53"/>
    </row>
    <row r="7425">
      <c r="A7425" s="49">
        <v>44590.92072033565</v>
      </c>
      <c r="B7425" s="50">
        <v>44591.0456958796</v>
      </c>
      <c r="C7425" s="51">
        <v>1.0</v>
      </c>
      <c r="D7425" s="51">
        <v>64.0</v>
      </c>
      <c r="E7425" s="52" t="s">
        <v>25</v>
      </c>
      <c r="F7425" s="52" t="s">
        <v>26</v>
      </c>
      <c r="G7425" s="53"/>
    </row>
    <row r="7426">
      <c r="A7426" s="49">
        <v>44590.931138125</v>
      </c>
      <c r="B7426" s="50">
        <v>44591.0561157291</v>
      </c>
      <c r="C7426" s="51">
        <v>1.0</v>
      </c>
      <c r="D7426" s="51">
        <v>64.0</v>
      </c>
      <c r="E7426" s="52" t="s">
        <v>25</v>
      </c>
      <c r="F7426" s="52" t="s">
        <v>26</v>
      </c>
      <c r="G7426" s="53"/>
    </row>
    <row r="7427">
      <c r="A7427" s="49">
        <v>44590.9415725463</v>
      </c>
      <c r="B7427" s="50">
        <v>44591.0665491087</v>
      </c>
      <c r="C7427" s="51">
        <v>1.0</v>
      </c>
      <c r="D7427" s="51">
        <v>64.0</v>
      </c>
      <c r="E7427" s="52" t="s">
        <v>25</v>
      </c>
      <c r="F7427" s="52" t="s">
        <v>26</v>
      </c>
      <c r="G7427" s="53"/>
    </row>
    <row r="7428">
      <c r="A7428" s="49">
        <v>44590.95199041667</v>
      </c>
      <c r="B7428" s="50">
        <v>44591.0769696527</v>
      </c>
      <c r="C7428" s="51">
        <v>1.0</v>
      </c>
      <c r="D7428" s="51">
        <v>64.0</v>
      </c>
      <c r="E7428" s="52" t="s">
        <v>25</v>
      </c>
      <c r="F7428" s="52" t="s">
        <v>26</v>
      </c>
      <c r="G7428" s="53"/>
    </row>
    <row r="7429">
      <c r="A7429" s="49">
        <v>44590.962418807874</v>
      </c>
      <c r="B7429" s="50">
        <v>44591.0873919907</v>
      </c>
      <c r="C7429" s="51">
        <v>1.0</v>
      </c>
      <c r="D7429" s="51">
        <v>64.0</v>
      </c>
      <c r="E7429" s="52" t="s">
        <v>25</v>
      </c>
      <c r="F7429" s="52" t="s">
        <v>26</v>
      </c>
      <c r="G7429" s="53"/>
    </row>
    <row r="7430">
      <c r="A7430" s="49">
        <v>44590.97283637732</v>
      </c>
      <c r="B7430" s="50">
        <v>44591.0978133217</v>
      </c>
      <c r="C7430" s="51">
        <v>1.0</v>
      </c>
      <c r="D7430" s="51">
        <v>64.0</v>
      </c>
      <c r="E7430" s="52" t="s">
        <v>25</v>
      </c>
      <c r="F7430" s="52" t="s">
        <v>26</v>
      </c>
      <c r="G7430" s="53"/>
    </row>
    <row r="7431">
      <c r="A7431" s="49">
        <v>44590.98326594908</v>
      </c>
      <c r="B7431" s="50">
        <v>44591.1082319907</v>
      </c>
      <c r="C7431" s="51">
        <v>1.001</v>
      </c>
      <c r="D7431" s="51">
        <v>63.0</v>
      </c>
      <c r="E7431" s="52" t="s">
        <v>25</v>
      </c>
      <c r="F7431" s="52" t="s">
        <v>26</v>
      </c>
      <c r="G7431" s="53"/>
    </row>
    <row r="7432">
      <c r="A7432" s="49">
        <v>44590.993680555555</v>
      </c>
      <c r="B7432" s="50">
        <v>44591.1186537499</v>
      </c>
      <c r="C7432" s="51">
        <v>1.0</v>
      </c>
      <c r="D7432" s="51">
        <v>63.0</v>
      </c>
      <c r="E7432" s="52" t="s">
        <v>25</v>
      </c>
      <c r="F7432" s="52" t="s">
        <v>26</v>
      </c>
      <c r="G7432" s="53"/>
    </row>
    <row r="7433">
      <c r="A7433" s="49">
        <v>44591.00410291667</v>
      </c>
      <c r="B7433" s="50">
        <v>44591.1290844675</v>
      </c>
      <c r="C7433" s="51">
        <v>1.0</v>
      </c>
      <c r="D7433" s="51">
        <v>63.0</v>
      </c>
      <c r="E7433" s="52" t="s">
        <v>25</v>
      </c>
      <c r="F7433" s="52" t="s">
        <v>26</v>
      </c>
      <c r="G7433" s="53"/>
    </row>
    <row r="7434">
      <c r="A7434" s="49">
        <v>44591.01452829861</v>
      </c>
      <c r="B7434" s="50">
        <v>44591.1395056018</v>
      </c>
      <c r="C7434" s="51">
        <v>1.0</v>
      </c>
      <c r="D7434" s="51">
        <v>63.0</v>
      </c>
      <c r="E7434" s="52" t="s">
        <v>25</v>
      </c>
      <c r="F7434" s="52" t="s">
        <v>26</v>
      </c>
      <c r="G7434" s="53"/>
    </row>
    <row r="7435">
      <c r="A7435" s="49">
        <v>44591.02494833333</v>
      </c>
      <c r="B7435" s="50">
        <v>44591.1499267013</v>
      </c>
      <c r="C7435" s="51">
        <v>1.0</v>
      </c>
      <c r="D7435" s="51">
        <v>63.0</v>
      </c>
      <c r="E7435" s="52" t="s">
        <v>25</v>
      </c>
      <c r="F7435" s="52" t="s">
        <v>26</v>
      </c>
      <c r="G7435" s="53"/>
    </row>
    <row r="7436">
      <c r="A7436" s="49">
        <v>44591.035369756944</v>
      </c>
      <c r="B7436" s="50">
        <v>44591.1603465046</v>
      </c>
      <c r="C7436" s="51">
        <v>1.0</v>
      </c>
      <c r="D7436" s="51">
        <v>63.0</v>
      </c>
      <c r="E7436" s="52" t="s">
        <v>25</v>
      </c>
      <c r="F7436" s="52" t="s">
        <v>26</v>
      </c>
      <c r="G7436" s="53"/>
    </row>
    <row r="7437">
      <c r="A7437" s="49">
        <v>44591.04578954861</v>
      </c>
      <c r="B7437" s="50">
        <v>44591.1707688425</v>
      </c>
      <c r="C7437" s="51">
        <v>1.0</v>
      </c>
      <c r="D7437" s="51">
        <v>63.0</v>
      </c>
      <c r="E7437" s="52" t="s">
        <v>25</v>
      </c>
      <c r="F7437" s="52" t="s">
        <v>26</v>
      </c>
      <c r="G7437" s="53"/>
    </row>
    <row r="7438">
      <c r="A7438" s="49">
        <v>44591.056208078706</v>
      </c>
      <c r="B7438" s="50">
        <v>44591.1811892361</v>
      </c>
      <c r="C7438" s="51">
        <v>1.0</v>
      </c>
      <c r="D7438" s="51">
        <v>63.0</v>
      </c>
      <c r="E7438" s="52" t="s">
        <v>25</v>
      </c>
      <c r="F7438" s="52" t="s">
        <v>26</v>
      </c>
      <c r="G7438" s="53"/>
    </row>
    <row r="7439">
      <c r="A7439" s="49">
        <v>44591.06664300926</v>
      </c>
      <c r="B7439" s="50">
        <v>44591.1916211805</v>
      </c>
      <c r="C7439" s="51">
        <v>1.0</v>
      </c>
      <c r="D7439" s="51">
        <v>63.0</v>
      </c>
      <c r="E7439" s="52" t="s">
        <v>25</v>
      </c>
      <c r="F7439" s="52" t="s">
        <v>26</v>
      </c>
      <c r="G7439" s="53"/>
    </row>
    <row r="7440">
      <c r="A7440" s="49">
        <v>44591.077063460645</v>
      </c>
      <c r="B7440" s="50">
        <v>44591.2020407638</v>
      </c>
      <c r="C7440" s="51">
        <v>1.0</v>
      </c>
      <c r="D7440" s="51">
        <v>63.0</v>
      </c>
      <c r="E7440" s="52" t="s">
        <v>25</v>
      </c>
      <c r="F7440" s="52" t="s">
        <v>26</v>
      </c>
      <c r="G7440" s="53"/>
    </row>
    <row r="7441">
      <c r="A7441" s="49">
        <v>44591.087487384255</v>
      </c>
      <c r="B7441" s="50">
        <v>44591.2124600231</v>
      </c>
      <c r="C7441" s="51">
        <v>1.0</v>
      </c>
      <c r="D7441" s="51">
        <v>63.0</v>
      </c>
      <c r="E7441" s="52" t="s">
        <v>25</v>
      </c>
      <c r="F7441" s="52" t="s">
        <v>26</v>
      </c>
      <c r="G7441" s="53"/>
    </row>
    <row r="7442">
      <c r="A7442" s="49">
        <v>44591.09790393518</v>
      </c>
      <c r="B7442" s="50">
        <v>44591.2228802199</v>
      </c>
      <c r="C7442" s="51">
        <v>1.0</v>
      </c>
      <c r="D7442" s="51">
        <v>63.0</v>
      </c>
      <c r="E7442" s="52" t="s">
        <v>25</v>
      </c>
      <c r="F7442" s="52" t="s">
        <v>26</v>
      </c>
      <c r="G7442" s="53"/>
    </row>
    <row r="7443">
      <c r="A7443" s="49">
        <v>44591.10832787037</v>
      </c>
      <c r="B7443" s="50">
        <v>44591.2333007754</v>
      </c>
      <c r="C7443" s="51">
        <v>1.0</v>
      </c>
      <c r="D7443" s="51">
        <v>63.0</v>
      </c>
      <c r="E7443" s="52" t="s">
        <v>25</v>
      </c>
      <c r="F7443" s="52" t="s">
        <v>26</v>
      </c>
      <c r="G7443" s="53"/>
    </row>
    <row r="7444">
      <c r="A7444" s="49">
        <v>44591.118746782406</v>
      </c>
      <c r="B7444" s="50">
        <v>44591.2437203819</v>
      </c>
      <c r="C7444" s="51">
        <v>1.001</v>
      </c>
      <c r="D7444" s="51">
        <v>63.0</v>
      </c>
      <c r="E7444" s="52" t="s">
        <v>25</v>
      </c>
      <c r="F7444" s="52" t="s">
        <v>26</v>
      </c>
      <c r="G7444" s="53"/>
    </row>
    <row r="7445">
      <c r="A7445" s="49">
        <v>44591.12918444445</v>
      </c>
      <c r="B7445" s="50">
        <v>44591.2541540393</v>
      </c>
      <c r="C7445" s="51">
        <v>1.0</v>
      </c>
      <c r="D7445" s="51">
        <v>63.0</v>
      </c>
      <c r="E7445" s="52" t="s">
        <v>25</v>
      </c>
      <c r="F7445" s="52" t="s">
        <v>26</v>
      </c>
      <c r="G7445" s="53"/>
    </row>
    <row r="7446">
      <c r="A7446" s="49">
        <v>44591.13961357639</v>
      </c>
      <c r="B7446" s="50">
        <v>44591.2645860416</v>
      </c>
      <c r="C7446" s="51">
        <v>1.0</v>
      </c>
      <c r="D7446" s="51">
        <v>63.0</v>
      </c>
      <c r="E7446" s="52" t="s">
        <v>25</v>
      </c>
      <c r="F7446" s="52" t="s">
        <v>26</v>
      </c>
      <c r="G7446" s="53"/>
    </row>
    <row r="7447">
      <c r="A7447" s="49">
        <v>44591.15002291667</v>
      </c>
      <c r="B7447" s="50">
        <v>44591.2750051736</v>
      </c>
      <c r="C7447" s="51">
        <v>1.0</v>
      </c>
      <c r="D7447" s="51">
        <v>63.0</v>
      </c>
      <c r="E7447" s="52" t="s">
        <v>25</v>
      </c>
      <c r="F7447" s="52" t="s">
        <v>26</v>
      </c>
      <c r="G7447" s="53"/>
    </row>
    <row r="7448">
      <c r="A7448" s="49">
        <v>44591.16044851852</v>
      </c>
      <c r="B7448" s="50">
        <v>44591.2854244097</v>
      </c>
      <c r="C7448" s="51">
        <v>1.0</v>
      </c>
      <c r="D7448" s="51">
        <v>63.0</v>
      </c>
      <c r="E7448" s="52" t="s">
        <v>25</v>
      </c>
      <c r="F7448" s="52" t="s">
        <v>26</v>
      </c>
      <c r="G7448" s="53"/>
    </row>
    <row r="7449">
      <c r="A7449" s="49">
        <v>44591.17089405093</v>
      </c>
      <c r="B7449" s="50">
        <v>44591.2958701967</v>
      </c>
      <c r="C7449" s="51">
        <v>1.0</v>
      </c>
      <c r="D7449" s="51">
        <v>63.0</v>
      </c>
      <c r="E7449" s="52" t="s">
        <v>25</v>
      </c>
      <c r="F7449" s="52" t="s">
        <v>26</v>
      </c>
      <c r="G7449" s="53"/>
    </row>
    <row r="7450">
      <c r="A7450" s="49">
        <v>44591.18131865741</v>
      </c>
      <c r="B7450" s="50">
        <v>44591.306291956</v>
      </c>
      <c r="C7450" s="51">
        <v>1.0</v>
      </c>
      <c r="D7450" s="51">
        <v>63.0</v>
      </c>
      <c r="E7450" s="52" t="s">
        <v>25</v>
      </c>
      <c r="F7450" s="52" t="s">
        <v>26</v>
      </c>
      <c r="G7450" s="53"/>
    </row>
    <row r="7451">
      <c r="A7451" s="49">
        <v>44591.19174005787</v>
      </c>
      <c r="B7451" s="50">
        <v>44591.3167231828</v>
      </c>
      <c r="C7451" s="51">
        <v>1.0</v>
      </c>
      <c r="D7451" s="51">
        <v>63.0</v>
      </c>
      <c r="E7451" s="52" t="s">
        <v>25</v>
      </c>
      <c r="F7451" s="52" t="s">
        <v>26</v>
      </c>
      <c r="G7451" s="53"/>
    </row>
    <row r="7452">
      <c r="A7452" s="49">
        <v>44591.20216537037</v>
      </c>
      <c r="B7452" s="50">
        <v>44591.3271431828</v>
      </c>
      <c r="C7452" s="51">
        <v>1.0</v>
      </c>
      <c r="D7452" s="51">
        <v>63.0</v>
      </c>
      <c r="E7452" s="52" t="s">
        <v>25</v>
      </c>
      <c r="F7452" s="52" t="s">
        <v>26</v>
      </c>
      <c r="G7452" s="53"/>
    </row>
    <row r="7453">
      <c r="A7453" s="49">
        <v>44591.21258553241</v>
      </c>
      <c r="B7453" s="50">
        <v>44591.3375641435</v>
      </c>
      <c r="C7453" s="51">
        <v>1.0</v>
      </c>
      <c r="D7453" s="51">
        <v>63.0</v>
      </c>
      <c r="E7453" s="52" t="s">
        <v>25</v>
      </c>
      <c r="F7453" s="52" t="s">
        <v>26</v>
      </c>
      <c r="G7453" s="53"/>
    </row>
    <row r="7454">
      <c r="A7454" s="49">
        <v>44591.22300465278</v>
      </c>
      <c r="B7454" s="50">
        <v>44591.3479843634</v>
      </c>
      <c r="C7454" s="51">
        <v>1.0</v>
      </c>
      <c r="D7454" s="51">
        <v>63.0</v>
      </c>
      <c r="E7454" s="52" t="s">
        <v>25</v>
      </c>
      <c r="F7454" s="52" t="s">
        <v>26</v>
      </c>
      <c r="G7454" s="53"/>
    </row>
    <row r="7455">
      <c r="A7455" s="49">
        <v>44591.233427037034</v>
      </c>
      <c r="B7455" s="50">
        <v>44591.3584066088</v>
      </c>
      <c r="C7455" s="51">
        <v>1.0</v>
      </c>
      <c r="D7455" s="51">
        <v>63.0</v>
      </c>
      <c r="E7455" s="52" t="s">
        <v>25</v>
      </c>
      <c r="F7455" s="52" t="s">
        <v>26</v>
      </c>
      <c r="G7455" s="53"/>
    </row>
    <row r="7456">
      <c r="A7456" s="49">
        <v>44591.24384944444</v>
      </c>
      <c r="B7456" s="50">
        <v>44591.3688287037</v>
      </c>
      <c r="C7456" s="51">
        <v>1.0</v>
      </c>
      <c r="D7456" s="51">
        <v>63.0</v>
      </c>
      <c r="E7456" s="52" t="s">
        <v>25</v>
      </c>
      <c r="F7456" s="52" t="s">
        <v>26</v>
      </c>
      <c r="G7456" s="53"/>
    </row>
    <row r="7457">
      <c r="A7457" s="49">
        <v>44591.254268715275</v>
      </c>
      <c r="B7457" s="50">
        <v>44591.3792494907</v>
      </c>
      <c r="C7457" s="51">
        <v>1.0</v>
      </c>
      <c r="D7457" s="51">
        <v>63.0</v>
      </c>
      <c r="E7457" s="52" t="s">
        <v>25</v>
      </c>
      <c r="F7457" s="52" t="s">
        <v>26</v>
      </c>
      <c r="G7457" s="53"/>
    </row>
    <row r="7458">
      <c r="A7458" s="49">
        <v>44591.26468907407</v>
      </c>
      <c r="B7458" s="50">
        <v>44591.3896698263</v>
      </c>
      <c r="C7458" s="51">
        <v>1.0</v>
      </c>
      <c r="D7458" s="51">
        <v>63.0</v>
      </c>
      <c r="E7458" s="52" t="s">
        <v>25</v>
      </c>
      <c r="F7458" s="52" t="s">
        <v>26</v>
      </c>
      <c r="G7458" s="53"/>
    </row>
    <row r="7459">
      <c r="A7459" s="49">
        <v>44591.275117638885</v>
      </c>
      <c r="B7459" s="50">
        <v>44591.4000905787</v>
      </c>
      <c r="C7459" s="51">
        <v>1.0</v>
      </c>
      <c r="D7459" s="51">
        <v>63.0</v>
      </c>
      <c r="E7459" s="52" t="s">
        <v>25</v>
      </c>
      <c r="F7459" s="52" t="s">
        <v>26</v>
      </c>
      <c r="G7459" s="53"/>
    </row>
    <row r="7460">
      <c r="A7460" s="49">
        <v>44591.286540347224</v>
      </c>
      <c r="B7460" s="50">
        <v>44591.4105123842</v>
      </c>
      <c r="C7460" s="51">
        <v>1.0</v>
      </c>
      <c r="D7460" s="51">
        <v>63.0</v>
      </c>
      <c r="E7460" s="52" t="s">
        <v>25</v>
      </c>
      <c r="F7460" s="52" t="s">
        <v>26</v>
      </c>
      <c r="G7460" s="53"/>
    </row>
    <row r="7461">
      <c r="A7461" s="49">
        <v>44591.29596715278</v>
      </c>
      <c r="B7461" s="50">
        <v>44591.4209461921</v>
      </c>
      <c r="C7461" s="51">
        <v>1.0</v>
      </c>
      <c r="D7461" s="51">
        <v>63.0</v>
      </c>
      <c r="E7461" s="52" t="s">
        <v>25</v>
      </c>
      <c r="F7461" s="52" t="s">
        <v>26</v>
      </c>
      <c r="G7461" s="53"/>
    </row>
    <row r="7462">
      <c r="A7462" s="49">
        <v>44591.30639265046</v>
      </c>
      <c r="B7462" s="50">
        <v>44591.431367118</v>
      </c>
      <c r="C7462" s="51">
        <v>1.0</v>
      </c>
      <c r="D7462" s="51">
        <v>63.0</v>
      </c>
      <c r="E7462" s="52" t="s">
        <v>25</v>
      </c>
      <c r="F7462" s="52" t="s">
        <v>26</v>
      </c>
      <c r="G7462" s="53"/>
    </row>
    <row r="7463">
      <c r="A7463" s="49">
        <v>44591.31681559028</v>
      </c>
      <c r="B7463" s="50">
        <v>44591.4417882407</v>
      </c>
      <c r="C7463" s="51">
        <v>1.0</v>
      </c>
      <c r="D7463" s="51">
        <v>62.0</v>
      </c>
      <c r="E7463" s="52" t="s">
        <v>25</v>
      </c>
      <c r="F7463" s="52" t="s">
        <v>26</v>
      </c>
      <c r="G7463" s="53"/>
    </row>
    <row r="7464">
      <c r="A7464" s="49">
        <v>44591.32722517361</v>
      </c>
      <c r="B7464" s="50">
        <v>44591.4522097685</v>
      </c>
      <c r="C7464" s="51">
        <v>1.0</v>
      </c>
      <c r="D7464" s="51">
        <v>62.0</v>
      </c>
      <c r="E7464" s="52" t="s">
        <v>25</v>
      </c>
      <c r="F7464" s="52" t="s">
        <v>26</v>
      </c>
      <c r="G7464" s="53"/>
    </row>
    <row r="7465">
      <c r="A7465" s="49">
        <v>44591.33764737268</v>
      </c>
      <c r="B7465" s="50">
        <v>44591.4626302314</v>
      </c>
      <c r="C7465" s="51">
        <v>1.0</v>
      </c>
      <c r="D7465" s="51">
        <v>62.0</v>
      </c>
      <c r="E7465" s="52" t="s">
        <v>25</v>
      </c>
      <c r="F7465" s="52" t="s">
        <v>26</v>
      </c>
      <c r="G7465" s="53"/>
    </row>
    <row r="7466">
      <c r="A7466" s="49">
        <v>44591.348079814816</v>
      </c>
      <c r="B7466" s="50">
        <v>44591.4730528472</v>
      </c>
      <c r="C7466" s="51">
        <v>1.0</v>
      </c>
      <c r="D7466" s="51">
        <v>63.0</v>
      </c>
      <c r="E7466" s="52" t="s">
        <v>25</v>
      </c>
      <c r="F7466" s="52" t="s">
        <v>26</v>
      </c>
      <c r="G7466" s="53"/>
    </row>
    <row r="7467">
      <c r="A7467" s="49">
        <v>44591.35849883102</v>
      </c>
      <c r="B7467" s="50">
        <v>44591.4834749421</v>
      </c>
      <c r="C7467" s="51">
        <v>1.0</v>
      </c>
      <c r="D7467" s="51">
        <v>62.0</v>
      </c>
      <c r="E7467" s="52" t="s">
        <v>25</v>
      </c>
      <c r="F7467" s="52" t="s">
        <v>26</v>
      </c>
      <c r="G7467" s="53"/>
    </row>
    <row r="7468">
      <c r="A7468" s="49">
        <v>44591.36891870371</v>
      </c>
      <c r="B7468" s="50">
        <v>44591.4938973263</v>
      </c>
      <c r="C7468" s="51">
        <v>1.0</v>
      </c>
      <c r="D7468" s="51">
        <v>62.0</v>
      </c>
      <c r="E7468" s="52" t="s">
        <v>25</v>
      </c>
      <c r="F7468" s="52" t="s">
        <v>26</v>
      </c>
      <c r="G7468" s="53"/>
    </row>
    <row r="7469">
      <c r="A7469" s="49">
        <v>44591.379337210645</v>
      </c>
      <c r="B7469" s="50">
        <v>44591.5043181944</v>
      </c>
      <c r="C7469" s="51">
        <v>1.0</v>
      </c>
      <c r="D7469" s="51">
        <v>62.0</v>
      </c>
      <c r="E7469" s="52" t="s">
        <v>25</v>
      </c>
      <c r="F7469" s="52" t="s">
        <v>26</v>
      </c>
      <c r="G7469" s="53"/>
    </row>
    <row r="7470">
      <c r="A7470" s="49">
        <v>44591.389764085645</v>
      </c>
      <c r="B7470" s="50">
        <v>44591.5147392592</v>
      </c>
      <c r="C7470" s="51">
        <v>1.0</v>
      </c>
      <c r="D7470" s="51">
        <v>62.0</v>
      </c>
      <c r="E7470" s="52" t="s">
        <v>25</v>
      </c>
      <c r="F7470" s="52" t="s">
        <v>26</v>
      </c>
      <c r="G7470" s="53"/>
    </row>
    <row r="7471">
      <c r="A7471" s="49">
        <v>44591.40017649306</v>
      </c>
      <c r="B7471" s="50">
        <v>44591.5251616666</v>
      </c>
      <c r="C7471" s="51">
        <v>1.0</v>
      </c>
      <c r="D7471" s="51">
        <v>62.0</v>
      </c>
      <c r="E7471" s="52" t="s">
        <v>25</v>
      </c>
      <c r="F7471" s="52" t="s">
        <v>26</v>
      </c>
      <c r="G7471" s="53"/>
    </row>
    <row r="7472">
      <c r="A7472" s="49">
        <v>44591.4106019676</v>
      </c>
      <c r="B7472" s="50">
        <v>44591.5355818402</v>
      </c>
      <c r="C7472" s="51">
        <v>1.0</v>
      </c>
      <c r="D7472" s="51">
        <v>62.0</v>
      </c>
      <c r="E7472" s="52" t="s">
        <v>25</v>
      </c>
      <c r="F7472" s="52" t="s">
        <v>26</v>
      </c>
      <c r="G7472" s="53"/>
    </row>
    <row r="7473">
      <c r="A7473" s="49">
        <v>44591.42103363426</v>
      </c>
      <c r="B7473" s="50">
        <v>44591.5460156828</v>
      </c>
      <c r="C7473" s="51">
        <v>1.0</v>
      </c>
      <c r="D7473" s="51">
        <v>62.0</v>
      </c>
      <c r="E7473" s="52" t="s">
        <v>25</v>
      </c>
      <c r="F7473" s="52" t="s">
        <v>26</v>
      </c>
      <c r="G7473" s="53"/>
    </row>
    <row r="7474">
      <c r="A7474" s="49">
        <v>44591.43145445602</v>
      </c>
      <c r="B7474" s="50">
        <v>44591.5564356365</v>
      </c>
      <c r="C7474" s="51">
        <v>1.0</v>
      </c>
      <c r="D7474" s="51">
        <v>62.0</v>
      </c>
      <c r="E7474" s="52" t="s">
        <v>25</v>
      </c>
      <c r="F7474" s="52" t="s">
        <v>26</v>
      </c>
      <c r="G7474" s="53"/>
    </row>
    <row r="7475">
      <c r="A7475" s="49">
        <v>44591.4418941551</v>
      </c>
      <c r="B7475" s="50">
        <v>44591.5668580439</v>
      </c>
      <c r="C7475" s="51">
        <v>1.0</v>
      </c>
      <c r="D7475" s="51">
        <v>62.0</v>
      </c>
      <c r="E7475" s="52" t="s">
        <v>25</v>
      </c>
      <c r="F7475" s="52" t="s">
        <v>26</v>
      </c>
      <c r="G7475" s="53"/>
    </row>
    <row r="7476">
      <c r="A7476" s="49">
        <v>44591.452305520834</v>
      </c>
      <c r="B7476" s="50">
        <v>44591.5772768171</v>
      </c>
      <c r="C7476" s="51">
        <v>1.0</v>
      </c>
      <c r="D7476" s="51">
        <v>62.0</v>
      </c>
      <c r="E7476" s="52" t="s">
        <v>25</v>
      </c>
      <c r="F7476" s="52" t="s">
        <v>26</v>
      </c>
      <c r="G7476" s="53"/>
    </row>
    <row r="7477">
      <c r="A7477" s="49">
        <v>44591.46272457176</v>
      </c>
      <c r="B7477" s="50">
        <v>44591.5876986574</v>
      </c>
      <c r="C7477" s="51">
        <v>1.0</v>
      </c>
      <c r="D7477" s="51">
        <v>62.0</v>
      </c>
      <c r="E7477" s="52" t="s">
        <v>25</v>
      </c>
      <c r="F7477" s="52" t="s">
        <v>26</v>
      </c>
      <c r="G7477" s="53"/>
    </row>
    <row r="7478">
      <c r="A7478" s="49">
        <v>44591.47317765046</v>
      </c>
      <c r="B7478" s="50">
        <v>44591.5981552199</v>
      </c>
      <c r="C7478" s="51">
        <v>1.0</v>
      </c>
      <c r="D7478" s="51">
        <v>62.0</v>
      </c>
      <c r="E7478" s="52" t="s">
        <v>25</v>
      </c>
      <c r="F7478" s="52" t="s">
        <v>26</v>
      </c>
      <c r="G7478" s="53"/>
    </row>
    <row r="7479">
      <c r="A7479" s="49">
        <v>44591.48360388889</v>
      </c>
      <c r="B7479" s="50">
        <v>44591.6085748148</v>
      </c>
      <c r="C7479" s="51">
        <v>1.0</v>
      </c>
      <c r="D7479" s="51">
        <v>62.0</v>
      </c>
      <c r="E7479" s="52" t="s">
        <v>25</v>
      </c>
      <c r="F7479" s="52" t="s">
        <v>26</v>
      </c>
      <c r="G7479" s="53"/>
    </row>
    <row r="7480">
      <c r="A7480" s="49">
        <v>44591.4940165625</v>
      </c>
      <c r="B7480" s="50">
        <v>44591.6189951041</v>
      </c>
      <c r="C7480" s="51">
        <v>1.0</v>
      </c>
      <c r="D7480" s="51">
        <v>62.0</v>
      </c>
      <c r="E7480" s="52" t="s">
        <v>25</v>
      </c>
      <c r="F7480" s="52" t="s">
        <v>26</v>
      </c>
      <c r="G7480" s="53"/>
    </row>
    <row r="7481">
      <c r="A7481" s="49">
        <v>44591.50444167824</v>
      </c>
      <c r="B7481" s="50">
        <v>44591.6294166088</v>
      </c>
      <c r="C7481" s="51">
        <v>1.0</v>
      </c>
      <c r="D7481" s="51">
        <v>62.0</v>
      </c>
      <c r="E7481" s="52" t="s">
        <v>25</v>
      </c>
      <c r="F7481" s="52" t="s">
        <v>26</v>
      </c>
      <c r="G7481" s="53"/>
    </row>
    <row r="7482">
      <c r="A7482" s="49">
        <v>44591.514866087964</v>
      </c>
      <c r="B7482" s="50">
        <v>44591.6398353356</v>
      </c>
      <c r="C7482" s="51">
        <v>1.0</v>
      </c>
      <c r="D7482" s="51">
        <v>62.0</v>
      </c>
      <c r="E7482" s="52" t="s">
        <v>25</v>
      </c>
      <c r="F7482" s="52" t="s">
        <v>26</v>
      </c>
      <c r="G7482" s="53"/>
    </row>
    <row r="7483">
      <c r="A7483" s="49">
        <v>44591.52528469908</v>
      </c>
      <c r="B7483" s="50">
        <v>44591.6502563194</v>
      </c>
      <c r="C7483" s="51">
        <v>1.001</v>
      </c>
      <c r="D7483" s="51">
        <v>62.0</v>
      </c>
      <c r="E7483" s="52" t="s">
        <v>25</v>
      </c>
      <c r="F7483" s="52" t="s">
        <v>26</v>
      </c>
      <c r="G7483" s="53"/>
    </row>
    <row r="7484">
      <c r="A7484" s="49">
        <v>44591.53570576389</v>
      </c>
      <c r="B7484" s="50">
        <v>44591.6606772106</v>
      </c>
      <c r="C7484" s="51">
        <v>1.0</v>
      </c>
      <c r="D7484" s="51">
        <v>62.0</v>
      </c>
      <c r="E7484" s="52" t="s">
        <v>25</v>
      </c>
      <c r="F7484" s="52" t="s">
        <v>26</v>
      </c>
      <c r="G7484" s="53"/>
    </row>
    <row r="7485">
      <c r="A7485" s="49">
        <v>44591.54612407407</v>
      </c>
      <c r="B7485" s="50">
        <v>44591.6710969212</v>
      </c>
      <c r="C7485" s="51">
        <v>1.0</v>
      </c>
      <c r="D7485" s="51">
        <v>62.0</v>
      </c>
      <c r="E7485" s="52" t="s">
        <v>25</v>
      </c>
      <c r="F7485" s="52" t="s">
        <v>26</v>
      </c>
      <c r="G7485" s="53"/>
    </row>
    <row r="7486">
      <c r="A7486" s="49">
        <v>44591.55655212963</v>
      </c>
      <c r="B7486" s="50">
        <v>44591.6815296527</v>
      </c>
      <c r="C7486" s="51">
        <v>1.0</v>
      </c>
      <c r="D7486" s="51">
        <v>62.0</v>
      </c>
      <c r="E7486" s="52" t="s">
        <v>25</v>
      </c>
      <c r="F7486" s="52" t="s">
        <v>26</v>
      </c>
      <c r="G7486" s="53"/>
    </row>
    <row r="7487">
      <c r="A7487" s="49">
        <v>44591.56697570602</v>
      </c>
      <c r="B7487" s="50">
        <v>44591.6919492013</v>
      </c>
      <c r="C7487" s="51">
        <v>1.0</v>
      </c>
      <c r="D7487" s="51">
        <v>62.0</v>
      </c>
      <c r="E7487" s="52" t="s">
        <v>25</v>
      </c>
      <c r="F7487" s="52" t="s">
        <v>26</v>
      </c>
      <c r="G7487" s="53"/>
    </row>
    <row r="7488">
      <c r="A7488" s="49">
        <v>44591.5773962963</v>
      </c>
      <c r="B7488" s="50">
        <v>44591.7023717824</v>
      </c>
      <c r="C7488" s="51">
        <v>1.0</v>
      </c>
      <c r="D7488" s="51">
        <v>62.0</v>
      </c>
      <c r="E7488" s="52" t="s">
        <v>25</v>
      </c>
      <c r="F7488" s="52" t="s">
        <v>26</v>
      </c>
      <c r="G7488" s="53"/>
    </row>
    <row r="7489">
      <c r="A7489" s="49">
        <v>44591.58781738426</v>
      </c>
      <c r="B7489" s="50">
        <v>44591.7127926388</v>
      </c>
      <c r="C7489" s="51">
        <v>1.0</v>
      </c>
      <c r="D7489" s="51">
        <v>62.0</v>
      </c>
      <c r="E7489" s="52" t="s">
        <v>25</v>
      </c>
      <c r="F7489" s="52" t="s">
        <v>26</v>
      </c>
      <c r="G7489" s="53"/>
    </row>
    <row r="7490">
      <c r="A7490" s="49">
        <v>44591.598239803236</v>
      </c>
      <c r="B7490" s="50">
        <v>44591.7232138194</v>
      </c>
      <c r="C7490" s="51">
        <v>1.0</v>
      </c>
      <c r="D7490" s="51">
        <v>62.0</v>
      </c>
      <c r="E7490" s="52" t="s">
        <v>25</v>
      </c>
      <c r="F7490" s="52" t="s">
        <v>26</v>
      </c>
      <c r="G7490" s="53"/>
    </row>
    <row r="7491">
      <c r="A7491" s="49">
        <v>44591.60867101852</v>
      </c>
      <c r="B7491" s="50">
        <v>44591.733646655</v>
      </c>
      <c r="C7491" s="51">
        <v>1.0</v>
      </c>
      <c r="D7491" s="51">
        <v>62.0</v>
      </c>
      <c r="E7491" s="52" t="s">
        <v>25</v>
      </c>
      <c r="F7491" s="52" t="s">
        <v>26</v>
      </c>
      <c r="G7491" s="53"/>
    </row>
    <row r="7492">
      <c r="A7492" s="49">
        <v>44591.61909090278</v>
      </c>
      <c r="B7492" s="50">
        <v>44591.7440680439</v>
      </c>
      <c r="C7492" s="51">
        <v>1.0</v>
      </c>
      <c r="D7492" s="51">
        <v>62.0</v>
      </c>
      <c r="E7492" s="52" t="s">
        <v>25</v>
      </c>
      <c r="F7492" s="52" t="s">
        <v>26</v>
      </c>
      <c r="G7492" s="53"/>
    </row>
    <row r="7493">
      <c r="A7493" s="49">
        <v>44591.62951501158</v>
      </c>
      <c r="B7493" s="50">
        <v>44591.7544884027</v>
      </c>
      <c r="C7493" s="51">
        <v>1.001</v>
      </c>
      <c r="D7493" s="51">
        <v>62.0</v>
      </c>
      <c r="E7493" s="52" t="s">
        <v>25</v>
      </c>
      <c r="F7493" s="52" t="s">
        <v>26</v>
      </c>
      <c r="G7493" s="53"/>
    </row>
    <row r="7494">
      <c r="A7494" s="49">
        <v>44591.639932025464</v>
      </c>
      <c r="B7494" s="50">
        <v>44591.7649121759</v>
      </c>
      <c r="C7494" s="51">
        <v>1.0</v>
      </c>
      <c r="D7494" s="51">
        <v>62.0</v>
      </c>
      <c r="E7494" s="52" t="s">
        <v>25</v>
      </c>
      <c r="F7494" s="52" t="s">
        <v>26</v>
      </c>
      <c r="G7494" s="53"/>
    </row>
    <row r="7495">
      <c r="A7495" s="49">
        <v>44591.65036092592</v>
      </c>
      <c r="B7495" s="50">
        <v>44591.7753350231</v>
      </c>
      <c r="C7495" s="51">
        <v>1.0</v>
      </c>
      <c r="D7495" s="51">
        <v>62.0</v>
      </c>
      <c r="E7495" s="52" t="s">
        <v>25</v>
      </c>
      <c r="F7495" s="52" t="s">
        <v>26</v>
      </c>
      <c r="G7495" s="53"/>
    </row>
    <row r="7496">
      <c r="A7496" s="49">
        <v>44591.66078209491</v>
      </c>
      <c r="B7496" s="50">
        <v>44591.7857561805</v>
      </c>
      <c r="C7496" s="51">
        <v>1.0</v>
      </c>
      <c r="D7496" s="51">
        <v>62.0</v>
      </c>
      <c r="E7496" s="52" t="s">
        <v>25</v>
      </c>
      <c r="F7496" s="52" t="s">
        <v>26</v>
      </c>
      <c r="G7496" s="53"/>
    </row>
    <row r="7497">
      <c r="A7497" s="49">
        <v>44591.67120311342</v>
      </c>
      <c r="B7497" s="50">
        <v>44591.7961770601</v>
      </c>
      <c r="C7497" s="51">
        <v>1.0</v>
      </c>
      <c r="D7497" s="51">
        <v>62.0</v>
      </c>
      <c r="E7497" s="52" t="s">
        <v>25</v>
      </c>
      <c r="F7497" s="52" t="s">
        <v>26</v>
      </c>
      <c r="G7497" s="53"/>
    </row>
    <row r="7498">
      <c r="A7498" s="49">
        <v>44591.68162287037</v>
      </c>
      <c r="B7498" s="50">
        <v>44591.8065967013</v>
      </c>
      <c r="C7498" s="51">
        <v>1.0</v>
      </c>
      <c r="D7498" s="51">
        <v>62.0</v>
      </c>
      <c r="E7498" s="52" t="s">
        <v>25</v>
      </c>
      <c r="F7498" s="52" t="s">
        <v>26</v>
      </c>
      <c r="G7498" s="53"/>
    </row>
    <row r="7499">
      <c r="A7499" s="49">
        <v>44591.692058263885</v>
      </c>
      <c r="B7499" s="50">
        <v>44591.8170286458</v>
      </c>
      <c r="C7499" s="51">
        <v>1.0</v>
      </c>
      <c r="D7499" s="51">
        <v>62.0</v>
      </c>
      <c r="E7499" s="52" t="s">
        <v>25</v>
      </c>
      <c r="F7499" s="52" t="s">
        <v>26</v>
      </c>
      <c r="G7499" s="53"/>
    </row>
    <row r="7500">
      <c r="A7500" s="49">
        <v>44591.702496412036</v>
      </c>
      <c r="B7500" s="50">
        <v>44591.8274597106</v>
      </c>
      <c r="C7500" s="51">
        <v>1.0</v>
      </c>
      <c r="D7500" s="51">
        <v>62.0</v>
      </c>
      <c r="E7500" s="52" t="s">
        <v>25</v>
      </c>
      <c r="F7500" s="52" t="s">
        <v>26</v>
      </c>
      <c r="G7500" s="53"/>
    </row>
    <row r="7501">
      <c r="A7501" s="49">
        <v>44591.71290258101</v>
      </c>
      <c r="B7501" s="50">
        <v>44591.8378796296</v>
      </c>
      <c r="C7501" s="51">
        <v>1.001</v>
      </c>
      <c r="D7501" s="51">
        <v>62.0</v>
      </c>
      <c r="E7501" s="52" t="s">
        <v>25</v>
      </c>
      <c r="F7501" s="52" t="s">
        <v>26</v>
      </c>
      <c r="G7501" s="53"/>
    </row>
    <row r="7502">
      <c r="A7502" s="49">
        <v>44591.72336428241</v>
      </c>
      <c r="B7502" s="50">
        <v>44591.8483365277</v>
      </c>
      <c r="C7502" s="51">
        <v>1.0</v>
      </c>
      <c r="D7502" s="51">
        <v>62.0</v>
      </c>
      <c r="E7502" s="52" t="s">
        <v>25</v>
      </c>
      <c r="F7502" s="52" t="s">
        <v>26</v>
      </c>
      <c r="G7502" s="53"/>
    </row>
    <row r="7503">
      <c r="A7503" s="49">
        <v>44591.73379013889</v>
      </c>
      <c r="B7503" s="50">
        <v>44591.8587694907</v>
      </c>
      <c r="C7503" s="51">
        <v>1.0</v>
      </c>
      <c r="D7503" s="51">
        <v>62.0</v>
      </c>
      <c r="E7503" s="52" t="s">
        <v>25</v>
      </c>
      <c r="F7503" s="52" t="s">
        <v>26</v>
      </c>
      <c r="G7503" s="53"/>
    </row>
    <row r="7504">
      <c r="A7504" s="49">
        <v>44591.74421784723</v>
      </c>
      <c r="B7504" s="50">
        <v>44591.8691914583</v>
      </c>
      <c r="C7504" s="51">
        <v>1.0</v>
      </c>
      <c r="D7504" s="51">
        <v>62.0</v>
      </c>
      <c r="E7504" s="52" t="s">
        <v>25</v>
      </c>
      <c r="F7504" s="52" t="s">
        <v>26</v>
      </c>
      <c r="G7504" s="53"/>
    </row>
    <row r="7505">
      <c r="A7505" s="49">
        <v>44591.75463494213</v>
      </c>
      <c r="B7505" s="50">
        <v>44591.8796107291</v>
      </c>
      <c r="C7505" s="51">
        <v>1.001</v>
      </c>
      <c r="D7505" s="51">
        <v>62.0</v>
      </c>
      <c r="E7505" s="52" t="s">
        <v>25</v>
      </c>
      <c r="F7505" s="52" t="s">
        <v>26</v>
      </c>
      <c r="G7505" s="53"/>
    </row>
    <row r="7506">
      <c r="A7506" s="49">
        <v>44591.76506575232</v>
      </c>
      <c r="B7506" s="50">
        <v>44591.8900315856</v>
      </c>
      <c r="C7506" s="51">
        <v>1.0</v>
      </c>
      <c r="D7506" s="51">
        <v>62.0</v>
      </c>
      <c r="E7506" s="52" t="s">
        <v>25</v>
      </c>
      <c r="F7506" s="52" t="s">
        <v>26</v>
      </c>
      <c r="G7506" s="53"/>
    </row>
    <row r="7507">
      <c r="A7507" s="49">
        <v>44591.775501041666</v>
      </c>
      <c r="B7507" s="50">
        <v>44591.9004763425</v>
      </c>
      <c r="C7507" s="51">
        <v>1.0</v>
      </c>
      <c r="D7507" s="51">
        <v>62.0</v>
      </c>
      <c r="E7507" s="52" t="s">
        <v>25</v>
      </c>
      <c r="F7507" s="52" t="s">
        <v>26</v>
      </c>
      <c r="G7507" s="53"/>
    </row>
    <row r="7508">
      <c r="A7508" s="49">
        <v>44591.78592854166</v>
      </c>
      <c r="B7508" s="50">
        <v>44591.9108980902</v>
      </c>
      <c r="C7508" s="51">
        <v>1.0</v>
      </c>
      <c r="D7508" s="51">
        <v>62.0</v>
      </c>
      <c r="E7508" s="52" t="s">
        <v>25</v>
      </c>
      <c r="F7508" s="52" t="s">
        <v>26</v>
      </c>
      <c r="G7508" s="53"/>
    </row>
    <row r="7509">
      <c r="A7509" s="49">
        <v>44591.796361562505</v>
      </c>
      <c r="B7509" s="50">
        <v>44591.9213292129</v>
      </c>
      <c r="C7509" s="51">
        <v>1.0</v>
      </c>
      <c r="D7509" s="51">
        <v>62.0</v>
      </c>
      <c r="E7509" s="52" t="s">
        <v>25</v>
      </c>
      <c r="F7509" s="52" t="s">
        <v>26</v>
      </c>
      <c r="G7509" s="53"/>
    </row>
    <row r="7510">
      <c r="A7510" s="49">
        <v>44591.806778275466</v>
      </c>
      <c r="B7510" s="50">
        <v>44591.9317488773</v>
      </c>
      <c r="C7510" s="51">
        <v>1.0</v>
      </c>
      <c r="D7510" s="51">
        <v>62.0</v>
      </c>
      <c r="E7510" s="52" t="s">
        <v>25</v>
      </c>
      <c r="F7510" s="52" t="s">
        <v>26</v>
      </c>
      <c r="G7510" s="53"/>
    </row>
    <row r="7511">
      <c r="A7511" s="49">
        <v>44591.81719565972</v>
      </c>
      <c r="B7511" s="50">
        <v>44591.9421712962</v>
      </c>
      <c r="C7511" s="51">
        <v>1.0</v>
      </c>
      <c r="D7511" s="51">
        <v>61.0</v>
      </c>
      <c r="E7511" s="52" t="s">
        <v>25</v>
      </c>
      <c r="F7511" s="52" t="s">
        <v>26</v>
      </c>
      <c r="G7511" s="53"/>
    </row>
    <row r="7512">
      <c r="A7512" s="49">
        <v>44591.827612106485</v>
      </c>
      <c r="B7512" s="50">
        <v>44591.9525917013</v>
      </c>
      <c r="C7512" s="51">
        <v>1.0</v>
      </c>
      <c r="D7512" s="51">
        <v>62.0</v>
      </c>
      <c r="E7512" s="52" t="s">
        <v>25</v>
      </c>
      <c r="F7512" s="52" t="s">
        <v>26</v>
      </c>
      <c r="G7512" s="53"/>
    </row>
    <row r="7513">
      <c r="A7513" s="49">
        <v>44591.83804311343</v>
      </c>
      <c r="B7513" s="50">
        <v>44591.9630127777</v>
      </c>
      <c r="C7513" s="51">
        <v>1.0</v>
      </c>
      <c r="D7513" s="51">
        <v>62.0</v>
      </c>
      <c r="E7513" s="52" t="s">
        <v>25</v>
      </c>
      <c r="F7513" s="52" t="s">
        <v>26</v>
      </c>
      <c r="G7513" s="53"/>
    </row>
    <row r="7514">
      <c r="A7514" s="49">
        <v>44591.84846288194</v>
      </c>
      <c r="B7514" s="50">
        <v>44591.9734469791</v>
      </c>
      <c r="C7514" s="51">
        <v>1.0</v>
      </c>
      <c r="D7514" s="51">
        <v>61.0</v>
      </c>
      <c r="E7514" s="52" t="s">
        <v>25</v>
      </c>
      <c r="F7514" s="52" t="s">
        <v>26</v>
      </c>
      <c r="G7514" s="53"/>
    </row>
    <row r="7515">
      <c r="A7515" s="49">
        <v>44591.85889969907</v>
      </c>
      <c r="B7515" s="50">
        <v>44591.983868206</v>
      </c>
      <c r="C7515" s="51">
        <v>1.0</v>
      </c>
      <c r="D7515" s="51">
        <v>61.0</v>
      </c>
      <c r="E7515" s="52" t="s">
        <v>25</v>
      </c>
      <c r="F7515" s="52" t="s">
        <v>26</v>
      </c>
      <c r="G7515" s="53"/>
    </row>
    <row r="7516">
      <c r="A7516" s="49">
        <v>44591.86931539352</v>
      </c>
      <c r="B7516" s="50">
        <v>44591.9942899537</v>
      </c>
      <c r="C7516" s="51">
        <v>1.0</v>
      </c>
      <c r="D7516" s="51">
        <v>61.0</v>
      </c>
      <c r="E7516" s="52" t="s">
        <v>25</v>
      </c>
      <c r="F7516" s="52" t="s">
        <v>26</v>
      </c>
      <c r="G7516" s="53"/>
    </row>
    <row r="7517">
      <c r="A7517" s="49">
        <v>44591.87973414352</v>
      </c>
      <c r="B7517" s="50">
        <v>44592.0047120023</v>
      </c>
      <c r="C7517" s="51">
        <v>1.0</v>
      </c>
      <c r="D7517" s="51">
        <v>62.0</v>
      </c>
      <c r="E7517" s="52" t="s">
        <v>25</v>
      </c>
      <c r="F7517" s="52" t="s">
        <v>26</v>
      </c>
      <c r="G7517" s="53"/>
    </row>
    <row r="7518">
      <c r="A7518" s="49">
        <v>44591.89015482639</v>
      </c>
      <c r="B7518" s="50">
        <v>44592.0151337731</v>
      </c>
      <c r="C7518" s="51">
        <v>1.0</v>
      </c>
      <c r="D7518" s="51">
        <v>62.0</v>
      </c>
      <c r="E7518" s="52" t="s">
        <v>25</v>
      </c>
      <c r="F7518" s="52" t="s">
        <v>26</v>
      </c>
      <c r="G7518" s="53"/>
    </row>
    <row r="7519">
      <c r="A7519" s="49">
        <v>44591.900574363426</v>
      </c>
      <c r="B7519" s="50">
        <v>44592.0255554513</v>
      </c>
      <c r="C7519" s="51">
        <v>1.0</v>
      </c>
      <c r="D7519" s="51">
        <v>63.0</v>
      </c>
      <c r="E7519" s="52" t="s">
        <v>25</v>
      </c>
      <c r="F7519" s="52" t="s">
        <v>26</v>
      </c>
      <c r="G7519" s="53"/>
    </row>
    <row r="7520">
      <c r="A7520" s="49">
        <v>44591.91099826389</v>
      </c>
      <c r="B7520" s="50">
        <v>44592.0359763078</v>
      </c>
      <c r="C7520" s="51">
        <v>1.0</v>
      </c>
      <c r="D7520" s="51">
        <v>63.0</v>
      </c>
      <c r="E7520" s="52" t="s">
        <v>25</v>
      </c>
      <c r="F7520" s="52" t="s">
        <v>26</v>
      </c>
      <c r="G7520" s="53"/>
    </row>
    <row r="7521">
      <c r="A7521" s="49">
        <v>44591.92142488426</v>
      </c>
      <c r="B7521" s="50">
        <v>44592.0463971527</v>
      </c>
      <c r="C7521" s="51">
        <v>1.0</v>
      </c>
      <c r="D7521" s="51">
        <v>64.0</v>
      </c>
      <c r="E7521" s="52" t="s">
        <v>25</v>
      </c>
      <c r="F7521" s="52" t="s">
        <v>26</v>
      </c>
      <c r="G7521" s="53"/>
    </row>
    <row r="7522">
      <c r="A7522" s="49">
        <v>44591.93186862268</v>
      </c>
      <c r="B7522" s="50">
        <v>44592.0568424537</v>
      </c>
      <c r="C7522" s="51">
        <v>1.0</v>
      </c>
      <c r="D7522" s="51">
        <v>64.0</v>
      </c>
      <c r="E7522" s="52" t="s">
        <v>25</v>
      </c>
      <c r="F7522" s="52" t="s">
        <v>26</v>
      </c>
      <c r="G7522" s="53"/>
    </row>
    <row r="7523">
      <c r="A7523" s="49">
        <v>44591.94228863426</v>
      </c>
      <c r="B7523" s="50">
        <v>44592.0672634375</v>
      </c>
      <c r="C7523" s="51">
        <v>1.0</v>
      </c>
      <c r="D7523" s="51">
        <v>64.0</v>
      </c>
      <c r="E7523" s="52" t="s">
        <v>25</v>
      </c>
      <c r="F7523" s="52" t="s">
        <v>26</v>
      </c>
      <c r="G7523" s="53"/>
    </row>
    <row r="7524">
      <c r="A7524" s="49">
        <v>44591.95270871528</v>
      </c>
      <c r="B7524" s="50">
        <v>44592.0776834606</v>
      </c>
      <c r="C7524" s="51">
        <v>1.0</v>
      </c>
      <c r="D7524" s="51">
        <v>65.0</v>
      </c>
      <c r="E7524" s="52" t="s">
        <v>25</v>
      </c>
      <c r="F7524" s="52" t="s">
        <v>26</v>
      </c>
      <c r="G7524" s="53"/>
    </row>
    <row r="7525">
      <c r="A7525" s="49">
        <v>44591.9631278125</v>
      </c>
      <c r="B7525" s="50">
        <v>44592.0881053009</v>
      </c>
      <c r="C7525" s="51">
        <v>1.0</v>
      </c>
      <c r="D7525" s="51">
        <v>65.0</v>
      </c>
      <c r="E7525" s="52" t="s">
        <v>25</v>
      </c>
      <c r="F7525" s="52" t="s">
        <v>26</v>
      </c>
      <c r="G7525" s="53"/>
    </row>
    <row r="7526">
      <c r="A7526" s="49">
        <v>44591.97355113426</v>
      </c>
      <c r="B7526" s="50">
        <v>44592.0985258564</v>
      </c>
      <c r="C7526" s="51">
        <v>1.0</v>
      </c>
      <c r="D7526" s="51">
        <v>66.0</v>
      </c>
      <c r="E7526" s="52" t="s">
        <v>25</v>
      </c>
      <c r="F7526" s="52" t="s">
        <v>26</v>
      </c>
      <c r="G7526" s="53"/>
    </row>
    <row r="7527">
      <c r="A7527" s="49">
        <v>44591.98396626157</v>
      </c>
      <c r="B7527" s="50">
        <v>44592.108947118</v>
      </c>
      <c r="C7527" s="51">
        <v>1.0</v>
      </c>
      <c r="D7527" s="51">
        <v>66.0</v>
      </c>
      <c r="E7527" s="52" t="s">
        <v>25</v>
      </c>
      <c r="F7527" s="52" t="s">
        <v>26</v>
      </c>
      <c r="G7527" s="53"/>
    </row>
    <row r="7528">
      <c r="A7528" s="49">
        <v>44591.994399814816</v>
      </c>
      <c r="B7528" s="50">
        <v>44592.1193784722</v>
      </c>
      <c r="C7528" s="51">
        <v>1.0</v>
      </c>
      <c r="D7528" s="51">
        <v>67.0</v>
      </c>
      <c r="E7528" s="52" t="s">
        <v>25</v>
      </c>
      <c r="F7528" s="52" t="s">
        <v>26</v>
      </c>
      <c r="G7528" s="53"/>
    </row>
    <row r="7529">
      <c r="A7529" s="49">
        <v>44592.00482284722</v>
      </c>
      <c r="B7529" s="50">
        <v>44592.1297989351</v>
      </c>
      <c r="C7529" s="51">
        <v>1.0</v>
      </c>
      <c r="D7529" s="51">
        <v>67.0</v>
      </c>
      <c r="E7529" s="52" t="s">
        <v>25</v>
      </c>
      <c r="F7529" s="52" t="s">
        <v>26</v>
      </c>
      <c r="G7529" s="53"/>
    </row>
    <row r="7530">
      <c r="A7530" s="49">
        <v>44592.01525215278</v>
      </c>
      <c r="B7530" s="50">
        <v>44592.1402326273</v>
      </c>
      <c r="C7530" s="51">
        <v>1.0</v>
      </c>
      <c r="D7530" s="51">
        <v>67.0</v>
      </c>
      <c r="E7530" s="52" t="s">
        <v>25</v>
      </c>
      <c r="F7530" s="52" t="s">
        <v>26</v>
      </c>
      <c r="G7530" s="53"/>
    </row>
    <row r="7531">
      <c r="A7531" s="49">
        <v>44592.02568145833</v>
      </c>
      <c r="B7531" s="50">
        <v>44592.1506543981</v>
      </c>
      <c r="C7531" s="51">
        <v>1.0</v>
      </c>
      <c r="D7531" s="51">
        <v>68.0</v>
      </c>
      <c r="E7531" s="52" t="s">
        <v>25</v>
      </c>
      <c r="F7531" s="52" t="s">
        <v>26</v>
      </c>
      <c r="G7531" s="53"/>
    </row>
    <row r="7532">
      <c r="A7532" s="49">
        <v>44592.03611435185</v>
      </c>
      <c r="B7532" s="50">
        <v>44592.1610978587</v>
      </c>
      <c r="C7532" s="51">
        <v>1.0</v>
      </c>
      <c r="D7532" s="51">
        <v>67.0</v>
      </c>
      <c r="E7532" s="52" t="s">
        <v>25</v>
      </c>
      <c r="F7532" s="52" t="s">
        <v>26</v>
      </c>
      <c r="G7532" s="53"/>
    </row>
    <row r="7533">
      <c r="A7533" s="49">
        <v>44592.04655060185</v>
      </c>
      <c r="B7533" s="50">
        <v>44592.1715193981</v>
      </c>
      <c r="C7533" s="51">
        <v>1.0</v>
      </c>
      <c r="D7533" s="51">
        <v>67.0</v>
      </c>
      <c r="E7533" s="52" t="s">
        <v>25</v>
      </c>
      <c r="F7533" s="52" t="s">
        <v>26</v>
      </c>
      <c r="G7533" s="53"/>
    </row>
    <row r="7534">
      <c r="A7534" s="49">
        <v>44592.0569865162</v>
      </c>
      <c r="B7534" s="50">
        <v>44592.1819645023</v>
      </c>
      <c r="C7534" s="51">
        <v>1.0</v>
      </c>
      <c r="D7534" s="51">
        <v>67.0</v>
      </c>
      <c r="E7534" s="52" t="s">
        <v>25</v>
      </c>
      <c r="F7534" s="52" t="s">
        <v>26</v>
      </c>
      <c r="G7534" s="53"/>
    </row>
    <row r="7535">
      <c r="A7535" s="49">
        <v>44592.06740375</v>
      </c>
      <c r="B7535" s="50">
        <v>44592.1923862037</v>
      </c>
      <c r="C7535" s="51">
        <v>1.0</v>
      </c>
      <c r="D7535" s="51">
        <v>67.0</v>
      </c>
      <c r="E7535" s="52" t="s">
        <v>25</v>
      </c>
      <c r="F7535" s="52" t="s">
        <v>26</v>
      </c>
      <c r="G7535" s="53"/>
    </row>
    <row r="7536">
      <c r="A7536" s="49">
        <v>44592.07782564815</v>
      </c>
      <c r="B7536" s="50">
        <v>44592.2028067592</v>
      </c>
      <c r="C7536" s="51">
        <v>1.0</v>
      </c>
      <c r="D7536" s="51">
        <v>67.0</v>
      </c>
      <c r="E7536" s="52" t="s">
        <v>25</v>
      </c>
      <c r="F7536" s="52" t="s">
        <v>26</v>
      </c>
      <c r="G7536" s="53"/>
    </row>
    <row r="7537">
      <c r="A7537" s="49">
        <v>44592.08825857639</v>
      </c>
      <c r="B7537" s="50">
        <v>44592.2132377083</v>
      </c>
      <c r="C7537" s="51">
        <v>1.0</v>
      </c>
      <c r="D7537" s="51">
        <v>67.0</v>
      </c>
      <c r="E7537" s="52" t="s">
        <v>25</v>
      </c>
      <c r="F7537" s="52" t="s">
        <v>26</v>
      </c>
      <c r="G7537" s="53"/>
    </row>
    <row r="7538">
      <c r="A7538" s="49">
        <v>44592.09867796296</v>
      </c>
      <c r="B7538" s="50">
        <v>44592.2236579282</v>
      </c>
      <c r="C7538" s="51">
        <v>1.0</v>
      </c>
      <c r="D7538" s="51">
        <v>67.0</v>
      </c>
      <c r="E7538" s="52" t="s">
        <v>25</v>
      </c>
      <c r="F7538" s="52" t="s">
        <v>26</v>
      </c>
      <c r="G7538" s="53"/>
    </row>
    <row r="7539">
      <c r="A7539" s="49">
        <v>44592.10909835648</v>
      </c>
      <c r="B7539" s="50">
        <v>44592.2340776504</v>
      </c>
      <c r="C7539" s="51">
        <v>1.0</v>
      </c>
      <c r="D7539" s="51">
        <v>67.0</v>
      </c>
      <c r="E7539" s="52" t="s">
        <v>25</v>
      </c>
      <c r="F7539" s="52" t="s">
        <v>26</v>
      </c>
      <c r="G7539" s="53"/>
    </row>
    <row r="7540">
      <c r="A7540" s="49">
        <v>44592.119520231485</v>
      </c>
      <c r="B7540" s="50">
        <v>44592.2444990046</v>
      </c>
      <c r="C7540" s="51">
        <v>1.0</v>
      </c>
      <c r="D7540" s="51">
        <v>67.0</v>
      </c>
      <c r="E7540" s="52" t="s">
        <v>25</v>
      </c>
      <c r="F7540" s="52" t="s">
        <v>26</v>
      </c>
      <c r="G7540" s="53"/>
    </row>
    <row r="7541">
      <c r="A7541" s="49">
        <v>44592.12995391204</v>
      </c>
      <c r="B7541" s="50">
        <v>44592.2549200231</v>
      </c>
      <c r="C7541" s="51">
        <v>1.0</v>
      </c>
      <c r="D7541" s="51">
        <v>67.0</v>
      </c>
      <c r="E7541" s="52" t="s">
        <v>25</v>
      </c>
      <c r="F7541" s="52" t="s">
        <v>26</v>
      </c>
      <c r="G7541" s="53"/>
    </row>
    <row r="7542">
      <c r="A7542" s="49">
        <v>44592.140358599536</v>
      </c>
      <c r="B7542" s="50">
        <v>44592.2653414236</v>
      </c>
      <c r="C7542" s="51">
        <v>1.0</v>
      </c>
      <c r="D7542" s="51">
        <v>67.0</v>
      </c>
      <c r="E7542" s="52" t="s">
        <v>25</v>
      </c>
      <c r="F7542" s="52" t="s">
        <v>26</v>
      </c>
      <c r="G7542" s="53"/>
    </row>
    <row r="7543">
      <c r="A7543" s="49">
        <v>44592.150795520836</v>
      </c>
      <c r="B7543" s="50">
        <v>44592.2757632175</v>
      </c>
      <c r="C7543" s="51">
        <v>1.0</v>
      </c>
      <c r="D7543" s="51">
        <v>67.0</v>
      </c>
      <c r="E7543" s="52" t="s">
        <v>25</v>
      </c>
      <c r="F7543" s="52" t="s">
        <v>26</v>
      </c>
      <c r="G7543" s="53"/>
    </row>
    <row r="7544">
      <c r="A7544" s="49">
        <v>44592.16120873843</v>
      </c>
      <c r="B7544" s="50">
        <v>44592.2861850347</v>
      </c>
      <c r="C7544" s="51">
        <v>1.0</v>
      </c>
      <c r="D7544" s="51">
        <v>67.0</v>
      </c>
      <c r="E7544" s="52" t="s">
        <v>25</v>
      </c>
      <c r="F7544" s="52" t="s">
        <v>26</v>
      </c>
      <c r="G7544" s="53"/>
    </row>
    <row r="7545">
      <c r="A7545" s="49">
        <v>44592.17163261574</v>
      </c>
      <c r="B7545" s="50">
        <v>44592.296606493</v>
      </c>
      <c r="C7545" s="51">
        <v>0.999</v>
      </c>
      <c r="D7545" s="51">
        <v>67.0</v>
      </c>
      <c r="E7545" s="52" t="s">
        <v>25</v>
      </c>
      <c r="F7545" s="52" t="s">
        <v>26</v>
      </c>
      <c r="G7545" s="53"/>
    </row>
    <row r="7546">
      <c r="A7546" s="49">
        <v>44592.18204986111</v>
      </c>
      <c r="B7546" s="50">
        <v>44592.3070274189</v>
      </c>
      <c r="C7546" s="51">
        <v>1.0</v>
      </c>
      <c r="D7546" s="51">
        <v>67.0</v>
      </c>
      <c r="E7546" s="52" t="s">
        <v>25</v>
      </c>
      <c r="F7546" s="52" t="s">
        <v>26</v>
      </c>
      <c r="G7546" s="53"/>
    </row>
    <row r="7547">
      <c r="A7547" s="49">
        <v>44592.192481122685</v>
      </c>
      <c r="B7547" s="50">
        <v>44592.3174593171</v>
      </c>
      <c r="C7547" s="51">
        <v>1.0</v>
      </c>
      <c r="D7547" s="51">
        <v>67.0</v>
      </c>
      <c r="E7547" s="52" t="s">
        <v>25</v>
      </c>
      <c r="F7547" s="52" t="s">
        <v>26</v>
      </c>
      <c r="G7547" s="53"/>
    </row>
    <row r="7548">
      <c r="A7548" s="49">
        <v>44592.20290221064</v>
      </c>
      <c r="B7548" s="50">
        <v>44592.3278790162</v>
      </c>
      <c r="C7548" s="51">
        <v>1.0</v>
      </c>
      <c r="D7548" s="51">
        <v>67.0</v>
      </c>
      <c r="E7548" s="52" t="s">
        <v>25</v>
      </c>
      <c r="F7548" s="52" t="s">
        <v>26</v>
      </c>
      <c r="G7548" s="53"/>
    </row>
    <row r="7549">
      <c r="A7549" s="49">
        <v>44592.213324571756</v>
      </c>
      <c r="B7549" s="50">
        <v>44592.3383012615</v>
      </c>
      <c r="C7549" s="51">
        <v>1.0</v>
      </c>
      <c r="D7549" s="51">
        <v>67.0</v>
      </c>
      <c r="E7549" s="52" t="s">
        <v>25</v>
      </c>
      <c r="F7549" s="52" t="s">
        <v>26</v>
      </c>
      <c r="G7549" s="53"/>
    </row>
    <row r="7550">
      <c r="A7550" s="49">
        <v>44592.22374429398</v>
      </c>
      <c r="B7550" s="50">
        <v>44592.3487205671</v>
      </c>
      <c r="C7550" s="51">
        <v>1.0</v>
      </c>
      <c r="D7550" s="51">
        <v>67.0</v>
      </c>
      <c r="E7550" s="52" t="s">
        <v>25</v>
      </c>
      <c r="F7550" s="52" t="s">
        <v>26</v>
      </c>
      <c r="G7550" s="53"/>
    </row>
    <row r="7551">
      <c r="A7551" s="49">
        <v>44592.234165497684</v>
      </c>
      <c r="B7551" s="50">
        <v>44592.3591422916</v>
      </c>
      <c r="C7551" s="51">
        <v>1.0</v>
      </c>
      <c r="D7551" s="51">
        <v>67.0</v>
      </c>
      <c r="E7551" s="52" t="s">
        <v>25</v>
      </c>
      <c r="F7551" s="52" t="s">
        <v>26</v>
      </c>
      <c r="G7551" s="53"/>
    </row>
    <row r="7552">
      <c r="A7552" s="49">
        <v>44592.24458732639</v>
      </c>
      <c r="B7552" s="50">
        <v>44592.3695641898</v>
      </c>
      <c r="C7552" s="51">
        <v>1.0</v>
      </c>
      <c r="D7552" s="51">
        <v>67.0</v>
      </c>
      <c r="E7552" s="52" t="s">
        <v>25</v>
      </c>
      <c r="F7552" s="52" t="s">
        <v>26</v>
      </c>
      <c r="G7552" s="53"/>
    </row>
    <row r="7553">
      <c r="A7553" s="49">
        <v>44592.255007326385</v>
      </c>
      <c r="B7553" s="50">
        <v>44592.3799856134</v>
      </c>
      <c r="C7553" s="51">
        <v>1.0</v>
      </c>
      <c r="D7553" s="51">
        <v>67.0</v>
      </c>
      <c r="E7553" s="52" t="s">
        <v>25</v>
      </c>
      <c r="F7553" s="52" t="s">
        <v>26</v>
      </c>
      <c r="G7553" s="53"/>
    </row>
    <row r="7554">
      <c r="A7554" s="49">
        <v>44592.26542304398</v>
      </c>
      <c r="B7554" s="50">
        <v>44592.3904055324</v>
      </c>
      <c r="C7554" s="51">
        <v>1.0</v>
      </c>
      <c r="D7554" s="51">
        <v>66.0</v>
      </c>
      <c r="E7554" s="52" t="s">
        <v>25</v>
      </c>
      <c r="F7554" s="52" t="s">
        <v>26</v>
      </c>
      <c r="G7554" s="53"/>
    </row>
    <row r="7555">
      <c r="A7555" s="49">
        <v>44592.275884305556</v>
      </c>
      <c r="B7555" s="50">
        <v>44592.4008267129</v>
      </c>
      <c r="C7555" s="51">
        <v>1.0</v>
      </c>
      <c r="D7555" s="51">
        <v>66.0</v>
      </c>
      <c r="E7555" s="52" t="s">
        <v>25</v>
      </c>
      <c r="F7555" s="52" t="s">
        <v>26</v>
      </c>
      <c r="G7555" s="53"/>
    </row>
    <row r="7556">
      <c r="A7556" s="49">
        <v>44592.28627362268</v>
      </c>
      <c r="B7556" s="50">
        <v>44592.4112474189</v>
      </c>
      <c r="C7556" s="51">
        <v>1.0</v>
      </c>
      <c r="D7556" s="51">
        <v>66.0</v>
      </c>
      <c r="E7556" s="52" t="s">
        <v>25</v>
      </c>
      <c r="F7556" s="52" t="s">
        <v>26</v>
      </c>
      <c r="G7556" s="53"/>
    </row>
    <row r="7557">
      <c r="A7557" s="49">
        <v>44592.296697847225</v>
      </c>
      <c r="B7557" s="50">
        <v>44592.4216687152</v>
      </c>
      <c r="C7557" s="51">
        <v>1.0</v>
      </c>
      <c r="D7557" s="51">
        <v>66.0</v>
      </c>
      <c r="E7557" s="52" t="s">
        <v>25</v>
      </c>
      <c r="F7557" s="52" t="s">
        <v>26</v>
      </c>
      <c r="G7557" s="53"/>
    </row>
    <row r="7558">
      <c r="A7558" s="49">
        <v>44592.30711001158</v>
      </c>
      <c r="B7558" s="50">
        <v>44592.4320904745</v>
      </c>
      <c r="C7558" s="51">
        <v>1.0</v>
      </c>
      <c r="D7558" s="51">
        <v>66.0</v>
      </c>
      <c r="E7558" s="52" t="s">
        <v>25</v>
      </c>
      <c r="F7558" s="52" t="s">
        <v>26</v>
      </c>
      <c r="G7558" s="53"/>
    </row>
    <row r="7559">
      <c r="A7559" s="49">
        <v>44592.31754023148</v>
      </c>
      <c r="B7559" s="50">
        <v>44592.4425106018</v>
      </c>
      <c r="C7559" s="51">
        <v>1.0</v>
      </c>
      <c r="D7559" s="51">
        <v>66.0</v>
      </c>
      <c r="E7559" s="52" t="s">
        <v>25</v>
      </c>
      <c r="F7559" s="52" t="s">
        <v>26</v>
      </c>
      <c r="G7559" s="53"/>
    </row>
    <row r="7560">
      <c r="A7560" s="49">
        <v>44592.32796811343</v>
      </c>
      <c r="B7560" s="50">
        <v>44592.4529331828</v>
      </c>
      <c r="C7560" s="51">
        <v>1.0</v>
      </c>
      <c r="D7560" s="51">
        <v>66.0</v>
      </c>
      <c r="E7560" s="52" t="s">
        <v>25</v>
      </c>
      <c r="F7560" s="52" t="s">
        <v>26</v>
      </c>
      <c r="G7560" s="53"/>
    </row>
    <row r="7561">
      <c r="A7561" s="49">
        <v>44592.33839614583</v>
      </c>
      <c r="B7561" s="50">
        <v>44592.4633790509</v>
      </c>
      <c r="C7561" s="51">
        <v>1.0</v>
      </c>
      <c r="D7561" s="51">
        <v>66.0</v>
      </c>
      <c r="E7561" s="52" t="s">
        <v>25</v>
      </c>
      <c r="F7561" s="52" t="s">
        <v>26</v>
      </c>
      <c r="G7561" s="53"/>
    </row>
    <row r="7562">
      <c r="A7562" s="49">
        <v>44592.34886837963</v>
      </c>
      <c r="B7562" s="50">
        <v>44592.4738005902</v>
      </c>
      <c r="C7562" s="51">
        <v>1.0</v>
      </c>
      <c r="D7562" s="51">
        <v>66.0</v>
      </c>
      <c r="E7562" s="52" t="s">
        <v>25</v>
      </c>
      <c r="F7562" s="52" t="s">
        <v>26</v>
      </c>
      <c r="G7562" s="53"/>
    </row>
    <row r="7563">
      <c r="A7563" s="49">
        <v>44592.35926828704</v>
      </c>
      <c r="B7563" s="50">
        <v>44592.4842338541</v>
      </c>
      <c r="C7563" s="51">
        <v>1.0</v>
      </c>
      <c r="D7563" s="51">
        <v>66.0</v>
      </c>
      <c r="E7563" s="52" t="s">
        <v>25</v>
      </c>
      <c r="F7563" s="52" t="s">
        <v>26</v>
      </c>
      <c r="G7563" s="53"/>
    </row>
    <row r="7564">
      <c r="A7564" s="49">
        <v>44592.36970743055</v>
      </c>
      <c r="B7564" s="50">
        <v>44592.494667662</v>
      </c>
      <c r="C7564" s="51">
        <v>1.0</v>
      </c>
      <c r="D7564" s="51">
        <v>66.0</v>
      </c>
      <c r="E7564" s="52" t="s">
        <v>25</v>
      </c>
      <c r="F7564" s="52" t="s">
        <v>26</v>
      </c>
      <c r="G7564" s="53"/>
    </row>
    <row r="7565">
      <c r="A7565" s="49">
        <v>44592.380114942134</v>
      </c>
      <c r="B7565" s="50">
        <v>44592.505088993</v>
      </c>
      <c r="C7565" s="51">
        <v>1.0</v>
      </c>
      <c r="D7565" s="51">
        <v>66.0</v>
      </c>
      <c r="E7565" s="52" t="s">
        <v>25</v>
      </c>
      <c r="F7565" s="52" t="s">
        <v>26</v>
      </c>
      <c r="G7565" s="53"/>
    </row>
    <row r="7566">
      <c r="A7566" s="49">
        <v>44592.39054494213</v>
      </c>
      <c r="B7566" s="50">
        <v>44592.5155083101</v>
      </c>
      <c r="C7566" s="51">
        <v>1.0</v>
      </c>
      <c r="D7566" s="51">
        <v>66.0</v>
      </c>
      <c r="E7566" s="52" t="s">
        <v>25</v>
      </c>
      <c r="F7566" s="52" t="s">
        <v>26</v>
      </c>
      <c r="G7566" s="53"/>
    </row>
    <row r="7567">
      <c r="A7567" s="49">
        <v>44592.40096346065</v>
      </c>
      <c r="B7567" s="50">
        <v>44592.5259299074</v>
      </c>
      <c r="C7567" s="51">
        <v>1.0</v>
      </c>
      <c r="D7567" s="51">
        <v>66.0</v>
      </c>
      <c r="E7567" s="52" t="s">
        <v>25</v>
      </c>
      <c r="F7567" s="52" t="s">
        <v>26</v>
      </c>
      <c r="G7567" s="53"/>
    </row>
    <row r="7568">
      <c r="A7568" s="49">
        <v>44592.411378159726</v>
      </c>
      <c r="B7568" s="50">
        <v>44592.5363617013</v>
      </c>
      <c r="C7568" s="51">
        <v>1.0</v>
      </c>
      <c r="D7568" s="51">
        <v>66.0</v>
      </c>
      <c r="E7568" s="52" t="s">
        <v>25</v>
      </c>
      <c r="F7568" s="52" t="s">
        <v>26</v>
      </c>
      <c r="G7568" s="53"/>
    </row>
    <row r="7569">
      <c r="A7569" s="49">
        <v>44592.42182185185</v>
      </c>
      <c r="B7569" s="50">
        <v>44592.5467826967</v>
      </c>
      <c r="C7569" s="51">
        <v>1.0</v>
      </c>
      <c r="D7569" s="51">
        <v>66.0</v>
      </c>
      <c r="E7569" s="52" t="s">
        <v>25</v>
      </c>
      <c r="F7569" s="52" t="s">
        <v>26</v>
      </c>
      <c r="G7569" s="53"/>
    </row>
    <row r="7570">
      <c r="A7570" s="49">
        <v>44592.432227997684</v>
      </c>
      <c r="B7570" s="50">
        <v>44592.5572062268</v>
      </c>
      <c r="C7570" s="51">
        <v>1.0</v>
      </c>
      <c r="D7570" s="51">
        <v>66.0</v>
      </c>
      <c r="E7570" s="52" t="s">
        <v>25</v>
      </c>
      <c r="F7570" s="52" t="s">
        <v>26</v>
      </c>
      <c r="G7570" s="53"/>
    </row>
    <row r="7571">
      <c r="A7571" s="49">
        <v>44592.442657858795</v>
      </c>
      <c r="B7571" s="50">
        <v>44592.5676285763</v>
      </c>
      <c r="C7571" s="51">
        <v>1.0</v>
      </c>
      <c r="D7571" s="51">
        <v>66.0</v>
      </c>
      <c r="E7571" s="52" t="s">
        <v>25</v>
      </c>
      <c r="F7571" s="52" t="s">
        <v>26</v>
      </c>
      <c r="G7571" s="53"/>
    </row>
    <row r="7572">
      <c r="A7572" s="49">
        <v>44592.45311934028</v>
      </c>
      <c r="B7572" s="50">
        <v>44592.5780499884</v>
      </c>
      <c r="C7572" s="51">
        <v>1.0</v>
      </c>
      <c r="D7572" s="51">
        <v>66.0</v>
      </c>
      <c r="E7572" s="52" t="s">
        <v>25</v>
      </c>
      <c r="F7572" s="52" t="s">
        <v>26</v>
      </c>
      <c r="G7572" s="53"/>
    </row>
    <row r="7573">
      <c r="A7573" s="49">
        <v>44592.46350783565</v>
      </c>
      <c r="B7573" s="50">
        <v>44592.5884843634</v>
      </c>
      <c r="C7573" s="51">
        <v>1.0</v>
      </c>
      <c r="D7573" s="51">
        <v>66.0</v>
      </c>
      <c r="E7573" s="52" t="s">
        <v>25</v>
      </c>
      <c r="F7573" s="52" t="s">
        <v>26</v>
      </c>
      <c r="G7573" s="53"/>
    </row>
    <row r="7574">
      <c r="A7574" s="49">
        <v>44592.47393927083</v>
      </c>
      <c r="B7574" s="50">
        <v>44592.5989176851</v>
      </c>
      <c r="C7574" s="51">
        <v>1.0</v>
      </c>
      <c r="D7574" s="51">
        <v>66.0</v>
      </c>
      <c r="E7574" s="52" t="s">
        <v>25</v>
      </c>
      <c r="F7574" s="52" t="s">
        <v>26</v>
      </c>
      <c r="G7574" s="53"/>
    </row>
    <row r="7575">
      <c r="A7575" s="49">
        <v>44592.484409745375</v>
      </c>
      <c r="B7575" s="50">
        <v>44592.6093506481</v>
      </c>
      <c r="C7575" s="51">
        <v>1.0</v>
      </c>
      <c r="D7575" s="51">
        <v>66.0</v>
      </c>
      <c r="E7575" s="52" t="s">
        <v>25</v>
      </c>
      <c r="F7575" s="52" t="s">
        <v>26</v>
      </c>
      <c r="G7575" s="53"/>
    </row>
    <row r="7576">
      <c r="A7576" s="49">
        <v>44592.49479758102</v>
      </c>
      <c r="B7576" s="50">
        <v>44592.6197723263</v>
      </c>
      <c r="C7576" s="51">
        <v>1.0</v>
      </c>
      <c r="D7576" s="51">
        <v>66.0</v>
      </c>
      <c r="E7576" s="52" t="s">
        <v>25</v>
      </c>
      <c r="F7576" s="52" t="s">
        <v>26</v>
      </c>
      <c r="G7576" s="53"/>
    </row>
    <row r="7577">
      <c r="A7577" s="49">
        <v>44592.505225995366</v>
      </c>
      <c r="B7577" s="50">
        <v>44592.6301937384</v>
      </c>
      <c r="C7577" s="51">
        <v>1.0</v>
      </c>
      <c r="D7577" s="51">
        <v>65.0</v>
      </c>
      <c r="E7577" s="52" t="s">
        <v>25</v>
      </c>
      <c r="F7577" s="52" t="s">
        <v>26</v>
      </c>
      <c r="G7577" s="53"/>
    </row>
    <row r="7578">
      <c r="A7578" s="49">
        <v>44592.51563388889</v>
      </c>
      <c r="B7578" s="50">
        <v>44592.6406139004</v>
      </c>
      <c r="C7578" s="51">
        <v>1.0</v>
      </c>
      <c r="D7578" s="51">
        <v>65.0</v>
      </c>
      <c r="E7578" s="52" t="s">
        <v>25</v>
      </c>
      <c r="F7578" s="52" t="s">
        <v>26</v>
      </c>
      <c r="G7578" s="53"/>
    </row>
    <row r="7579">
      <c r="A7579" s="49">
        <v>44592.526059571755</v>
      </c>
      <c r="B7579" s="50">
        <v>44592.6510350115</v>
      </c>
      <c r="C7579" s="51">
        <v>1.0</v>
      </c>
      <c r="D7579" s="51">
        <v>65.0</v>
      </c>
      <c r="E7579" s="52" t="s">
        <v>25</v>
      </c>
      <c r="F7579" s="52" t="s">
        <v>26</v>
      </c>
      <c r="G7579" s="53"/>
    </row>
    <row r="7580">
      <c r="A7580" s="49">
        <v>44592.53647381945</v>
      </c>
      <c r="B7580" s="50">
        <v>44592.6614537731</v>
      </c>
      <c r="C7580" s="51">
        <v>1.0</v>
      </c>
      <c r="D7580" s="51">
        <v>65.0</v>
      </c>
      <c r="E7580" s="52" t="s">
        <v>25</v>
      </c>
      <c r="F7580" s="52" t="s">
        <v>26</v>
      </c>
      <c r="G7580" s="53"/>
    </row>
    <row r="7581">
      <c r="A7581" s="49">
        <v>44592.54689354167</v>
      </c>
      <c r="B7581" s="50">
        <v>44592.67187478</v>
      </c>
      <c r="C7581" s="51">
        <v>1.0</v>
      </c>
      <c r="D7581" s="51">
        <v>65.0</v>
      </c>
      <c r="E7581" s="52" t="s">
        <v>25</v>
      </c>
      <c r="F7581" s="52" t="s">
        <v>26</v>
      </c>
      <c r="G7581" s="53"/>
    </row>
    <row r="7582">
      <c r="A7582" s="49">
        <v>44592.55732604167</v>
      </c>
      <c r="B7582" s="50">
        <v>44592.6822956944</v>
      </c>
      <c r="C7582" s="51">
        <v>1.0</v>
      </c>
      <c r="D7582" s="51">
        <v>65.0</v>
      </c>
      <c r="E7582" s="52" t="s">
        <v>25</v>
      </c>
      <c r="F7582" s="52" t="s">
        <v>26</v>
      </c>
      <c r="G7582" s="53"/>
    </row>
    <row r="7583">
      <c r="A7583" s="49">
        <v>44592.56774994213</v>
      </c>
      <c r="B7583" s="50">
        <v>44592.6927174305</v>
      </c>
      <c r="C7583" s="51">
        <v>1.0</v>
      </c>
      <c r="D7583" s="51">
        <v>65.0</v>
      </c>
      <c r="E7583" s="52" t="s">
        <v>25</v>
      </c>
      <c r="F7583" s="52" t="s">
        <v>26</v>
      </c>
      <c r="G7583" s="53"/>
    </row>
    <row r="7584">
      <c r="A7584" s="49">
        <v>44592.57817282407</v>
      </c>
      <c r="B7584" s="50">
        <v>44592.7031388657</v>
      </c>
      <c r="C7584" s="51">
        <v>1.0</v>
      </c>
      <c r="D7584" s="51">
        <v>65.0</v>
      </c>
      <c r="E7584" s="52" t="s">
        <v>25</v>
      </c>
      <c r="F7584" s="52" t="s">
        <v>26</v>
      </c>
      <c r="G7584" s="53"/>
    </row>
    <row r="7585">
      <c r="A7585" s="49">
        <v>44592.588590162035</v>
      </c>
      <c r="B7585" s="50">
        <v>44592.713561412</v>
      </c>
      <c r="C7585" s="51">
        <v>1.0</v>
      </c>
      <c r="D7585" s="51">
        <v>65.0</v>
      </c>
      <c r="E7585" s="52" t="s">
        <v>25</v>
      </c>
      <c r="F7585" s="52" t="s">
        <v>26</v>
      </c>
      <c r="G7585" s="53"/>
    </row>
    <row r="7586">
      <c r="A7586" s="49">
        <v>44592.59900234954</v>
      </c>
      <c r="B7586" s="50">
        <v>44592.7239805902</v>
      </c>
      <c r="C7586" s="51">
        <v>1.0</v>
      </c>
      <c r="D7586" s="51">
        <v>65.0</v>
      </c>
      <c r="E7586" s="52" t="s">
        <v>25</v>
      </c>
      <c r="F7586" s="52" t="s">
        <v>26</v>
      </c>
      <c r="G7586" s="53"/>
    </row>
    <row r="7587">
      <c r="A7587" s="49">
        <v>44592.60942409722</v>
      </c>
      <c r="B7587" s="50">
        <v>44592.7344020601</v>
      </c>
      <c r="C7587" s="51">
        <v>1.0</v>
      </c>
      <c r="D7587" s="51">
        <v>65.0</v>
      </c>
      <c r="E7587" s="52" t="s">
        <v>25</v>
      </c>
      <c r="F7587" s="52" t="s">
        <v>26</v>
      </c>
      <c r="G7587" s="53"/>
    </row>
    <row r="7588">
      <c r="A7588" s="49">
        <v>44592.61984677083</v>
      </c>
      <c r="B7588" s="50">
        <v>44592.7448237731</v>
      </c>
      <c r="C7588" s="51">
        <v>1.0</v>
      </c>
      <c r="D7588" s="51">
        <v>65.0</v>
      </c>
      <c r="E7588" s="52" t="s">
        <v>25</v>
      </c>
      <c r="F7588" s="52" t="s">
        <v>26</v>
      </c>
      <c r="G7588" s="53"/>
    </row>
    <row r="7589">
      <c r="A7589" s="49">
        <v>44592.630303530095</v>
      </c>
      <c r="B7589" s="50">
        <v>44592.7552770601</v>
      </c>
      <c r="C7589" s="51">
        <v>1.0</v>
      </c>
      <c r="D7589" s="51">
        <v>65.0</v>
      </c>
      <c r="E7589" s="52" t="s">
        <v>25</v>
      </c>
      <c r="F7589" s="52" t="s">
        <v>26</v>
      </c>
      <c r="G7589" s="53"/>
    </row>
    <row r="7590">
      <c r="A7590" s="49">
        <v>44592.640719131945</v>
      </c>
      <c r="B7590" s="50">
        <v>44592.7656979166</v>
      </c>
      <c r="C7590" s="51">
        <v>1.0</v>
      </c>
      <c r="D7590" s="51">
        <v>65.0</v>
      </c>
      <c r="E7590" s="52" t="s">
        <v>25</v>
      </c>
      <c r="F7590" s="52" t="s">
        <v>26</v>
      </c>
      <c r="G7590" s="53"/>
    </row>
    <row r="7591">
      <c r="A7591" s="49">
        <v>44592.65114650463</v>
      </c>
      <c r="B7591" s="50">
        <v>44592.7761186458</v>
      </c>
      <c r="C7591" s="51">
        <v>1.0</v>
      </c>
      <c r="D7591" s="51">
        <v>65.0</v>
      </c>
      <c r="E7591" s="52" t="s">
        <v>25</v>
      </c>
      <c r="F7591" s="52" t="s">
        <v>26</v>
      </c>
      <c r="G7591" s="53"/>
    </row>
    <row r="7592">
      <c r="A7592" s="49">
        <v>44592.66156435185</v>
      </c>
      <c r="B7592" s="50">
        <v>44592.786540243</v>
      </c>
      <c r="C7592" s="51">
        <v>1.0</v>
      </c>
      <c r="D7592" s="51">
        <v>65.0</v>
      </c>
      <c r="E7592" s="52" t="s">
        <v>25</v>
      </c>
      <c r="F7592" s="52" t="s">
        <v>26</v>
      </c>
      <c r="G7592" s="53"/>
    </row>
    <row r="7593">
      <c r="A7593" s="49">
        <v>44592.67198704861</v>
      </c>
      <c r="B7593" s="50">
        <v>44592.7969615509</v>
      </c>
      <c r="C7593" s="51">
        <v>1.0</v>
      </c>
      <c r="D7593" s="51">
        <v>65.0</v>
      </c>
      <c r="E7593" s="52" t="s">
        <v>25</v>
      </c>
      <c r="F7593" s="52" t="s">
        <v>26</v>
      </c>
      <c r="G7593" s="53"/>
    </row>
    <row r="7594">
      <c r="A7594" s="49">
        <v>44592.68240921297</v>
      </c>
      <c r="B7594" s="50">
        <v>44592.8073825115</v>
      </c>
      <c r="C7594" s="51">
        <v>1.0</v>
      </c>
      <c r="D7594" s="51">
        <v>65.0</v>
      </c>
      <c r="E7594" s="52" t="s">
        <v>25</v>
      </c>
      <c r="F7594" s="52" t="s">
        <v>26</v>
      </c>
      <c r="G7594" s="53"/>
    </row>
    <row r="7595">
      <c r="A7595" s="49">
        <v>44592.69281806713</v>
      </c>
      <c r="B7595" s="50">
        <v>44592.8178036111</v>
      </c>
      <c r="C7595" s="51">
        <v>1.0</v>
      </c>
      <c r="D7595" s="51">
        <v>65.0</v>
      </c>
      <c r="E7595" s="52" t="s">
        <v>25</v>
      </c>
      <c r="F7595" s="52" t="s">
        <v>26</v>
      </c>
      <c r="G7595" s="53"/>
    </row>
    <row r="7596">
      <c r="A7596" s="49">
        <v>44592.703248969905</v>
      </c>
      <c r="B7596" s="50">
        <v>44592.8282232638</v>
      </c>
      <c r="C7596" s="51">
        <v>1.0</v>
      </c>
      <c r="D7596" s="51">
        <v>65.0</v>
      </c>
      <c r="E7596" s="52" t="s">
        <v>25</v>
      </c>
      <c r="F7596" s="52" t="s">
        <v>26</v>
      </c>
      <c r="G7596" s="53"/>
    </row>
    <row r="7597">
      <c r="A7597" s="49">
        <v>44592.71365733796</v>
      </c>
      <c r="B7597" s="50">
        <v>44592.8386434837</v>
      </c>
      <c r="C7597" s="51">
        <v>1.0</v>
      </c>
      <c r="D7597" s="51">
        <v>65.0</v>
      </c>
      <c r="E7597" s="52" t="s">
        <v>25</v>
      </c>
      <c r="F7597" s="52" t="s">
        <v>26</v>
      </c>
      <c r="G7597" s="53"/>
    </row>
    <row r="7598">
      <c r="A7598" s="49">
        <v>44592.72409251158</v>
      </c>
      <c r="B7598" s="50">
        <v>44592.8490645486</v>
      </c>
      <c r="C7598" s="51">
        <v>1.0</v>
      </c>
      <c r="D7598" s="51">
        <v>65.0</v>
      </c>
      <c r="E7598" s="52" t="s">
        <v>25</v>
      </c>
      <c r="F7598" s="52" t="s">
        <v>26</v>
      </c>
      <c r="G7598" s="53"/>
    </row>
    <row r="7599">
      <c r="A7599" s="49">
        <v>44592.73451579861</v>
      </c>
      <c r="B7599" s="50">
        <v>44592.8594842708</v>
      </c>
      <c r="C7599" s="51">
        <v>1.0</v>
      </c>
      <c r="D7599" s="51">
        <v>65.0</v>
      </c>
      <c r="E7599" s="52" t="s">
        <v>25</v>
      </c>
      <c r="F7599" s="52" t="s">
        <v>26</v>
      </c>
      <c r="G7599" s="53"/>
    </row>
    <row r="7600">
      <c r="A7600" s="49">
        <v>44592.74492840278</v>
      </c>
      <c r="B7600" s="50">
        <v>44592.8699041319</v>
      </c>
      <c r="C7600" s="51">
        <v>1.0</v>
      </c>
      <c r="D7600" s="51">
        <v>65.0</v>
      </c>
      <c r="E7600" s="52" t="s">
        <v>25</v>
      </c>
      <c r="F7600" s="52" t="s">
        <v>26</v>
      </c>
      <c r="G7600" s="53"/>
    </row>
    <row r="7601">
      <c r="A7601" s="49">
        <v>44592.75535445602</v>
      </c>
      <c r="B7601" s="50">
        <v>44592.8803253472</v>
      </c>
      <c r="C7601" s="51">
        <v>1.0</v>
      </c>
      <c r="D7601" s="51">
        <v>65.0</v>
      </c>
      <c r="E7601" s="52" t="s">
        <v>25</v>
      </c>
      <c r="F7601" s="52" t="s">
        <v>26</v>
      </c>
      <c r="G7601" s="53"/>
    </row>
    <row r="7602">
      <c r="A7602" s="49">
        <v>44592.76576065972</v>
      </c>
      <c r="B7602" s="50">
        <v>44592.8907466782</v>
      </c>
      <c r="C7602" s="51">
        <v>1.0</v>
      </c>
      <c r="D7602" s="51">
        <v>64.0</v>
      </c>
      <c r="E7602" s="52" t="s">
        <v>25</v>
      </c>
      <c r="F7602" s="52" t="s">
        <v>26</v>
      </c>
      <c r="G7602" s="53"/>
    </row>
    <row r="7603">
      <c r="A7603" s="49">
        <v>44592.776194618054</v>
      </c>
      <c r="B7603" s="50">
        <v>44592.9011686111</v>
      </c>
      <c r="C7603" s="51">
        <v>1.0</v>
      </c>
      <c r="D7603" s="51">
        <v>64.0</v>
      </c>
      <c r="E7603" s="52" t="s">
        <v>25</v>
      </c>
      <c r="F7603" s="52" t="s">
        <v>26</v>
      </c>
      <c r="G7603" s="53"/>
    </row>
    <row r="7604">
      <c r="A7604" s="49">
        <v>44592.78661982639</v>
      </c>
      <c r="B7604" s="50">
        <v>44592.9115996412</v>
      </c>
      <c r="C7604" s="51">
        <v>1.0</v>
      </c>
      <c r="D7604" s="51">
        <v>64.0</v>
      </c>
      <c r="E7604" s="52" t="s">
        <v>25</v>
      </c>
      <c r="F7604" s="52" t="s">
        <v>26</v>
      </c>
      <c r="G7604" s="53"/>
    </row>
    <row r="7605">
      <c r="A7605" s="49">
        <v>44592.79705173611</v>
      </c>
      <c r="B7605" s="50">
        <v>44592.9220215277</v>
      </c>
      <c r="C7605" s="51">
        <v>1.0</v>
      </c>
      <c r="D7605" s="51">
        <v>64.0</v>
      </c>
      <c r="E7605" s="52" t="s">
        <v>25</v>
      </c>
      <c r="F7605" s="52" t="s">
        <v>26</v>
      </c>
      <c r="G7605" s="53"/>
    </row>
    <row r="7606">
      <c r="A7606" s="49">
        <v>44592.807468032406</v>
      </c>
      <c r="B7606" s="50">
        <v>44592.9324432523</v>
      </c>
      <c r="C7606" s="51">
        <v>1.0</v>
      </c>
      <c r="D7606" s="51">
        <v>64.0</v>
      </c>
      <c r="E7606" s="52" t="s">
        <v>25</v>
      </c>
      <c r="F7606" s="52" t="s">
        <v>26</v>
      </c>
      <c r="G7606" s="53"/>
    </row>
    <row r="7607">
      <c r="A7607" s="49">
        <v>44592.81791513889</v>
      </c>
      <c r="B7607" s="50">
        <v>44592.9428870023</v>
      </c>
      <c r="C7607" s="51">
        <v>1.0</v>
      </c>
      <c r="D7607" s="51">
        <v>64.0</v>
      </c>
      <c r="E7607" s="52" t="s">
        <v>25</v>
      </c>
      <c r="F7607" s="52" t="s">
        <v>26</v>
      </c>
      <c r="G7607" s="53"/>
    </row>
    <row r="7608">
      <c r="A7608" s="49">
        <v>44592.828331296296</v>
      </c>
      <c r="B7608" s="50">
        <v>44592.9533099537</v>
      </c>
      <c r="C7608" s="51">
        <v>1.0</v>
      </c>
      <c r="D7608" s="51">
        <v>64.0</v>
      </c>
      <c r="E7608" s="52" t="s">
        <v>25</v>
      </c>
      <c r="F7608" s="52" t="s">
        <v>26</v>
      </c>
      <c r="G7608" s="53"/>
    </row>
    <row r="7609">
      <c r="A7609" s="49">
        <v>44592.83875258102</v>
      </c>
      <c r="B7609" s="50">
        <v>44592.9637333796</v>
      </c>
      <c r="C7609" s="51">
        <v>1.0</v>
      </c>
      <c r="D7609" s="51">
        <v>64.0</v>
      </c>
      <c r="E7609" s="52" t="s">
        <v>25</v>
      </c>
      <c r="F7609" s="52" t="s">
        <v>26</v>
      </c>
      <c r="G7609" s="53"/>
    </row>
    <row r="7610">
      <c r="A7610" s="49">
        <v>44592.84917163194</v>
      </c>
      <c r="B7610" s="50">
        <v>44592.9741550115</v>
      </c>
      <c r="C7610" s="51">
        <v>1.0</v>
      </c>
      <c r="D7610" s="51">
        <v>64.0</v>
      </c>
      <c r="E7610" s="52" t="s">
        <v>25</v>
      </c>
      <c r="F7610" s="52" t="s">
        <v>26</v>
      </c>
      <c r="G7610" s="53"/>
    </row>
    <row r="7611">
      <c r="A7611" s="49">
        <v>44592.85960707176</v>
      </c>
      <c r="B7611" s="50">
        <v>44592.9845773842</v>
      </c>
      <c r="C7611" s="51">
        <v>1.0</v>
      </c>
      <c r="D7611" s="51">
        <v>64.0</v>
      </c>
      <c r="E7611" s="52" t="s">
        <v>25</v>
      </c>
      <c r="F7611" s="52" t="s">
        <v>26</v>
      </c>
      <c r="G7611" s="53"/>
    </row>
    <row r="7612">
      <c r="A7612" s="49">
        <v>44592.870034837964</v>
      </c>
      <c r="B7612" s="50">
        <v>44592.9950106944</v>
      </c>
      <c r="C7612" s="51">
        <v>1.0</v>
      </c>
      <c r="D7612" s="51">
        <v>64.0</v>
      </c>
      <c r="E7612" s="52" t="s">
        <v>25</v>
      </c>
      <c r="F7612" s="52" t="s">
        <v>26</v>
      </c>
      <c r="G7612" s="53"/>
    </row>
    <row r="7613">
      <c r="A7613" s="49">
        <v>44592.88045631944</v>
      </c>
      <c r="B7613" s="50">
        <v>44593.0054306365</v>
      </c>
      <c r="C7613" s="51">
        <v>1.0</v>
      </c>
      <c r="D7613" s="51">
        <v>64.0</v>
      </c>
      <c r="E7613" s="52" t="s">
        <v>25</v>
      </c>
      <c r="F7613" s="52" t="s">
        <v>26</v>
      </c>
      <c r="G7613" s="53"/>
    </row>
    <row r="7614">
      <c r="A7614" s="49">
        <v>44592.89087905093</v>
      </c>
      <c r="B7614" s="50">
        <v>44593.0158503125</v>
      </c>
      <c r="C7614" s="51">
        <v>1.0</v>
      </c>
      <c r="D7614" s="51">
        <v>64.0</v>
      </c>
      <c r="E7614" s="52" t="s">
        <v>25</v>
      </c>
      <c r="F7614" s="52" t="s">
        <v>26</v>
      </c>
      <c r="G7614" s="53"/>
    </row>
    <row r="7615">
      <c r="A7615" s="49">
        <v>44592.901313229166</v>
      </c>
      <c r="B7615" s="50">
        <v>44593.026281956</v>
      </c>
      <c r="C7615" s="51">
        <v>1.0</v>
      </c>
      <c r="D7615" s="51">
        <v>64.0</v>
      </c>
      <c r="E7615" s="52" t="s">
        <v>25</v>
      </c>
      <c r="F7615" s="52" t="s">
        <v>26</v>
      </c>
      <c r="G7615" s="53"/>
    </row>
    <row r="7616">
      <c r="A7616" s="49">
        <v>44592.9117281713</v>
      </c>
      <c r="B7616" s="50">
        <v>44593.0367032638</v>
      </c>
      <c r="C7616" s="51">
        <v>1.0</v>
      </c>
      <c r="D7616" s="51">
        <v>64.0</v>
      </c>
      <c r="E7616" s="52" t="s">
        <v>25</v>
      </c>
      <c r="F7616" s="52" t="s">
        <v>26</v>
      </c>
      <c r="G7616" s="53"/>
    </row>
    <row r="7617">
      <c r="A7617" s="49">
        <v>44592.92217075231</v>
      </c>
      <c r="B7617" s="50">
        <v>44593.0471464583</v>
      </c>
      <c r="C7617" s="51">
        <v>1.0</v>
      </c>
      <c r="D7617" s="51">
        <v>64.0</v>
      </c>
      <c r="E7617" s="52" t="s">
        <v>25</v>
      </c>
      <c r="F7617" s="52" t="s">
        <v>26</v>
      </c>
      <c r="G7617" s="53"/>
    </row>
    <row r="7618">
      <c r="A7618" s="49">
        <v>44592.932591875</v>
      </c>
      <c r="B7618" s="50">
        <v>44593.0575670717</v>
      </c>
      <c r="C7618" s="51">
        <v>1.0</v>
      </c>
      <c r="D7618" s="51">
        <v>64.0</v>
      </c>
      <c r="E7618" s="52" t="s">
        <v>25</v>
      </c>
      <c r="F7618" s="52" t="s">
        <v>26</v>
      </c>
      <c r="G7618" s="53"/>
    </row>
    <row r="7619">
      <c r="A7619" s="49">
        <v>44592.94301263889</v>
      </c>
      <c r="B7619" s="50">
        <v>44593.0679892129</v>
      </c>
      <c r="C7619" s="51">
        <v>1.0</v>
      </c>
      <c r="D7619" s="51">
        <v>64.0</v>
      </c>
      <c r="E7619" s="52" t="s">
        <v>25</v>
      </c>
      <c r="F7619" s="52" t="s">
        <v>26</v>
      </c>
      <c r="G7619" s="53"/>
    </row>
    <row r="7620">
      <c r="A7620" s="49">
        <v>44592.95343221065</v>
      </c>
      <c r="B7620" s="50">
        <v>44593.078410324</v>
      </c>
      <c r="C7620" s="51">
        <v>1.0</v>
      </c>
      <c r="D7620" s="51">
        <v>64.0</v>
      </c>
      <c r="E7620" s="52" t="s">
        <v>25</v>
      </c>
      <c r="F7620" s="52" t="s">
        <v>26</v>
      </c>
      <c r="G7620" s="53"/>
    </row>
    <row r="7621">
      <c r="A7621" s="49">
        <v>44592.963850879634</v>
      </c>
      <c r="B7621" s="50">
        <v>44593.0888309259</v>
      </c>
      <c r="C7621" s="51">
        <v>1.0</v>
      </c>
      <c r="D7621" s="51">
        <v>64.0</v>
      </c>
      <c r="E7621" s="52" t="s">
        <v>25</v>
      </c>
      <c r="F7621" s="52" t="s">
        <v>26</v>
      </c>
      <c r="G7621" s="53"/>
    </row>
    <row r="7622">
      <c r="A7622" s="49">
        <v>44592.97429023148</v>
      </c>
      <c r="B7622" s="50">
        <v>44593.0992615393</v>
      </c>
      <c r="C7622" s="51">
        <v>1.0</v>
      </c>
      <c r="D7622" s="51">
        <v>64.0</v>
      </c>
      <c r="E7622" s="52" t="s">
        <v>25</v>
      </c>
      <c r="F7622" s="52" t="s">
        <v>26</v>
      </c>
      <c r="G7622" s="53"/>
    </row>
    <row r="7623">
      <c r="A7623" s="49">
        <v>44592.98469917824</v>
      </c>
      <c r="B7623" s="50">
        <v>44593.1096813425</v>
      </c>
      <c r="C7623" s="51">
        <v>1.0</v>
      </c>
      <c r="D7623" s="51">
        <v>64.0</v>
      </c>
      <c r="E7623" s="52" t="s">
        <v>25</v>
      </c>
      <c r="F7623" s="52" t="s">
        <v>26</v>
      </c>
      <c r="G7623" s="53"/>
    </row>
    <row r="7624">
      <c r="A7624" s="49">
        <v>44592.99512086806</v>
      </c>
      <c r="B7624" s="50">
        <v>44593.1201029513</v>
      </c>
      <c r="C7624" s="51">
        <v>1.0</v>
      </c>
      <c r="D7624" s="51">
        <v>64.0</v>
      </c>
      <c r="E7624" s="52" t="s">
        <v>25</v>
      </c>
      <c r="F7624" s="52" t="s">
        <v>26</v>
      </c>
      <c r="G7624" s="53"/>
    </row>
    <row r="7625">
      <c r="A7625" s="49">
        <v>44593.005539571765</v>
      </c>
      <c r="B7625" s="50">
        <v>44593.1305225</v>
      </c>
      <c r="C7625" s="51">
        <v>1.0</v>
      </c>
      <c r="D7625" s="51">
        <v>64.0</v>
      </c>
      <c r="E7625" s="52" t="s">
        <v>25</v>
      </c>
      <c r="F7625" s="52" t="s">
        <v>26</v>
      </c>
      <c r="G7625" s="53"/>
    </row>
    <row r="7626">
      <c r="A7626" s="49">
        <v>44593.01598211806</v>
      </c>
      <c r="B7626" s="50">
        <v>44593.1409556134</v>
      </c>
      <c r="C7626" s="51">
        <v>1.0</v>
      </c>
      <c r="D7626" s="51">
        <v>64.0</v>
      </c>
      <c r="E7626" s="52" t="s">
        <v>25</v>
      </c>
      <c r="F7626" s="52" t="s">
        <v>26</v>
      </c>
      <c r="G7626" s="53"/>
    </row>
    <row r="7627">
      <c r="A7627" s="49">
        <v>44593.02639116898</v>
      </c>
      <c r="B7627" s="50">
        <v>44593.1513759722</v>
      </c>
      <c r="C7627" s="51">
        <v>1.0</v>
      </c>
      <c r="D7627" s="51">
        <v>64.0</v>
      </c>
      <c r="E7627" s="52" t="s">
        <v>25</v>
      </c>
      <c r="F7627" s="52" t="s">
        <v>26</v>
      </c>
      <c r="G7627" s="53"/>
    </row>
    <row r="7628">
      <c r="A7628" s="49">
        <v>44593.03683199074</v>
      </c>
      <c r="B7628" s="50">
        <v>44593.1618092592</v>
      </c>
      <c r="C7628" s="51">
        <v>1.0</v>
      </c>
      <c r="D7628" s="51">
        <v>64.0</v>
      </c>
      <c r="E7628" s="52" t="s">
        <v>25</v>
      </c>
      <c r="F7628" s="52" t="s">
        <v>26</v>
      </c>
      <c r="G7628" s="53"/>
    </row>
    <row r="7629">
      <c r="A7629" s="49">
        <v>44593.04727181713</v>
      </c>
      <c r="B7629" s="50">
        <v>44593.1722292708</v>
      </c>
      <c r="C7629" s="51">
        <v>1.0</v>
      </c>
      <c r="D7629" s="51">
        <v>63.0</v>
      </c>
      <c r="E7629" s="52" t="s">
        <v>25</v>
      </c>
      <c r="F7629" s="52" t="s">
        <v>26</v>
      </c>
      <c r="G7629" s="53"/>
    </row>
    <row r="7630">
      <c r="A7630" s="49">
        <v>44593.057670636575</v>
      </c>
      <c r="B7630" s="50">
        <v>44593.1826519097</v>
      </c>
      <c r="C7630" s="51">
        <v>1.0</v>
      </c>
      <c r="D7630" s="51">
        <v>63.0</v>
      </c>
      <c r="E7630" s="52" t="s">
        <v>25</v>
      </c>
      <c r="F7630" s="52" t="s">
        <v>26</v>
      </c>
      <c r="G7630" s="53"/>
    </row>
    <row r="7631">
      <c r="A7631" s="49">
        <v>44593.06809917824</v>
      </c>
      <c r="B7631" s="50">
        <v>44593.193073206</v>
      </c>
      <c r="C7631" s="51">
        <v>1.0</v>
      </c>
      <c r="D7631" s="51">
        <v>63.0</v>
      </c>
      <c r="E7631" s="52" t="s">
        <v>25</v>
      </c>
      <c r="F7631" s="52" t="s">
        <v>26</v>
      </c>
      <c r="G7631" s="53"/>
    </row>
    <row r="7632">
      <c r="A7632" s="49">
        <v>44593.07851511574</v>
      </c>
      <c r="B7632" s="50">
        <v>44593.203493368</v>
      </c>
      <c r="C7632" s="51">
        <v>1.0</v>
      </c>
      <c r="D7632" s="51">
        <v>63.0</v>
      </c>
      <c r="E7632" s="52" t="s">
        <v>25</v>
      </c>
      <c r="F7632" s="52" t="s">
        <v>26</v>
      </c>
      <c r="G7632" s="53"/>
    </row>
    <row r="7633">
      <c r="A7633" s="49">
        <v>44593.08893590278</v>
      </c>
      <c r="B7633" s="50">
        <v>44593.2139135416</v>
      </c>
      <c r="C7633" s="51">
        <v>1.0</v>
      </c>
      <c r="D7633" s="51">
        <v>63.0</v>
      </c>
      <c r="E7633" s="52" t="s">
        <v>25</v>
      </c>
      <c r="F7633" s="52" t="s">
        <v>26</v>
      </c>
      <c r="G7633" s="53"/>
    </row>
    <row r="7634">
      <c r="A7634" s="49">
        <v>44593.09936251157</v>
      </c>
      <c r="B7634" s="50">
        <v>44593.2243350231</v>
      </c>
      <c r="C7634" s="51">
        <v>1.0</v>
      </c>
      <c r="D7634" s="51">
        <v>63.0</v>
      </c>
      <c r="E7634" s="52" t="s">
        <v>25</v>
      </c>
      <c r="F7634" s="52" t="s">
        <v>26</v>
      </c>
      <c r="G7634" s="53"/>
    </row>
    <row r="7635">
      <c r="A7635" s="49">
        <v>44593.10978092592</v>
      </c>
      <c r="B7635" s="50">
        <v>44593.2347567013</v>
      </c>
      <c r="C7635" s="51">
        <v>1.0</v>
      </c>
      <c r="D7635" s="51">
        <v>63.0</v>
      </c>
      <c r="E7635" s="52" t="s">
        <v>25</v>
      </c>
      <c r="F7635" s="52" t="s">
        <v>26</v>
      </c>
      <c r="G7635" s="53"/>
    </row>
    <row r="7636">
      <c r="A7636" s="49">
        <v>44593.12020064815</v>
      </c>
      <c r="B7636" s="50">
        <v>44593.2451775462</v>
      </c>
      <c r="C7636" s="51">
        <v>1.0</v>
      </c>
      <c r="D7636" s="51">
        <v>63.0</v>
      </c>
      <c r="E7636" s="52" t="s">
        <v>25</v>
      </c>
      <c r="F7636" s="52" t="s">
        <v>26</v>
      </c>
      <c r="G7636" s="53"/>
    </row>
    <row r="7637">
      <c r="A7637" s="49">
        <v>44593.130614594906</v>
      </c>
      <c r="B7637" s="50">
        <v>44593.2555973495</v>
      </c>
      <c r="C7637" s="51">
        <v>1.0</v>
      </c>
      <c r="D7637" s="51">
        <v>63.0</v>
      </c>
      <c r="E7637" s="52" t="s">
        <v>25</v>
      </c>
      <c r="F7637" s="52" t="s">
        <v>26</v>
      </c>
      <c r="G7637" s="53"/>
    </row>
    <row r="7638">
      <c r="A7638" s="49">
        <v>44593.14105324074</v>
      </c>
      <c r="B7638" s="50">
        <v>44593.266029618</v>
      </c>
      <c r="C7638" s="51">
        <v>1.0</v>
      </c>
      <c r="D7638" s="51">
        <v>63.0</v>
      </c>
      <c r="E7638" s="52" t="s">
        <v>25</v>
      </c>
      <c r="F7638" s="52" t="s">
        <v>26</v>
      </c>
      <c r="G7638" s="53"/>
    </row>
    <row r="7639">
      <c r="A7639" s="49">
        <v>44593.151477569445</v>
      </c>
      <c r="B7639" s="50">
        <v>44593.2764509143</v>
      </c>
      <c r="C7639" s="51">
        <v>1.0</v>
      </c>
      <c r="D7639" s="51">
        <v>63.0</v>
      </c>
      <c r="E7639" s="52" t="s">
        <v>25</v>
      </c>
      <c r="F7639" s="52" t="s">
        <v>26</v>
      </c>
      <c r="G7639" s="53"/>
    </row>
    <row r="7640">
      <c r="A7640" s="49">
        <v>44593.16189449074</v>
      </c>
      <c r="B7640" s="50">
        <v>44593.2868723495</v>
      </c>
      <c r="C7640" s="51">
        <v>1.0</v>
      </c>
      <c r="D7640" s="51">
        <v>63.0</v>
      </c>
      <c r="E7640" s="52" t="s">
        <v>25</v>
      </c>
      <c r="F7640" s="52" t="s">
        <v>26</v>
      </c>
      <c r="G7640" s="53"/>
    </row>
    <row r="7641">
      <c r="A7641" s="49">
        <v>44593.17231145833</v>
      </c>
      <c r="B7641" s="50">
        <v>44593.2972918518</v>
      </c>
      <c r="C7641" s="51">
        <v>1.0</v>
      </c>
      <c r="D7641" s="51">
        <v>63.0</v>
      </c>
      <c r="E7641" s="52" t="s">
        <v>25</v>
      </c>
      <c r="F7641" s="52" t="s">
        <v>26</v>
      </c>
      <c r="G7641" s="53"/>
    </row>
    <row r="7642">
      <c r="A7642" s="49">
        <v>44593.18273597222</v>
      </c>
      <c r="B7642" s="50">
        <v>44593.3077127546</v>
      </c>
      <c r="C7642" s="51">
        <v>1.0</v>
      </c>
      <c r="D7642" s="51">
        <v>63.0</v>
      </c>
      <c r="E7642" s="52" t="s">
        <v>25</v>
      </c>
      <c r="F7642" s="52" t="s">
        <v>26</v>
      </c>
      <c r="G7642" s="53"/>
    </row>
    <row r="7643">
      <c r="A7643" s="49">
        <v>44593.193159953706</v>
      </c>
      <c r="B7643" s="50">
        <v>44593.3181325694</v>
      </c>
      <c r="C7643" s="51">
        <v>1.0</v>
      </c>
      <c r="D7643" s="51">
        <v>63.0</v>
      </c>
      <c r="E7643" s="52" t="s">
        <v>25</v>
      </c>
      <c r="F7643" s="52" t="s">
        <v>26</v>
      </c>
      <c r="G7643" s="53"/>
    </row>
    <row r="7644">
      <c r="A7644" s="49">
        <v>44593.20358313658</v>
      </c>
      <c r="B7644" s="50">
        <v>44593.3285535879</v>
      </c>
      <c r="C7644" s="51">
        <v>1.0</v>
      </c>
      <c r="D7644" s="51">
        <v>63.0</v>
      </c>
      <c r="E7644" s="52" t="s">
        <v>25</v>
      </c>
      <c r="F7644" s="52" t="s">
        <v>26</v>
      </c>
      <c r="G7644" s="53"/>
    </row>
    <row r="7645">
      <c r="A7645" s="49">
        <v>44593.21399693287</v>
      </c>
      <c r="B7645" s="50">
        <v>44593.3389756365</v>
      </c>
      <c r="C7645" s="51">
        <v>1.0</v>
      </c>
      <c r="D7645" s="51">
        <v>63.0</v>
      </c>
      <c r="E7645" s="52" t="s">
        <v>25</v>
      </c>
      <c r="F7645" s="52" t="s">
        <v>26</v>
      </c>
      <c r="G7645" s="53"/>
    </row>
    <row r="7646">
      <c r="A7646" s="49">
        <v>44593.22441880787</v>
      </c>
      <c r="B7646" s="50">
        <v>44593.3493976273</v>
      </c>
      <c r="C7646" s="51">
        <v>1.0</v>
      </c>
      <c r="D7646" s="51">
        <v>63.0</v>
      </c>
      <c r="E7646" s="52" t="s">
        <v>25</v>
      </c>
      <c r="F7646" s="52" t="s">
        <v>26</v>
      </c>
      <c r="G7646" s="53"/>
    </row>
    <row r="7647">
      <c r="A7647" s="49">
        <v>44593.234839375</v>
      </c>
      <c r="B7647" s="50">
        <v>44593.359817824</v>
      </c>
      <c r="C7647" s="51">
        <v>1.0</v>
      </c>
      <c r="D7647" s="51">
        <v>63.0</v>
      </c>
      <c r="E7647" s="52" t="s">
        <v>25</v>
      </c>
      <c r="F7647" s="52" t="s">
        <v>26</v>
      </c>
      <c r="G7647" s="53"/>
    </row>
    <row r="7648">
      <c r="A7648" s="49">
        <v>44593.24527337963</v>
      </c>
      <c r="B7648" s="50">
        <v>44593.3702522685</v>
      </c>
      <c r="C7648" s="51">
        <v>1.0</v>
      </c>
      <c r="D7648" s="51">
        <v>63.0</v>
      </c>
      <c r="E7648" s="52" t="s">
        <v>25</v>
      </c>
      <c r="F7648" s="52" t="s">
        <v>26</v>
      </c>
      <c r="G7648" s="53"/>
    </row>
    <row r="7649">
      <c r="A7649" s="49">
        <v>44593.25570701389</v>
      </c>
      <c r="B7649" s="50">
        <v>44593.3806733912</v>
      </c>
      <c r="C7649" s="51">
        <v>1.0</v>
      </c>
      <c r="D7649" s="51">
        <v>63.0</v>
      </c>
      <c r="E7649" s="52" t="s">
        <v>25</v>
      </c>
      <c r="F7649" s="52" t="s">
        <v>26</v>
      </c>
      <c r="G7649" s="53"/>
    </row>
    <row r="7650">
      <c r="A7650" s="49">
        <v>44593.266121064815</v>
      </c>
      <c r="B7650" s="50">
        <v>44593.391095868</v>
      </c>
      <c r="C7650" s="51">
        <v>1.0</v>
      </c>
      <c r="D7650" s="51">
        <v>63.0</v>
      </c>
      <c r="E7650" s="52" t="s">
        <v>25</v>
      </c>
      <c r="F7650" s="52" t="s">
        <v>26</v>
      </c>
      <c r="G7650" s="53"/>
    </row>
    <row r="7651">
      <c r="A7651" s="49">
        <v>44593.27654202546</v>
      </c>
      <c r="B7651" s="50">
        <v>44593.401515243</v>
      </c>
      <c r="C7651" s="51">
        <v>1.0</v>
      </c>
      <c r="D7651" s="51">
        <v>63.0</v>
      </c>
      <c r="E7651" s="52" t="s">
        <v>25</v>
      </c>
      <c r="F7651" s="52" t="s">
        <v>26</v>
      </c>
      <c r="G7651" s="53"/>
    </row>
    <row r="7652">
      <c r="A7652" s="49">
        <v>44593.286969872686</v>
      </c>
      <c r="B7652" s="50">
        <v>44593.4119359374</v>
      </c>
      <c r="C7652" s="51">
        <v>1.0</v>
      </c>
      <c r="D7652" s="51">
        <v>63.0</v>
      </c>
      <c r="E7652" s="52" t="s">
        <v>25</v>
      </c>
      <c r="F7652" s="52" t="s">
        <v>26</v>
      </c>
      <c r="G7652" s="53"/>
    </row>
    <row r="7653">
      <c r="A7653" s="49">
        <v>44593.29738092593</v>
      </c>
      <c r="B7653" s="50">
        <v>44593.422357037</v>
      </c>
      <c r="C7653" s="51">
        <v>1.0</v>
      </c>
      <c r="D7653" s="51">
        <v>63.0</v>
      </c>
      <c r="E7653" s="52" t="s">
        <v>25</v>
      </c>
      <c r="F7653" s="52" t="s">
        <v>26</v>
      </c>
      <c r="G7653" s="53"/>
    </row>
    <row r="7654">
      <c r="A7654" s="49">
        <v>44593.30781732639</v>
      </c>
      <c r="B7654" s="50">
        <v>44593.4327909143</v>
      </c>
      <c r="C7654" s="51">
        <v>1.0</v>
      </c>
      <c r="D7654" s="51">
        <v>63.0</v>
      </c>
      <c r="E7654" s="52" t="s">
        <v>25</v>
      </c>
      <c r="F7654" s="52" t="s">
        <v>26</v>
      </c>
      <c r="G7654" s="53"/>
    </row>
    <row r="7655">
      <c r="A7655" s="49">
        <v>44593.318252893514</v>
      </c>
      <c r="B7655" s="50">
        <v>44593.443212743</v>
      </c>
      <c r="C7655" s="51">
        <v>1.0</v>
      </c>
      <c r="D7655" s="51">
        <v>63.0</v>
      </c>
      <c r="E7655" s="52" t="s">
        <v>25</v>
      </c>
      <c r="F7655" s="52" t="s">
        <v>26</v>
      </c>
      <c r="G7655" s="53"/>
    </row>
    <row r="7656">
      <c r="A7656" s="49">
        <v>44593.32865894676</v>
      </c>
      <c r="B7656" s="50">
        <v>44593.4536326041</v>
      </c>
      <c r="C7656" s="51">
        <v>1.0</v>
      </c>
      <c r="D7656" s="51">
        <v>63.0</v>
      </c>
      <c r="E7656" s="52" t="s">
        <v>25</v>
      </c>
      <c r="F7656" s="52" t="s">
        <v>26</v>
      </c>
      <c r="G7656" s="53"/>
    </row>
    <row r="7657">
      <c r="A7657" s="49">
        <v>44593.339077638884</v>
      </c>
      <c r="B7657" s="50">
        <v>44593.464053831</v>
      </c>
      <c r="C7657" s="51">
        <v>1.0</v>
      </c>
      <c r="D7657" s="51">
        <v>63.0</v>
      </c>
      <c r="E7657" s="52" t="s">
        <v>25</v>
      </c>
      <c r="F7657" s="52" t="s">
        <v>26</v>
      </c>
      <c r="G7657" s="53"/>
    </row>
    <row r="7658">
      <c r="A7658" s="49">
        <v>44593.34950236111</v>
      </c>
      <c r="B7658" s="50">
        <v>44593.4744768634</v>
      </c>
      <c r="C7658" s="51">
        <v>1.0</v>
      </c>
      <c r="D7658" s="51">
        <v>62.0</v>
      </c>
      <c r="E7658" s="52" t="s">
        <v>25</v>
      </c>
      <c r="F7658" s="52" t="s">
        <v>26</v>
      </c>
      <c r="G7658" s="53"/>
    </row>
    <row r="7659">
      <c r="A7659" s="49">
        <v>44593.3599437963</v>
      </c>
      <c r="B7659" s="50">
        <v>44593.4848990624</v>
      </c>
      <c r="C7659" s="51">
        <v>1.0</v>
      </c>
      <c r="D7659" s="51">
        <v>62.0</v>
      </c>
      <c r="E7659" s="52" t="s">
        <v>25</v>
      </c>
      <c r="F7659" s="52" t="s">
        <v>26</v>
      </c>
      <c r="G7659" s="53"/>
    </row>
    <row r="7660">
      <c r="A7660" s="49">
        <v>44593.37035878473</v>
      </c>
      <c r="B7660" s="50">
        <v>44593.4953321412</v>
      </c>
      <c r="C7660" s="51">
        <v>1.0</v>
      </c>
      <c r="D7660" s="51">
        <v>62.0</v>
      </c>
      <c r="E7660" s="52" t="s">
        <v>25</v>
      </c>
      <c r="F7660" s="52" t="s">
        <v>26</v>
      </c>
      <c r="G7660" s="53"/>
    </row>
    <row r="7661">
      <c r="A7661" s="49">
        <v>44593.38077208333</v>
      </c>
      <c r="B7661" s="50">
        <v>44593.5057526504</v>
      </c>
      <c r="C7661" s="51">
        <v>1.0</v>
      </c>
      <c r="D7661" s="51">
        <v>62.0</v>
      </c>
      <c r="E7661" s="52" t="s">
        <v>25</v>
      </c>
      <c r="F7661" s="52" t="s">
        <v>26</v>
      </c>
      <c r="G7661" s="53"/>
    </row>
    <row r="7662">
      <c r="A7662" s="49">
        <v>44593.391201817125</v>
      </c>
      <c r="B7662" s="50">
        <v>44593.5161825231</v>
      </c>
      <c r="C7662" s="51">
        <v>1.0</v>
      </c>
      <c r="D7662" s="51">
        <v>62.0</v>
      </c>
      <c r="E7662" s="52" t="s">
        <v>25</v>
      </c>
      <c r="F7662" s="52" t="s">
        <v>26</v>
      </c>
      <c r="G7662" s="53"/>
    </row>
    <row r="7663">
      <c r="A7663" s="49">
        <v>44593.401627430554</v>
      </c>
      <c r="B7663" s="50">
        <v>44593.5266016087</v>
      </c>
      <c r="C7663" s="51">
        <v>1.0</v>
      </c>
      <c r="D7663" s="51">
        <v>62.0</v>
      </c>
      <c r="E7663" s="52" t="s">
        <v>25</v>
      </c>
      <c r="F7663" s="52" t="s">
        <v>26</v>
      </c>
      <c r="G7663" s="53"/>
    </row>
    <row r="7664">
      <c r="A7664" s="49">
        <v>44593.412072673615</v>
      </c>
      <c r="B7664" s="50">
        <v>44593.537045868</v>
      </c>
      <c r="C7664" s="51">
        <v>1.0</v>
      </c>
      <c r="D7664" s="51">
        <v>62.0</v>
      </c>
      <c r="E7664" s="52" t="s">
        <v>25</v>
      </c>
      <c r="F7664" s="52" t="s">
        <v>26</v>
      </c>
      <c r="G7664" s="53"/>
    </row>
    <row r="7665">
      <c r="A7665" s="49">
        <v>44593.42249473379</v>
      </c>
      <c r="B7665" s="50">
        <v>44593.5474685879</v>
      </c>
      <c r="C7665" s="51">
        <v>1.0</v>
      </c>
      <c r="D7665" s="51">
        <v>62.0</v>
      </c>
      <c r="E7665" s="52" t="s">
        <v>25</v>
      </c>
      <c r="F7665" s="52" t="s">
        <v>26</v>
      </c>
      <c r="G7665" s="53"/>
    </row>
    <row r="7666">
      <c r="A7666" s="49">
        <v>44593.43291134259</v>
      </c>
      <c r="B7666" s="50">
        <v>44593.5578888888</v>
      </c>
      <c r="C7666" s="51">
        <v>1.0</v>
      </c>
      <c r="D7666" s="51">
        <v>62.0</v>
      </c>
      <c r="E7666" s="52" t="s">
        <v>25</v>
      </c>
      <c r="F7666" s="52" t="s">
        <v>26</v>
      </c>
      <c r="G7666" s="53"/>
    </row>
    <row r="7667">
      <c r="A7667" s="49">
        <v>44593.44334319445</v>
      </c>
      <c r="B7667" s="50">
        <v>44593.5683101388</v>
      </c>
      <c r="C7667" s="51">
        <v>1.0</v>
      </c>
      <c r="D7667" s="51">
        <v>62.0</v>
      </c>
      <c r="E7667" s="52" t="s">
        <v>25</v>
      </c>
      <c r="F7667" s="52" t="s">
        <v>26</v>
      </c>
      <c r="G7667" s="53"/>
    </row>
    <row r="7668">
      <c r="A7668" s="49">
        <v>44593.45376488426</v>
      </c>
      <c r="B7668" s="50">
        <v>44593.5787429398</v>
      </c>
      <c r="C7668" s="51">
        <v>1.0</v>
      </c>
      <c r="D7668" s="51">
        <v>62.0</v>
      </c>
      <c r="E7668" s="52" t="s">
        <v>25</v>
      </c>
      <c r="F7668" s="52" t="s">
        <v>26</v>
      </c>
      <c r="G7668" s="53"/>
    </row>
    <row r="7669">
      <c r="A7669" s="49">
        <v>44593.46418649306</v>
      </c>
      <c r="B7669" s="50">
        <v>44593.5891628935</v>
      </c>
      <c r="C7669" s="51">
        <v>1.0</v>
      </c>
      <c r="D7669" s="51">
        <v>62.0</v>
      </c>
      <c r="E7669" s="52" t="s">
        <v>25</v>
      </c>
      <c r="F7669" s="52" t="s">
        <v>26</v>
      </c>
      <c r="G7669" s="53"/>
    </row>
    <row r="7670">
      <c r="A7670" s="49">
        <v>44593.47460758102</v>
      </c>
      <c r="B7670" s="50">
        <v>44593.5995848495</v>
      </c>
      <c r="C7670" s="51">
        <v>1.0</v>
      </c>
      <c r="D7670" s="51">
        <v>62.0</v>
      </c>
      <c r="E7670" s="52" t="s">
        <v>25</v>
      </c>
      <c r="F7670" s="52" t="s">
        <v>26</v>
      </c>
      <c r="G7670" s="53"/>
    </row>
    <row r="7671">
      <c r="A7671" s="49">
        <v>44593.48505743056</v>
      </c>
      <c r="B7671" s="50">
        <v>44593.6100286574</v>
      </c>
      <c r="C7671" s="51">
        <v>1.0</v>
      </c>
      <c r="D7671" s="51">
        <v>62.0</v>
      </c>
      <c r="E7671" s="52" t="s">
        <v>25</v>
      </c>
      <c r="F7671" s="52" t="s">
        <v>26</v>
      </c>
      <c r="G7671" s="53"/>
    </row>
    <row r="7672">
      <c r="A7672" s="49">
        <v>44593.495477731485</v>
      </c>
      <c r="B7672" s="50">
        <v>44593.6204514699</v>
      </c>
      <c r="C7672" s="51">
        <v>1.0</v>
      </c>
      <c r="D7672" s="51">
        <v>62.0</v>
      </c>
      <c r="E7672" s="52" t="s">
        <v>25</v>
      </c>
      <c r="F7672" s="52" t="s">
        <v>26</v>
      </c>
      <c r="G7672" s="53"/>
    </row>
    <row r="7673">
      <c r="A7673" s="49">
        <v>44593.50591953704</v>
      </c>
      <c r="B7673" s="50">
        <v>44593.6308838541</v>
      </c>
      <c r="C7673" s="51">
        <v>1.0</v>
      </c>
      <c r="D7673" s="51">
        <v>62.0</v>
      </c>
      <c r="E7673" s="52" t="s">
        <v>25</v>
      </c>
      <c r="F7673" s="52" t="s">
        <v>26</v>
      </c>
      <c r="G7673" s="53"/>
    </row>
    <row r="7674">
      <c r="A7674" s="49">
        <v>44593.51633131945</v>
      </c>
      <c r="B7674" s="50">
        <v>44593.64130353</v>
      </c>
      <c r="C7674" s="51">
        <v>1.0</v>
      </c>
      <c r="D7674" s="51">
        <v>62.0</v>
      </c>
      <c r="E7674" s="52" t="s">
        <v>25</v>
      </c>
      <c r="F7674" s="52" t="s">
        <v>26</v>
      </c>
      <c r="G7674" s="53"/>
    </row>
    <row r="7675">
      <c r="A7675" s="49">
        <v>44593.52674851852</v>
      </c>
      <c r="B7675" s="50">
        <v>44593.6517259143</v>
      </c>
      <c r="C7675" s="51">
        <v>1.0</v>
      </c>
      <c r="D7675" s="51">
        <v>62.0</v>
      </c>
      <c r="E7675" s="52" t="s">
        <v>25</v>
      </c>
      <c r="F7675" s="52" t="s">
        <v>26</v>
      </c>
      <c r="G7675" s="53"/>
    </row>
    <row r="7676">
      <c r="A7676" s="49">
        <v>44593.53717261574</v>
      </c>
      <c r="B7676" s="50">
        <v>44593.6621482523</v>
      </c>
      <c r="C7676" s="51">
        <v>1.0</v>
      </c>
      <c r="D7676" s="51">
        <v>62.0</v>
      </c>
      <c r="E7676" s="52" t="s">
        <v>25</v>
      </c>
      <c r="F7676" s="52" t="s">
        <v>26</v>
      </c>
      <c r="G7676" s="53"/>
    </row>
    <row r="7677">
      <c r="A7677" s="49">
        <v>44593.547588738424</v>
      </c>
      <c r="B7677" s="50">
        <v>44593.6725684027</v>
      </c>
      <c r="C7677" s="51">
        <v>1.0</v>
      </c>
      <c r="D7677" s="51">
        <v>62.0</v>
      </c>
      <c r="E7677" s="52" t="s">
        <v>25</v>
      </c>
      <c r="F7677" s="52" t="s">
        <v>26</v>
      </c>
      <c r="G7677" s="53"/>
    </row>
    <row r="7678">
      <c r="A7678" s="49">
        <v>44593.558019143515</v>
      </c>
      <c r="B7678" s="50">
        <v>44593.6829998495</v>
      </c>
      <c r="C7678" s="51">
        <v>1.0</v>
      </c>
      <c r="D7678" s="51">
        <v>62.0</v>
      </c>
      <c r="E7678" s="52" t="s">
        <v>25</v>
      </c>
      <c r="F7678" s="52" t="s">
        <v>26</v>
      </c>
      <c r="G7678" s="53"/>
    </row>
    <row r="7679">
      <c r="A7679" s="49">
        <v>44593.568450694445</v>
      </c>
      <c r="B7679" s="50">
        <v>44593.6934215162</v>
      </c>
      <c r="C7679" s="51">
        <v>1.0</v>
      </c>
      <c r="D7679" s="51">
        <v>62.0</v>
      </c>
      <c r="E7679" s="52" t="s">
        <v>25</v>
      </c>
      <c r="F7679" s="52" t="s">
        <v>26</v>
      </c>
      <c r="G7679" s="53"/>
    </row>
    <row r="7680">
      <c r="A7680" s="49">
        <v>44593.578871412035</v>
      </c>
      <c r="B7680" s="50">
        <v>44593.7038431597</v>
      </c>
      <c r="C7680" s="51">
        <v>1.0</v>
      </c>
      <c r="D7680" s="51">
        <v>62.0</v>
      </c>
      <c r="E7680" s="52" t="s">
        <v>25</v>
      </c>
      <c r="F7680" s="52" t="s">
        <v>26</v>
      </c>
      <c r="G7680" s="53"/>
    </row>
    <row r="7681">
      <c r="A7681" s="49">
        <v>44593.58928082176</v>
      </c>
      <c r="B7681" s="50">
        <v>44593.7142621874</v>
      </c>
      <c r="C7681" s="51">
        <v>1.0</v>
      </c>
      <c r="D7681" s="51">
        <v>62.0</v>
      </c>
      <c r="E7681" s="52" t="s">
        <v>25</v>
      </c>
      <c r="F7681" s="52" t="s">
        <v>26</v>
      </c>
      <c r="G7681" s="53"/>
    </row>
    <row r="7682">
      <c r="A7682" s="49">
        <v>44593.59971347223</v>
      </c>
      <c r="B7682" s="50">
        <v>44593.7246836342</v>
      </c>
      <c r="C7682" s="51">
        <v>1.0</v>
      </c>
      <c r="D7682" s="51">
        <v>62.0</v>
      </c>
      <c r="E7682" s="52" t="s">
        <v>25</v>
      </c>
      <c r="F7682" s="52" t="s">
        <v>26</v>
      </c>
      <c r="G7682" s="53"/>
    </row>
    <row r="7683">
      <c r="A7683" s="49">
        <v>44593.61013689815</v>
      </c>
      <c r="B7683" s="50">
        <v>44593.7351059606</v>
      </c>
      <c r="C7683" s="51">
        <v>1.0</v>
      </c>
      <c r="D7683" s="51">
        <v>62.0</v>
      </c>
      <c r="E7683" s="52" t="s">
        <v>25</v>
      </c>
      <c r="F7683" s="52" t="s">
        <v>26</v>
      </c>
      <c r="G7683" s="53"/>
    </row>
    <row r="7684">
      <c r="A7684" s="49">
        <v>44593.62055392361</v>
      </c>
      <c r="B7684" s="50">
        <v>44593.745527199</v>
      </c>
      <c r="C7684" s="51">
        <v>1.0</v>
      </c>
      <c r="D7684" s="51">
        <v>62.0</v>
      </c>
      <c r="E7684" s="52" t="s">
        <v>25</v>
      </c>
      <c r="F7684" s="52" t="s">
        <v>26</v>
      </c>
      <c r="G7684" s="53"/>
    </row>
    <row r="7685">
      <c r="A7685" s="49">
        <v>44593.63097770834</v>
      </c>
      <c r="B7685" s="50">
        <v>44593.7559487962</v>
      </c>
      <c r="C7685" s="51">
        <v>1.0</v>
      </c>
      <c r="D7685" s="51">
        <v>62.0</v>
      </c>
      <c r="E7685" s="52" t="s">
        <v>25</v>
      </c>
      <c r="F7685" s="52" t="s">
        <v>26</v>
      </c>
      <c r="G7685" s="53"/>
    </row>
    <row r="7686">
      <c r="A7686" s="49">
        <v>44593.6413912037</v>
      </c>
      <c r="B7686" s="50">
        <v>44593.7663691666</v>
      </c>
      <c r="C7686" s="51">
        <v>1.0</v>
      </c>
      <c r="D7686" s="51">
        <v>62.0</v>
      </c>
      <c r="E7686" s="52" t="s">
        <v>25</v>
      </c>
      <c r="F7686" s="52" t="s">
        <v>26</v>
      </c>
      <c r="G7686" s="53"/>
    </row>
    <row r="7687">
      <c r="A7687" s="49">
        <v>44593.651820266205</v>
      </c>
      <c r="B7687" s="50">
        <v>44593.7767910069</v>
      </c>
      <c r="C7687" s="51">
        <v>1.0</v>
      </c>
      <c r="D7687" s="51">
        <v>62.0</v>
      </c>
      <c r="E7687" s="52" t="s">
        <v>25</v>
      </c>
      <c r="F7687" s="52" t="s">
        <v>26</v>
      </c>
      <c r="G7687" s="53"/>
    </row>
    <row r="7688">
      <c r="A7688" s="49">
        <v>44593.66223300926</v>
      </c>
      <c r="B7688" s="50">
        <v>44593.7872117824</v>
      </c>
      <c r="C7688" s="51">
        <v>1.0</v>
      </c>
      <c r="D7688" s="51">
        <v>62.0</v>
      </c>
      <c r="E7688" s="52" t="s">
        <v>25</v>
      </c>
      <c r="F7688" s="52" t="s">
        <v>26</v>
      </c>
      <c r="G7688" s="53"/>
    </row>
    <row r="7689">
      <c r="A7689" s="49">
        <v>44593.672674016205</v>
      </c>
      <c r="B7689" s="50">
        <v>44593.7976324421</v>
      </c>
      <c r="C7689" s="51">
        <v>1.0</v>
      </c>
      <c r="D7689" s="51">
        <v>62.0</v>
      </c>
      <c r="E7689" s="52" t="s">
        <v>25</v>
      </c>
      <c r="F7689" s="52" t="s">
        <v>26</v>
      </c>
      <c r="G7689" s="53"/>
    </row>
    <row r="7690">
      <c r="A7690" s="49">
        <v>44593.68307655092</v>
      </c>
      <c r="B7690" s="50">
        <v>44593.8080518518</v>
      </c>
      <c r="C7690" s="51">
        <v>1.0</v>
      </c>
      <c r="D7690" s="51">
        <v>62.0</v>
      </c>
      <c r="E7690" s="52" t="s">
        <v>25</v>
      </c>
      <c r="F7690" s="52" t="s">
        <v>26</v>
      </c>
      <c r="G7690" s="53"/>
    </row>
    <row r="7691">
      <c r="A7691" s="49">
        <v>44593.69350685185</v>
      </c>
      <c r="B7691" s="50">
        <v>44593.818484074</v>
      </c>
      <c r="C7691" s="51">
        <v>1.0</v>
      </c>
      <c r="D7691" s="51">
        <v>62.0</v>
      </c>
      <c r="E7691" s="52" t="s">
        <v>25</v>
      </c>
      <c r="F7691" s="52" t="s">
        <v>26</v>
      </c>
      <c r="G7691" s="53"/>
    </row>
    <row r="7692">
      <c r="A7692" s="49">
        <v>44593.70392721065</v>
      </c>
      <c r="B7692" s="50">
        <v>44593.8289048379</v>
      </c>
      <c r="C7692" s="51">
        <v>1.0</v>
      </c>
      <c r="D7692" s="51">
        <v>62.0</v>
      </c>
      <c r="E7692" s="52" t="s">
        <v>25</v>
      </c>
      <c r="F7692" s="52" t="s">
        <v>26</v>
      </c>
      <c r="G7692" s="53"/>
    </row>
    <row r="7693">
      <c r="A7693" s="49">
        <v>44593.71434638889</v>
      </c>
      <c r="B7693" s="50">
        <v>44593.8393255439</v>
      </c>
      <c r="C7693" s="51">
        <v>1.0</v>
      </c>
      <c r="D7693" s="51">
        <v>62.0</v>
      </c>
      <c r="E7693" s="52" t="s">
        <v>25</v>
      </c>
      <c r="F7693" s="52" t="s">
        <v>26</v>
      </c>
      <c r="G7693" s="53"/>
    </row>
    <row r="7694">
      <c r="A7694" s="49">
        <v>44593.724793912035</v>
      </c>
      <c r="B7694" s="50">
        <v>44593.8497580208</v>
      </c>
      <c r="C7694" s="51">
        <v>1.0</v>
      </c>
      <c r="D7694" s="51">
        <v>62.0</v>
      </c>
      <c r="E7694" s="52" t="s">
        <v>25</v>
      </c>
      <c r="F7694" s="52" t="s">
        <v>26</v>
      </c>
      <c r="G7694" s="53"/>
    </row>
    <row r="7695">
      <c r="A7695" s="49">
        <v>44593.73523200232</v>
      </c>
      <c r="B7695" s="50">
        <v>44593.8601779513</v>
      </c>
      <c r="C7695" s="51">
        <v>1.0</v>
      </c>
      <c r="D7695" s="51">
        <v>62.0</v>
      </c>
      <c r="E7695" s="52" t="s">
        <v>25</v>
      </c>
      <c r="F7695" s="52" t="s">
        <v>26</v>
      </c>
      <c r="G7695" s="53"/>
    </row>
    <row r="7696">
      <c r="A7696" s="49">
        <v>44593.745628564815</v>
      </c>
      <c r="B7696" s="50">
        <v>44593.8705988541</v>
      </c>
      <c r="C7696" s="51">
        <v>1.0</v>
      </c>
      <c r="D7696" s="51">
        <v>62.0</v>
      </c>
      <c r="E7696" s="52" t="s">
        <v>25</v>
      </c>
      <c r="F7696" s="52" t="s">
        <v>26</v>
      </c>
      <c r="G7696" s="53"/>
    </row>
    <row r="7697">
      <c r="A7697" s="49">
        <v>44593.756054212965</v>
      </c>
      <c r="B7697" s="50">
        <v>44593.8810193055</v>
      </c>
      <c r="C7697" s="51">
        <v>1.0</v>
      </c>
      <c r="D7697" s="51">
        <v>62.0</v>
      </c>
      <c r="E7697" s="52" t="s">
        <v>25</v>
      </c>
      <c r="F7697" s="52" t="s">
        <v>26</v>
      </c>
      <c r="G7697" s="53"/>
    </row>
    <row r="7698">
      <c r="A7698" s="49">
        <v>44593.766464872686</v>
      </c>
      <c r="B7698" s="50">
        <v>44593.8914410879</v>
      </c>
      <c r="C7698" s="51">
        <v>1.0</v>
      </c>
      <c r="D7698" s="51">
        <v>62.0</v>
      </c>
      <c r="E7698" s="52" t="s">
        <v>25</v>
      </c>
      <c r="F7698" s="52" t="s">
        <v>26</v>
      </c>
      <c r="G7698" s="53"/>
    </row>
    <row r="7699">
      <c r="A7699" s="49">
        <v>44593.77688542824</v>
      </c>
      <c r="B7699" s="50">
        <v>44593.9018613657</v>
      </c>
      <c r="C7699" s="51">
        <v>1.0</v>
      </c>
      <c r="D7699" s="51">
        <v>62.0</v>
      </c>
      <c r="E7699" s="52" t="s">
        <v>25</v>
      </c>
      <c r="F7699" s="52" t="s">
        <v>26</v>
      </c>
      <c r="G7699" s="53"/>
    </row>
    <row r="7700">
      <c r="A7700" s="49">
        <v>44593.787304247686</v>
      </c>
      <c r="B7700" s="50">
        <v>44593.9122822453</v>
      </c>
      <c r="C7700" s="51">
        <v>1.0</v>
      </c>
      <c r="D7700" s="51">
        <v>62.0</v>
      </c>
      <c r="E7700" s="52" t="s">
        <v>25</v>
      </c>
      <c r="F7700" s="52" t="s">
        <v>26</v>
      </c>
      <c r="G7700" s="53"/>
    </row>
    <row r="7701">
      <c r="A7701" s="49">
        <v>44593.797732673615</v>
      </c>
      <c r="B7701" s="50">
        <v>44593.9227043865</v>
      </c>
      <c r="C7701" s="51">
        <v>1.0</v>
      </c>
      <c r="D7701" s="51">
        <v>62.0</v>
      </c>
      <c r="E7701" s="52" t="s">
        <v>25</v>
      </c>
      <c r="F7701" s="52" t="s">
        <v>26</v>
      </c>
      <c r="G7701" s="53"/>
    </row>
    <row r="7702">
      <c r="A7702" s="49">
        <v>44593.808148275464</v>
      </c>
      <c r="B7702" s="50">
        <v>44593.9331243402</v>
      </c>
      <c r="C7702" s="51">
        <v>1.0</v>
      </c>
      <c r="D7702" s="51">
        <v>62.0</v>
      </c>
      <c r="E7702" s="52" t="s">
        <v>25</v>
      </c>
      <c r="F7702" s="52" t="s">
        <v>26</v>
      </c>
      <c r="G7702" s="53"/>
    </row>
    <row r="7703">
      <c r="A7703" s="49">
        <v>44593.81857134259</v>
      </c>
      <c r="B7703" s="50">
        <v>44593.9435449768</v>
      </c>
      <c r="C7703" s="51">
        <v>1.0</v>
      </c>
      <c r="D7703" s="51">
        <v>62.0</v>
      </c>
      <c r="E7703" s="52" t="s">
        <v>25</v>
      </c>
      <c r="F7703" s="52" t="s">
        <v>26</v>
      </c>
      <c r="G7703" s="53"/>
    </row>
    <row r="7704">
      <c r="A7704" s="49">
        <v>44593.82898586805</v>
      </c>
      <c r="B7704" s="50">
        <v>44593.9539653356</v>
      </c>
      <c r="C7704" s="51">
        <v>1.0</v>
      </c>
      <c r="D7704" s="51">
        <v>61.0</v>
      </c>
      <c r="E7704" s="52" t="s">
        <v>25</v>
      </c>
      <c r="F7704" s="52" t="s">
        <v>26</v>
      </c>
      <c r="G7704" s="53"/>
    </row>
    <row r="7705">
      <c r="A7705" s="49">
        <v>44593.83941501158</v>
      </c>
      <c r="B7705" s="50">
        <v>44593.9643868171</v>
      </c>
      <c r="C7705" s="51">
        <v>1.0</v>
      </c>
      <c r="D7705" s="51">
        <v>61.0</v>
      </c>
      <c r="E7705" s="52" t="s">
        <v>25</v>
      </c>
      <c r="F7705" s="52" t="s">
        <v>26</v>
      </c>
      <c r="G7705" s="53"/>
    </row>
    <row r="7706">
      <c r="A7706" s="49">
        <v>44593.849837974536</v>
      </c>
      <c r="B7706" s="50">
        <v>44593.9748064814</v>
      </c>
      <c r="C7706" s="51">
        <v>1.0</v>
      </c>
      <c r="D7706" s="51">
        <v>62.0</v>
      </c>
      <c r="E7706" s="52" t="s">
        <v>25</v>
      </c>
      <c r="F7706" s="52" t="s">
        <v>26</v>
      </c>
      <c r="G7706" s="53"/>
    </row>
    <row r="7707">
      <c r="A7707" s="49">
        <v>44593.86025012731</v>
      </c>
      <c r="B7707" s="50">
        <v>44593.9852271643</v>
      </c>
      <c r="C7707" s="51">
        <v>1.0</v>
      </c>
      <c r="D7707" s="51">
        <v>62.0</v>
      </c>
      <c r="E7707" s="52" t="s">
        <v>25</v>
      </c>
      <c r="F7707" s="52" t="s">
        <v>26</v>
      </c>
      <c r="G7707" s="53"/>
    </row>
    <row r="7708">
      <c r="A7708" s="49">
        <v>44593.87068291666</v>
      </c>
      <c r="B7708" s="50">
        <v>44593.9956608333</v>
      </c>
      <c r="C7708" s="51">
        <v>1.0</v>
      </c>
      <c r="D7708" s="51">
        <v>61.0</v>
      </c>
      <c r="E7708" s="52" t="s">
        <v>25</v>
      </c>
      <c r="F7708" s="52" t="s">
        <v>26</v>
      </c>
      <c r="G7708" s="53"/>
    </row>
    <row r="7709">
      <c r="A7709" s="49">
        <v>44593.88110842592</v>
      </c>
      <c r="B7709" s="50">
        <v>44594.0060817361</v>
      </c>
      <c r="C7709" s="51">
        <v>1.0</v>
      </c>
      <c r="D7709" s="51">
        <v>62.0</v>
      </c>
      <c r="E7709" s="52" t="s">
        <v>25</v>
      </c>
      <c r="F7709" s="52" t="s">
        <v>26</v>
      </c>
      <c r="G7709" s="53"/>
    </row>
    <row r="7710">
      <c r="A7710" s="49">
        <v>44593.89151855324</v>
      </c>
      <c r="B7710" s="50">
        <v>44594.0165036921</v>
      </c>
      <c r="C7710" s="51">
        <v>1.0</v>
      </c>
      <c r="D7710" s="51">
        <v>62.0</v>
      </c>
      <c r="E7710" s="52" t="s">
        <v>25</v>
      </c>
      <c r="F7710" s="52" t="s">
        <v>26</v>
      </c>
      <c r="G7710" s="53"/>
    </row>
    <row r="7711">
      <c r="A7711" s="49">
        <v>44593.9019553588</v>
      </c>
      <c r="B7711" s="50">
        <v>44594.0269364467</v>
      </c>
      <c r="C7711" s="51">
        <v>1.0</v>
      </c>
      <c r="D7711" s="51">
        <v>63.0</v>
      </c>
      <c r="E7711" s="52" t="s">
        <v>25</v>
      </c>
      <c r="F7711" s="52" t="s">
        <v>26</v>
      </c>
      <c r="G7711" s="53"/>
    </row>
    <row r="7712">
      <c r="A7712" s="49">
        <v>44593.91239358796</v>
      </c>
      <c r="B7712" s="50">
        <v>44594.0373691435</v>
      </c>
      <c r="C7712" s="51">
        <v>1.0</v>
      </c>
      <c r="D7712" s="51">
        <v>63.0</v>
      </c>
      <c r="E7712" s="52" t="s">
        <v>25</v>
      </c>
      <c r="F7712" s="52" t="s">
        <v>26</v>
      </c>
      <c r="G7712" s="53"/>
    </row>
    <row r="7713">
      <c r="A7713" s="49">
        <v>44593.92281211806</v>
      </c>
      <c r="B7713" s="50">
        <v>44594.0477894097</v>
      </c>
      <c r="C7713" s="51">
        <v>1.0</v>
      </c>
      <c r="D7713" s="51">
        <v>64.0</v>
      </c>
      <c r="E7713" s="52" t="s">
        <v>25</v>
      </c>
      <c r="F7713" s="52" t="s">
        <v>26</v>
      </c>
      <c r="G7713" s="53"/>
    </row>
    <row r="7714">
      <c r="A7714" s="49">
        <v>44593.93323224537</v>
      </c>
      <c r="B7714" s="50">
        <v>44594.0582106365</v>
      </c>
      <c r="C7714" s="51">
        <v>1.0</v>
      </c>
      <c r="D7714" s="51">
        <v>64.0</v>
      </c>
      <c r="E7714" s="52" t="s">
        <v>25</v>
      </c>
      <c r="F7714" s="52" t="s">
        <v>26</v>
      </c>
      <c r="G7714" s="53"/>
    </row>
    <row r="7715">
      <c r="A7715" s="49">
        <v>44593.943655254625</v>
      </c>
      <c r="B7715" s="50">
        <v>44594.0686320138</v>
      </c>
      <c r="C7715" s="51">
        <v>1.0</v>
      </c>
      <c r="D7715" s="51">
        <v>64.0</v>
      </c>
      <c r="E7715" s="52" t="s">
        <v>25</v>
      </c>
      <c r="F7715" s="52" t="s">
        <v>26</v>
      </c>
      <c r="G7715" s="53"/>
    </row>
    <row r="7716">
      <c r="A7716" s="49">
        <v>44593.954089872685</v>
      </c>
      <c r="B7716" s="50">
        <v>44594.0790655902</v>
      </c>
      <c r="C7716" s="51">
        <v>1.0</v>
      </c>
      <c r="D7716" s="51">
        <v>65.0</v>
      </c>
      <c r="E7716" s="52" t="s">
        <v>25</v>
      </c>
      <c r="F7716" s="52" t="s">
        <v>26</v>
      </c>
      <c r="G7716" s="53"/>
    </row>
    <row r="7717">
      <c r="A7717" s="49">
        <v>44593.964506759265</v>
      </c>
      <c r="B7717" s="50">
        <v>44594.0894860648</v>
      </c>
      <c r="C7717" s="51">
        <v>1.0</v>
      </c>
      <c r="D7717" s="51">
        <v>65.0</v>
      </c>
      <c r="E7717" s="52" t="s">
        <v>25</v>
      </c>
      <c r="F7717" s="52" t="s">
        <v>26</v>
      </c>
      <c r="G7717" s="53"/>
    </row>
    <row r="7718">
      <c r="A7718" s="49">
        <v>44593.97493013889</v>
      </c>
      <c r="B7718" s="50">
        <v>44594.0999055902</v>
      </c>
      <c r="C7718" s="51">
        <v>1.0</v>
      </c>
      <c r="D7718" s="51">
        <v>66.0</v>
      </c>
      <c r="E7718" s="52" t="s">
        <v>25</v>
      </c>
      <c r="F7718" s="52" t="s">
        <v>26</v>
      </c>
      <c r="G7718" s="53"/>
    </row>
    <row r="7719">
      <c r="A7719" s="49">
        <v>44593.98538013889</v>
      </c>
      <c r="B7719" s="50">
        <v>44594.1103499074</v>
      </c>
      <c r="C7719" s="51">
        <v>1.0</v>
      </c>
      <c r="D7719" s="51">
        <v>66.0</v>
      </c>
      <c r="E7719" s="52" t="s">
        <v>25</v>
      </c>
      <c r="F7719" s="52" t="s">
        <v>26</v>
      </c>
      <c r="G7719" s="53"/>
    </row>
    <row r="7720">
      <c r="A7720" s="49">
        <v>44593.995803611106</v>
      </c>
      <c r="B7720" s="50">
        <v>44594.1207687037</v>
      </c>
      <c r="C7720" s="51">
        <v>1.0</v>
      </c>
      <c r="D7720" s="51">
        <v>66.0</v>
      </c>
      <c r="E7720" s="52" t="s">
        <v>25</v>
      </c>
      <c r="F7720" s="52" t="s">
        <v>26</v>
      </c>
      <c r="G7720" s="53"/>
    </row>
    <row r="7721">
      <c r="A7721" s="49">
        <v>44594.006230405095</v>
      </c>
      <c r="B7721" s="50">
        <v>44594.1312010532</v>
      </c>
      <c r="C7721" s="51">
        <v>1.0</v>
      </c>
      <c r="D7721" s="51">
        <v>67.0</v>
      </c>
      <c r="E7721" s="52" t="s">
        <v>25</v>
      </c>
      <c r="F7721" s="52" t="s">
        <v>26</v>
      </c>
      <c r="G7721" s="53"/>
    </row>
    <row r="7722">
      <c r="A7722" s="49">
        <v>44594.016653935185</v>
      </c>
      <c r="B7722" s="50">
        <v>44594.141624074</v>
      </c>
      <c r="C7722" s="51">
        <v>1.0</v>
      </c>
      <c r="D7722" s="51">
        <v>67.0</v>
      </c>
      <c r="E7722" s="52" t="s">
        <v>25</v>
      </c>
      <c r="F7722" s="52" t="s">
        <v>26</v>
      </c>
      <c r="G7722" s="53"/>
    </row>
    <row r="7723">
      <c r="A7723" s="49">
        <v>44594.02706284722</v>
      </c>
      <c r="B7723" s="50">
        <v>44594.1520459953</v>
      </c>
      <c r="C7723" s="51">
        <v>0.999</v>
      </c>
      <c r="D7723" s="51">
        <v>68.0</v>
      </c>
      <c r="E7723" s="52" t="s">
        <v>25</v>
      </c>
      <c r="F7723" s="52" t="s">
        <v>26</v>
      </c>
      <c r="G7723" s="53"/>
    </row>
    <row r="7724">
      <c r="A7724" s="49">
        <v>44594.03748943287</v>
      </c>
      <c r="B7724" s="50">
        <v>44594.1624669097</v>
      </c>
      <c r="C7724" s="51">
        <v>1.0</v>
      </c>
      <c r="D7724" s="51">
        <v>68.0</v>
      </c>
      <c r="E7724" s="52" t="s">
        <v>25</v>
      </c>
      <c r="F7724" s="52" t="s">
        <v>26</v>
      </c>
      <c r="G7724" s="53"/>
    </row>
    <row r="7725">
      <c r="A7725" s="49">
        <v>44594.04791518519</v>
      </c>
      <c r="B7725" s="50">
        <v>44594.1728899421</v>
      </c>
      <c r="C7725" s="51">
        <v>1.0</v>
      </c>
      <c r="D7725" s="51">
        <v>68.0</v>
      </c>
      <c r="E7725" s="52" t="s">
        <v>25</v>
      </c>
      <c r="F7725" s="52" t="s">
        <v>26</v>
      </c>
      <c r="G7725" s="53"/>
    </row>
    <row r="7726">
      <c r="A7726" s="49">
        <v>44594.05834909722</v>
      </c>
      <c r="B7726" s="50">
        <v>44594.1833217824</v>
      </c>
      <c r="C7726" s="51">
        <v>0.999</v>
      </c>
      <c r="D7726" s="51">
        <v>68.0</v>
      </c>
      <c r="E7726" s="52" t="s">
        <v>25</v>
      </c>
      <c r="F7726" s="52" t="s">
        <v>26</v>
      </c>
      <c r="G7726" s="53"/>
    </row>
    <row r="7727">
      <c r="A7727" s="49">
        <v>44594.06876127315</v>
      </c>
      <c r="B7727" s="50">
        <v>44594.1937431828</v>
      </c>
      <c r="C7727" s="51">
        <v>0.999</v>
      </c>
      <c r="D7727" s="51">
        <v>67.0</v>
      </c>
      <c r="E7727" s="52" t="s">
        <v>25</v>
      </c>
      <c r="F7727" s="52" t="s">
        <v>26</v>
      </c>
      <c r="G7727" s="53"/>
    </row>
    <row r="7728">
      <c r="A7728" s="49">
        <v>44594.07919554398</v>
      </c>
      <c r="B7728" s="50">
        <v>44594.2041657175</v>
      </c>
      <c r="C7728" s="51">
        <v>1.0</v>
      </c>
      <c r="D7728" s="51">
        <v>67.0</v>
      </c>
      <c r="E7728" s="52" t="s">
        <v>25</v>
      </c>
      <c r="F7728" s="52" t="s">
        <v>26</v>
      </c>
      <c r="G7728" s="53"/>
    </row>
    <row r="7729">
      <c r="A7729" s="49">
        <v>44594.089610625</v>
      </c>
      <c r="B7729" s="50">
        <v>44594.214586331</v>
      </c>
      <c r="C7729" s="51">
        <v>0.999</v>
      </c>
      <c r="D7729" s="51">
        <v>67.0</v>
      </c>
      <c r="E7729" s="52" t="s">
        <v>25</v>
      </c>
      <c r="F7729" s="52" t="s">
        <v>26</v>
      </c>
      <c r="G7729" s="53"/>
    </row>
    <row r="7730">
      <c r="A7730" s="49">
        <v>44594.100080324075</v>
      </c>
      <c r="B7730" s="50">
        <v>44594.2250530092</v>
      </c>
      <c r="C7730" s="51">
        <v>0.999</v>
      </c>
      <c r="D7730" s="51">
        <v>67.0</v>
      </c>
      <c r="E7730" s="52" t="s">
        <v>25</v>
      </c>
      <c r="F7730" s="52" t="s">
        <v>26</v>
      </c>
      <c r="G7730" s="53"/>
    </row>
    <row r="7731">
      <c r="A7731" s="49">
        <v>44594.110527627316</v>
      </c>
      <c r="B7731" s="50">
        <v>44594.2355084953</v>
      </c>
      <c r="C7731" s="51">
        <v>0.999</v>
      </c>
      <c r="D7731" s="51">
        <v>67.0</v>
      </c>
      <c r="E7731" s="52" t="s">
        <v>25</v>
      </c>
      <c r="F7731" s="52" t="s">
        <v>26</v>
      </c>
      <c r="G7731" s="53"/>
    </row>
    <row r="7732">
      <c r="A7732" s="49">
        <v>44594.12095418981</v>
      </c>
      <c r="B7732" s="50">
        <v>44594.2459311805</v>
      </c>
      <c r="C7732" s="51">
        <v>0.999</v>
      </c>
      <c r="D7732" s="51">
        <v>67.0</v>
      </c>
      <c r="E7732" s="52" t="s">
        <v>25</v>
      </c>
      <c r="F7732" s="52" t="s">
        <v>26</v>
      </c>
      <c r="G7732" s="53"/>
    </row>
    <row r="7733">
      <c r="A7733" s="49">
        <v>44594.13137858796</v>
      </c>
      <c r="B7733" s="50">
        <v>44594.2563513078</v>
      </c>
      <c r="C7733" s="51">
        <v>1.0</v>
      </c>
      <c r="D7733" s="51">
        <v>67.0</v>
      </c>
      <c r="E7733" s="52" t="s">
        <v>25</v>
      </c>
      <c r="F7733" s="52" t="s">
        <v>26</v>
      </c>
      <c r="G7733" s="53"/>
    </row>
    <row r="7734">
      <c r="A7734" s="49">
        <v>44594.14180048611</v>
      </c>
      <c r="B7734" s="50">
        <v>44594.2667711574</v>
      </c>
      <c r="C7734" s="51">
        <v>1.0</v>
      </c>
      <c r="D7734" s="51">
        <v>67.0</v>
      </c>
      <c r="E7734" s="52" t="s">
        <v>25</v>
      </c>
      <c r="F7734" s="52" t="s">
        <v>26</v>
      </c>
      <c r="G7734" s="53"/>
    </row>
    <row r="7735">
      <c r="A7735" s="49">
        <v>44594.152223310186</v>
      </c>
      <c r="B7735" s="50">
        <v>44594.277191655</v>
      </c>
      <c r="C7735" s="51">
        <v>1.0</v>
      </c>
      <c r="D7735" s="51">
        <v>67.0</v>
      </c>
      <c r="E7735" s="52" t="s">
        <v>25</v>
      </c>
      <c r="F7735" s="52" t="s">
        <v>26</v>
      </c>
      <c r="G7735" s="53"/>
    </row>
    <row r="7736">
      <c r="A7736" s="49">
        <v>44594.16265515046</v>
      </c>
      <c r="B7736" s="50">
        <v>44594.2876246643</v>
      </c>
      <c r="C7736" s="51">
        <v>1.0</v>
      </c>
      <c r="D7736" s="51">
        <v>67.0</v>
      </c>
      <c r="E7736" s="52" t="s">
        <v>25</v>
      </c>
      <c r="F7736" s="52" t="s">
        <v>26</v>
      </c>
      <c r="G7736" s="53"/>
    </row>
    <row r="7737">
      <c r="A7737" s="49">
        <v>44594.17308798611</v>
      </c>
      <c r="B7737" s="50">
        <v>44594.2980673148</v>
      </c>
      <c r="C7737" s="51">
        <v>0.999</v>
      </c>
      <c r="D7737" s="51">
        <v>67.0</v>
      </c>
      <c r="E7737" s="52" t="s">
        <v>25</v>
      </c>
      <c r="F7737" s="52" t="s">
        <v>26</v>
      </c>
      <c r="G7737" s="53"/>
    </row>
    <row r="7738">
      <c r="A7738" s="49">
        <v>44594.18353108796</v>
      </c>
      <c r="B7738" s="50">
        <v>44594.3085011689</v>
      </c>
      <c r="C7738" s="51">
        <v>0.999</v>
      </c>
      <c r="D7738" s="51">
        <v>67.0</v>
      </c>
      <c r="E7738" s="52" t="s">
        <v>25</v>
      </c>
      <c r="F7738" s="52" t="s">
        <v>26</v>
      </c>
      <c r="G7738" s="53"/>
    </row>
    <row r="7739">
      <c r="A7739" s="49">
        <v>44594.19395037037</v>
      </c>
      <c r="B7739" s="50">
        <v>44594.3189223263</v>
      </c>
      <c r="C7739" s="51">
        <v>0.999</v>
      </c>
      <c r="D7739" s="51">
        <v>67.0</v>
      </c>
      <c r="E7739" s="52" t="s">
        <v>25</v>
      </c>
      <c r="F7739" s="52" t="s">
        <v>26</v>
      </c>
      <c r="G7739" s="53"/>
    </row>
    <row r="7740">
      <c r="A7740" s="49">
        <v>44594.20437409722</v>
      </c>
      <c r="B7740" s="50">
        <v>44594.3293432754</v>
      </c>
      <c r="C7740" s="51">
        <v>1.0</v>
      </c>
      <c r="D7740" s="51">
        <v>67.0</v>
      </c>
      <c r="E7740" s="52" t="s">
        <v>25</v>
      </c>
      <c r="F7740" s="52" t="s">
        <v>26</v>
      </c>
      <c r="G7740" s="53"/>
    </row>
    <row r="7741">
      <c r="A7741" s="49">
        <v>44594.214808206016</v>
      </c>
      <c r="B7741" s="50">
        <v>44594.3397770833</v>
      </c>
      <c r="C7741" s="51">
        <v>0.999</v>
      </c>
      <c r="D7741" s="51">
        <v>67.0</v>
      </c>
      <c r="E7741" s="52" t="s">
        <v>25</v>
      </c>
      <c r="F7741" s="52" t="s">
        <v>26</v>
      </c>
      <c r="G7741" s="53"/>
    </row>
    <row r="7742">
      <c r="A7742" s="49">
        <v>44594.225252488424</v>
      </c>
      <c r="B7742" s="50">
        <v>44594.3502317361</v>
      </c>
      <c r="C7742" s="51">
        <v>0.999</v>
      </c>
      <c r="D7742" s="51">
        <v>67.0</v>
      </c>
      <c r="E7742" s="52" t="s">
        <v>25</v>
      </c>
      <c r="F7742" s="52" t="s">
        <v>26</v>
      </c>
      <c r="G7742" s="53"/>
    </row>
    <row r="7743">
      <c r="A7743" s="49">
        <v>44594.23567040509</v>
      </c>
      <c r="B7743" s="50">
        <v>44594.3606519907</v>
      </c>
      <c r="C7743" s="51">
        <v>1.0</v>
      </c>
      <c r="D7743" s="51">
        <v>67.0</v>
      </c>
      <c r="E7743" s="52" t="s">
        <v>25</v>
      </c>
      <c r="F7743" s="52" t="s">
        <v>26</v>
      </c>
      <c r="G7743" s="53"/>
    </row>
    <row r="7744">
      <c r="A7744" s="49">
        <v>44594.246115173606</v>
      </c>
      <c r="B7744" s="50">
        <v>44594.3710734259</v>
      </c>
      <c r="C7744" s="51">
        <v>0.999</v>
      </c>
      <c r="D7744" s="51">
        <v>67.0</v>
      </c>
      <c r="E7744" s="52" t="s">
        <v>25</v>
      </c>
      <c r="F7744" s="52" t="s">
        <v>26</v>
      </c>
      <c r="G7744" s="53"/>
    </row>
    <row r="7745">
      <c r="A7745" s="49">
        <v>44594.25651466435</v>
      </c>
      <c r="B7745" s="50">
        <v>44594.3814945601</v>
      </c>
      <c r="C7745" s="51">
        <v>1.0</v>
      </c>
      <c r="D7745" s="51">
        <v>67.0</v>
      </c>
      <c r="E7745" s="52" t="s">
        <v>25</v>
      </c>
      <c r="F7745" s="52" t="s">
        <v>26</v>
      </c>
      <c r="G7745" s="53"/>
    </row>
    <row r="7746">
      <c r="A7746" s="49">
        <v>44594.26694206019</v>
      </c>
      <c r="B7746" s="50">
        <v>44594.3919168055</v>
      </c>
      <c r="C7746" s="51">
        <v>0.999</v>
      </c>
      <c r="D7746" s="51">
        <v>67.0</v>
      </c>
      <c r="E7746" s="52" t="s">
        <v>25</v>
      </c>
      <c r="F7746" s="52" t="s">
        <v>26</v>
      </c>
      <c r="G7746" s="53"/>
    </row>
    <row r="7747">
      <c r="A7747" s="49">
        <v>44594.27737649306</v>
      </c>
      <c r="B7747" s="50">
        <v>44594.4023484375</v>
      </c>
      <c r="C7747" s="51">
        <v>1.0</v>
      </c>
      <c r="D7747" s="51">
        <v>67.0</v>
      </c>
      <c r="E7747" s="52" t="s">
        <v>25</v>
      </c>
      <c r="F7747" s="52" t="s">
        <v>26</v>
      </c>
      <c r="G7747" s="53"/>
    </row>
    <row r="7748">
      <c r="A7748" s="49">
        <v>44594.287908530096</v>
      </c>
      <c r="B7748" s="50">
        <v>44594.4127811921</v>
      </c>
      <c r="C7748" s="51">
        <v>0.999</v>
      </c>
      <c r="D7748" s="51">
        <v>67.0</v>
      </c>
      <c r="E7748" s="52" t="s">
        <v>25</v>
      </c>
      <c r="F7748" s="52" t="s">
        <v>26</v>
      </c>
      <c r="G7748" s="53"/>
    </row>
    <row r="7749">
      <c r="A7749" s="49">
        <v>44594.298224178245</v>
      </c>
      <c r="B7749" s="50">
        <v>44594.4232002083</v>
      </c>
      <c r="C7749" s="51">
        <v>1.0</v>
      </c>
      <c r="D7749" s="51">
        <v>67.0</v>
      </c>
      <c r="E7749" s="52" t="s">
        <v>25</v>
      </c>
      <c r="F7749" s="52" t="s">
        <v>26</v>
      </c>
      <c r="G7749" s="53"/>
    </row>
    <row r="7750">
      <c r="A7750" s="49">
        <v>44594.308641944444</v>
      </c>
      <c r="B7750" s="50">
        <v>44594.4336225925</v>
      </c>
      <c r="C7750" s="51">
        <v>1.0</v>
      </c>
      <c r="D7750" s="51">
        <v>67.0</v>
      </c>
      <c r="E7750" s="52" t="s">
        <v>25</v>
      </c>
      <c r="F7750" s="52" t="s">
        <v>26</v>
      </c>
      <c r="G7750" s="53"/>
    </row>
    <row r="7751">
      <c r="A7751" s="49">
        <v>44594.31907398148</v>
      </c>
      <c r="B7751" s="50">
        <v>44594.444042824</v>
      </c>
      <c r="C7751" s="51">
        <v>1.0</v>
      </c>
      <c r="D7751" s="51">
        <v>66.0</v>
      </c>
      <c r="E7751" s="52" t="s">
        <v>25</v>
      </c>
      <c r="F7751" s="52" t="s">
        <v>26</v>
      </c>
      <c r="G7751" s="53"/>
    </row>
    <row r="7752">
      <c r="A7752" s="49">
        <v>44594.32950086806</v>
      </c>
      <c r="B7752" s="50">
        <v>44594.4544748726</v>
      </c>
      <c r="C7752" s="51">
        <v>1.0</v>
      </c>
      <c r="D7752" s="51">
        <v>66.0</v>
      </c>
      <c r="E7752" s="52" t="s">
        <v>25</v>
      </c>
      <c r="F7752" s="52" t="s">
        <v>26</v>
      </c>
      <c r="G7752" s="53"/>
    </row>
    <row r="7753">
      <c r="A7753" s="49">
        <v>44594.339920659724</v>
      </c>
      <c r="B7753" s="50">
        <v>44594.4648954861</v>
      </c>
      <c r="C7753" s="51">
        <v>0.999</v>
      </c>
      <c r="D7753" s="51">
        <v>66.0</v>
      </c>
      <c r="E7753" s="52" t="s">
        <v>25</v>
      </c>
      <c r="F7753" s="52" t="s">
        <v>26</v>
      </c>
      <c r="G7753" s="53"/>
    </row>
    <row r="7754">
      <c r="A7754" s="49">
        <v>44594.35033752315</v>
      </c>
      <c r="B7754" s="50">
        <v>44594.47531853</v>
      </c>
      <c r="C7754" s="51">
        <v>1.0</v>
      </c>
      <c r="D7754" s="51">
        <v>66.0</v>
      </c>
      <c r="E7754" s="52" t="s">
        <v>25</v>
      </c>
      <c r="F7754" s="52" t="s">
        <v>26</v>
      </c>
      <c r="G7754" s="53"/>
    </row>
    <row r="7755">
      <c r="A7755" s="49">
        <v>44594.36076144676</v>
      </c>
      <c r="B7755" s="50">
        <v>44594.4857399768</v>
      </c>
      <c r="C7755" s="51">
        <v>1.0</v>
      </c>
      <c r="D7755" s="51">
        <v>66.0</v>
      </c>
      <c r="E7755" s="52" t="s">
        <v>25</v>
      </c>
      <c r="F7755" s="52" t="s">
        <v>26</v>
      </c>
      <c r="G7755" s="53"/>
    </row>
    <row r="7756">
      <c r="A7756" s="49">
        <v>44594.371180173606</v>
      </c>
      <c r="B7756" s="50">
        <v>44594.4961617708</v>
      </c>
      <c r="C7756" s="51">
        <v>1.0</v>
      </c>
      <c r="D7756" s="51">
        <v>66.0</v>
      </c>
      <c r="E7756" s="52" t="s">
        <v>25</v>
      </c>
      <c r="F7756" s="52" t="s">
        <v>26</v>
      </c>
      <c r="G7756" s="53"/>
    </row>
    <row r="7757">
      <c r="A7757" s="49">
        <v>44594.38162418982</v>
      </c>
      <c r="B7757" s="50">
        <v>44594.5065830208</v>
      </c>
      <c r="C7757" s="51">
        <v>0.999</v>
      </c>
      <c r="D7757" s="51">
        <v>66.0</v>
      </c>
      <c r="E7757" s="52" t="s">
        <v>25</v>
      </c>
      <c r="F7757" s="52" t="s">
        <v>26</v>
      </c>
      <c r="G7757" s="53"/>
    </row>
    <row r="7758">
      <c r="A7758" s="49">
        <v>44594.39203466436</v>
      </c>
      <c r="B7758" s="50">
        <v>44594.5170053819</v>
      </c>
      <c r="C7758" s="51">
        <v>1.0</v>
      </c>
      <c r="D7758" s="51">
        <v>66.0</v>
      </c>
      <c r="E7758" s="52" t="s">
        <v>25</v>
      </c>
      <c r="F7758" s="52" t="s">
        <v>26</v>
      </c>
      <c r="G7758" s="53"/>
    </row>
    <row r="7759">
      <c r="A7759" s="49">
        <v>44594.402457662036</v>
      </c>
      <c r="B7759" s="50">
        <v>44594.5274268055</v>
      </c>
      <c r="C7759" s="51">
        <v>1.0</v>
      </c>
      <c r="D7759" s="51">
        <v>66.0</v>
      </c>
      <c r="E7759" s="52" t="s">
        <v>25</v>
      </c>
      <c r="F7759" s="52" t="s">
        <v>26</v>
      </c>
      <c r="G7759" s="53"/>
    </row>
    <row r="7760">
      <c r="A7760" s="49">
        <v>44594.41287398148</v>
      </c>
      <c r="B7760" s="50">
        <v>44594.5378484953</v>
      </c>
      <c r="C7760" s="51">
        <v>1.0</v>
      </c>
      <c r="D7760" s="51">
        <v>66.0</v>
      </c>
      <c r="E7760" s="52" t="s">
        <v>25</v>
      </c>
      <c r="F7760" s="52" t="s">
        <v>26</v>
      </c>
      <c r="G7760" s="53"/>
    </row>
    <row r="7761">
      <c r="A7761" s="49">
        <v>44594.42330923611</v>
      </c>
      <c r="B7761" s="50">
        <v>44594.5482823379</v>
      </c>
      <c r="C7761" s="51">
        <v>1.0</v>
      </c>
      <c r="D7761" s="51">
        <v>66.0</v>
      </c>
      <c r="E7761" s="52" t="s">
        <v>25</v>
      </c>
      <c r="F7761" s="52" t="s">
        <v>26</v>
      </c>
      <c r="G7761" s="53"/>
    </row>
    <row r="7762">
      <c r="A7762" s="49">
        <v>44594.4337275463</v>
      </c>
      <c r="B7762" s="50">
        <v>44594.5587041782</v>
      </c>
      <c r="C7762" s="51">
        <v>1.0</v>
      </c>
      <c r="D7762" s="51">
        <v>66.0</v>
      </c>
      <c r="E7762" s="52" t="s">
        <v>25</v>
      </c>
      <c r="F7762" s="52" t="s">
        <v>26</v>
      </c>
      <c r="G7762" s="53"/>
    </row>
    <row r="7763">
      <c r="A7763" s="49">
        <v>44594.44416561343</v>
      </c>
      <c r="B7763" s="50">
        <v>44594.569136412</v>
      </c>
      <c r="C7763" s="51">
        <v>1.0</v>
      </c>
      <c r="D7763" s="51">
        <v>66.0</v>
      </c>
      <c r="E7763" s="52" t="s">
        <v>25</v>
      </c>
      <c r="F7763" s="52" t="s">
        <v>26</v>
      </c>
      <c r="G7763" s="53"/>
    </row>
    <row r="7764">
      <c r="A7764" s="49">
        <v>44594.454604432874</v>
      </c>
      <c r="B7764" s="50">
        <v>44594.5795582291</v>
      </c>
      <c r="C7764" s="51">
        <v>1.0</v>
      </c>
      <c r="D7764" s="51">
        <v>66.0</v>
      </c>
      <c r="E7764" s="52" t="s">
        <v>25</v>
      </c>
      <c r="F7764" s="52" t="s">
        <v>26</v>
      </c>
      <c r="G7764" s="53"/>
    </row>
    <row r="7765">
      <c r="A7765" s="49">
        <v>44594.4650002662</v>
      </c>
      <c r="B7765" s="50">
        <v>44594.5899788194</v>
      </c>
      <c r="C7765" s="51">
        <v>1.0</v>
      </c>
      <c r="D7765" s="51">
        <v>66.0</v>
      </c>
      <c r="E7765" s="52" t="s">
        <v>25</v>
      </c>
      <c r="F7765" s="52" t="s">
        <v>26</v>
      </c>
      <c r="G7765" s="53"/>
    </row>
    <row r="7766">
      <c r="A7766" s="49">
        <v>44594.47547225695</v>
      </c>
      <c r="B7766" s="50">
        <v>44594.6004010069</v>
      </c>
      <c r="C7766" s="51">
        <v>1.0</v>
      </c>
      <c r="D7766" s="51">
        <v>66.0</v>
      </c>
      <c r="E7766" s="52" t="s">
        <v>25</v>
      </c>
      <c r="F7766" s="52" t="s">
        <v>26</v>
      </c>
      <c r="G7766" s="53"/>
    </row>
    <row r="7767">
      <c r="A7767" s="49">
        <v>44594.48584013889</v>
      </c>
      <c r="B7767" s="50">
        <v>44594.6108208912</v>
      </c>
      <c r="C7767" s="51">
        <v>1.0</v>
      </c>
      <c r="D7767" s="51">
        <v>66.0</v>
      </c>
      <c r="E7767" s="52" t="s">
        <v>25</v>
      </c>
      <c r="F7767" s="52" t="s">
        <v>26</v>
      </c>
      <c r="G7767" s="53"/>
    </row>
    <row r="7768">
      <c r="A7768" s="49">
        <v>44594.49625956018</v>
      </c>
      <c r="B7768" s="50">
        <v>44594.6212412962</v>
      </c>
      <c r="C7768" s="51">
        <v>0.999</v>
      </c>
      <c r="D7768" s="51">
        <v>66.0</v>
      </c>
      <c r="E7768" s="52" t="s">
        <v>25</v>
      </c>
      <c r="F7768" s="52" t="s">
        <v>26</v>
      </c>
      <c r="G7768" s="53"/>
    </row>
    <row r="7769">
      <c r="A7769" s="49">
        <v>44594.50669228009</v>
      </c>
      <c r="B7769" s="50">
        <v>44594.6316618634</v>
      </c>
      <c r="C7769" s="51">
        <v>1.0</v>
      </c>
      <c r="D7769" s="51">
        <v>66.0</v>
      </c>
      <c r="E7769" s="52" t="s">
        <v>25</v>
      </c>
      <c r="F7769" s="52" t="s">
        <v>26</v>
      </c>
      <c r="G7769" s="53"/>
    </row>
    <row r="7770">
      <c r="A7770" s="49">
        <v>44594.51711920139</v>
      </c>
      <c r="B7770" s="50">
        <v>44594.6420945949</v>
      </c>
      <c r="C7770" s="51">
        <v>1.0</v>
      </c>
      <c r="D7770" s="51">
        <v>66.0</v>
      </c>
      <c r="E7770" s="52" t="s">
        <v>25</v>
      </c>
      <c r="F7770" s="52" t="s">
        <v>26</v>
      </c>
      <c r="G7770" s="53"/>
    </row>
    <row r="7771">
      <c r="A7771" s="49">
        <v>44594.52756365741</v>
      </c>
      <c r="B7771" s="50">
        <v>44594.652539155</v>
      </c>
      <c r="C7771" s="51">
        <v>1.0</v>
      </c>
      <c r="D7771" s="51">
        <v>66.0</v>
      </c>
      <c r="E7771" s="52" t="s">
        <v>25</v>
      </c>
      <c r="F7771" s="52" t="s">
        <v>26</v>
      </c>
      <c r="G7771" s="53"/>
    </row>
    <row r="7772">
      <c r="A7772" s="49">
        <v>44594.53798288194</v>
      </c>
      <c r="B7772" s="50">
        <v>44594.6629595138</v>
      </c>
      <c r="C7772" s="51">
        <v>1.0</v>
      </c>
      <c r="D7772" s="51">
        <v>66.0</v>
      </c>
      <c r="E7772" s="52" t="s">
        <v>25</v>
      </c>
      <c r="F7772" s="52" t="s">
        <v>26</v>
      </c>
      <c r="G7772" s="53"/>
    </row>
    <row r="7773">
      <c r="A7773" s="49">
        <v>44594.548418935185</v>
      </c>
      <c r="B7773" s="50">
        <v>44594.6733916319</v>
      </c>
      <c r="C7773" s="51">
        <v>0.999</v>
      </c>
      <c r="D7773" s="51">
        <v>66.0</v>
      </c>
      <c r="E7773" s="52" t="s">
        <v>25</v>
      </c>
      <c r="F7773" s="52" t="s">
        <v>26</v>
      </c>
      <c r="G7773" s="53"/>
    </row>
    <row r="7774">
      <c r="A7774" s="49">
        <v>44594.55885101852</v>
      </c>
      <c r="B7774" s="50">
        <v>44594.6838237384</v>
      </c>
      <c r="C7774" s="51">
        <v>1.0</v>
      </c>
      <c r="D7774" s="51">
        <v>65.0</v>
      </c>
      <c r="E7774" s="52" t="s">
        <v>25</v>
      </c>
      <c r="F7774" s="52" t="s">
        <v>26</v>
      </c>
      <c r="G7774" s="53"/>
    </row>
    <row r="7775">
      <c r="A7775" s="49">
        <v>44594.569275381946</v>
      </c>
      <c r="B7775" s="50">
        <v>44594.6942466088</v>
      </c>
      <c r="C7775" s="51">
        <v>1.0</v>
      </c>
      <c r="D7775" s="51">
        <v>65.0</v>
      </c>
      <c r="E7775" s="52" t="s">
        <v>25</v>
      </c>
      <c r="F7775" s="52" t="s">
        <v>26</v>
      </c>
      <c r="G7775" s="53"/>
    </row>
    <row r="7776">
      <c r="A7776" s="49">
        <v>44594.57970728009</v>
      </c>
      <c r="B7776" s="50">
        <v>44594.7046770254</v>
      </c>
      <c r="C7776" s="51">
        <v>1.0</v>
      </c>
      <c r="D7776" s="51">
        <v>65.0</v>
      </c>
      <c r="E7776" s="52" t="s">
        <v>25</v>
      </c>
      <c r="F7776" s="52" t="s">
        <v>26</v>
      </c>
      <c r="G7776" s="53"/>
    </row>
    <row r="7777">
      <c r="A7777" s="49">
        <v>44594.59012155092</v>
      </c>
      <c r="B7777" s="50">
        <v>44594.7150985879</v>
      </c>
      <c r="C7777" s="51">
        <v>1.0</v>
      </c>
      <c r="D7777" s="51">
        <v>65.0</v>
      </c>
      <c r="E7777" s="52" t="s">
        <v>25</v>
      </c>
      <c r="F7777" s="52" t="s">
        <v>26</v>
      </c>
      <c r="G7777" s="53"/>
    </row>
    <row r="7778">
      <c r="A7778" s="49">
        <v>44594.60055166666</v>
      </c>
      <c r="B7778" s="50">
        <v>44594.7255188194</v>
      </c>
      <c r="C7778" s="51">
        <v>1.0</v>
      </c>
      <c r="D7778" s="51">
        <v>65.0</v>
      </c>
      <c r="E7778" s="52" t="s">
        <v>25</v>
      </c>
      <c r="F7778" s="52" t="s">
        <v>26</v>
      </c>
      <c r="G7778" s="53"/>
    </row>
    <row r="7779">
      <c r="A7779" s="49">
        <v>44594.61096637731</v>
      </c>
      <c r="B7779" s="50">
        <v>44594.7359416319</v>
      </c>
      <c r="C7779" s="51">
        <v>1.0</v>
      </c>
      <c r="D7779" s="51">
        <v>65.0</v>
      </c>
      <c r="E7779" s="52" t="s">
        <v>25</v>
      </c>
      <c r="F7779" s="52" t="s">
        <v>26</v>
      </c>
      <c r="G7779" s="53"/>
    </row>
    <row r="7780">
      <c r="A7780" s="49">
        <v>44594.62139076389</v>
      </c>
      <c r="B7780" s="50">
        <v>44594.7463721643</v>
      </c>
      <c r="C7780" s="51">
        <v>1.0</v>
      </c>
      <c r="D7780" s="51">
        <v>65.0</v>
      </c>
      <c r="E7780" s="52" t="s">
        <v>25</v>
      </c>
      <c r="F7780" s="52" t="s">
        <v>26</v>
      </c>
      <c r="G7780" s="53"/>
    </row>
    <row r="7781">
      <c r="A7781" s="49">
        <v>44594.63181847222</v>
      </c>
      <c r="B7781" s="50">
        <v>44594.756793125</v>
      </c>
      <c r="C7781" s="51">
        <v>1.0</v>
      </c>
      <c r="D7781" s="51">
        <v>65.0</v>
      </c>
      <c r="E7781" s="52" t="s">
        <v>25</v>
      </c>
      <c r="F7781" s="52" t="s">
        <v>26</v>
      </c>
      <c r="G7781" s="53"/>
    </row>
    <row r="7782">
      <c r="A7782" s="49">
        <v>44594.642243622686</v>
      </c>
      <c r="B7782" s="50">
        <v>44594.7672145486</v>
      </c>
      <c r="C7782" s="51">
        <v>1.0</v>
      </c>
      <c r="D7782" s="51">
        <v>65.0</v>
      </c>
      <c r="E7782" s="52" t="s">
        <v>25</v>
      </c>
      <c r="F7782" s="52" t="s">
        <v>26</v>
      </c>
      <c r="G7782" s="53"/>
    </row>
    <row r="7783">
      <c r="A7783" s="49">
        <v>44594.65265877315</v>
      </c>
      <c r="B7783" s="50">
        <v>44594.7776339814</v>
      </c>
      <c r="C7783" s="51">
        <v>1.0</v>
      </c>
      <c r="D7783" s="51">
        <v>65.0</v>
      </c>
      <c r="E7783" s="52" t="s">
        <v>25</v>
      </c>
      <c r="F7783" s="52" t="s">
        <v>26</v>
      </c>
      <c r="G7783" s="53"/>
    </row>
    <row r="7784">
      <c r="A7784" s="49">
        <v>44594.663081493054</v>
      </c>
      <c r="B7784" s="50">
        <v>44594.7880556134</v>
      </c>
      <c r="C7784" s="51">
        <v>1.0</v>
      </c>
      <c r="D7784" s="51">
        <v>65.0</v>
      </c>
      <c r="E7784" s="52" t="s">
        <v>25</v>
      </c>
      <c r="F7784" s="52" t="s">
        <v>26</v>
      </c>
      <c r="G7784" s="53"/>
    </row>
    <row r="7785">
      <c r="A7785" s="49">
        <v>44594.67350258102</v>
      </c>
      <c r="B7785" s="50">
        <v>44594.7984772453</v>
      </c>
      <c r="C7785" s="51">
        <v>1.0</v>
      </c>
      <c r="D7785" s="51">
        <v>65.0</v>
      </c>
      <c r="E7785" s="52" t="s">
        <v>25</v>
      </c>
      <c r="F7785" s="52" t="s">
        <v>26</v>
      </c>
      <c r="G7785" s="53"/>
    </row>
    <row r="7786">
      <c r="A7786" s="49">
        <v>44594.683940601855</v>
      </c>
      <c r="B7786" s="50">
        <v>44594.8089105092</v>
      </c>
      <c r="C7786" s="51">
        <v>0.999</v>
      </c>
      <c r="D7786" s="51">
        <v>65.0</v>
      </c>
      <c r="E7786" s="52" t="s">
        <v>25</v>
      </c>
      <c r="F7786" s="52" t="s">
        <v>26</v>
      </c>
      <c r="G7786" s="53"/>
    </row>
    <row r="7787">
      <c r="A7787" s="49">
        <v>44594.694353506944</v>
      </c>
      <c r="B7787" s="50">
        <v>44594.8193308217</v>
      </c>
      <c r="C7787" s="51">
        <v>1.0</v>
      </c>
      <c r="D7787" s="51">
        <v>65.0</v>
      </c>
      <c r="E7787" s="52" t="s">
        <v>25</v>
      </c>
      <c r="F7787" s="52" t="s">
        <v>26</v>
      </c>
      <c r="G7787" s="53"/>
    </row>
    <row r="7788">
      <c r="A7788" s="49">
        <v>44594.70477590278</v>
      </c>
      <c r="B7788" s="50">
        <v>44594.8297504629</v>
      </c>
      <c r="C7788" s="51">
        <v>1.0</v>
      </c>
      <c r="D7788" s="51">
        <v>65.0</v>
      </c>
      <c r="E7788" s="52" t="s">
        <v>25</v>
      </c>
      <c r="F7788" s="52" t="s">
        <v>26</v>
      </c>
      <c r="G7788" s="53"/>
    </row>
    <row r="7789">
      <c r="A7789" s="49">
        <v>44594.715199224534</v>
      </c>
      <c r="B7789" s="50">
        <v>44594.8401704745</v>
      </c>
      <c r="C7789" s="51">
        <v>0.999</v>
      </c>
      <c r="D7789" s="51">
        <v>65.0</v>
      </c>
      <c r="E7789" s="52" t="s">
        <v>25</v>
      </c>
      <c r="F7789" s="52" t="s">
        <v>26</v>
      </c>
      <c r="G7789" s="53"/>
    </row>
    <row r="7790">
      <c r="A7790" s="49">
        <v>44594.72567565972</v>
      </c>
      <c r="B7790" s="50">
        <v>44594.8506268981</v>
      </c>
      <c r="C7790" s="51">
        <v>1.0</v>
      </c>
      <c r="D7790" s="51">
        <v>65.0</v>
      </c>
      <c r="E7790" s="52" t="s">
        <v>25</v>
      </c>
      <c r="F7790" s="52" t="s">
        <v>26</v>
      </c>
      <c r="G7790" s="53"/>
    </row>
    <row r="7791">
      <c r="A7791" s="49">
        <v>44594.73608332176</v>
      </c>
      <c r="B7791" s="50">
        <v>44594.8610586921</v>
      </c>
      <c r="C7791" s="51">
        <v>1.0</v>
      </c>
      <c r="D7791" s="51">
        <v>65.0</v>
      </c>
      <c r="E7791" s="52" t="s">
        <v>25</v>
      </c>
      <c r="F7791" s="52" t="s">
        <v>26</v>
      </c>
      <c r="G7791" s="53"/>
    </row>
    <row r="7792">
      <c r="A7792" s="49">
        <v>44594.74650121528</v>
      </c>
      <c r="B7792" s="50">
        <v>44594.8714796296</v>
      </c>
      <c r="C7792" s="51">
        <v>1.0</v>
      </c>
      <c r="D7792" s="51">
        <v>65.0</v>
      </c>
      <c r="E7792" s="52" t="s">
        <v>25</v>
      </c>
      <c r="F7792" s="52" t="s">
        <v>26</v>
      </c>
      <c r="G7792" s="53"/>
    </row>
    <row r="7793">
      <c r="A7793" s="49">
        <v>44594.75693228009</v>
      </c>
      <c r="B7793" s="50">
        <v>44594.8819011574</v>
      </c>
      <c r="C7793" s="51">
        <v>1.0</v>
      </c>
      <c r="D7793" s="51">
        <v>65.0</v>
      </c>
      <c r="E7793" s="52" t="s">
        <v>25</v>
      </c>
      <c r="F7793" s="52" t="s">
        <v>26</v>
      </c>
      <c r="G7793" s="53"/>
    </row>
    <row r="7794">
      <c r="A7794" s="49">
        <v>44594.76734738426</v>
      </c>
      <c r="B7794" s="50">
        <v>44594.8923221874</v>
      </c>
      <c r="C7794" s="51">
        <v>1.0</v>
      </c>
      <c r="D7794" s="51">
        <v>65.0</v>
      </c>
      <c r="E7794" s="52" t="s">
        <v>25</v>
      </c>
      <c r="F7794" s="52" t="s">
        <v>26</v>
      </c>
      <c r="G7794" s="53"/>
    </row>
    <row r="7795">
      <c r="A7795" s="49">
        <v>44594.77778045139</v>
      </c>
      <c r="B7795" s="50">
        <v>44594.9027543518</v>
      </c>
      <c r="C7795" s="51">
        <v>1.0</v>
      </c>
      <c r="D7795" s="51">
        <v>65.0</v>
      </c>
      <c r="E7795" s="52" t="s">
        <v>25</v>
      </c>
      <c r="F7795" s="52" t="s">
        <v>26</v>
      </c>
      <c r="G7795" s="53"/>
    </row>
    <row r="7796">
      <c r="A7796" s="49">
        <v>44594.78820215278</v>
      </c>
      <c r="B7796" s="50">
        <v>44594.9131759259</v>
      </c>
      <c r="C7796" s="51">
        <v>1.0</v>
      </c>
      <c r="D7796" s="51">
        <v>65.0</v>
      </c>
      <c r="E7796" s="52" t="s">
        <v>25</v>
      </c>
      <c r="F7796" s="52" t="s">
        <v>26</v>
      </c>
      <c r="G7796" s="53"/>
    </row>
    <row r="7797">
      <c r="A7797" s="49">
        <v>44594.79862696759</v>
      </c>
      <c r="B7797" s="50">
        <v>44594.9235964814</v>
      </c>
      <c r="C7797" s="51">
        <v>1.0</v>
      </c>
      <c r="D7797" s="51">
        <v>65.0</v>
      </c>
      <c r="E7797" s="52" t="s">
        <v>25</v>
      </c>
      <c r="F7797" s="52" t="s">
        <v>26</v>
      </c>
      <c r="G7797" s="53"/>
    </row>
    <row r="7798">
      <c r="A7798" s="49">
        <v>44594.809046180555</v>
      </c>
      <c r="B7798" s="50">
        <v>44594.9340186805</v>
      </c>
      <c r="C7798" s="51">
        <v>1.0</v>
      </c>
      <c r="D7798" s="51">
        <v>65.0</v>
      </c>
      <c r="E7798" s="52" t="s">
        <v>25</v>
      </c>
      <c r="F7798" s="52" t="s">
        <v>26</v>
      </c>
      <c r="G7798" s="53"/>
    </row>
    <row r="7799">
      <c r="A7799" s="49">
        <v>44594.81946491898</v>
      </c>
      <c r="B7799" s="50">
        <v>44594.9444407754</v>
      </c>
      <c r="C7799" s="51">
        <v>1.0</v>
      </c>
      <c r="D7799" s="51">
        <v>65.0</v>
      </c>
      <c r="E7799" s="52" t="s">
        <v>25</v>
      </c>
      <c r="F7799" s="52" t="s">
        <v>26</v>
      </c>
      <c r="G7799" s="53"/>
    </row>
    <row r="7800">
      <c r="A7800" s="49">
        <v>44594.82988351852</v>
      </c>
      <c r="B7800" s="50">
        <v>44594.9548610648</v>
      </c>
      <c r="C7800" s="51">
        <v>1.0</v>
      </c>
      <c r="D7800" s="51">
        <v>65.0</v>
      </c>
      <c r="E7800" s="52" t="s">
        <v>25</v>
      </c>
      <c r="F7800" s="52" t="s">
        <v>26</v>
      </c>
      <c r="G7800" s="53"/>
    </row>
    <row r="7801">
      <c r="A7801" s="49">
        <v>44594.84030172454</v>
      </c>
      <c r="B7801" s="50">
        <v>44594.9652810648</v>
      </c>
      <c r="C7801" s="51">
        <v>1.0</v>
      </c>
      <c r="D7801" s="51">
        <v>65.0</v>
      </c>
      <c r="E7801" s="52" t="s">
        <v>25</v>
      </c>
      <c r="F7801" s="52" t="s">
        <v>26</v>
      </c>
      <c r="G7801" s="53"/>
    </row>
    <row r="7802">
      <c r="A7802" s="49">
        <v>44594.850732280094</v>
      </c>
      <c r="B7802" s="50">
        <v>44594.9757018055</v>
      </c>
      <c r="C7802" s="51">
        <v>1.0</v>
      </c>
      <c r="D7802" s="51">
        <v>65.0</v>
      </c>
      <c r="E7802" s="52" t="s">
        <v>25</v>
      </c>
      <c r="F7802" s="52" t="s">
        <v>26</v>
      </c>
      <c r="G7802" s="53"/>
    </row>
    <row r="7803">
      <c r="A7803" s="49">
        <v>44594.861162002315</v>
      </c>
      <c r="B7803" s="50">
        <v>44594.9861348032</v>
      </c>
      <c r="C7803" s="51">
        <v>1.0</v>
      </c>
      <c r="D7803" s="51">
        <v>64.0</v>
      </c>
      <c r="E7803" s="52" t="s">
        <v>25</v>
      </c>
      <c r="F7803" s="52" t="s">
        <v>26</v>
      </c>
      <c r="G7803" s="53"/>
    </row>
    <row r="7804">
      <c r="A7804" s="49">
        <v>44594.87157928241</v>
      </c>
      <c r="B7804" s="50">
        <v>44594.9965569791</v>
      </c>
      <c r="C7804" s="51">
        <v>1.0</v>
      </c>
      <c r="D7804" s="51">
        <v>64.0</v>
      </c>
      <c r="E7804" s="52" t="s">
        <v>25</v>
      </c>
      <c r="F7804" s="52" t="s">
        <v>26</v>
      </c>
      <c r="G7804" s="53"/>
    </row>
    <row r="7805">
      <c r="A7805" s="49">
        <v>44594.88201059028</v>
      </c>
      <c r="B7805" s="50">
        <v>44595.0069795486</v>
      </c>
      <c r="C7805" s="51">
        <v>1.0</v>
      </c>
      <c r="D7805" s="51">
        <v>64.0</v>
      </c>
      <c r="E7805" s="52" t="s">
        <v>25</v>
      </c>
      <c r="F7805" s="52" t="s">
        <v>26</v>
      </c>
      <c r="G7805" s="53"/>
    </row>
    <row r="7806">
      <c r="A7806" s="49">
        <v>44594.892500428236</v>
      </c>
      <c r="B7806" s="50">
        <v>44595.0174005902</v>
      </c>
      <c r="C7806" s="51">
        <v>1.0</v>
      </c>
      <c r="D7806" s="51">
        <v>64.0</v>
      </c>
      <c r="E7806" s="52" t="s">
        <v>25</v>
      </c>
      <c r="F7806" s="52" t="s">
        <v>26</v>
      </c>
      <c r="G7806" s="53"/>
    </row>
    <row r="7807">
      <c r="A7807" s="49">
        <v>44594.902841365736</v>
      </c>
      <c r="B7807" s="50">
        <v>44595.0278224884</v>
      </c>
      <c r="C7807" s="51">
        <v>1.0</v>
      </c>
      <c r="D7807" s="51">
        <v>64.0</v>
      </c>
      <c r="E7807" s="52" t="s">
        <v>25</v>
      </c>
      <c r="F7807" s="52" t="s">
        <v>26</v>
      </c>
      <c r="G7807" s="53"/>
    </row>
    <row r="7808">
      <c r="A7808" s="49">
        <v>44594.913273275466</v>
      </c>
      <c r="B7808" s="50">
        <v>44595.0382446759</v>
      </c>
      <c r="C7808" s="51">
        <v>0.999</v>
      </c>
      <c r="D7808" s="51">
        <v>64.0</v>
      </c>
      <c r="E7808" s="52" t="s">
        <v>25</v>
      </c>
      <c r="F7808" s="52" t="s">
        <v>26</v>
      </c>
      <c r="G7808" s="53"/>
    </row>
    <row r="7809">
      <c r="A7809" s="49">
        <v>44594.923704409724</v>
      </c>
      <c r="B7809" s="50">
        <v>44595.048676574</v>
      </c>
      <c r="C7809" s="51">
        <v>1.0</v>
      </c>
      <c r="D7809" s="51">
        <v>64.0</v>
      </c>
      <c r="E7809" s="52" t="s">
        <v>25</v>
      </c>
      <c r="F7809" s="52" t="s">
        <v>26</v>
      </c>
      <c r="G7809" s="53"/>
    </row>
    <row r="7810">
      <c r="A7810" s="49">
        <v>44594.934156296295</v>
      </c>
      <c r="B7810" s="50">
        <v>44595.0591321296</v>
      </c>
      <c r="C7810" s="51">
        <v>1.0</v>
      </c>
      <c r="D7810" s="51">
        <v>64.0</v>
      </c>
      <c r="E7810" s="52" t="s">
        <v>25</v>
      </c>
      <c r="F7810" s="52" t="s">
        <v>26</v>
      </c>
      <c r="G7810" s="53"/>
    </row>
    <row r="7811">
      <c r="A7811" s="49">
        <v>44594.94457990741</v>
      </c>
      <c r="B7811" s="50">
        <v>44595.0695542361</v>
      </c>
      <c r="C7811" s="51">
        <v>1.0</v>
      </c>
      <c r="D7811" s="51">
        <v>64.0</v>
      </c>
      <c r="E7811" s="52" t="s">
        <v>25</v>
      </c>
      <c r="F7811" s="52" t="s">
        <v>26</v>
      </c>
      <c r="G7811" s="53"/>
    </row>
    <row r="7812">
      <c r="A7812" s="49">
        <v>44594.95500162037</v>
      </c>
      <c r="B7812" s="50">
        <v>44595.0799748726</v>
      </c>
      <c r="C7812" s="51">
        <v>1.0</v>
      </c>
      <c r="D7812" s="51">
        <v>64.0</v>
      </c>
      <c r="E7812" s="52" t="s">
        <v>25</v>
      </c>
      <c r="F7812" s="52" t="s">
        <v>26</v>
      </c>
      <c r="G7812" s="53"/>
    </row>
    <row r="7813">
      <c r="A7813" s="49">
        <v>44594.965419976856</v>
      </c>
      <c r="B7813" s="50">
        <v>44595.0903954513</v>
      </c>
      <c r="C7813" s="51">
        <v>1.0</v>
      </c>
      <c r="D7813" s="51">
        <v>64.0</v>
      </c>
      <c r="E7813" s="52" t="s">
        <v>25</v>
      </c>
      <c r="F7813" s="52" t="s">
        <v>26</v>
      </c>
      <c r="G7813" s="53"/>
    </row>
    <row r="7814">
      <c r="A7814" s="49">
        <v>44594.97585275463</v>
      </c>
      <c r="B7814" s="50">
        <v>44595.1008289699</v>
      </c>
      <c r="C7814" s="51">
        <v>1.0</v>
      </c>
      <c r="D7814" s="51">
        <v>64.0</v>
      </c>
      <c r="E7814" s="52" t="s">
        <v>25</v>
      </c>
      <c r="F7814" s="52" t="s">
        <v>26</v>
      </c>
      <c r="G7814" s="53"/>
    </row>
    <row r="7815">
      <c r="A7815" s="49">
        <v>44594.98627480324</v>
      </c>
      <c r="B7815" s="50">
        <v>44595.1112508449</v>
      </c>
      <c r="C7815" s="51">
        <v>1.0</v>
      </c>
      <c r="D7815" s="51">
        <v>64.0</v>
      </c>
      <c r="E7815" s="52" t="s">
        <v>25</v>
      </c>
      <c r="F7815" s="52" t="s">
        <v>26</v>
      </c>
      <c r="G7815" s="53"/>
    </row>
    <row r="7816">
      <c r="A7816" s="49">
        <v>44594.99669703704</v>
      </c>
      <c r="B7816" s="50">
        <v>44595.1216716087</v>
      </c>
      <c r="C7816" s="51">
        <v>1.0</v>
      </c>
      <c r="D7816" s="51">
        <v>64.0</v>
      </c>
      <c r="E7816" s="52" t="s">
        <v>25</v>
      </c>
      <c r="F7816" s="52" t="s">
        <v>26</v>
      </c>
      <c r="G7816" s="53"/>
    </row>
    <row r="7817">
      <c r="A7817" s="49">
        <v>44595.00711600695</v>
      </c>
      <c r="B7817" s="50">
        <v>44595.1320921874</v>
      </c>
      <c r="C7817" s="51">
        <v>1.0</v>
      </c>
      <c r="D7817" s="51">
        <v>64.0</v>
      </c>
      <c r="E7817" s="52" t="s">
        <v>25</v>
      </c>
      <c r="F7817" s="52" t="s">
        <v>26</v>
      </c>
      <c r="G7817" s="53"/>
    </row>
    <row r="7818">
      <c r="A7818" s="49">
        <v>44595.01754277778</v>
      </c>
      <c r="B7818" s="50">
        <v>44595.142525162</v>
      </c>
      <c r="C7818" s="51">
        <v>1.0</v>
      </c>
      <c r="D7818" s="51">
        <v>64.0</v>
      </c>
      <c r="E7818" s="52" t="s">
        <v>25</v>
      </c>
      <c r="F7818" s="52" t="s">
        <v>26</v>
      </c>
      <c r="G7818" s="53"/>
    </row>
    <row r="7819">
      <c r="A7819" s="49">
        <v>44595.02797635416</v>
      </c>
      <c r="B7819" s="50">
        <v>44595.1529475462</v>
      </c>
      <c r="C7819" s="51">
        <v>1.0</v>
      </c>
      <c r="D7819" s="51">
        <v>64.0</v>
      </c>
      <c r="E7819" s="52" t="s">
        <v>25</v>
      </c>
      <c r="F7819" s="52" t="s">
        <v>26</v>
      </c>
      <c r="G7819" s="53"/>
    </row>
    <row r="7820">
      <c r="A7820" s="49">
        <v>44595.03839453704</v>
      </c>
      <c r="B7820" s="50">
        <v>44595.163368449</v>
      </c>
      <c r="C7820" s="51">
        <v>1.0</v>
      </c>
      <c r="D7820" s="51">
        <v>64.0</v>
      </c>
      <c r="E7820" s="52" t="s">
        <v>25</v>
      </c>
      <c r="F7820" s="52" t="s">
        <v>26</v>
      </c>
      <c r="G7820" s="53"/>
    </row>
    <row r="7821">
      <c r="A7821" s="49">
        <v>44595.04881740741</v>
      </c>
      <c r="B7821" s="50">
        <v>44595.1737892245</v>
      </c>
      <c r="C7821" s="51">
        <v>1.0</v>
      </c>
      <c r="D7821" s="51">
        <v>64.0</v>
      </c>
      <c r="E7821" s="52" t="s">
        <v>25</v>
      </c>
      <c r="F7821" s="52" t="s">
        <v>26</v>
      </c>
      <c r="G7821" s="53"/>
    </row>
    <row r="7822">
      <c r="A7822" s="49">
        <v>44595.0592277199</v>
      </c>
      <c r="B7822" s="50">
        <v>44595.1842093865</v>
      </c>
      <c r="C7822" s="51">
        <v>1.0</v>
      </c>
      <c r="D7822" s="51">
        <v>64.0</v>
      </c>
      <c r="E7822" s="52" t="s">
        <v>25</v>
      </c>
      <c r="F7822" s="52" t="s">
        <v>26</v>
      </c>
      <c r="G7822" s="53"/>
    </row>
    <row r="7823">
      <c r="A7823" s="49">
        <v>44595.06966100694</v>
      </c>
      <c r="B7823" s="50">
        <v>44595.194631412</v>
      </c>
      <c r="C7823" s="51">
        <v>1.0</v>
      </c>
      <c r="D7823" s="51">
        <v>64.0</v>
      </c>
      <c r="E7823" s="52" t="s">
        <v>25</v>
      </c>
      <c r="F7823" s="52" t="s">
        <v>26</v>
      </c>
      <c r="G7823" s="53"/>
    </row>
    <row r="7824">
      <c r="A7824" s="49">
        <v>44595.08008497686</v>
      </c>
      <c r="B7824" s="50">
        <v>44595.2050528125</v>
      </c>
      <c r="C7824" s="51">
        <v>0.999</v>
      </c>
      <c r="D7824" s="51">
        <v>64.0</v>
      </c>
      <c r="E7824" s="52" t="s">
        <v>25</v>
      </c>
      <c r="F7824" s="52" t="s">
        <v>26</v>
      </c>
      <c r="G7824" s="53"/>
    </row>
    <row r="7825">
      <c r="A7825" s="49">
        <v>44595.090499375</v>
      </c>
      <c r="B7825" s="50">
        <v>44595.2154730439</v>
      </c>
      <c r="C7825" s="51">
        <v>1.0</v>
      </c>
      <c r="D7825" s="51">
        <v>64.0</v>
      </c>
      <c r="E7825" s="52" t="s">
        <v>25</v>
      </c>
      <c r="F7825" s="52" t="s">
        <v>26</v>
      </c>
      <c r="G7825" s="53"/>
    </row>
    <row r="7826">
      <c r="A7826" s="49">
        <v>44595.100923935184</v>
      </c>
      <c r="B7826" s="50">
        <v>44595.2258937847</v>
      </c>
      <c r="C7826" s="51">
        <v>1.0</v>
      </c>
      <c r="D7826" s="51">
        <v>64.0</v>
      </c>
      <c r="E7826" s="52" t="s">
        <v>25</v>
      </c>
      <c r="F7826" s="52" t="s">
        <v>26</v>
      </c>
      <c r="G7826" s="53"/>
    </row>
    <row r="7827">
      <c r="A7827" s="49">
        <v>44595.111341192125</v>
      </c>
      <c r="B7827" s="50">
        <v>44595.2363139699</v>
      </c>
      <c r="C7827" s="51">
        <v>1.0</v>
      </c>
      <c r="D7827" s="51">
        <v>64.0</v>
      </c>
      <c r="E7827" s="52" t="s">
        <v>25</v>
      </c>
      <c r="F7827" s="52" t="s">
        <v>26</v>
      </c>
      <c r="G7827" s="53"/>
    </row>
    <row r="7828">
      <c r="A7828" s="49">
        <v>44595.121760243055</v>
      </c>
      <c r="B7828" s="50">
        <v>44595.246732905</v>
      </c>
      <c r="C7828" s="51">
        <v>1.0</v>
      </c>
      <c r="D7828" s="51">
        <v>64.0</v>
      </c>
      <c r="E7828" s="52" t="s">
        <v>25</v>
      </c>
      <c r="F7828" s="52" t="s">
        <v>26</v>
      </c>
      <c r="G7828" s="53"/>
    </row>
    <row r="7829">
      <c r="A7829" s="49">
        <v>44595.13218378472</v>
      </c>
      <c r="B7829" s="50">
        <v>44595.2571519328</v>
      </c>
      <c r="C7829" s="51">
        <v>1.0</v>
      </c>
      <c r="D7829" s="51">
        <v>64.0</v>
      </c>
      <c r="E7829" s="52" t="s">
        <v>25</v>
      </c>
      <c r="F7829" s="52" t="s">
        <v>26</v>
      </c>
      <c r="G7829" s="53"/>
    </row>
    <row r="7830">
      <c r="A7830" s="49">
        <v>44595.14260003473</v>
      </c>
      <c r="B7830" s="50">
        <v>44595.2675734143</v>
      </c>
      <c r="C7830" s="51">
        <v>1.0</v>
      </c>
      <c r="D7830" s="51">
        <v>64.0</v>
      </c>
      <c r="E7830" s="52" t="s">
        <v>25</v>
      </c>
      <c r="F7830" s="52" t="s">
        <v>26</v>
      </c>
      <c r="G7830" s="53"/>
    </row>
    <row r="7831">
      <c r="A7831" s="49">
        <v>44595.153025127314</v>
      </c>
      <c r="B7831" s="50">
        <v>44595.2780064583</v>
      </c>
      <c r="C7831" s="51">
        <v>1.0</v>
      </c>
      <c r="D7831" s="51">
        <v>64.0</v>
      </c>
      <c r="E7831" s="52" t="s">
        <v>25</v>
      </c>
      <c r="F7831" s="52" t="s">
        <v>26</v>
      </c>
      <c r="G7831" s="53"/>
    </row>
    <row r="7832">
      <c r="A7832" s="49">
        <v>44595.163445115744</v>
      </c>
      <c r="B7832" s="50">
        <v>44595.2884264004</v>
      </c>
      <c r="C7832" s="51">
        <v>1.0</v>
      </c>
      <c r="D7832" s="51">
        <v>64.0</v>
      </c>
      <c r="E7832" s="52" t="s">
        <v>25</v>
      </c>
      <c r="F7832" s="52" t="s">
        <v>26</v>
      </c>
      <c r="G7832" s="53"/>
    </row>
    <row r="7833">
      <c r="A7833" s="49">
        <v>44595.17387615741</v>
      </c>
      <c r="B7833" s="50">
        <v>44595.2988487615</v>
      </c>
      <c r="C7833" s="51">
        <v>1.0</v>
      </c>
      <c r="D7833" s="51">
        <v>64.0</v>
      </c>
      <c r="E7833" s="52" t="s">
        <v>25</v>
      </c>
      <c r="F7833" s="52" t="s">
        <v>26</v>
      </c>
      <c r="G7833" s="53"/>
    </row>
    <row r="7834">
      <c r="A7834" s="49">
        <v>44595.18430306713</v>
      </c>
      <c r="B7834" s="50">
        <v>44595.309269074</v>
      </c>
      <c r="C7834" s="51">
        <v>1.0</v>
      </c>
      <c r="D7834" s="51">
        <v>64.0</v>
      </c>
      <c r="E7834" s="52" t="s">
        <v>25</v>
      </c>
      <c r="F7834" s="52" t="s">
        <v>26</v>
      </c>
      <c r="G7834" s="53"/>
    </row>
    <row r="7835">
      <c r="A7835" s="49">
        <v>44595.194713206016</v>
      </c>
      <c r="B7835" s="50">
        <v>44595.3196892476</v>
      </c>
      <c r="C7835" s="51">
        <v>1.0</v>
      </c>
      <c r="D7835" s="51">
        <v>63.0</v>
      </c>
      <c r="E7835" s="52" t="s">
        <v>25</v>
      </c>
      <c r="F7835" s="52" t="s">
        <v>26</v>
      </c>
      <c r="G7835" s="53"/>
    </row>
    <row r="7836">
      <c r="A7836" s="49">
        <v>44595.2051387963</v>
      </c>
      <c r="B7836" s="50">
        <v>44595.3301124884</v>
      </c>
      <c r="C7836" s="51">
        <v>1.0</v>
      </c>
      <c r="D7836" s="51">
        <v>63.0</v>
      </c>
      <c r="E7836" s="52" t="s">
        <v>25</v>
      </c>
      <c r="F7836" s="52" t="s">
        <v>26</v>
      </c>
      <c r="G7836" s="53"/>
    </row>
    <row r="7837">
      <c r="A7837" s="49">
        <v>44595.21556034722</v>
      </c>
      <c r="B7837" s="50">
        <v>44595.3405332523</v>
      </c>
      <c r="C7837" s="51">
        <v>0.999</v>
      </c>
      <c r="D7837" s="51">
        <v>63.0</v>
      </c>
      <c r="E7837" s="52" t="s">
        <v>25</v>
      </c>
      <c r="F7837" s="52" t="s">
        <v>26</v>
      </c>
      <c r="G7837" s="53"/>
    </row>
    <row r="7838">
      <c r="A7838" s="49">
        <v>44595.225983032404</v>
      </c>
      <c r="B7838" s="50">
        <v>44595.3509548495</v>
      </c>
      <c r="C7838" s="51">
        <v>1.0</v>
      </c>
      <c r="D7838" s="51">
        <v>63.0</v>
      </c>
      <c r="E7838" s="52" t="s">
        <v>25</v>
      </c>
      <c r="F7838" s="52" t="s">
        <v>26</v>
      </c>
      <c r="G7838" s="53"/>
    </row>
    <row r="7839">
      <c r="A7839" s="49">
        <v>44595.236428171294</v>
      </c>
      <c r="B7839" s="50">
        <v>44595.3613880208</v>
      </c>
      <c r="C7839" s="51">
        <v>1.0</v>
      </c>
      <c r="D7839" s="51">
        <v>63.0</v>
      </c>
      <c r="E7839" s="52" t="s">
        <v>25</v>
      </c>
      <c r="F7839" s="52" t="s">
        <v>26</v>
      </c>
      <c r="G7839" s="53"/>
    </row>
    <row r="7840">
      <c r="A7840" s="49">
        <v>44595.24684716435</v>
      </c>
      <c r="B7840" s="50">
        <v>44595.3718202314</v>
      </c>
      <c r="C7840" s="51">
        <v>1.0</v>
      </c>
      <c r="D7840" s="51">
        <v>63.0</v>
      </c>
      <c r="E7840" s="52" t="s">
        <v>25</v>
      </c>
      <c r="F7840" s="52" t="s">
        <v>26</v>
      </c>
      <c r="G7840" s="53"/>
    </row>
    <row r="7841">
      <c r="A7841" s="49">
        <v>44595.25729137732</v>
      </c>
      <c r="B7841" s="50">
        <v>44595.3822522222</v>
      </c>
      <c r="C7841" s="51">
        <v>1.0</v>
      </c>
      <c r="D7841" s="51">
        <v>63.0</v>
      </c>
      <c r="E7841" s="52" t="s">
        <v>25</v>
      </c>
      <c r="F7841" s="52" t="s">
        <v>26</v>
      </c>
      <c r="G7841" s="53"/>
    </row>
    <row r="7842">
      <c r="A7842" s="49">
        <v>44595.26769680556</v>
      </c>
      <c r="B7842" s="50">
        <v>44595.3926734722</v>
      </c>
      <c r="C7842" s="51">
        <v>1.0</v>
      </c>
      <c r="D7842" s="51">
        <v>63.0</v>
      </c>
      <c r="E7842" s="52" t="s">
        <v>25</v>
      </c>
      <c r="F7842" s="52" t="s">
        <v>26</v>
      </c>
      <c r="G7842" s="53"/>
    </row>
    <row r="7843">
      <c r="A7843" s="49">
        <v>44595.27811925926</v>
      </c>
      <c r="B7843" s="50">
        <v>44595.4030961689</v>
      </c>
      <c r="C7843" s="51">
        <v>1.0</v>
      </c>
      <c r="D7843" s="51">
        <v>63.0</v>
      </c>
      <c r="E7843" s="52" t="s">
        <v>25</v>
      </c>
      <c r="F7843" s="52" t="s">
        <v>26</v>
      </c>
      <c r="G7843" s="53"/>
    </row>
    <row r="7844">
      <c r="A7844" s="49">
        <v>44595.28854584491</v>
      </c>
      <c r="B7844" s="50">
        <v>44595.4135180092</v>
      </c>
      <c r="C7844" s="51">
        <v>1.0</v>
      </c>
      <c r="D7844" s="51">
        <v>63.0</v>
      </c>
      <c r="E7844" s="52" t="s">
        <v>25</v>
      </c>
      <c r="F7844" s="52" t="s">
        <v>26</v>
      </c>
      <c r="G7844" s="53"/>
    </row>
    <row r="7845">
      <c r="A7845" s="49">
        <v>44595.298974108795</v>
      </c>
      <c r="B7845" s="50">
        <v>44595.4239380671</v>
      </c>
      <c r="C7845" s="51">
        <v>1.0</v>
      </c>
      <c r="D7845" s="51">
        <v>63.0</v>
      </c>
      <c r="E7845" s="52" t="s">
        <v>25</v>
      </c>
      <c r="F7845" s="52" t="s">
        <v>26</v>
      </c>
      <c r="G7845" s="53"/>
    </row>
    <row r="7846">
      <c r="A7846" s="49">
        <v>44595.30938622685</v>
      </c>
      <c r="B7846" s="50">
        <v>44595.4343600694</v>
      </c>
      <c r="C7846" s="51">
        <v>1.0</v>
      </c>
      <c r="D7846" s="51">
        <v>63.0</v>
      </c>
      <c r="E7846" s="52" t="s">
        <v>25</v>
      </c>
      <c r="F7846" s="52" t="s">
        <v>26</v>
      </c>
      <c r="G7846" s="53"/>
    </row>
    <row r="7847">
      <c r="A7847" s="49">
        <v>44595.31980898148</v>
      </c>
      <c r="B7847" s="50">
        <v>44595.4447810069</v>
      </c>
      <c r="C7847" s="51">
        <v>1.0</v>
      </c>
      <c r="D7847" s="51">
        <v>63.0</v>
      </c>
      <c r="E7847" s="52" t="s">
        <v>25</v>
      </c>
      <c r="F7847" s="52" t="s">
        <v>26</v>
      </c>
      <c r="G7847" s="53"/>
    </row>
    <row r="7848">
      <c r="A7848" s="49">
        <v>44595.33023332176</v>
      </c>
      <c r="B7848" s="50">
        <v>44595.455203287</v>
      </c>
      <c r="C7848" s="51">
        <v>1.0</v>
      </c>
      <c r="D7848" s="51">
        <v>63.0</v>
      </c>
      <c r="E7848" s="52" t="s">
        <v>25</v>
      </c>
      <c r="F7848" s="52" t="s">
        <v>26</v>
      </c>
      <c r="G7848" s="53"/>
    </row>
    <row r="7849">
      <c r="A7849" s="49">
        <v>44595.340652280094</v>
      </c>
      <c r="B7849" s="50">
        <v>44595.4656240625</v>
      </c>
      <c r="C7849" s="51">
        <v>1.0</v>
      </c>
      <c r="D7849" s="51">
        <v>63.0</v>
      </c>
      <c r="E7849" s="52" t="s">
        <v>25</v>
      </c>
      <c r="F7849" s="52" t="s">
        <v>26</v>
      </c>
      <c r="G7849" s="53"/>
    </row>
    <row r="7850">
      <c r="A7850" s="49">
        <v>44595.35108416667</v>
      </c>
      <c r="B7850" s="50">
        <v>44595.4760449999</v>
      </c>
      <c r="C7850" s="51">
        <v>1.0</v>
      </c>
      <c r="D7850" s="51">
        <v>63.0</v>
      </c>
      <c r="E7850" s="52" t="s">
        <v>25</v>
      </c>
      <c r="F7850" s="52" t="s">
        <v>26</v>
      </c>
      <c r="G7850" s="53"/>
    </row>
    <row r="7851">
      <c r="A7851" s="49">
        <v>44595.3614934375</v>
      </c>
      <c r="B7851" s="50">
        <v>44595.4864662037</v>
      </c>
      <c r="C7851" s="51">
        <v>1.0</v>
      </c>
      <c r="D7851" s="51">
        <v>63.0</v>
      </c>
      <c r="E7851" s="52" t="s">
        <v>25</v>
      </c>
      <c r="F7851" s="52" t="s">
        <v>26</v>
      </c>
      <c r="G7851" s="53"/>
    </row>
    <row r="7852">
      <c r="A7852" s="49">
        <v>44595.371919745376</v>
      </c>
      <c r="B7852" s="50">
        <v>44595.4968865277</v>
      </c>
      <c r="C7852" s="51">
        <v>1.0</v>
      </c>
      <c r="D7852" s="51">
        <v>63.0</v>
      </c>
      <c r="E7852" s="52" t="s">
        <v>25</v>
      </c>
      <c r="F7852" s="52" t="s">
        <v>26</v>
      </c>
      <c r="G7852" s="53"/>
    </row>
    <row r="7853">
      <c r="A7853" s="49">
        <v>44595.382345659724</v>
      </c>
      <c r="B7853" s="50">
        <v>44595.5073179629</v>
      </c>
      <c r="C7853" s="51">
        <v>1.0</v>
      </c>
      <c r="D7853" s="51">
        <v>63.0</v>
      </c>
      <c r="E7853" s="52" t="s">
        <v>25</v>
      </c>
      <c r="F7853" s="52" t="s">
        <v>26</v>
      </c>
      <c r="G7853" s="53"/>
    </row>
    <row r="7854">
      <c r="A7854" s="49">
        <v>44595.39276923611</v>
      </c>
      <c r="B7854" s="50">
        <v>44595.5177400462</v>
      </c>
      <c r="C7854" s="51">
        <v>1.0</v>
      </c>
      <c r="D7854" s="51">
        <v>63.0</v>
      </c>
      <c r="E7854" s="52" t="s">
        <v>25</v>
      </c>
      <c r="F7854" s="52" t="s">
        <v>26</v>
      </c>
      <c r="G7854" s="53"/>
    </row>
    <row r="7855">
      <c r="A7855" s="49">
        <v>44595.40319431713</v>
      </c>
      <c r="B7855" s="50">
        <v>44595.5281620023</v>
      </c>
      <c r="C7855" s="51">
        <v>1.0</v>
      </c>
      <c r="D7855" s="51">
        <v>63.0</v>
      </c>
      <c r="E7855" s="52" t="s">
        <v>25</v>
      </c>
      <c r="F7855" s="52" t="s">
        <v>26</v>
      </c>
      <c r="G7855" s="53"/>
    </row>
    <row r="7856">
      <c r="A7856" s="49">
        <v>44595.41362628472</v>
      </c>
      <c r="B7856" s="50">
        <v>44595.5385837847</v>
      </c>
      <c r="C7856" s="51">
        <v>1.0</v>
      </c>
      <c r="D7856" s="51">
        <v>63.0</v>
      </c>
      <c r="E7856" s="52" t="s">
        <v>25</v>
      </c>
      <c r="F7856" s="52" t="s">
        <v>26</v>
      </c>
      <c r="G7856" s="53"/>
    </row>
    <row r="7857">
      <c r="A7857" s="49">
        <v>44595.42404534722</v>
      </c>
      <c r="B7857" s="50">
        <v>44595.5490174652</v>
      </c>
      <c r="C7857" s="51">
        <v>1.0</v>
      </c>
      <c r="D7857" s="51">
        <v>63.0</v>
      </c>
      <c r="E7857" s="52" t="s">
        <v>25</v>
      </c>
      <c r="F7857" s="52" t="s">
        <v>26</v>
      </c>
      <c r="G7857" s="53"/>
    </row>
    <row r="7858">
      <c r="A7858" s="49">
        <v>44595.434461875004</v>
      </c>
      <c r="B7858" s="50">
        <v>44595.559438287</v>
      </c>
      <c r="C7858" s="51">
        <v>1.0</v>
      </c>
      <c r="D7858" s="51">
        <v>63.0</v>
      </c>
      <c r="E7858" s="52" t="s">
        <v>25</v>
      </c>
      <c r="F7858" s="52" t="s">
        <v>26</v>
      </c>
      <c r="G7858" s="53"/>
    </row>
    <row r="7859">
      <c r="A7859" s="49">
        <v>44595.44487917824</v>
      </c>
      <c r="B7859" s="50">
        <v>44595.5698580555</v>
      </c>
      <c r="C7859" s="51">
        <v>1.0</v>
      </c>
      <c r="D7859" s="51">
        <v>63.0</v>
      </c>
      <c r="E7859" s="52" t="s">
        <v>25</v>
      </c>
      <c r="F7859" s="52" t="s">
        <v>26</v>
      </c>
      <c r="G7859" s="53"/>
    </row>
    <row r="7860">
      <c r="A7860" s="49">
        <v>44595.4554784838</v>
      </c>
      <c r="B7860" s="50">
        <v>44595.580278993</v>
      </c>
      <c r="C7860" s="51">
        <v>1.0</v>
      </c>
      <c r="D7860" s="51">
        <v>63.0</v>
      </c>
      <c r="E7860" s="52" t="s">
        <v>25</v>
      </c>
      <c r="F7860" s="52" t="s">
        <v>26</v>
      </c>
      <c r="G7860" s="53"/>
    </row>
    <row r="7861">
      <c r="A7861" s="49">
        <v>44595.46573951389</v>
      </c>
      <c r="B7861" s="50">
        <v>44595.5907003124</v>
      </c>
      <c r="C7861" s="51">
        <v>1.0</v>
      </c>
      <c r="D7861" s="51">
        <v>63.0</v>
      </c>
      <c r="E7861" s="52" t="s">
        <v>25</v>
      </c>
      <c r="F7861" s="52" t="s">
        <v>26</v>
      </c>
      <c r="G7861" s="53"/>
    </row>
    <row r="7862">
      <c r="A7862" s="49">
        <v>44595.47619987269</v>
      </c>
      <c r="B7862" s="50">
        <v>44595.6011232523</v>
      </c>
      <c r="C7862" s="51">
        <v>1.0</v>
      </c>
      <c r="D7862" s="51">
        <v>63.0</v>
      </c>
      <c r="E7862" s="52" t="s">
        <v>25</v>
      </c>
      <c r="F7862" s="52" t="s">
        <v>26</v>
      </c>
      <c r="G7862" s="53"/>
    </row>
    <row r="7863">
      <c r="A7863" s="49">
        <v>44595.486627418984</v>
      </c>
      <c r="B7863" s="50">
        <v>44595.6115460416</v>
      </c>
      <c r="C7863" s="51">
        <v>1.0</v>
      </c>
      <c r="D7863" s="51">
        <v>63.0</v>
      </c>
      <c r="E7863" s="52" t="s">
        <v>25</v>
      </c>
      <c r="F7863" s="52" t="s">
        <v>26</v>
      </c>
      <c r="G7863" s="53"/>
    </row>
    <row r="7864">
      <c r="A7864" s="49">
        <v>44595.49700019676</v>
      </c>
      <c r="B7864" s="50">
        <v>44595.6219672338</v>
      </c>
      <c r="C7864" s="51">
        <v>1.0</v>
      </c>
      <c r="D7864" s="51">
        <v>63.0</v>
      </c>
      <c r="E7864" s="52" t="s">
        <v>25</v>
      </c>
      <c r="F7864" s="52" t="s">
        <v>26</v>
      </c>
      <c r="G7864" s="53"/>
    </row>
    <row r="7865">
      <c r="A7865" s="49">
        <v>44595.5074870949</v>
      </c>
      <c r="B7865" s="50">
        <v>44595.6324006597</v>
      </c>
      <c r="C7865" s="51">
        <v>1.0</v>
      </c>
      <c r="D7865" s="51">
        <v>63.0</v>
      </c>
      <c r="E7865" s="52" t="s">
        <v>25</v>
      </c>
      <c r="F7865" s="52" t="s">
        <v>26</v>
      </c>
      <c r="G7865" s="53"/>
    </row>
    <row r="7866">
      <c r="A7866" s="49">
        <v>44595.51786028935</v>
      </c>
      <c r="B7866" s="50">
        <v>44595.6428217592</v>
      </c>
      <c r="C7866" s="51">
        <v>1.0</v>
      </c>
      <c r="D7866" s="51">
        <v>63.0</v>
      </c>
      <c r="E7866" s="52" t="s">
        <v>25</v>
      </c>
      <c r="F7866" s="52" t="s">
        <v>26</v>
      </c>
      <c r="G7866" s="53"/>
    </row>
    <row r="7867">
      <c r="A7867" s="49">
        <v>44595.52826929398</v>
      </c>
      <c r="B7867" s="50">
        <v>44595.6532414467</v>
      </c>
      <c r="C7867" s="51">
        <v>1.0</v>
      </c>
      <c r="D7867" s="51">
        <v>63.0</v>
      </c>
      <c r="E7867" s="52" t="s">
        <v>25</v>
      </c>
      <c r="F7867" s="52" t="s">
        <v>26</v>
      </c>
      <c r="G7867" s="53"/>
    </row>
    <row r="7868">
      <c r="A7868" s="49">
        <v>44595.53868607639</v>
      </c>
      <c r="B7868" s="50">
        <v>44595.6636612847</v>
      </c>
      <c r="C7868" s="51">
        <v>1.0</v>
      </c>
      <c r="D7868" s="51">
        <v>63.0</v>
      </c>
      <c r="E7868" s="52" t="s">
        <v>25</v>
      </c>
      <c r="F7868" s="52" t="s">
        <v>26</v>
      </c>
      <c r="G7868" s="53"/>
    </row>
    <row r="7869">
      <c r="A7869" s="49">
        <v>44595.54918194444</v>
      </c>
      <c r="B7869" s="50">
        <v>44595.6741062847</v>
      </c>
      <c r="C7869" s="51">
        <v>1.0</v>
      </c>
      <c r="D7869" s="51">
        <v>63.0</v>
      </c>
      <c r="E7869" s="52" t="s">
        <v>25</v>
      </c>
      <c r="F7869" s="52" t="s">
        <v>26</v>
      </c>
      <c r="G7869" s="53"/>
    </row>
    <row r="7870">
      <c r="A7870" s="49">
        <v>44595.55960030093</v>
      </c>
      <c r="B7870" s="50">
        <v>44595.684527743</v>
      </c>
      <c r="C7870" s="51">
        <v>1.0</v>
      </c>
      <c r="D7870" s="51">
        <v>63.0</v>
      </c>
      <c r="E7870" s="52" t="s">
        <v>25</v>
      </c>
      <c r="F7870" s="52" t="s">
        <v>26</v>
      </c>
      <c r="G7870" s="53"/>
    </row>
    <row r="7871">
      <c r="A7871" s="49">
        <v>44595.57002961806</v>
      </c>
      <c r="B7871" s="50">
        <v>44595.6949490046</v>
      </c>
      <c r="C7871" s="51">
        <v>1.0</v>
      </c>
      <c r="D7871" s="51">
        <v>63.0</v>
      </c>
      <c r="E7871" s="52" t="s">
        <v>25</v>
      </c>
      <c r="F7871" s="52" t="s">
        <v>26</v>
      </c>
      <c r="G7871" s="53"/>
    </row>
    <row r="7872">
      <c r="A7872" s="49">
        <v>44595.58045405093</v>
      </c>
      <c r="B7872" s="50">
        <v>44595.705371875</v>
      </c>
      <c r="C7872" s="51">
        <v>1.0</v>
      </c>
      <c r="D7872" s="51">
        <v>63.0</v>
      </c>
      <c r="E7872" s="52" t="s">
        <v>25</v>
      </c>
      <c r="F7872" s="52" t="s">
        <v>26</v>
      </c>
      <c r="G7872" s="53"/>
    </row>
    <row r="7873">
      <c r="A7873" s="49">
        <v>44595.59086440972</v>
      </c>
      <c r="B7873" s="50">
        <v>44595.7157939004</v>
      </c>
      <c r="C7873" s="51">
        <v>0.999</v>
      </c>
      <c r="D7873" s="51">
        <v>63.0</v>
      </c>
      <c r="E7873" s="52" t="s">
        <v>25</v>
      </c>
      <c r="F7873" s="52" t="s">
        <v>26</v>
      </c>
      <c r="G7873" s="53"/>
    </row>
    <row r="7874">
      <c r="A7874" s="49">
        <v>44595.60124480324</v>
      </c>
      <c r="B7874" s="50">
        <v>44595.7262142129</v>
      </c>
      <c r="C7874" s="51">
        <v>1.0</v>
      </c>
      <c r="D7874" s="51">
        <v>63.0</v>
      </c>
      <c r="E7874" s="52" t="s">
        <v>25</v>
      </c>
      <c r="F7874" s="52" t="s">
        <v>26</v>
      </c>
      <c r="G7874" s="53"/>
    </row>
    <row r="7875">
      <c r="A7875" s="49">
        <v>44595.61165611111</v>
      </c>
      <c r="B7875" s="50">
        <v>44595.736635162</v>
      </c>
      <c r="C7875" s="51">
        <v>1.0</v>
      </c>
      <c r="D7875" s="51">
        <v>63.0</v>
      </c>
      <c r="E7875" s="52" t="s">
        <v>25</v>
      </c>
      <c r="F7875" s="52" t="s">
        <v>26</v>
      </c>
      <c r="G7875" s="53"/>
    </row>
    <row r="7876">
      <c r="A7876" s="49">
        <v>44595.6220846412</v>
      </c>
      <c r="B7876" s="50">
        <v>44595.7470568634</v>
      </c>
      <c r="C7876" s="51">
        <v>1.0</v>
      </c>
      <c r="D7876" s="51">
        <v>63.0</v>
      </c>
      <c r="E7876" s="52" t="s">
        <v>25</v>
      </c>
      <c r="F7876" s="52" t="s">
        <v>26</v>
      </c>
      <c r="G7876" s="53"/>
    </row>
    <row r="7877">
      <c r="A7877" s="49">
        <v>44595.632513379634</v>
      </c>
      <c r="B7877" s="50">
        <v>44595.75748853</v>
      </c>
      <c r="C7877" s="51">
        <v>1.0</v>
      </c>
      <c r="D7877" s="51">
        <v>63.0</v>
      </c>
      <c r="E7877" s="52" t="s">
        <v>25</v>
      </c>
      <c r="F7877" s="52" t="s">
        <v>26</v>
      </c>
      <c r="G7877" s="53"/>
    </row>
    <row r="7878">
      <c r="A7878" s="49">
        <v>44595.64293564815</v>
      </c>
      <c r="B7878" s="50">
        <v>44595.7679099074</v>
      </c>
      <c r="C7878" s="51">
        <v>1.0</v>
      </c>
      <c r="D7878" s="51">
        <v>63.0</v>
      </c>
      <c r="E7878" s="52" t="s">
        <v>25</v>
      </c>
      <c r="F7878" s="52" t="s">
        <v>26</v>
      </c>
      <c r="G7878" s="53"/>
    </row>
    <row r="7879">
      <c r="A7879" s="49">
        <v>44595.653362997684</v>
      </c>
      <c r="B7879" s="50">
        <v>44595.7783299537</v>
      </c>
      <c r="C7879" s="51">
        <v>1.0</v>
      </c>
      <c r="D7879" s="51">
        <v>63.0</v>
      </c>
      <c r="E7879" s="52" t="s">
        <v>25</v>
      </c>
      <c r="F7879" s="52" t="s">
        <v>26</v>
      </c>
      <c r="G7879" s="53"/>
    </row>
    <row r="7880">
      <c r="A7880" s="49">
        <v>44595.66376797453</v>
      </c>
      <c r="B7880" s="50">
        <v>44595.7887516203</v>
      </c>
      <c r="C7880" s="51">
        <v>1.0</v>
      </c>
      <c r="D7880" s="51">
        <v>63.0</v>
      </c>
      <c r="E7880" s="52" t="s">
        <v>25</v>
      </c>
      <c r="F7880" s="52" t="s">
        <v>26</v>
      </c>
      <c r="G7880" s="53"/>
    </row>
    <row r="7881">
      <c r="A7881" s="49">
        <v>44595.674188125</v>
      </c>
      <c r="B7881" s="50">
        <v>44595.7991723495</v>
      </c>
      <c r="C7881" s="51">
        <v>1.0</v>
      </c>
      <c r="D7881" s="51">
        <v>62.0</v>
      </c>
      <c r="E7881" s="52" t="s">
        <v>25</v>
      </c>
      <c r="F7881" s="52" t="s">
        <v>26</v>
      </c>
      <c r="G7881" s="53"/>
    </row>
    <row r="7882">
      <c r="A7882" s="49">
        <v>44595.68461769676</v>
      </c>
      <c r="B7882" s="50">
        <v>44595.8095941319</v>
      </c>
      <c r="C7882" s="51">
        <v>1.0</v>
      </c>
      <c r="D7882" s="51">
        <v>62.0</v>
      </c>
      <c r="E7882" s="52" t="s">
        <v>25</v>
      </c>
      <c r="F7882" s="52" t="s">
        <v>26</v>
      </c>
      <c r="G7882" s="53"/>
    </row>
    <row r="7883">
      <c r="A7883" s="49">
        <v>44595.69503806713</v>
      </c>
      <c r="B7883" s="50">
        <v>44595.8200157291</v>
      </c>
      <c r="C7883" s="51">
        <v>1.0</v>
      </c>
      <c r="D7883" s="51">
        <v>62.0</v>
      </c>
      <c r="E7883" s="52" t="s">
        <v>25</v>
      </c>
      <c r="F7883" s="52" t="s">
        <v>26</v>
      </c>
      <c r="G7883" s="53"/>
    </row>
    <row r="7884">
      <c r="A7884" s="49">
        <v>44595.705473090275</v>
      </c>
      <c r="B7884" s="50">
        <v>44595.8304488888</v>
      </c>
      <c r="C7884" s="51">
        <v>1.0</v>
      </c>
      <c r="D7884" s="51">
        <v>62.0</v>
      </c>
      <c r="E7884" s="52" t="s">
        <v>25</v>
      </c>
      <c r="F7884" s="52" t="s">
        <v>26</v>
      </c>
      <c r="G7884" s="53"/>
    </row>
    <row r="7885">
      <c r="A7885" s="49">
        <v>44595.71589054399</v>
      </c>
      <c r="B7885" s="50">
        <v>44595.8408699537</v>
      </c>
      <c r="C7885" s="51">
        <v>1.0</v>
      </c>
      <c r="D7885" s="51">
        <v>62.0</v>
      </c>
      <c r="E7885" s="52" t="s">
        <v>25</v>
      </c>
      <c r="F7885" s="52" t="s">
        <v>26</v>
      </c>
      <c r="G7885" s="53"/>
    </row>
    <row r="7886">
      <c r="A7886" s="49">
        <v>44595.72631347222</v>
      </c>
      <c r="B7886" s="50">
        <v>44595.8512912499</v>
      </c>
      <c r="C7886" s="51">
        <v>1.0</v>
      </c>
      <c r="D7886" s="51">
        <v>62.0</v>
      </c>
      <c r="E7886" s="52" t="s">
        <v>25</v>
      </c>
      <c r="F7886" s="52" t="s">
        <v>26</v>
      </c>
      <c r="G7886" s="53"/>
    </row>
    <row r="7887">
      <c r="A7887" s="49">
        <v>44595.73674068287</v>
      </c>
      <c r="B7887" s="50">
        <v>44595.8617118518</v>
      </c>
      <c r="C7887" s="51">
        <v>1.0</v>
      </c>
      <c r="D7887" s="51">
        <v>62.0</v>
      </c>
      <c r="E7887" s="52" t="s">
        <v>25</v>
      </c>
      <c r="F7887" s="52" t="s">
        <v>26</v>
      </c>
      <c r="G7887" s="53"/>
    </row>
    <row r="7888">
      <c r="A7888" s="49">
        <v>44595.74715981481</v>
      </c>
      <c r="B7888" s="50">
        <v>44595.8721317939</v>
      </c>
      <c r="C7888" s="51">
        <v>1.0</v>
      </c>
      <c r="D7888" s="51">
        <v>62.0</v>
      </c>
      <c r="E7888" s="52" t="s">
        <v>25</v>
      </c>
      <c r="F7888" s="52" t="s">
        <v>26</v>
      </c>
      <c r="G7888" s="53"/>
    </row>
    <row r="7889">
      <c r="A7889" s="49">
        <v>44595.75756894676</v>
      </c>
      <c r="B7889" s="50">
        <v>44595.8825531944</v>
      </c>
      <c r="C7889" s="51">
        <v>1.0</v>
      </c>
      <c r="D7889" s="51">
        <v>62.0</v>
      </c>
      <c r="E7889" s="52" t="s">
        <v>25</v>
      </c>
      <c r="F7889" s="52" t="s">
        <v>26</v>
      </c>
      <c r="G7889" s="53"/>
    </row>
    <row r="7890">
      <c r="A7890" s="49">
        <v>44595.76799832176</v>
      </c>
      <c r="B7890" s="50">
        <v>44595.8929739583</v>
      </c>
      <c r="C7890" s="51">
        <v>1.0</v>
      </c>
      <c r="D7890" s="51">
        <v>62.0</v>
      </c>
      <c r="E7890" s="52" t="s">
        <v>25</v>
      </c>
      <c r="F7890" s="52" t="s">
        <v>26</v>
      </c>
      <c r="G7890" s="53"/>
    </row>
    <row r="7891">
      <c r="A7891" s="49">
        <v>44595.778443738425</v>
      </c>
      <c r="B7891" s="50">
        <v>44595.9034195833</v>
      </c>
      <c r="C7891" s="51">
        <v>1.0</v>
      </c>
      <c r="D7891" s="51">
        <v>62.0</v>
      </c>
      <c r="E7891" s="52" t="s">
        <v>25</v>
      </c>
      <c r="F7891" s="52" t="s">
        <v>26</v>
      </c>
      <c r="G7891" s="53"/>
    </row>
    <row r="7892">
      <c r="A7892" s="49">
        <v>44595.788870081014</v>
      </c>
      <c r="B7892" s="50">
        <v>44595.9138387962</v>
      </c>
      <c r="C7892" s="51">
        <v>1.0</v>
      </c>
      <c r="D7892" s="51">
        <v>62.0</v>
      </c>
      <c r="E7892" s="52" t="s">
        <v>25</v>
      </c>
      <c r="F7892" s="52" t="s">
        <v>26</v>
      </c>
      <c r="G7892" s="53"/>
    </row>
    <row r="7893">
      <c r="A7893" s="49">
        <v>44595.79928612268</v>
      </c>
      <c r="B7893" s="50">
        <v>44595.9242596643</v>
      </c>
      <c r="C7893" s="51">
        <v>1.0</v>
      </c>
      <c r="D7893" s="51">
        <v>62.0</v>
      </c>
      <c r="E7893" s="52" t="s">
        <v>25</v>
      </c>
      <c r="F7893" s="52" t="s">
        <v>26</v>
      </c>
      <c r="G7893" s="53"/>
    </row>
    <row r="7894">
      <c r="A7894" s="49">
        <v>44595.80970615741</v>
      </c>
      <c r="B7894" s="50">
        <v>44595.9346796527</v>
      </c>
      <c r="C7894" s="51">
        <v>1.0</v>
      </c>
      <c r="D7894" s="51">
        <v>62.0</v>
      </c>
      <c r="E7894" s="52" t="s">
        <v>25</v>
      </c>
      <c r="F7894" s="52" t="s">
        <v>26</v>
      </c>
      <c r="G7894" s="53"/>
    </row>
    <row r="7895">
      <c r="A7895" s="49">
        <v>44595.82012541666</v>
      </c>
      <c r="B7895" s="50">
        <v>44595.9451005787</v>
      </c>
      <c r="C7895" s="51">
        <v>1.0</v>
      </c>
      <c r="D7895" s="51">
        <v>62.0</v>
      </c>
      <c r="E7895" s="52" t="s">
        <v>25</v>
      </c>
      <c r="F7895" s="52" t="s">
        <v>26</v>
      </c>
      <c r="G7895" s="53"/>
    </row>
    <row r="7896">
      <c r="A7896" s="49">
        <v>44595.83054407407</v>
      </c>
      <c r="B7896" s="50">
        <v>44595.9555211111</v>
      </c>
      <c r="C7896" s="51">
        <v>1.0</v>
      </c>
      <c r="D7896" s="51">
        <v>62.0</v>
      </c>
      <c r="E7896" s="52" t="s">
        <v>25</v>
      </c>
      <c r="F7896" s="52" t="s">
        <v>26</v>
      </c>
      <c r="G7896" s="53"/>
    </row>
    <row r="7897">
      <c r="A7897" s="49">
        <v>44595.840968136574</v>
      </c>
      <c r="B7897" s="50">
        <v>44595.9659429166</v>
      </c>
      <c r="C7897" s="51">
        <v>1.0</v>
      </c>
      <c r="D7897" s="51">
        <v>62.0</v>
      </c>
      <c r="E7897" s="52" t="s">
        <v>25</v>
      </c>
      <c r="F7897" s="52" t="s">
        <v>26</v>
      </c>
      <c r="G7897" s="53"/>
    </row>
    <row r="7898">
      <c r="A7898" s="49">
        <v>44595.85138590277</v>
      </c>
      <c r="B7898" s="50">
        <v>44595.9763646527</v>
      </c>
      <c r="C7898" s="51">
        <v>1.0</v>
      </c>
      <c r="D7898" s="51">
        <v>62.0</v>
      </c>
      <c r="E7898" s="52" t="s">
        <v>25</v>
      </c>
      <c r="F7898" s="52" t="s">
        <v>26</v>
      </c>
      <c r="G7898" s="53"/>
    </row>
    <row r="7899">
      <c r="A7899" s="49">
        <v>44595.86181883102</v>
      </c>
      <c r="B7899" s="50">
        <v>44595.9867968171</v>
      </c>
      <c r="C7899" s="51">
        <v>1.0</v>
      </c>
      <c r="D7899" s="51">
        <v>62.0</v>
      </c>
      <c r="E7899" s="52" t="s">
        <v>25</v>
      </c>
      <c r="F7899" s="52" t="s">
        <v>26</v>
      </c>
      <c r="G7899" s="53"/>
    </row>
    <row r="7900">
      <c r="A7900" s="49">
        <v>44595.87224309028</v>
      </c>
      <c r="B7900" s="50">
        <v>44595.9972170254</v>
      </c>
      <c r="C7900" s="51">
        <v>1.0</v>
      </c>
      <c r="D7900" s="51">
        <v>62.0</v>
      </c>
      <c r="E7900" s="52" t="s">
        <v>25</v>
      </c>
      <c r="F7900" s="52" t="s">
        <v>26</v>
      </c>
      <c r="G7900" s="53"/>
    </row>
    <row r="7901">
      <c r="A7901" s="49">
        <v>44595.88266534722</v>
      </c>
      <c r="B7901" s="50">
        <v>44596.0076381944</v>
      </c>
      <c r="C7901" s="51">
        <v>1.0</v>
      </c>
      <c r="D7901" s="51">
        <v>62.0</v>
      </c>
      <c r="E7901" s="52" t="s">
        <v>25</v>
      </c>
      <c r="F7901" s="52" t="s">
        <v>26</v>
      </c>
      <c r="G7901" s="53"/>
    </row>
    <row r="7902">
      <c r="A7902" s="49">
        <v>44595.89308627315</v>
      </c>
      <c r="B7902" s="50">
        <v>44596.0180597453</v>
      </c>
      <c r="C7902" s="51">
        <v>1.0</v>
      </c>
      <c r="D7902" s="51">
        <v>62.0</v>
      </c>
      <c r="E7902" s="52" t="s">
        <v>25</v>
      </c>
      <c r="F7902" s="52" t="s">
        <v>26</v>
      </c>
      <c r="G7902" s="53"/>
    </row>
    <row r="7903">
      <c r="A7903" s="49">
        <v>44595.90352554398</v>
      </c>
      <c r="B7903" s="50">
        <v>44596.0285045138</v>
      </c>
      <c r="C7903" s="51">
        <v>1.0</v>
      </c>
      <c r="D7903" s="51">
        <v>62.0</v>
      </c>
      <c r="E7903" s="52" t="s">
        <v>25</v>
      </c>
      <c r="F7903" s="52" t="s">
        <v>26</v>
      </c>
      <c r="G7903" s="53"/>
    </row>
    <row r="7904">
      <c r="A7904" s="49">
        <v>44595.91395107639</v>
      </c>
      <c r="B7904" s="50">
        <v>44596.0389269097</v>
      </c>
      <c r="C7904" s="51">
        <v>1.0</v>
      </c>
      <c r="D7904" s="51">
        <v>62.0</v>
      </c>
      <c r="E7904" s="52" t="s">
        <v>25</v>
      </c>
      <c r="F7904" s="52" t="s">
        <v>26</v>
      </c>
      <c r="G7904" s="53"/>
    </row>
    <row r="7905">
      <c r="A7905" s="49">
        <v>44595.92437662037</v>
      </c>
      <c r="B7905" s="50">
        <v>44596.049347662</v>
      </c>
      <c r="C7905" s="51">
        <v>1.0</v>
      </c>
      <c r="D7905" s="51">
        <v>62.0</v>
      </c>
      <c r="E7905" s="52" t="s">
        <v>25</v>
      </c>
      <c r="F7905" s="52" t="s">
        <v>26</v>
      </c>
      <c r="G7905" s="53"/>
    </row>
    <row r="7906">
      <c r="A7906" s="49">
        <v>44595.93480260417</v>
      </c>
      <c r="B7906" s="50">
        <v>44596.0597803356</v>
      </c>
      <c r="C7906" s="51">
        <v>1.0</v>
      </c>
      <c r="D7906" s="51">
        <v>62.0</v>
      </c>
      <c r="E7906" s="52" t="s">
        <v>25</v>
      </c>
      <c r="F7906" s="52" t="s">
        <v>26</v>
      </c>
      <c r="G7906" s="53"/>
    </row>
    <row r="7907">
      <c r="A7907" s="49">
        <v>44595.945244814815</v>
      </c>
      <c r="B7907" s="50">
        <v>44596.0702229398</v>
      </c>
      <c r="C7907" s="51">
        <v>1.0</v>
      </c>
      <c r="D7907" s="51">
        <v>62.0</v>
      </c>
      <c r="E7907" s="52" t="s">
        <v>25</v>
      </c>
      <c r="F7907" s="52" t="s">
        <v>26</v>
      </c>
      <c r="G7907" s="53"/>
    </row>
    <row r="7908">
      <c r="A7908" s="49">
        <v>44595.955663125</v>
      </c>
      <c r="B7908" s="50">
        <v>44596.0806416898</v>
      </c>
      <c r="C7908" s="51">
        <v>1.0</v>
      </c>
      <c r="D7908" s="51">
        <v>62.0</v>
      </c>
      <c r="E7908" s="52" t="s">
        <v>25</v>
      </c>
      <c r="F7908" s="52" t="s">
        <v>26</v>
      </c>
      <c r="G7908" s="53"/>
    </row>
    <row r="7909">
      <c r="A7909" s="49">
        <v>44595.96608859954</v>
      </c>
      <c r="B7909" s="50">
        <v>44596.0910623958</v>
      </c>
      <c r="C7909" s="51">
        <v>1.0</v>
      </c>
      <c r="D7909" s="51">
        <v>62.0</v>
      </c>
      <c r="E7909" s="52" t="s">
        <v>25</v>
      </c>
      <c r="F7909" s="52" t="s">
        <v>26</v>
      </c>
      <c r="G7909" s="53"/>
    </row>
    <row r="7910">
      <c r="A7910" s="49">
        <v>44595.976510925924</v>
      </c>
      <c r="B7910" s="50">
        <v>44596.1014849421</v>
      </c>
      <c r="C7910" s="51">
        <v>1.0</v>
      </c>
      <c r="D7910" s="51">
        <v>62.0</v>
      </c>
      <c r="E7910" s="52" t="s">
        <v>25</v>
      </c>
      <c r="F7910" s="52" t="s">
        <v>26</v>
      </c>
      <c r="G7910" s="53"/>
    </row>
    <row r="7911">
      <c r="A7911" s="49">
        <v>44595.98694282408</v>
      </c>
      <c r="B7911" s="50">
        <v>44596.1119184953</v>
      </c>
      <c r="C7911" s="51">
        <v>1.0</v>
      </c>
      <c r="D7911" s="51">
        <v>62.0</v>
      </c>
      <c r="E7911" s="52" t="s">
        <v>25</v>
      </c>
      <c r="F7911" s="52" t="s">
        <v>26</v>
      </c>
      <c r="G7911" s="53"/>
    </row>
    <row r="7912">
      <c r="A7912" s="49">
        <v>44595.99736047453</v>
      </c>
      <c r="B7912" s="50">
        <v>44596.1223410069</v>
      </c>
      <c r="C7912" s="51">
        <v>1.0</v>
      </c>
      <c r="D7912" s="51">
        <v>62.0</v>
      </c>
      <c r="E7912" s="52" t="s">
        <v>25</v>
      </c>
      <c r="F7912" s="52" t="s">
        <v>26</v>
      </c>
      <c r="G7912" s="53"/>
    </row>
    <row r="7913">
      <c r="A7913" s="49">
        <v>44596.00779484954</v>
      </c>
      <c r="B7913" s="50">
        <v>44596.1327632986</v>
      </c>
      <c r="C7913" s="51">
        <v>1.0</v>
      </c>
      <c r="D7913" s="51">
        <v>62.0</v>
      </c>
      <c r="E7913" s="52" t="s">
        <v>25</v>
      </c>
      <c r="F7913" s="52" t="s">
        <v>26</v>
      </c>
      <c r="G7913" s="53"/>
    </row>
    <row r="7914">
      <c r="A7914" s="49">
        <v>44596.01821127315</v>
      </c>
      <c r="B7914" s="50">
        <v>44596.1431835416</v>
      </c>
      <c r="C7914" s="51">
        <v>1.0</v>
      </c>
      <c r="D7914" s="51">
        <v>62.0</v>
      </c>
      <c r="E7914" s="52" t="s">
        <v>25</v>
      </c>
      <c r="F7914" s="52" t="s">
        <v>26</v>
      </c>
      <c r="G7914" s="53"/>
    </row>
    <row r="7915">
      <c r="A7915" s="49">
        <v>44596.028632939815</v>
      </c>
      <c r="B7915" s="50">
        <v>44596.1536042824</v>
      </c>
      <c r="C7915" s="51">
        <v>1.0</v>
      </c>
      <c r="D7915" s="51">
        <v>62.0</v>
      </c>
      <c r="E7915" s="52" t="s">
        <v>25</v>
      </c>
      <c r="F7915" s="52" t="s">
        <v>26</v>
      </c>
      <c r="G7915" s="53"/>
    </row>
    <row r="7916">
      <c r="A7916" s="49">
        <v>44596.03906645833</v>
      </c>
      <c r="B7916" s="50">
        <v>44596.1640378588</v>
      </c>
      <c r="C7916" s="51">
        <v>1.0</v>
      </c>
      <c r="D7916" s="51">
        <v>62.0</v>
      </c>
      <c r="E7916" s="52" t="s">
        <v>25</v>
      </c>
      <c r="F7916" s="52" t="s">
        <v>26</v>
      </c>
      <c r="G7916" s="53"/>
    </row>
    <row r="7917">
      <c r="A7917" s="49">
        <v>44596.049476932865</v>
      </c>
      <c r="B7917" s="50">
        <v>44596.1744591898</v>
      </c>
      <c r="C7917" s="51">
        <v>1.0</v>
      </c>
      <c r="D7917" s="51">
        <v>62.0</v>
      </c>
      <c r="E7917" s="52" t="s">
        <v>25</v>
      </c>
      <c r="F7917" s="52" t="s">
        <v>26</v>
      </c>
      <c r="G7917" s="53"/>
    </row>
    <row r="7918">
      <c r="A7918" s="49">
        <v>44596.05990547454</v>
      </c>
      <c r="B7918" s="50">
        <v>44596.1848790509</v>
      </c>
      <c r="C7918" s="51">
        <v>1.0</v>
      </c>
      <c r="D7918" s="51">
        <v>62.0</v>
      </c>
      <c r="E7918" s="52" t="s">
        <v>25</v>
      </c>
      <c r="F7918" s="52" t="s">
        <v>26</v>
      </c>
      <c r="G7918" s="53"/>
    </row>
    <row r="7919">
      <c r="A7919" s="49">
        <v>44596.07033983796</v>
      </c>
      <c r="B7919" s="50">
        <v>44596.195312118</v>
      </c>
      <c r="C7919" s="51">
        <v>1.0</v>
      </c>
      <c r="D7919" s="51">
        <v>62.0</v>
      </c>
      <c r="E7919" s="52" t="s">
        <v>25</v>
      </c>
      <c r="F7919" s="52" t="s">
        <v>26</v>
      </c>
      <c r="G7919" s="53"/>
    </row>
    <row r="7920">
      <c r="A7920" s="49">
        <v>44596.08077170139</v>
      </c>
      <c r="B7920" s="50">
        <v>44596.2057435416</v>
      </c>
      <c r="C7920" s="51">
        <v>1.0</v>
      </c>
      <c r="D7920" s="51">
        <v>62.0</v>
      </c>
      <c r="E7920" s="52" t="s">
        <v>25</v>
      </c>
      <c r="F7920" s="52" t="s">
        <v>26</v>
      </c>
      <c r="G7920" s="53"/>
    </row>
    <row r="7921">
      <c r="A7921" s="49">
        <v>44596.09119851852</v>
      </c>
      <c r="B7921" s="50">
        <v>44596.2161647337</v>
      </c>
      <c r="C7921" s="51">
        <v>1.0</v>
      </c>
      <c r="D7921" s="51">
        <v>62.0</v>
      </c>
      <c r="E7921" s="52" t="s">
        <v>25</v>
      </c>
      <c r="F7921" s="52" t="s">
        <v>26</v>
      </c>
      <c r="G7921" s="53"/>
    </row>
    <row r="7922">
      <c r="A7922" s="49">
        <v>44596.10161195602</v>
      </c>
      <c r="B7922" s="50">
        <v>44596.2265872337</v>
      </c>
      <c r="C7922" s="51">
        <v>1.0</v>
      </c>
      <c r="D7922" s="51">
        <v>62.0</v>
      </c>
      <c r="E7922" s="52" t="s">
        <v>25</v>
      </c>
      <c r="F7922" s="52" t="s">
        <v>26</v>
      </c>
      <c r="G7922" s="53"/>
    </row>
    <row r="7923">
      <c r="A7923" s="49">
        <v>44596.112031400466</v>
      </c>
      <c r="B7923" s="50">
        <v>44596.2370080092</v>
      </c>
      <c r="C7923" s="51">
        <v>1.0</v>
      </c>
      <c r="D7923" s="51">
        <v>62.0</v>
      </c>
      <c r="E7923" s="52" t="s">
        <v>25</v>
      </c>
      <c r="F7923" s="52" t="s">
        <v>26</v>
      </c>
      <c r="G7923" s="53"/>
    </row>
    <row r="7924">
      <c r="A7924" s="49">
        <v>44596.122452118056</v>
      </c>
      <c r="B7924" s="50">
        <v>44596.2474288657</v>
      </c>
      <c r="C7924" s="51">
        <v>1.0</v>
      </c>
      <c r="D7924" s="51">
        <v>62.0</v>
      </c>
      <c r="E7924" s="52" t="s">
        <v>25</v>
      </c>
      <c r="F7924" s="52" t="s">
        <v>26</v>
      </c>
      <c r="G7924" s="53"/>
    </row>
    <row r="7925">
      <c r="A7925" s="49">
        <v>44596.13287075231</v>
      </c>
      <c r="B7925" s="50">
        <v>44596.2578523611</v>
      </c>
      <c r="C7925" s="51">
        <v>1.0</v>
      </c>
      <c r="D7925" s="51">
        <v>62.0</v>
      </c>
      <c r="E7925" s="52" t="s">
        <v>25</v>
      </c>
      <c r="F7925" s="52" t="s">
        <v>26</v>
      </c>
      <c r="G7925" s="53"/>
    </row>
    <row r="7926">
      <c r="A7926" s="49">
        <v>44596.143290011576</v>
      </c>
      <c r="B7926" s="50">
        <v>44596.2682744328</v>
      </c>
      <c r="C7926" s="51">
        <v>1.0</v>
      </c>
      <c r="D7926" s="51">
        <v>62.0</v>
      </c>
      <c r="E7926" s="52" t="s">
        <v>25</v>
      </c>
      <c r="F7926" s="52" t="s">
        <v>26</v>
      </c>
      <c r="G7926" s="53"/>
    </row>
    <row r="7927">
      <c r="A7927" s="49">
        <v>44596.15371721065</v>
      </c>
      <c r="B7927" s="50">
        <v>44596.2786956712</v>
      </c>
      <c r="C7927" s="51">
        <v>1.0</v>
      </c>
      <c r="D7927" s="51">
        <v>62.0</v>
      </c>
      <c r="E7927" s="52" t="s">
        <v>25</v>
      </c>
      <c r="F7927" s="52" t="s">
        <v>26</v>
      </c>
      <c r="G7927" s="53"/>
    </row>
    <row r="7928">
      <c r="A7928" s="49">
        <v>44596.16413234954</v>
      </c>
      <c r="B7928" s="50">
        <v>44596.2891149305</v>
      </c>
      <c r="C7928" s="51">
        <v>1.0</v>
      </c>
      <c r="D7928" s="51">
        <v>62.0</v>
      </c>
      <c r="E7928" s="52" t="s">
        <v>25</v>
      </c>
      <c r="F7928" s="52" t="s">
        <v>26</v>
      </c>
      <c r="G7928" s="53"/>
    </row>
    <row r="7929">
      <c r="A7929" s="49">
        <v>44596.17456194444</v>
      </c>
      <c r="B7929" s="50">
        <v>44596.2995361111</v>
      </c>
      <c r="C7929" s="51">
        <v>1.0</v>
      </c>
      <c r="D7929" s="51">
        <v>62.0</v>
      </c>
      <c r="E7929" s="52" t="s">
        <v>25</v>
      </c>
      <c r="F7929" s="52" t="s">
        <v>26</v>
      </c>
      <c r="G7929" s="53"/>
    </row>
    <row r="7930">
      <c r="A7930" s="49">
        <v>44596.184982129635</v>
      </c>
      <c r="B7930" s="50">
        <v>44596.3099580671</v>
      </c>
      <c r="C7930" s="51">
        <v>1.0</v>
      </c>
      <c r="D7930" s="51">
        <v>62.0</v>
      </c>
      <c r="E7930" s="52" t="s">
        <v>25</v>
      </c>
      <c r="F7930" s="52" t="s">
        <v>26</v>
      </c>
      <c r="G7930" s="53"/>
    </row>
    <row r="7931">
      <c r="A7931" s="49">
        <v>44596.19540686342</v>
      </c>
      <c r="B7931" s="50">
        <v>44596.320380324</v>
      </c>
      <c r="C7931" s="51">
        <v>1.0</v>
      </c>
      <c r="D7931" s="51">
        <v>62.0</v>
      </c>
      <c r="E7931" s="52" t="s">
        <v>25</v>
      </c>
      <c r="F7931" s="52" t="s">
        <v>26</v>
      </c>
      <c r="G7931" s="53"/>
    </row>
    <row r="7932">
      <c r="A7932" s="49">
        <v>44596.20583057871</v>
      </c>
      <c r="B7932" s="50">
        <v>44596.3308019675</v>
      </c>
      <c r="C7932" s="51">
        <v>1.0</v>
      </c>
      <c r="D7932" s="51">
        <v>62.0</v>
      </c>
      <c r="E7932" s="52" t="s">
        <v>25</v>
      </c>
      <c r="F7932" s="52" t="s">
        <v>26</v>
      </c>
      <c r="G7932" s="53"/>
    </row>
    <row r="7933">
      <c r="A7933" s="49">
        <v>44596.216256238426</v>
      </c>
      <c r="B7933" s="50">
        <v>44596.3412356365</v>
      </c>
      <c r="C7933" s="51">
        <v>1.0</v>
      </c>
      <c r="D7933" s="51">
        <v>62.0</v>
      </c>
      <c r="E7933" s="52" t="s">
        <v>25</v>
      </c>
      <c r="F7933" s="52" t="s">
        <v>26</v>
      </c>
      <c r="G7933" s="53"/>
    </row>
    <row r="7934">
      <c r="A7934" s="49">
        <v>44596.226698275466</v>
      </c>
      <c r="B7934" s="50">
        <v>44596.3516676851</v>
      </c>
      <c r="C7934" s="51">
        <v>1.0</v>
      </c>
      <c r="D7934" s="51">
        <v>62.0</v>
      </c>
      <c r="E7934" s="52" t="s">
        <v>25</v>
      </c>
      <c r="F7934" s="52" t="s">
        <v>26</v>
      </c>
      <c r="G7934" s="53"/>
    </row>
    <row r="7935">
      <c r="A7935" s="49">
        <v>44596.23711148148</v>
      </c>
      <c r="B7935" s="50">
        <v>44596.36208853</v>
      </c>
      <c r="C7935" s="51">
        <v>1.0</v>
      </c>
      <c r="D7935" s="51">
        <v>62.0</v>
      </c>
      <c r="E7935" s="52" t="s">
        <v>25</v>
      </c>
      <c r="F7935" s="52" t="s">
        <v>26</v>
      </c>
      <c r="G7935" s="53"/>
    </row>
    <row r="7936">
      <c r="A7936" s="49">
        <v>44596.24753324074</v>
      </c>
      <c r="B7936" s="50">
        <v>44596.3725087268</v>
      </c>
      <c r="C7936" s="51">
        <v>1.0</v>
      </c>
      <c r="D7936" s="51">
        <v>62.0</v>
      </c>
      <c r="E7936" s="52" t="s">
        <v>25</v>
      </c>
      <c r="F7936" s="52" t="s">
        <v>26</v>
      </c>
      <c r="G7936" s="53"/>
    </row>
    <row r="7937">
      <c r="A7937" s="49">
        <v>44596.257964178236</v>
      </c>
      <c r="B7937" s="50">
        <v>44596.382940787</v>
      </c>
      <c r="C7937" s="51">
        <v>1.0</v>
      </c>
      <c r="D7937" s="51">
        <v>62.0</v>
      </c>
      <c r="E7937" s="52" t="s">
        <v>25</v>
      </c>
      <c r="F7937" s="52" t="s">
        <v>26</v>
      </c>
      <c r="G7937" s="53"/>
    </row>
    <row r="7938">
      <c r="A7938" s="49">
        <v>44596.26840508102</v>
      </c>
      <c r="B7938" s="50">
        <v>44596.3933857407</v>
      </c>
      <c r="C7938" s="51">
        <v>1.0</v>
      </c>
      <c r="D7938" s="51">
        <v>62.0</v>
      </c>
      <c r="E7938" s="52" t="s">
        <v>25</v>
      </c>
      <c r="F7938" s="52" t="s">
        <v>26</v>
      </c>
      <c r="G7938" s="53"/>
    </row>
    <row r="7939">
      <c r="A7939" s="49">
        <v>44596.27883862269</v>
      </c>
      <c r="B7939" s="50">
        <v>44596.4038080092</v>
      </c>
      <c r="C7939" s="51">
        <v>1.0</v>
      </c>
      <c r="D7939" s="51">
        <v>62.0</v>
      </c>
      <c r="E7939" s="52" t="s">
        <v>25</v>
      </c>
      <c r="F7939" s="52" t="s">
        <v>26</v>
      </c>
      <c r="G7939" s="53"/>
    </row>
    <row r="7940">
      <c r="A7940" s="49">
        <v>44596.28926310185</v>
      </c>
      <c r="B7940" s="50">
        <v>44596.4142280324</v>
      </c>
      <c r="C7940" s="51">
        <v>1.0</v>
      </c>
      <c r="D7940" s="51">
        <v>62.0</v>
      </c>
      <c r="E7940" s="52" t="s">
        <v>25</v>
      </c>
      <c r="F7940" s="52" t="s">
        <v>26</v>
      </c>
      <c r="G7940" s="53"/>
    </row>
    <row r="7941">
      <c r="A7941" s="49">
        <v>44596.29967788194</v>
      </c>
      <c r="B7941" s="50">
        <v>44596.4246481944</v>
      </c>
      <c r="C7941" s="51">
        <v>1.0</v>
      </c>
      <c r="D7941" s="51">
        <v>62.0</v>
      </c>
      <c r="E7941" s="52" t="s">
        <v>25</v>
      </c>
      <c r="F7941" s="52" t="s">
        <v>26</v>
      </c>
      <c r="G7941" s="53"/>
    </row>
    <row r="7942">
      <c r="A7942" s="49">
        <v>44596.310109467595</v>
      </c>
      <c r="B7942" s="50">
        <v>44596.4350810648</v>
      </c>
      <c r="C7942" s="51">
        <v>1.0</v>
      </c>
      <c r="D7942" s="51">
        <v>62.0</v>
      </c>
      <c r="E7942" s="52" t="s">
        <v>25</v>
      </c>
      <c r="F7942" s="52" t="s">
        <v>26</v>
      </c>
      <c r="G7942" s="53"/>
    </row>
    <row r="7943">
      <c r="A7943" s="49">
        <v>44596.32052341435</v>
      </c>
      <c r="B7943" s="50">
        <v>44596.4455015393</v>
      </c>
      <c r="C7943" s="51">
        <v>1.0</v>
      </c>
      <c r="D7943" s="51">
        <v>62.0</v>
      </c>
      <c r="E7943" s="52" t="s">
        <v>25</v>
      </c>
      <c r="F7943" s="52" t="s">
        <v>26</v>
      </c>
      <c r="G7943" s="53"/>
    </row>
    <row r="7944">
      <c r="A7944" s="49">
        <v>44596.330961087966</v>
      </c>
      <c r="B7944" s="50">
        <v>44596.4559327199</v>
      </c>
      <c r="C7944" s="51">
        <v>1.0</v>
      </c>
      <c r="D7944" s="51">
        <v>62.0</v>
      </c>
      <c r="E7944" s="52" t="s">
        <v>25</v>
      </c>
      <c r="F7944" s="52" t="s">
        <v>26</v>
      </c>
      <c r="G7944" s="53"/>
    </row>
    <row r="7945">
      <c r="A7945" s="49">
        <v>44596.341376296295</v>
      </c>
      <c r="B7945" s="50">
        <v>44596.4663531944</v>
      </c>
      <c r="C7945" s="51">
        <v>1.0</v>
      </c>
      <c r="D7945" s="51">
        <v>62.0</v>
      </c>
      <c r="E7945" s="52" t="s">
        <v>25</v>
      </c>
      <c r="F7945" s="52" t="s">
        <v>26</v>
      </c>
      <c r="G7945" s="53"/>
    </row>
    <row r="7946">
      <c r="A7946" s="49">
        <v>44596.351806527775</v>
      </c>
      <c r="B7946" s="50">
        <v>44596.476774618</v>
      </c>
      <c r="C7946" s="51">
        <v>1.0</v>
      </c>
      <c r="D7946" s="51">
        <v>62.0</v>
      </c>
      <c r="E7946" s="52" t="s">
        <v>25</v>
      </c>
      <c r="F7946" s="52" t="s">
        <v>26</v>
      </c>
      <c r="G7946" s="53"/>
    </row>
    <row r="7947">
      <c r="A7947" s="49">
        <v>44596.362228819446</v>
      </c>
      <c r="B7947" s="50">
        <v>44596.4871954861</v>
      </c>
      <c r="C7947" s="51">
        <v>1.0</v>
      </c>
      <c r="D7947" s="51">
        <v>62.0</v>
      </c>
      <c r="E7947" s="52" t="s">
        <v>25</v>
      </c>
      <c r="F7947" s="52" t="s">
        <v>26</v>
      </c>
      <c r="G7947" s="53"/>
    </row>
    <row r="7948">
      <c r="A7948" s="49">
        <v>44596.37266149306</v>
      </c>
      <c r="B7948" s="50">
        <v>44596.4976298495</v>
      </c>
      <c r="C7948" s="51">
        <v>1.0</v>
      </c>
      <c r="D7948" s="51">
        <v>62.0</v>
      </c>
      <c r="E7948" s="52" t="s">
        <v>25</v>
      </c>
      <c r="F7948" s="52" t="s">
        <v>26</v>
      </c>
      <c r="G7948" s="53"/>
    </row>
    <row r="7949">
      <c r="A7949" s="49">
        <v>44596.38308212963</v>
      </c>
      <c r="B7949" s="50">
        <v>44596.5080510648</v>
      </c>
      <c r="C7949" s="51">
        <v>1.0</v>
      </c>
      <c r="D7949" s="51">
        <v>62.0</v>
      </c>
      <c r="E7949" s="52" t="s">
        <v>25</v>
      </c>
      <c r="F7949" s="52" t="s">
        <v>26</v>
      </c>
      <c r="G7949" s="53"/>
    </row>
    <row r="7950">
      <c r="A7950" s="49">
        <v>44596.39351299769</v>
      </c>
      <c r="B7950" s="50">
        <v>44596.51848375</v>
      </c>
      <c r="C7950" s="51">
        <v>1.0</v>
      </c>
      <c r="D7950" s="51">
        <v>62.0</v>
      </c>
      <c r="E7950" s="52" t="s">
        <v>25</v>
      </c>
      <c r="F7950" s="52" t="s">
        <v>26</v>
      </c>
      <c r="G7950" s="53"/>
    </row>
    <row r="7951">
      <c r="A7951" s="49">
        <v>44596.403945046295</v>
      </c>
      <c r="B7951" s="50">
        <v>44596.5289176851</v>
      </c>
      <c r="C7951" s="51">
        <v>1.0</v>
      </c>
      <c r="D7951" s="51">
        <v>62.0</v>
      </c>
      <c r="E7951" s="52" t="s">
        <v>25</v>
      </c>
      <c r="F7951" s="52" t="s">
        <v>26</v>
      </c>
      <c r="G7951" s="53"/>
    </row>
    <row r="7952">
      <c r="A7952" s="49">
        <v>44596.41436310185</v>
      </c>
      <c r="B7952" s="50">
        <v>44596.5393370717</v>
      </c>
      <c r="C7952" s="51">
        <v>1.0</v>
      </c>
      <c r="D7952" s="51">
        <v>62.0</v>
      </c>
      <c r="E7952" s="52" t="s">
        <v>25</v>
      </c>
      <c r="F7952" s="52" t="s">
        <v>26</v>
      </c>
      <c r="G7952" s="53"/>
    </row>
    <row r="7953">
      <c r="A7953" s="49">
        <v>44596.42478079861</v>
      </c>
      <c r="B7953" s="50">
        <v>44596.5497574884</v>
      </c>
      <c r="C7953" s="51">
        <v>1.0</v>
      </c>
      <c r="D7953" s="51">
        <v>62.0</v>
      </c>
      <c r="E7953" s="52" t="s">
        <v>25</v>
      </c>
      <c r="F7953" s="52" t="s">
        <v>26</v>
      </c>
      <c r="G7953" s="53"/>
    </row>
    <row r="7954">
      <c r="A7954" s="49">
        <v>44596.43520902778</v>
      </c>
      <c r="B7954" s="50">
        <v>44596.5601787615</v>
      </c>
      <c r="C7954" s="51">
        <v>1.0</v>
      </c>
      <c r="D7954" s="51">
        <v>62.0</v>
      </c>
      <c r="E7954" s="52" t="s">
        <v>25</v>
      </c>
      <c r="F7954" s="52" t="s">
        <v>26</v>
      </c>
      <c r="G7954" s="53"/>
    </row>
    <row r="7955">
      <c r="A7955" s="49">
        <v>44596.445634814816</v>
      </c>
      <c r="B7955" s="50">
        <v>44596.5705993518</v>
      </c>
      <c r="C7955" s="51">
        <v>1.0</v>
      </c>
      <c r="D7955" s="51">
        <v>62.0</v>
      </c>
      <c r="E7955" s="52" t="s">
        <v>25</v>
      </c>
      <c r="F7955" s="52" t="s">
        <v>26</v>
      </c>
      <c r="G7955" s="53"/>
    </row>
    <row r="7956">
      <c r="A7956" s="49">
        <v>44596.45606244213</v>
      </c>
      <c r="B7956" s="50">
        <v>44596.5810320717</v>
      </c>
      <c r="C7956" s="51">
        <v>1.0</v>
      </c>
      <c r="D7956" s="51">
        <v>62.0</v>
      </c>
      <c r="E7956" s="52" t="s">
        <v>25</v>
      </c>
      <c r="F7956" s="52" t="s">
        <v>26</v>
      </c>
      <c r="G7956" s="53"/>
    </row>
    <row r="7957">
      <c r="A7957" s="49">
        <v>44596.46649097222</v>
      </c>
      <c r="B7957" s="50">
        <v>44596.5914639467</v>
      </c>
      <c r="C7957" s="51">
        <v>1.0</v>
      </c>
      <c r="D7957" s="51">
        <v>62.0</v>
      </c>
      <c r="E7957" s="52" t="s">
        <v>25</v>
      </c>
      <c r="F7957" s="52" t="s">
        <v>26</v>
      </c>
      <c r="G7957" s="53"/>
    </row>
    <row r="7958">
      <c r="A7958" s="49">
        <v>44596.47690731482</v>
      </c>
      <c r="B7958" s="50">
        <v>44596.6018853009</v>
      </c>
      <c r="C7958" s="51">
        <v>1.0</v>
      </c>
      <c r="D7958" s="51">
        <v>62.0</v>
      </c>
      <c r="E7958" s="52" t="s">
        <v>25</v>
      </c>
      <c r="F7958" s="52" t="s">
        <v>26</v>
      </c>
      <c r="G7958" s="53"/>
    </row>
    <row r="7959">
      <c r="A7959" s="49">
        <v>44596.48732947916</v>
      </c>
      <c r="B7959" s="50">
        <v>44596.6123062384</v>
      </c>
      <c r="C7959" s="51">
        <v>1.0</v>
      </c>
      <c r="D7959" s="51">
        <v>62.0</v>
      </c>
      <c r="E7959" s="52" t="s">
        <v>25</v>
      </c>
      <c r="F7959" s="52" t="s">
        <v>26</v>
      </c>
      <c r="G7959" s="53"/>
    </row>
    <row r="7960">
      <c r="A7960" s="49">
        <v>44596.49774855324</v>
      </c>
      <c r="B7960" s="50">
        <v>44596.622727905</v>
      </c>
      <c r="C7960" s="51">
        <v>1.0</v>
      </c>
      <c r="D7960" s="51">
        <v>62.0</v>
      </c>
      <c r="E7960" s="52" t="s">
        <v>25</v>
      </c>
      <c r="F7960" s="52" t="s">
        <v>26</v>
      </c>
      <c r="G7960" s="53"/>
    </row>
    <row r="7961">
      <c r="A7961" s="49">
        <v>44596.508171215275</v>
      </c>
      <c r="B7961" s="50">
        <v>44596.6331490277</v>
      </c>
      <c r="C7961" s="51">
        <v>1.0</v>
      </c>
      <c r="D7961" s="51">
        <v>62.0</v>
      </c>
      <c r="E7961" s="52" t="s">
        <v>25</v>
      </c>
      <c r="F7961" s="52" t="s">
        <v>26</v>
      </c>
      <c r="G7961" s="53"/>
    </row>
    <row r="7962">
      <c r="A7962" s="49">
        <v>44596.51859807871</v>
      </c>
      <c r="B7962" s="50">
        <v>44596.6435670023</v>
      </c>
      <c r="C7962" s="51">
        <v>1.0</v>
      </c>
      <c r="D7962" s="51">
        <v>62.0</v>
      </c>
      <c r="E7962" s="52" t="s">
        <v>25</v>
      </c>
      <c r="F7962" s="52" t="s">
        <v>26</v>
      </c>
      <c r="G7962" s="53"/>
    </row>
    <row r="7963">
      <c r="A7963" s="49">
        <v>44596.529016863424</v>
      </c>
      <c r="B7963" s="50">
        <v>44596.653985949</v>
      </c>
      <c r="C7963" s="51">
        <v>1.0</v>
      </c>
      <c r="D7963" s="51">
        <v>62.0</v>
      </c>
      <c r="E7963" s="52" t="s">
        <v>25</v>
      </c>
      <c r="F7963" s="52" t="s">
        <v>26</v>
      </c>
      <c r="G7963" s="53"/>
    </row>
    <row r="7964">
      <c r="A7964" s="49">
        <v>44596.53946530093</v>
      </c>
      <c r="B7964" s="50">
        <v>44596.6644075347</v>
      </c>
      <c r="C7964" s="51">
        <v>1.0</v>
      </c>
      <c r="D7964" s="51">
        <v>62.0</v>
      </c>
      <c r="E7964" s="52" t="s">
        <v>25</v>
      </c>
      <c r="F7964" s="52" t="s">
        <v>26</v>
      </c>
      <c r="G7964" s="53"/>
    </row>
    <row r="7965">
      <c r="A7965" s="49">
        <v>44596.549853993056</v>
      </c>
      <c r="B7965" s="50">
        <v>44596.6748293518</v>
      </c>
      <c r="C7965" s="51">
        <v>1.0</v>
      </c>
      <c r="D7965" s="51">
        <v>62.0</v>
      </c>
      <c r="E7965" s="52" t="s">
        <v>25</v>
      </c>
      <c r="F7965" s="52" t="s">
        <v>26</v>
      </c>
      <c r="G7965" s="53"/>
    </row>
    <row r="7966">
      <c r="A7966" s="49">
        <v>44596.56028395833</v>
      </c>
      <c r="B7966" s="50">
        <v>44596.6852519097</v>
      </c>
      <c r="C7966" s="51">
        <v>1.0</v>
      </c>
      <c r="D7966" s="51">
        <v>62.0</v>
      </c>
      <c r="E7966" s="52" t="s">
        <v>25</v>
      </c>
      <c r="F7966" s="52" t="s">
        <v>26</v>
      </c>
      <c r="G7966" s="53"/>
    </row>
    <row r="7967">
      <c r="A7967" s="49">
        <v>44596.57070744213</v>
      </c>
      <c r="B7967" s="50">
        <v>44596.6956738888</v>
      </c>
      <c r="C7967" s="51">
        <v>1.0</v>
      </c>
      <c r="D7967" s="51">
        <v>62.0</v>
      </c>
      <c r="E7967" s="52" t="s">
        <v>25</v>
      </c>
      <c r="F7967" s="52" t="s">
        <v>26</v>
      </c>
      <c r="G7967" s="53"/>
    </row>
    <row r="7968">
      <c r="A7968" s="49">
        <v>44596.58112137731</v>
      </c>
      <c r="B7968" s="50">
        <v>44596.7060948495</v>
      </c>
      <c r="C7968" s="51">
        <v>1.0</v>
      </c>
      <c r="D7968" s="51">
        <v>62.0</v>
      </c>
      <c r="E7968" s="52" t="s">
        <v>25</v>
      </c>
      <c r="F7968" s="52" t="s">
        <v>26</v>
      </c>
      <c r="G7968" s="53"/>
    </row>
    <row r="7969">
      <c r="A7969" s="49">
        <v>44596.59154609954</v>
      </c>
      <c r="B7969" s="50">
        <v>44596.7165180555</v>
      </c>
      <c r="C7969" s="51">
        <v>1.0</v>
      </c>
      <c r="D7969" s="51">
        <v>62.0</v>
      </c>
      <c r="E7969" s="52" t="s">
        <v>25</v>
      </c>
      <c r="F7969" s="52" t="s">
        <v>26</v>
      </c>
      <c r="G7969" s="53"/>
    </row>
    <row r="7970">
      <c r="A7970" s="49">
        <v>44596.60196990741</v>
      </c>
      <c r="B7970" s="50">
        <v>44596.7269399305</v>
      </c>
      <c r="C7970" s="51">
        <v>1.0</v>
      </c>
      <c r="D7970" s="51">
        <v>62.0</v>
      </c>
      <c r="E7970" s="52" t="s">
        <v>25</v>
      </c>
      <c r="F7970" s="52" t="s">
        <v>26</v>
      </c>
      <c r="G7970" s="53"/>
    </row>
    <row r="7971">
      <c r="A7971" s="49">
        <v>44596.61238142361</v>
      </c>
      <c r="B7971" s="50">
        <v>44596.737360324</v>
      </c>
      <c r="C7971" s="51">
        <v>1.0</v>
      </c>
      <c r="D7971" s="51">
        <v>62.0</v>
      </c>
      <c r="E7971" s="52" t="s">
        <v>25</v>
      </c>
      <c r="F7971" s="52" t="s">
        <v>26</v>
      </c>
      <c r="G7971" s="53"/>
    </row>
    <row r="7972">
      <c r="A7972" s="49">
        <v>44596.62281108796</v>
      </c>
      <c r="B7972" s="50">
        <v>44596.7477806944</v>
      </c>
      <c r="C7972" s="51">
        <v>1.0</v>
      </c>
      <c r="D7972" s="51">
        <v>62.0</v>
      </c>
      <c r="E7972" s="52" t="s">
        <v>25</v>
      </c>
      <c r="F7972" s="52" t="s">
        <v>26</v>
      </c>
      <c r="G7972" s="53"/>
    </row>
    <row r="7973">
      <c r="A7973" s="49">
        <v>44596.63324280093</v>
      </c>
      <c r="B7973" s="50">
        <v>44596.7582143865</v>
      </c>
      <c r="C7973" s="51">
        <v>1.0</v>
      </c>
      <c r="D7973" s="51">
        <v>61.0</v>
      </c>
      <c r="E7973" s="52" t="s">
        <v>25</v>
      </c>
      <c r="F7973" s="52" t="s">
        <v>26</v>
      </c>
      <c r="G7973" s="53"/>
    </row>
    <row r="7974">
      <c r="A7974" s="49">
        <v>44596.643679305555</v>
      </c>
      <c r="B7974" s="50">
        <v>44596.7686475578</v>
      </c>
      <c r="C7974" s="51">
        <v>1.0</v>
      </c>
      <c r="D7974" s="51">
        <v>62.0</v>
      </c>
      <c r="E7974" s="52" t="s">
        <v>25</v>
      </c>
      <c r="F7974" s="52" t="s">
        <v>26</v>
      </c>
      <c r="G7974" s="53"/>
    </row>
    <row r="7975">
      <c r="A7975" s="49">
        <v>44596.654096875005</v>
      </c>
      <c r="B7975" s="50">
        <v>44596.7790683796</v>
      </c>
      <c r="C7975" s="51">
        <v>1.0</v>
      </c>
      <c r="D7975" s="51">
        <v>62.0</v>
      </c>
      <c r="E7975" s="52" t="s">
        <v>25</v>
      </c>
      <c r="F7975" s="52" t="s">
        <v>26</v>
      </c>
      <c r="G7975" s="53"/>
    </row>
    <row r="7976">
      <c r="A7976" s="49">
        <v>44596.664519502316</v>
      </c>
      <c r="B7976" s="50">
        <v>44596.7894900347</v>
      </c>
      <c r="C7976" s="51">
        <v>1.0</v>
      </c>
      <c r="D7976" s="51">
        <v>62.0</v>
      </c>
      <c r="E7976" s="52" t="s">
        <v>25</v>
      </c>
      <c r="F7976" s="52" t="s">
        <v>26</v>
      </c>
      <c r="G7976" s="53"/>
    </row>
    <row r="7977">
      <c r="A7977" s="49">
        <v>44596.674951030094</v>
      </c>
      <c r="B7977" s="50">
        <v>44596.7999229282</v>
      </c>
      <c r="C7977" s="51">
        <v>1.0</v>
      </c>
      <c r="D7977" s="51">
        <v>61.0</v>
      </c>
      <c r="E7977" s="52" t="s">
        <v>25</v>
      </c>
      <c r="F7977" s="52" t="s">
        <v>26</v>
      </c>
      <c r="G7977" s="53"/>
    </row>
    <row r="7978">
      <c r="A7978" s="49">
        <v>44596.68537431713</v>
      </c>
      <c r="B7978" s="50">
        <v>44596.8103445138</v>
      </c>
      <c r="C7978" s="51">
        <v>1.0</v>
      </c>
      <c r="D7978" s="51">
        <v>62.0</v>
      </c>
      <c r="E7978" s="52" t="s">
        <v>25</v>
      </c>
      <c r="F7978" s="52" t="s">
        <v>26</v>
      </c>
      <c r="G7978" s="53"/>
    </row>
    <row r="7979">
      <c r="A7979" s="49">
        <v>44596.695793969906</v>
      </c>
      <c r="B7979" s="50">
        <v>44596.8207666087</v>
      </c>
      <c r="C7979" s="51">
        <v>1.0</v>
      </c>
      <c r="D7979" s="51">
        <v>61.0</v>
      </c>
      <c r="E7979" s="52" t="s">
        <v>25</v>
      </c>
      <c r="F7979" s="52" t="s">
        <v>26</v>
      </c>
      <c r="G7979" s="53"/>
    </row>
    <row r="7980">
      <c r="A7980" s="49">
        <v>44596.70621284722</v>
      </c>
      <c r="B7980" s="50">
        <v>44596.8311868634</v>
      </c>
      <c r="C7980" s="51">
        <v>1.0</v>
      </c>
      <c r="D7980" s="51">
        <v>61.0</v>
      </c>
      <c r="E7980" s="52" t="s">
        <v>25</v>
      </c>
      <c r="F7980" s="52" t="s">
        <v>26</v>
      </c>
      <c r="G7980" s="53"/>
    </row>
    <row r="7981">
      <c r="A7981" s="49">
        <v>44596.71665461805</v>
      </c>
      <c r="B7981" s="50">
        <v>44596.8416320949</v>
      </c>
      <c r="C7981" s="51">
        <v>1.0</v>
      </c>
      <c r="D7981" s="51">
        <v>61.0</v>
      </c>
      <c r="E7981" s="52" t="s">
        <v>25</v>
      </c>
      <c r="F7981" s="52" t="s">
        <v>26</v>
      </c>
      <c r="G7981" s="53"/>
    </row>
    <row r="7982">
      <c r="A7982" s="49">
        <v>44596.72707684028</v>
      </c>
      <c r="B7982" s="50">
        <v>44596.8520531134</v>
      </c>
      <c r="C7982" s="51">
        <v>1.0</v>
      </c>
      <c r="D7982" s="51">
        <v>61.0</v>
      </c>
      <c r="E7982" s="52" t="s">
        <v>25</v>
      </c>
      <c r="F7982" s="52" t="s">
        <v>26</v>
      </c>
      <c r="G7982" s="53"/>
    </row>
    <row r="7983">
      <c r="A7983" s="49">
        <v>44596.73749450232</v>
      </c>
      <c r="B7983" s="50">
        <v>44596.8624762037</v>
      </c>
      <c r="C7983" s="51">
        <v>1.0</v>
      </c>
      <c r="D7983" s="51">
        <v>62.0</v>
      </c>
      <c r="E7983" s="52" t="s">
        <v>25</v>
      </c>
      <c r="F7983" s="52" t="s">
        <v>26</v>
      </c>
      <c r="G7983" s="53"/>
    </row>
    <row r="7984">
      <c r="A7984" s="49">
        <v>44596.74792359954</v>
      </c>
      <c r="B7984" s="50">
        <v>44596.8728976273</v>
      </c>
      <c r="C7984" s="51">
        <v>1.0</v>
      </c>
      <c r="D7984" s="51">
        <v>62.0</v>
      </c>
      <c r="E7984" s="52" t="s">
        <v>25</v>
      </c>
      <c r="F7984" s="52" t="s">
        <v>26</v>
      </c>
      <c r="G7984" s="53"/>
    </row>
    <row r="7985">
      <c r="A7985" s="49">
        <v>44596.758342430556</v>
      </c>
      <c r="B7985" s="50">
        <v>44596.8833190277</v>
      </c>
      <c r="C7985" s="51">
        <v>1.0</v>
      </c>
      <c r="D7985" s="51">
        <v>62.0</v>
      </c>
      <c r="E7985" s="52" t="s">
        <v>25</v>
      </c>
      <c r="F7985" s="52" t="s">
        <v>26</v>
      </c>
      <c r="G7985" s="53"/>
    </row>
    <row r="7986">
      <c r="A7986" s="49">
        <v>44596.7687641088</v>
      </c>
      <c r="B7986" s="50">
        <v>44596.8937407175</v>
      </c>
      <c r="C7986" s="51">
        <v>1.0</v>
      </c>
      <c r="D7986" s="51">
        <v>63.0</v>
      </c>
      <c r="E7986" s="52" t="s">
        <v>25</v>
      </c>
      <c r="F7986" s="52" t="s">
        <v>26</v>
      </c>
      <c r="G7986" s="53"/>
    </row>
    <row r="7987">
      <c r="A7987" s="49">
        <v>44596.779188113425</v>
      </c>
      <c r="B7987" s="50">
        <v>44596.9041616898</v>
      </c>
      <c r="C7987" s="51">
        <v>1.0</v>
      </c>
      <c r="D7987" s="51">
        <v>63.0</v>
      </c>
      <c r="E7987" s="52" t="s">
        <v>25</v>
      </c>
      <c r="F7987" s="52" t="s">
        <v>26</v>
      </c>
      <c r="G7987" s="53"/>
    </row>
    <row r="7988">
      <c r="A7988" s="49">
        <v>44596.78961194445</v>
      </c>
      <c r="B7988" s="50">
        <v>44596.9145836689</v>
      </c>
      <c r="C7988" s="51">
        <v>1.0</v>
      </c>
      <c r="D7988" s="51">
        <v>64.0</v>
      </c>
      <c r="E7988" s="52" t="s">
        <v>25</v>
      </c>
      <c r="F7988" s="52" t="s">
        <v>26</v>
      </c>
      <c r="G7988" s="53"/>
    </row>
    <row r="7989">
      <c r="A7989" s="49">
        <v>44596.80003</v>
      </c>
      <c r="B7989" s="50">
        <v>44596.9250049652</v>
      </c>
      <c r="C7989" s="51">
        <v>1.0</v>
      </c>
      <c r="D7989" s="51">
        <v>64.0</v>
      </c>
      <c r="E7989" s="52" t="s">
        <v>25</v>
      </c>
      <c r="F7989" s="52" t="s">
        <v>26</v>
      </c>
      <c r="G7989" s="53"/>
    </row>
    <row r="7990">
      <c r="A7990" s="49">
        <v>44596.81045462963</v>
      </c>
      <c r="B7990" s="50">
        <v>44596.9354248842</v>
      </c>
      <c r="C7990" s="51">
        <v>0.999</v>
      </c>
      <c r="D7990" s="51">
        <v>65.0</v>
      </c>
      <c r="E7990" s="52" t="s">
        <v>25</v>
      </c>
      <c r="F7990" s="52" t="s">
        <v>26</v>
      </c>
      <c r="G7990" s="53"/>
    </row>
    <row r="7991">
      <c r="A7991" s="49">
        <v>44596.820872384254</v>
      </c>
      <c r="B7991" s="50">
        <v>44596.9458466782</v>
      </c>
      <c r="C7991" s="51">
        <v>0.999</v>
      </c>
      <c r="D7991" s="51">
        <v>65.0</v>
      </c>
      <c r="E7991" s="52" t="s">
        <v>25</v>
      </c>
      <c r="F7991" s="52" t="s">
        <v>26</v>
      </c>
      <c r="G7991" s="53"/>
    </row>
    <row r="7992">
      <c r="A7992" s="49">
        <v>44596.83128861111</v>
      </c>
      <c r="B7992" s="50">
        <v>44596.9562684143</v>
      </c>
      <c r="C7992" s="51">
        <v>0.999</v>
      </c>
      <c r="D7992" s="51">
        <v>65.0</v>
      </c>
      <c r="E7992" s="52" t="s">
        <v>25</v>
      </c>
      <c r="F7992" s="52" t="s">
        <v>26</v>
      </c>
      <c r="G7992" s="53"/>
    </row>
    <row r="7993">
      <c r="A7993" s="49">
        <v>44596.841716979165</v>
      </c>
      <c r="B7993" s="50">
        <v>44596.9666894097</v>
      </c>
      <c r="C7993" s="51">
        <v>0.999</v>
      </c>
      <c r="D7993" s="51">
        <v>66.0</v>
      </c>
      <c r="E7993" s="52" t="s">
        <v>25</v>
      </c>
      <c r="F7993" s="52" t="s">
        <v>26</v>
      </c>
      <c r="G7993" s="53"/>
    </row>
    <row r="7994">
      <c r="A7994" s="49">
        <v>44596.85214681713</v>
      </c>
      <c r="B7994" s="50">
        <v>44596.9771209953</v>
      </c>
      <c r="C7994" s="51">
        <v>1.0</v>
      </c>
      <c r="D7994" s="51">
        <v>66.0</v>
      </c>
      <c r="E7994" s="52" t="s">
        <v>25</v>
      </c>
      <c r="F7994" s="52" t="s">
        <v>26</v>
      </c>
      <c r="G7994" s="53"/>
    </row>
    <row r="7995">
      <c r="A7995" s="49">
        <v>44596.86257842593</v>
      </c>
      <c r="B7995" s="50">
        <v>44596.9875534143</v>
      </c>
      <c r="C7995" s="51">
        <v>0.999</v>
      </c>
      <c r="D7995" s="51">
        <v>67.0</v>
      </c>
      <c r="E7995" s="52" t="s">
        <v>25</v>
      </c>
      <c r="F7995" s="52" t="s">
        <v>26</v>
      </c>
      <c r="G7995" s="53"/>
    </row>
    <row r="7996">
      <c r="A7996" s="49">
        <v>44596.873011550924</v>
      </c>
      <c r="B7996" s="50">
        <v>44596.997986574</v>
      </c>
      <c r="C7996" s="51">
        <v>0.999</v>
      </c>
      <c r="D7996" s="51">
        <v>67.0</v>
      </c>
      <c r="E7996" s="52" t="s">
        <v>25</v>
      </c>
      <c r="F7996" s="52" t="s">
        <v>26</v>
      </c>
      <c r="G7996" s="53"/>
    </row>
    <row r="7997">
      <c r="A7997" s="49">
        <v>44596.88343258102</v>
      </c>
      <c r="B7997" s="50">
        <v>44597.0084079629</v>
      </c>
      <c r="C7997" s="51">
        <v>0.999</v>
      </c>
      <c r="D7997" s="51">
        <v>67.0</v>
      </c>
      <c r="E7997" s="52" t="s">
        <v>25</v>
      </c>
      <c r="F7997" s="52" t="s">
        <v>26</v>
      </c>
      <c r="G7997" s="53"/>
    </row>
    <row r="7998">
      <c r="A7998" s="49">
        <v>44596.89385194445</v>
      </c>
      <c r="B7998" s="50">
        <v>44597.0188298726</v>
      </c>
      <c r="C7998" s="51">
        <v>0.999</v>
      </c>
      <c r="D7998" s="51">
        <v>68.0</v>
      </c>
      <c r="E7998" s="52" t="s">
        <v>25</v>
      </c>
      <c r="F7998" s="52" t="s">
        <v>26</v>
      </c>
      <c r="G7998" s="53"/>
    </row>
    <row r="7999">
      <c r="A7999" s="49">
        <v>44596.904295960645</v>
      </c>
      <c r="B7999" s="50">
        <v>44597.0292732638</v>
      </c>
      <c r="C7999" s="51">
        <v>0.999</v>
      </c>
      <c r="D7999" s="51">
        <v>68.0</v>
      </c>
      <c r="E7999" s="52" t="s">
        <v>25</v>
      </c>
      <c r="F7999" s="52" t="s">
        <v>26</v>
      </c>
      <c r="G7999" s="53"/>
    </row>
    <row r="8000">
      <c r="A8000" s="49">
        <v>44596.9147140625</v>
      </c>
      <c r="B8000" s="50">
        <v>44597.039694074</v>
      </c>
      <c r="C8000" s="51">
        <v>0.999</v>
      </c>
      <c r="D8000" s="51">
        <v>68.0</v>
      </c>
      <c r="E8000" s="52" t="s">
        <v>25</v>
      </c>
      <c r="F8000" s="52" t="s">
        <v>26</v>
      </c>
      <c r="G8000" s="53"/>
    </row>
    <row r="8001">
      <c r="A8001" s="49">
        <v>44596.92513895834</v>
      </c>
      <c r="B8001" s="50">
        <v>44597.0501151504</v>
      </c>
      <c r="C8001" s="51">
        <v>0.999</v>
      </c>
      <c r="D8001" s="51">
        <v>68.0</v>
      </c>
      <c r="E8001" s="52" t="s">
        <v>25</v>
      </c>
      <c r="F8001" s="52" t="s">
        <v>26</v>
      </c>
      <c r="G8001" s="53"/>
    </row>
    <row r="8002">
      <c r="A8002" s="49">
        <v>44596.93558413195</v>
      </c>
      <c r="B8002" s="50">
        <v>44597.0605614467</v>
      </c>
      <c r="C8002" s="51">
        <v>0.999</v>
      </c>
      <c r="D8002" s="51">
        <v>67.0</v>
      </c>
      <c r="E8002" s="52" t="s">
        <v>25</v>
      </c>
      <c r="F8002" s="52" t="s">
        <v>26</v>
      </c>
      <c r="G8002" s="53"/>
    </row>
    <row r="8003">
      <c r="A8003" s="49">
        <v>44596.946003923615</v>
      </c>
      <c r="B8003" s="50">
        <v>44597.0709834606</v>
      </c>
      <c r="C8003" s="51">
        <v>0.999</v>
      </c>
      <c r="D8003" s="51">
        <v>67.0</v>
      </c>
      <c r="E8003" s="52" t="s">
        <v>25</v>
      </c>
      <c r="F8003" s="52" t="s">
        <v>26</v>
      </c>
      <c r="G8003" s="53"/>
    </row>
    <row r="8004">
      <c r="A8004" s="49">
        <v>44596.95642259259</v>
      </c>
      <c r="B8004" s="50">
        <v>44597.0814049305</v>
      </c>
      <c r="C8004" s="51">
        <v>0.999</v>
      </c>
      <c r="D8004" s="51">
        <v>67.0</v>
      </c>
      <c r="E8004" s="52" t="s">
        <v>25</v>
      </c>
      <c r="F8004" s="52" t="s">
        <v>26</v>
      </c>
      <c r="G8004" s="53"/>
    </row>
    <row r="8005">
      <c r="A8005" s="49">
        <v>44596.966841319445</v>
      </c>
      <c r="B8005" s="50">
        <v>44597.0918245254</v>
      </c>
      <c r="C8005" s="51">
        <v>0.999</v>
      </c>
      <c r="D8005" s="51">
        <v>67.0</v>
      </c>
      <c r="E8005" s="52" t="s">
        <v>25</v>
      </c>
      <c r="F8005" s="52" t="s">
        <v>26</v>
      </c>
      <c r="G8005" s="53"/>
    </row>
    <row r="8006">
      <c r="A8006" s="49">
        <v>44596.977272777774</v>
      </c>
      <c r="B8006" s="50">
        <v>44597.1022470833</v>
      </c>
      <c r="C8006" s="51">
        <v>0.999</v>
      </c>
      <c r="D8006" s="51">
        <v>67.0</v>
      </c>
      <c r="E8006" s="52" t="s">
        <v>25</v>
      </c>
      <c r="F8006" s="52" t="s">
        <v>26</v>
      </c>
      <c r="G8006" s="53"/>
    </row>
    <row r="8007">
      <c r="A8007" s="49">
        <v>44596.98769891204</v>
      </c>
      <c r="B8007" s="50">
        <v>44597.1126674768</v>
      </c>
      <c r="C8007" s="51">
        <v>0.999</v>
      </c>
      <c r="D8007" s="51">
        <v>67.0</v>
      </c>
      <c r="E8007" s="52" t="s">
        <v>25</v>
      </c>
      <c r="F8007" s="52" t="s">
        <v>26</v>
      </c>
      <c r="G8007" s="53"/>
    </row>
    <row r="8008">
      <c r="A8008" s="49">
        <v>44596.99810834491</v>
      </c>
      <c r="B8008" s="50">
        <v>44597.123089537</v>
      </c>
      <c r="C8008" s="51">
        <v>0.999</v>
      </c>
      <c r="D8008" s="51">
        <v>67.0</v>
      </c>
      <c r="E8008" s="52" t="s">
        <v>25</v>
      </c>
      <c r="F8008" s="52" t="s">
        <v>26</v>
      </c>
      <c r="G8008" s="53"/>
    </row>
    <row r="8009">
      <c r="A8009" s="49">
        <v>44597.00854137732</v>
      </c>
      <c r="B8009" s="50">
        <v>44597.1335119907</v>
      </c>
      <c r="C8009" s="51">
        <v>0.999</v>
      </c>
      <c r="D8009" s="51">
        <v>67.0</v>
      </c>
      <c r="E8009" s="52" t="s">
        <v>25</v>
      </c>
      <c r="F8009" s="52" t="s">
        <v>26</v>
      </c>
      <c r="G8009" s="53"/>
    </row>
    <row r="8010">
      <c r="A8010" s="49">
        <v>44597.01896108796</v>
      </c>
      <c r="B8010" s="50">
        <v>44597.1439328125</v>
      </c>
      <c r="C8010" s="51">
        <v>0.999</v>
      </c>
      <c r="D8010" s="51">
        <v>67.0</v>
      </c>
      <c r="E8010" s="52" t="s">
        <v>25</v>
      </c>
      <c r="F8010" s="52" t="s">
        <v>26</v>
      </c>
      <c r="G8010" s="53"/>
    </row>
    <row r="8011">
      <c r="A8011" s="49">
        <v>44597.02937390046</v>
      </c>
      <c r="B8011" s="50">
        <v>44597.1543534837</v>
      </c>
      <c r="C8011" s="51">
        <v>0.999</v>
      </c>
      <c r="D8011" s="51">
        <v>67.0</v>
      </c>
      <c r="E8011" s="52" t="s">
        <v>25</v>
      </c>
      <c r="F8011" s="52" t="s">
        <v>26</v>
      </c>
      <c r="G8011" s="53"/>
    </row>
    <row r="8012">
      <c r="A8012" s="49">
        <v>44597.03980288195</v>
      </c>
      <c r="B8012" s="50">
        <v>44597.1647755208</v>
      </c>
      <c r="C8012" s="51">
        <v>0.999</v>
      </c>
      <c r="D8012" s="51">
        <v>67.0</v>
      </c>
      <c r="E8012" s="52" t="s">
        <v>25</v>
      </c>
      <c r="F8012" s="52" t="s">
        <v>26</v>
      </c>
      <c r="G8012" s="53"/>
    </row>
    <row r="8013">
      <c r="A8013" s="49">
        <v>44597.05030898148</v>
      </c>
      <c r="B8013" s="50">
        <v>44597.1752092361</v>
      </c>
      <c r="C8013" s="51">
        <v>0.999</v>
      </c>
      <c r="D8013" s="51">
        <v>67.0</v>
      </c>
      <c r="E8013" s="52" t="s">
        <v>25</v>
      </c>
      <c r="F8013" s="52" t="s">
        <v>26</v>
      </c>
      <c r="G8013" s="53"/>
    </row>
    <row r="8014">
      <c r="A8014" s="49">
        <v>44597.060653402776</v>
      </c>
      <c r="B8014" s="50">
        <v>44597.1856299421</v>
      </c>
      <c r="C8014" s="51">
        <v>1.0</v>
      </c>
      <c r="D8014" s="51">
        <v>67.0</v>
      </c>
      <c r="E8014" s="52" t="s">
        <v>25</v>
      </c>
      <c r="F8014" s="52" t="s">
        <v>26</v>
      </c>
      <c r="G8014" s="53"/>
    </row>
    <row r="8015">
      <c r="A8015" s="49">
        <v>44597.07106857639</v>
      </c>
      <c r="B8015" s="50">
        <v>44597.1960492939</v>
      </c>
      <c r="C8015" s="51">
        <v>0.999</v>
      </c>
      <c r="D8015" s="51">
        <v>67.0</v>
      </c>
      <c r="E8015" s="52" t="s">
        <v>25</v>
      </c>
      <c r="F8015" s="52" t="s">
        <v>26</v>
      </c>
      <c r="G8015" s="53"/>
    </row>
    <row r="8016">
      <c r="A8016" s="49">
        <v>44597.08149618056</v>
      </c>
      <c r="B8016" s="50">
        <v>44597.2064723032</v>
      </c>
      <c r="C8016" s="51">
        <v>0.999</v>
      </c>
      <c r="D8016" s="51">
        <v>67.0</v>
      </c>
      <c r="E8016" s="52" t="s">
        <v>25</v>
      </c>
      <c r="F8016" s="52" t="s">
        <v>26</v>
      </c>
      <c r="G8016" s="53"/>
    </row>
    <row r="8017">
      <c r="A8017" s="49">
        <v>44597.09191945602</v>
      </c>
      <c r="B8017" s="50">
        <v>44597.216894155</v>
      </c>
      <c r="C8017" s="51">
        <v>0.999</v>
      </c>
      <c r="D8017" s="51">
        <v>67.0</v>
      </c>
      <c r="E8017" s="52" t="s">
        <v>25</v>
      </c>
      <c r="F8017" s="52" t="s">
        <v>26</v>
      </c>
      <c r="G8017" s="53"/>
    </row>
    <row r="8018">
      <c r="A8018" s="49">
        <v>44597.10233918982</v>
      </c>
      <c r="B8018" s="50">
        <v>44597.2273149768</v>
      </c>
      <c r="C8018" s="51">
        <v>0.999</v>
      </c>
      <c r="D8018" s="51">
        <v>67.0</v>
      </c>
      <c r="E8018" s="52" t="s">
        <v>25</v>
      </c>
      <c r="F8018" s="52" t="s">
        <v>26</v>
      </c>
      <c r="G8018" s="53"/>
    </row>
    <row r="8019">
      <c r="A8019" s="49">
        <v>44597.112761620374</v>
      </c>
      <c r="B8019" s="50">
        <v>44597.2377362268</v>
      </c>
      <c r="C8019" s="51">
        <v>0.999</v>
      </c>
      <c r="D8019" s="51">
        <v>67.0</v>
      </c>
      <c r="E8019" s="52" t="s">
        <v>25</v>
      </c>
      <c r="F8019" s="52" t="s">
        <v>26</v>
      </c>
      <c r="G8019" s="53"/>
    </row>
    <row r="8020">
      <c r="A8020" s="49">
        <v>44597.123181574076</v>
      </c>
      <c r="B8020" s="50">
        <v>44597.2481571064</v>
      </c>
      <c r="C8020" s="51">
        <v>0.999</v>
      </c>
      <c r="D8020" s="51">
        <v>67.0</v>
      </c>
      <c r="E8020" s="52" t="s">
        <v>25</v>
      </c>
      <c r="F8020" s="52" t="s">
        <v>26</v>
      </c>
      <c r="G8020" s="53"/>
    </row>
    <row r="8021">
      <c r="A8021" s="49">
        <v>44597.13359835648</v>
      </c>
      <c r="B8021" s="50">
        <v>44597.2585769791</v>
      </c>
      <c r="C8021" s="51">
        <v>0.999</v>
      </c>
      <c r="D8021" s="51">
        <v>67.0</v>
      </c>
      <c r="E8021" s="52" t="s">
        <v>25</v>
      </c>
      <c r="F8021" s="52" t="s">
        <v>26</v>
      </c>
      <c r="G8021" s="53"/>
    </row>
    <row r="8022">
      <c r="A8022" s="49">
        <v>44597.14404965278</v>
      </c>
      <c r="B8022" s="50">
        <v>44597.2690216087</v>
      </c>
      <c r="C8022" s="51">
        <v>0.999</v>
      </c>
      <c r="D8022" s="51">
        <v>67.0</v>
      </c>
      <c r="E8022" s="52" t="s">
        <v>25</v>
      </c>
      <c r="F8022" s="52" t="s">
        <v>26</v>
      </c>
      <c r="G8022" s="53"/>
    </row>
    <row r="8023">
      <c r="A8023" s="49">
        <v>44597.15446651621</v>
      </c>
      <c r="B8023" s="50">
        <v>44597.2794423611</v>
      </c>
      <c r="C8023" s="51">
        <v>0.999</v>
      </c>
      <c r="D8023" s="51">
        <v>67.0</v>
      </c>
      <c r="E8023" s="52" t="s">
        <v>25</v>
      </c>
      <c r="F8023" s="52" t="s">
        <v>26</v>
      </c>
      <c r="G8023" s="53"/>
    </row>
    <row r="8024">
      <c r="A8024" s="49">
        <v>44597.16488813657</v>
      </c>
      <c r="B8024" s="50">
        <v>44597.2898637037</v>
      </c>
      <c r="C8024" s="51">
        <v>0.999</v>
      </c>
      <c r="D8024" s="51">
        <v>67.0</v>
      </c>
      <c r="E8024" s="52" t="s">
        <v>25</v>
      </c>
      <c r="F8024" s="52" t="s">
        <v>26</v>
      </c>
      <c r="G8024" s="53"/>
    </row>
    <row r="8025">
      <c r="A8025" s="49">
        <v>44597.17530512731</v>
      </c>
      <c r="B8025" s="50">
        <v>44597.3002848495</v>
      </c>
      <c r="C8025" s="51">
        <v>0.999</v>
      </c>
      <c r="D8025" s="51">
        <v>66.0</v>
      </c>
      <c r="E8025" s="52" t="s">
        <v>25</v>
      </c>
      <c r="F8025" s="52" t="s">
        <v>26</v>
      </c>
      <c r="G8025" s="53"/>
    </row>
    <row r="8026">
      <c r="A8026" s="49">
        <v>44597.1857293287</v>
      </c>
      <c r="B8026" s="50">
        <v>44597.3107052314</v>
      </c>
      <c r="C8026" s="51">
        <v>0.999</v>
      </c>
      <c r="D8026" s="51">
        <v>66.0</v>
      </c>
      <c r="E8026" s="52" t="s">
        <v>25</v>
      </c>
      <c r="F8026" s="52" t="s">
        <v>26</v>
      </c>
      <c r="G8026" s="53"/>
    </row>
    <row r="8027">
      <c r="A8027" s="49">
        <v>44597.19615690972</v>
      </c>
      <c r="B8027" s="50">
        <v>44597.321126956</v>
      </c>
      <c r="C8027" s="51">
        <v>0.999</v>
      </c>
      <c r="D8027" s="51">
        <v>66.0</v>
      </c>
      <c r="E8027" s="52" t="s">
        <v>25</v>
      </c>
      <c r="F8027" s="52" t="s">
        <v>26</v>
      </c>
      <c r="G8027" s="53"/>
    </row>
    <row r="8028">
      <c r="A8028" s="49">
        <v>44597.206565347224</v>
      </c>
      <c r="B8028" s="50">
        <v>44597.3315468634</v>
      </c>
      <c r="C8028" s="51">
        <v>0.999</v>
      </c>
      <c r="D8028" s="51">
        <v>66.0</v>
      </c>
      <c r="E8028" s="52" t="s">
        <v>25</v>
      </c>
      <c r="F8028" s="52" t="s">
        <v>26</v>
      </c>
      <c r="G8028" s="53"/>
    </row>
    <row r="8029">
      <c r="A8029" s="49">
        <v>44597.21698917824</v>
      </c>
      <c r="B8029" s="50">
        <v>44597.3419678935</v>
      </c>
      <c r="C8029" s="51">
        <v>0.999</v>
      </c>
      <c r="D8029" s="51">
        <v>66.0</v>
      </c>
      <c r="E8029" s="52" t="s">
        <v>25</v>
      </c>
      <c r="F8029" s="52" t="s">
        <v>26</v>
      </c>
      <c r="G8029" s="53"/>
    </row>
    <row r="8030">
      <c r="A8030" s="49">
        <v>44597.227411875</v>
      </c>
      <c r="B8030" s="50">
        <v>44597.3523875231</v>
      </c>
      <c r="C8030" s="51">
        <v>0.999</v>
      </c>
      <c r="D8030" s="51">
        <v>66.0</v>
      </c>
      <c r="E8030" s="52" t="s">
        <v>25</v>
      </c>
      <c r="F8030" s="52" t="s">
        <v>26</v>
      </c>
      <c r="G8030" s="53"/>
    </row>
    <row r="8031">
      <c r="A8031" s="49">
        <v>44597.23784608796</v>
      </c>
      <c r="B8031" s="50">
        <v>44597.3628194675</v>
      </c>
      <c r="C8031" s="51">
        <v>0.999</v>
      </c>
      <c r="D8031" s="51">
        <v>66.0</v>
      </c>
      <c r="E8031" s="52" t="s">
        <v>25</v>
      </c>
      <c r="F8031" s="52" t="s">
        <v>26</v>
      </c>
      <c r="G8031" s="53"/>
    </row>
    <row r="8032">
      <c r="A8032" s="49">
        <v>44597.24826648148</v>
      </c>
      <c r="B8032" s="50">
        <v>44597.3732415972</v>
      </c>
      <c r="C8032" s="51">
        <v>0.999</v>
      </c>
      <c r="D8032" s="51">
        <v>66.0</v>
      </c>
      <c r="E8032" s="52" t="s">
        <v>25</v>
      </c>
      <c r="F8032" s="52" t="s">
        <v>26</v>
      </c>
      <c r="G8032" s="53"/>
    </row>
    <row r="8033">
      <c r="A8033" s="49">
        <v>44597.2586921412</v>
      </c>
      <c r="B8033" s="50">
        <v>44597.3836619791</v>
      </c>
      <c r="C8033" s="51">
        <v>0.999</v>
      </c>
      <c r="D8033" s="51">
        <v>66.0</v>
      </c>
      <c r="E8033" s="52" t="s">
        <v>25</v>
      </c>
      <c r="F8033" s="52" t="s">
        <v>26</v>
      </c>
      <c r="G8033" s="53"/>
    </row>
    <row r="8034">
      <c r="A8034" s="49">
        <v>44597.269105671294</v>
      </c>
      <c r="B8034" s="50">
        <v>44597.3940826273</v>
      </c>
      <c r="C8034" s="51">
        <v>0.999</v>
      </c>
      <c r="D8034" s="51">
        <v>66.0</v>
      </c>
      <c r="E8034" s="52" t="s">
        <v>25</v>
      </c>
      <c r="F8034" s="52" t="s">
        <v>26</v>
      </c>
      <c r="G8034" s="53"/>
    </row>
    <row r="8035">
      <c r="A8035" s="49">
        <v>44597.279540358795</v>
      </c>
      <c r="B8035" s="50">
        <v>44597.4045035185</v>
      </c>
      <c r="C8035" s="51">
        <v>0.999</v>
      </c>
      <c r="D8035" s="51">
        <v>66.0</v>
      </c>
      <c r="E8035" s="52" t="s">
        <v>25</v>
      </c>
      <c r="F8035" s="52" t="s">
        <v>26</v>
      </c>
      <c r="G8035" s="53"/>
    </row>
    <row r="8036">
      <c r="A8036" s="49">
        <v>44597.28995208333</v>
      </c>
      <c r="B8036" s="50">
        <v>44597.4149243402</v>
      </c>
      <c r="C8036" s="51">
        <v>0.999</v>
      </c>
      <c r="D8036" s="51">
        <v>66.0</v>
      </c>
      <c r="E8036" s="52" t="s">
        <v>25</v>
      </c>
      <c r="F8036" s="52" t="s">
        <v>26</v>
      </c>
      <c r="G8036" s="53"/>
    </row>
    <row r="8037">
      <c r="A8037" s="49">
        <v>44597.300368125</v>
      </c>
      <c r="B8037" s="50">
        <v>44597.4253460995</v>
      </c>
      <c r="C8037" s="51">
        <v>0.999</v>
      </c>
      <c r="D8037" s="51">
        <v>66.0</v>
      </c>
      <c r="E8037" s="52" t="s">
        <v>25</v>
      </c>
      <c r="F8037" s="52" t="s">
        <v>26</v>
      </c>
      <c r="G8037" s="53"/>
    </row>
    <row r="8038">
      <c r="A8038" s="49">
        <v>44597.31079349537</v>
      </c>
      <c r="B8038" s="50">
        <v>44597.4357660069</v>
      </c>
      <c r="C8038" s="51">
        <v>0.999</v>
      </c>
      <c r="D8038" s="51">
        <v>66.0</v>
      </c>
      <c r="E8038" s="52" t="s">
        <v>25</v>
      </c>
      <c r="F8038" s="52" t="s">
        <v>26</v>
      </c>
      <c r="G8038" s="53"/>
    </row>
    <row r="8039">
      <c r="A8039" s="49">
        <v>44597.32120546296</v>
      </c>
      <c r="B8039" s="50">
        <v>44597.446187743</v>
      </c>
      <c r="C8039" s="51">
        <v>0.999</v>
      </c>
      <c r="D8039" s="51">
        <v>66.0</v>
      </c>
      <c r="E8039" s="52" t="s">
        <v>25</v>
      </c>
      <c r="F8039" s="52" t="s">
        <v>26</v>
      </c>
      <c r="G8039" s="53"/>
    </row>
    <row r="8040">
      <c r="A8040" s="49">
        <v>44597.3316445949</v>
      </c>
      <c r="B8040" s="50">
        <v>44597.4566203819</v>
      </c>
      <c r="C8040" s="51">
        <v>0.999</v>
      </c>
      <c r="D8040" s="51">
        <v>66.0</v>
      </c>
      <c r="E8040" s="52" t="s">
        <v>25</v>
      </c>
      <c r="F8040" s="52" t="s">
        <v>26</v>
      </c>
      <c r="G8040" s="53"/>
    </row>
    <row r="8041">
      <c r="A8041" s="49">
        <v>44597.342102650466</v>
      </c>
      <c r="B8041" s="50">
        <v>44597.4670539351</v>
      </c>
      <c r="C8041" s="51">
        <v>0.999</v>
      </c>
      <c r="D8041" s="51">
        <v>66.0</v>
      </c>
      <c r="E8041" s="52" t="s">
        <v>25</v>
      </c>
      <c r="F8041" s="52" t="s">
        <v>26</v>
      </c>
      <c r="G8041" s="53"/>
    </row>
    <row r="8042">
      <c r="A8042" s="49">
        <v>44597.352504236114</v>
      </c>
      <c r="B8042" s="50">
        <v>44597.4774744444</v>
      </c>
      <c r="C8042" s="51">
        <v>0.999</v>
      </c>
      <c r="D8042" s="51">
        <v>66.0</v>
      </c>
      <c r="E8042" s="52" t="s">
        <v>25</v>
      </c>
      <c r="F8042" s="52" t="s">
        <v>26</v>
      </c>
      <c r="G8042" s="53"/>
    </row>
    <row r="8043">
      <c r="A8043" s="49">
        <v>44597.36291736111</v>
      </c>
      <c r="B8043" s="50">
        <v>44597.4878965625</v>
      </c>
      <c r="C8043" s="51">
        <v>0.999</v>
      </c>
      <c r="D8043" s="51">
        <v>66.0</v>
      </c>
      <c r="E8043" s="52" t="s">
        <v>25</v>
      </c>
      <c r="F8043" s="52" t="s">
        <v>26</v>
      </c>
      <c r="G8043" s="53"/>
    </row>
    <row r="8044">
      <c r="A8044" s="49">
        <v>44597.37334160879</v>
      </c>
      <c r="B8044" s="50">
        <v>44597.4983155208</v>
      </c>
      <c r="C8044" s="51">
        <v>0.999</v>
      </c>
      <c r="D8044" s="51">
        <v>66.0</v>
      </c>
      <c r="E8044" s="52" t="s">
        <v>25</v>
      </c>
      <c r="F8044" s="52" t="s">
        <v>26</v>
      </c>
      <c r="G8044" s="53"/>
    </row>
    <row r="8045">
      <c r="A8045" s="49">
        <v>44597.38376033565</v>
      </c>
      <c r="B8045" s="50">
        <v>44597.5087368055</v>
      </c>
      <c r="C8045" s="51">
        <v>0.999</v>
      </c>
      <c r="D8045" s="51">
        <v>66.0</v>
      </c>
      <c r="E8045" s="52" t="s">
        <v>25</v>
      </c>
      <c r="F8045" s="52" t="s">
        <v>26</v>
      </c>
      <c r="G8045" s="53"/>
    </row>
    <row r="8046">
      <c r="A8046" s="49">
        <v>44597.39418362269</v>
      </c>
      <c r="B8046" s="50">
        <v>44597.5191567592</v>
      </c>
      <c r="C8046" s="51">
        <v>0.999</v>
      </c>
      <c r="D8046" s="51">
        <v>66.0</v>
      </c>
      <c r="E8046" s="52" t="s">
        <v>25</v>
      </c>
      <c r="F8046" s="52" t="s">
        <v>26</v>
      </c>
      <c r="G8046" s="53"/>
    </row>
    <row r="8047">
      <c r="A8047" s="49">
        <v>44597.40459559028</v>
      </c>
      <c r="B8047" s="50">
        <v>44597.5295773495</v>
      </c>
      <c r="C8047" s="51">
        <v>0.999</v>
      </c>
      <c r="D8047" s="51">
        <v>66.0</v>
      </c>
      <c r="E8047" s="52" t="s">
        <v>25</v>
      </c>
      <c r="F8047" s="52" t="s">
        <v>26</v>
      </c>
      <c r="G8047" s="53"/>
    </row>
    <row r="8048">
      <c r="A8048" s="49">
        <v>44597.4150318287</v>
      </c>
      <c r="B8048" s="50">
        <v>44597.5400115162</v>
      </c>
      <c r="C8048" s="51">
        <v>0.999</v>
      </c>
      <c r="D8048" s="51">
        <v>66.0</v>
      </c>
      <c r="E8048" s="52" t="s">
        <v>25</v>
      </c>
      <c r="F8048" s="52" t="s">
        <v>26</v>
      </c>
      <c r="G8048" s="53"/>
    </row>
    <row r="8049">
      <c r="A8049" s="49">
        <v>44597.425458576385</v>
      </c>
      <c r="B8049" s="50">
        <v>44597.5504335995</v>
      </c>
      <c r="C8049" s="51">
        <v>0.999</v>
      </c>
      <c r="D8049" s="51">
        <v>66.0</v>
      </c>
      <c r="E8049" s="52" t="s">
        <v>25</v>
      </c>
      <c r="F8049" s="52" t="s">
        <v>26</v>
      </c>
      <c r="G8049" s="53"/>
    </row>
    <row r="8050">
      <c r="A8050" s="49">
        <v>44597.4358874537</v>
      </c>
      <c r="B8050" s="50">
        <v>44597.5608667245</v>
      </c>
      <c r="C8050" s="51">
        <v>0.999</v>
      </c>
      <c r="D8050" s="51">
        <v>66.0</v>
      </c>
      <c r="E8050" s="52" t="s">
        <v>25</v>
      </c>
      <c r="F8050" s="52" t="s">
        <v>26</v>
      </c>
      <c r="G8050" s="53"/>
    </row>
    <row r="8051">
      <c r="A8051" s="49">
        <v>44597.44630673611</v>
      </c>
      <c r="B8051" s="50">
        <v>44597.571286493</v>
      </c>
      <c r="C8051" s="51">
        <v>0.999</v>
      </c>
      <c r="D8051" s="51">
        <v>66.0</v>
      </c>
      <c r="E8051" s="52" t="s">
        <v>25</v>
      </c>
      <c r="F8051" s="52" t="s">
        <v>26</v>
      </c>
      <c r="G8051" s="53"/>
    </row>
    <row r="8052">
      <c r="A8052" s="49">
        <v>44597.45673666667</v>
      </c>
      <c r="B8052" s="50">
        <v>44597.5817078819</v>
      </c>
      <c r="C8052" s="51">
        <v>0.999</v>
      </c>
      <c r="D8052" s="51">
        <v>66.0</v>
      </c>
      <c r="E8052" s="52" t="s">
        <v>25</v>
      </c>
      <c r="F8052" s="52" t="s">
        <v>26</v>
      </c>
      <c r="G8052" s="53"/>
    </row>
    <row r="8053">
      <c r="A8053" s="49">
        <v>44597.46715650463</v>
      </c>
      <c r="B8053" s="50">
        <v>44597.5921289814</v>
      </c>
      <c r="C8053" s="51">
        <v>0.999</v>
      </c>
      <c r="D8053" s="51">
        <v>66.0</v>
      </c>
      <c r="E8053" s="52" t="s">
        <v>25</v>
      </c>
      <c r="F8053" s="52" t="s">
        <v>26</v>
      </c>
      <c r="G8053" s="53"/>
    </row>
    <row r="8054">
      <c r="A8054" s="49">
        <v>44597.4775803588</v>
      </c>
      <c r="B8054" s="50">
        <v>44597.6025492245</v>
      </c>
      <c r="C8054" s="51">
        <v>0.999</v>
      </c>
      <c r="D8054" s="51">
        <v>65.0</v>
      </c>
      <c r="E8054" s="52" t="s">
        <v>25</v>
      </c>
      <c r="F8054" s="52" t="s">
        <v>26</v>
      </c>
      <c r="G8054" s="53"/>
    </row>
    <row r="8055">
      <c r="A8055" s="49">
        <v>44597.4880012963</v>
      </c>
      <c r="B8055" s="50">
        <v>44597.6129725462</v>
      </c>
      <c r="C8055" s="51">
        <v>0.999</v>
      </c>
      <c r="D8055" s="51">
        <v>66.0</v>
      </c>
      <c r="E8055" s="52" t="s">
        <v>25</v>
      </c>
      <c r="F8055" s="52" t="s">
        <v>26</v>
      </c>
      <c r="G8055" s="53"/>
    </row>
    <row r="8056">
      <c r="A8056" s="49">
        <v>44597.49841783565</v>
      </c>
      <c r="B8056" s="50">
        <v>44597.6233924884</v>
      </c>
      <c r="C8056" s="51">
        <v>0.999</v>
      </c>
      <c r="D8056" s="51">
        <v>65.0</v>
      </c>
      <c r="E8056" s="52" t="s">
        <v>25</v>
      </c>
      <c r="F8056" s="52" t="s">
        <v>26</v>
      </c>
      <c r="G8056" s="53"/>
    </row>
    <row r="8057">
      <c r="A8057" s="49">
        <v>44597.508839988426</v>
      </c>
      <c r="B8057" s="50">
        <v>44597.6338123611</v>
      </c>
      <c r="C8057" s="51">
        <v>0.999</v>
      </c>
      <c r="D8057" s="51">
        <v>65.0</v>
      </c>
      <c r="E8057" s="52" t="s">
        <v>25</v>
      </c>
      <c r="F8057" s="52" t="s">
        <v>26</v>
      </c>
      <c r="G8057" s="53"/>
    </row>
    <row r="8058">
      <c r="A8058" s="49">
        <v>44597.51925861111</v>
      </c>
      <c r="B8058" s="50">
        <v>44597.6442335416</v>
      </c>
      <c r="C8058" s="51">
        <v>1.0</v>
      </c>
      <c r="D8058" s="51">
        <v>65.0</v>
      </c>
      <c r="E8058" s="52" t="s">
        <v>25</v>
      </c>
      <c r="F8058" s="52" t="s">
        <v>26</v>
      </c>
      <c r="G8058" s="53"/>
    </row>
    <row r="8059">
      <c r="A8059" s="49">
        <v>44597.52968836806</v>
      </c>
      <c r="B8059" s="50">
        <v>44597.6546660763</v>
      </c>
      <c r="C8059" s="51">
        <v>0.999</v>
      </c>
      <c r="D8059" s="51">
        <v>65.0</v>
      </c>
      <c r="E8059" s="52" t="s">
        <v>25</v>
      </c>
      <c r="F8059" s="52" t="s">
        <v>26</v>
      </c>
      <c r="G8059" s="53"/>
    </row>
    <row r="8060">
      <c r="A8060" s="49">
        <v>44597.54010835648</v>
      </c>
      <c r="B8060" s="50">
        <v>44597.6650866319</v>
      </c>
      <c r="C8060" s="51">
        <v>0.999</v>
      </c>
      <c r="D8060" s="51">
        <v>65.0</v>
      </c>
      <c r="E8060" s="52" t="s">
        <v>25</v>
      </c>
      <c r="F8060" s="52" t="s">
        <v>26</v>
      </c>
      <c r="G8060" s="53"/>
    </row>
    <row r="8061">
      <c r="A8061" s="49">
        <v>44597.550525706014</v>
      </c>
      <c r="B8061" s="50">
        <v>44597.6755087847</v>
      </c>
      <c r="C8061" s="51">
        <v>0.999</v>
      </c>
      <c r="D8061" s="51">
        <v>65.0</v>
      </c>
      <c r="E8061" s="52" t="s">
        <v>25</v>
      </c>
      <c r="F8061" s="52" t="s">
        <v>26</v>
      </c>
      <c r="G8061" s="53"/>
    </row>
    <row r="8062">
      <c r="A8062" s="49">
        <v>44597.56095783565</v>
      </c>
      <c r="B8062" s="50">
        <v>44597.6859421527</v>
      </c>
      <c r="C8062" s="51">
        <v>0.999</v>
      </c>
      <c r="D8062" s="51">
        <v>65.0</v>
      </c>
      <c r="E8062" s="52" t="s">
        <v>25</v>
      </c>
      <c r="F8062" s="52" t="s">
        <v>26</v>
      </c>
      <c r="G8062" s="53"/>
    </row>
    <row r="8063">
      <c r="A8063" s="49">
        <v>44597.57139460648</v>
      </c>
      <c r="B8063" s="50">
        <v>44597.6963655555</v>
      </c>
      <c r="C8063" s="51">
        <v>0.999</v>
      </c>
      <c r="D8063" s="51">
        <v>65.0</v>
      </c>
      <c r="E8063" s="52" t="s">
        <v>25</v>
      </c>
      <c r="F8063" s="52" t="s">
        <v>26</v>
      </c>
      <c r="G8063" s="53"/>
    </row>
    <row r="8064">
      <c r="A8064" s="49">
        <v>44597.58181130787</v>
      </c>
      <c r="B8064" s="50">
        <v>44597.706786956</v>
      </c>
      <c r="C8064" s="51">
        <v>0.999</v>
      </c>
      <c r="D8064" s="51">
        <v>65.0</v>
      </c>
      <c r="E8064" s="52" t="s">
        <v>25</v>
      </c>
      <c r="F8064" s="52" t="s">
        <v>26</v>
      </c>
      <c r="G8064" s="53"/>
    </row>
    <row r="8065">
      <c r="A8065" s="49">
        <v>44597.59223206018</v>
      </c>
      <c r="B8065" s="50">
        <v>44597.7172066898</v>
      </c>
      <c r="C8065" s="51">
        <v>0.999</v>
      </c>
      <c r="D8065" s="51">
        <v>65.0</v>
      </c>
      <c r="E8065" s="52" t="s">
        <v>25</v>
      </c>
      <c r="F8065" s="52" t="s">
        <v>26</v>
      </c>
      <c r="G8065" s="53"/>
    </row>
    <row r="8066">
      <c r="A8066" s="49">
        <v>44597.60266122685</v>
      </c>
      <c r="B8066" s="50">
        <v>44597.7276290393</v>
      </c>
      <c r="C8066" s="51">
        <v>0.999</v>
      </c>
      <c r="D8066" s="51">
        <v>65.0</v>
      </c>
      <c r="E8066" s="52" t="s">
        <v>25</v>
      </c>
      <c r="F8066" s="52" t="s">
        <v>26</v>
      </c>
      <c r="G8066" s="53"/>
    </row>
    <row r="8067">
      <c r="A8067" s="49">
        <v>44597.613070798616</v>
      </c>
      <c r="B8067" s="50">
        <v>44597.7380498032</v>
      </c>
      <c r="C8067" s="51">
        <v>0.999</v>
      </c>
      <c r="D8067" s="51">
        <v>65.0</v>
      </c>
      <c r="E8067" s="52" t="s">
        <v>25</v>
      </c>
      <c r="F8067" s="52" t="s">
        <v>26</v>
      </c>
      <c r="G8067" s="53"/>
    </row>
    <row r="8068">
      <c r="A8068" s="49">
        <v>44597.62348663194</v>
      </c>
      <c r="B8068" s="50">
        <v>44597.7484704166</v>
      </c>
      <c r="C8068" s="51">
        <v>0.999</v>
      </c>
      <c r="D8068" s="51">
        <v>65.0</v>
      </c>
      <c r="E8068" s="52" t="s">
        <v>25</v>
      </c>
      <c r="F8068" s="52" t="s">
        <v>26</v>
      </c>
      <c r="G8068" s="53"/>
    </row>
    <row r="8069">
      <c r="A8069" s="49">
        <v>44597.63392209491</v>
      </c>
      <c r="B8069" s="50">
        <v>44597.7588929513</v>
      </c>
      <c r="C8069" s="51">
        <v>1.0</v>
      </c>
      <c r="D8069" s="51">
        <v>65.0</v>
      </c>
      <c r="E8069" s="52" t="s">
        <v>25</v>
      </c>
      <c r="F8069" s="52" t="s">
        <v>26</v>
      </c>
      <c r="G8069" s="53"/>
    </row>
    <row r="8070">
      <c r="A8070" s="49">
        <v>44597.644340231476</v>
      </c>
      <c r="B8070" s="50">
        <v>44597.769313287</v>
      </c>
      <c r="C8070" s="51">
        <v>0.999</v>
      </c>
      <c r="D8070" s="51">
        <v>65.0</v>
      </c>
      <c r="E8070" s="52" t="s">
        <v>25</v>
      </c>
      <c r="F8070" s="52" t="s">
        <v>26</v>
      </c>
      <c r="G8070" s="53"/>
    </row>
    <row r="8071">
      <c r="A8071" s="49">
        <v>44597.65475773148</v>
      </c>
      <c r="B8071" s="50">
        <v>44597.7797330208</v>
      </c>
      <c r="C8071" s="51">
        <v>0.999</v>
      </c>
      <c r="D8071" s="51">
        <v>65.0</v>
      </c>
      <c r="E8071" s="52" t="s">
        <v>25</v>
      </c>
      <c r="F8071" s="52" t="s">
        <v>26</v>
      </c>
      <c r="G8071" s="53"/>
    </row>
    <row r="8072">
      <c r="A8072" s="49">
        <v>44597.665178298616</v>
      </c>
      <c r="B8072" s="50">
        <v>44597.790155405</v>
      </c>
      <c r="C8072" s="51">
        <v>0.999</v>
      </c>
      <c r="D8072" s="51">
        <v>65.0</v>
      </c>
      <c r="E8072" s="52" t="s">
        <v>25</v>
      </c>
      <c r="F8072" s="52" t="s">
        <v>26</v>
      </c>
      <c r="G8072" s="53"/>
    </row>
    <row r="8073">
      <c r="A8073" s="49">
        <v>44597.67561740741</v>
      </c>
      <c r="B8073" s="50">
        <v>44597.8005881365</v>
      </c>
      <c r="C8073" s="51">
        <v>0.999</v>
      </c>
      <c r="D8073" s="51">
        <v>65.0</v>
      </c>
      <c r="E8073" s="52" t="s">
        <v>25</v>
      </c>
      <c r="F8073" s="52" t="s">
        <v>26</v>
      </c>
      <c r="G8073" s="53"/>
    </row>
    <row r="8074">
      <c r="A8074" s="49">
        <v>44597.68603462963</v>
      </c>
      <c r="B8074" s="50">
        <v>44597.81100853</v>
      </c>
      <c r="C8074" s="51">
        <v>0.999</v>
      </c>
      <c r="D8074" s="51">
        <v>65.0</v>
      </c>
      <c r="E8074" s="52" t="s">
        <v>25</v>
      </c>
      <c r="F8074" s="52" t="s">
        <v>26</v>
      </c>
      <c r="G8074" s="53"/>
    </row>
    <row r="8075">
      <c r="A8075" s="49">
        <v>44597.69644961806</v>
      </c>
      <c r="B8075" s="50">
        <v>44597.8214303356</v>
      </c>
      <c r="C8075" s="51">
        <v>0.999</v>
      </c>
      <c r="D8075" s="51">
        <v>65.0</v>
      </c>
      <c r="E8075" s="52" t="s">
        <v>25</v>
      </c>
      <c r="F8075" s="52" t="s">
        <v>26</v>
      </c>
      <c r="G8075" s="53"/>
    </row>
    <row r="8076">
      <c r="A8076" s="49">
        <v>44597.70687354167</v>
      </c>
      <c r="B8076" s="50">
        <v>44597.8318501157</v>
      </c>
      <c r="C8076" s="51">
        <v>1.0</v>
      </c>
      <c r="D8076" s="51">
        <v>65.0</v>
      </c>
      <c r="E8076" s="52" t="s">
        <v>25</v>
      </c>
      <c r="F8076" s="52" t="s">
        <v>26</v>
      </c>
      <c r="G8076" s="53"/>
    </row>
    <row r="8077">
      <c r="A8077" s="49">
        <v>44597.71729569444</v>
      </c>
      <c r="B8077" s="50">
        <v>44597.8422691203</v>
      </c>
      <c r="C8077" s="51">
        <v>0.999</v>
      </c>
      <c r="D8077" s="51">
        <v>65.0</v>
      </c>
      <c r="E8077" s="52" t="s">
        <v>25</v>
      </c>
      <c r="F8077" s="52" t="s">
        <v>26</v>
      </c>
      <c r="G8077" s="53"/>
    </row>
    <row r="8078">
      <c r="A8078" s="49">
        <v>44597.727713078704</v>
      </c>
      <c r="B8078" s="50">
        <v>44597.8526895254</v>
      </c>
      <c r="C8078" s="51">
        <v>0.999</v>
      </c>
      <c r="D8078" s="51">
        <v>65.0</v>
      </c>
      <c r="E8078" s="52" t="s">
        <v>25</v>
      </c>
      <c r="F8078" s="52" t="s">
        <v>26</v>
      </c>
      <c r="G8078" s="53"/>
    </row>
    <row r="8079">
      <c r="A8079" s="49">
        <v>44597.738134328705</v>
      </c>
      <c r="B8079" s="50">
        <v>44597.8631088194</v>
      </c>
      <c r="C8079" s="51">
        <v>0.999</v>
      </c>
      <c r="D8079" s="51">
        <v>65.0</v>
      </c>
      <c r="E8079" s="52" t="s">
        <v>25</v>
      </c>
      <c r="F8079" s="52" t="s">
        <v>26</v>
      </c>
      <c r="G8079" s="53"/>
    </row>
    <row r="8080">
      <c r="A8080" s="49">
        <v>44597.74855708334</v>
      </c>
      <c r="B8080" s="50">
        <v>44597.8735301388</v>
      </c>
      <c r="C8080" s="51">
        <v>0.999</v>
      </c>
      <c r="D8080" s="51">
        <v>65.0</v>
      </c>
      <c r="E8080" s="52" t="s">
        <v>25</v>
      </c>
      <c r="F8080" s="52" t="s">
        <v>26</v>
      </c>
      <c r="G8080" s="53"/>
    </row>
    <row r="8081">
      <c r="A8081" s="49">
        <v>44597.7589790162</v>
      </c>
      <c r="B8081" s="50">
        <v>44597.8839498263</v>
      </c>
      <c r="C8081" s="51">
        <v>0.999</v>
      </c>
      <c r="D8081" s="51">
        <v>65.0</v>
      </c>
      <c r="E8081" s="52" t="s">
        <v>25</v>
      </c>
      <c r="F8081" s="52" t="s">
        <v>26</v>
      </c>
      <c r="G8081" s="53"/>
    </row>
    <row r="8082">
      <c r="A8082" s="49">
        <v>44597.76938765046</v>
      </c>
      <c r="B8082" s="50">
        <v>44597.8943702546</v>
      </c>
      <c r="C8082" s="51">
        <v>0.999</v>
      </c>
      <c r="D8082" s="51">
        <v>65.0</v>
      </c>
      <c r="E8082" s="52" t="s">
        <v>25</v>
      </c>
      <c r="F8082" s="52" t="s">
        <v>26</v>
      </c>
      <c r="G8082" s="53"/>
    </row>
    <row r="8083">
      <c r="A8083" s="49">
        <v>44597.77981320602</v>
      </c>
      <c r="B8083" s="50">
        <v>44597.9047912384</v>
      </c>
      <c r="C8083" s="51">
        <v>0.999</v>
      </c>
      <c r="D8083" s="51">
        <v>65.0</v>
      </c>
      <c r="E8083" s="52" t="s">
        <v>25</v>
      </c>
      <c r="F8083" s="52" t="s">
        <v>26</v>
      </c>
      <c r="G8083" s="53"/>
    </row>
    <row r="8084">
      <c r="A8084" s="49">
        <v>44597.79023997685</v>
      </c>
      <c r="B8084" s="50">
        <v>44597.9152133796</v>
      </c>
      <c r="C8084" s="51">
        <v>0.999</v>
      </c>
      <c r="D8084" s="51">
        <v>64.0</v>
      </c>
      <c r="E8084" s="52" t="s">
        <v>25</v>
      </c>
      <c r="F8084" s="52" t="s">
        <v>26</v>
      </c>
      <c r="G8084" s="53"/>
    </row>
    <row r="8085">
      <c r="A8085" s="49">
        <v>44597.80066255787</v>
      </c>
      <c r="B8085" s="50">
        <v>44597.9256347222</v>
      </c>
      <c r="C8085" s="51">
        <v>0.999</v>
      </c>
      <c r="D8085" s="51">
        <v>64.0</v>
      </c>
      <c r="E8085" s="52" t="s">
        <v>25</v>
      </c>
      <c r="F8085" s="52" t="s">
        <v>26</v>
      </c>
      <c r="G8085" s="53"/>
    </row>
    <row r="8086">
      <c r="A8086" s="49">
        <v>44597.81108061342</v>
      </c>
      <c r="B8086" s="50">
        <v>44597.9360553935</v>
      </c>
      <c r="C8086" s="51">
        <v>1.0</v>
      </c>
      <c r="D8086" s="51">
        <v>64.0</v>
      </c>
      <c r="E8086" s="52" t="s">
        <v>25</v>
      </c>
      <c r="F8086" s="52" t="s">
        <v>26</v>
      </c>
      <c r="G8086" s="53"/>
    </row>
    <row r="8087">
      <c r="A8087" s="49">
        <v>44597.82150283565</v>
      </c>
      <c r="B8087" s="50">
        <v>44597.9464764583</v>
      </c>
      <c r="C8087" s="51">
        <v>1.0</v>
      </c>
      <c r="D8087" s="51">
        <v>64.0</v>
      </c>
      <c r="E8087" s="52" t="s">
        <v>25</v>
      </c>
      <c r="F8087" s="52" t="s">
        <v>26</v>
      </c>
      <c r="G8087" s="53"/>
    </row>
    <row r="8088">
      <c r="A8088" s="49">
        <v>44597.83192378472</v>
      </c>
      <c r="B8088" s="50">
        <v>44597.9568980208</v>
      </c>
      <c r="C8088" s="51">
        <v>0.999</v>
      </c>
      <c r="D8088" s="51">
        <v>64.0</v>
      </c>
      <c r="E8088" s="52" t="s">
        <v>25</v>
      </c>
      <c r="F8088" s="52" t="s">
        <v>26</v>
      </c>
      <c r="G8088" s="53"/>
    </row>
    <row r="8089">
      <c r="A8089" s="49">
        <v>44597.842348935184</v>
      </c>
      <c r="B8089" s="50">
        <v>44597.9673200115</v>
      </c>
      <c r="C8089" s="51">
        <v>0.999</v>
      </c>
      <c r="D8089" s="51">
        <v>64.0</v>
      </c>
      <c r="E8089" s="52" t="s">
        <v>25</v>
      </c>
      <c r="F8089" s="52" t="s">
        <v>26</v>
      </c>
      <c r="G8089" s="53"/>
    </row>
    <row r="8090">
      <c r="A8090" s="49">
        <v>44597.852759270834</v>
      </c>
      <c r="B8090" s="50">
        <v>44597.97773978</v>
      </c>
      <c r="C8090" s="51">
        <v>0.999</v>
      </c>
      <c r="D8090" s="51">
        <v>64.0</v>
      </c>
      <c r="E8090" s="52" t="s">
        <v>25</v>
      </c>
      <c r="F8090" s="52" t="s">
        <v>26</v>
      </c>
      <c r="G8090" s="53"/>
    </row>
    <row r="8091">
      <c r="A8091" s="49">
        <v>44597.86318439815</v>
      </c>
      <c r="B8091" s="50">
        <v>44597.9881603472</v>
      </c>
      <c r="C8091" s="51">
        <v>0.999</v>
      </c>
      <c r="D8091" s="51">
        <v>64.0</v>
      </c>
      <c r="E8091" s="52" t="s">
        <v>25</v>
      </c>
      <c r="F8091" s="52" t="s">
        <v>26</v>
      </c>
      <c r="G8091" s="53"/>
    </row>
    <row r="8092">
      <c r="A8092" s="49">
        <v>44597.87360377314</v>
      </c>
      <c r="B8092" s="50">
        <v>44597.9985807291</v>
      </c>
      <c r="C8092" s="51">
        <v>0.999</v>
      </c>
      <c r="D8092" s="51">
        <v>64.0</v>
      </c>
      <c r="E8092" s="52" t="s">
        <v>25</v>
      </c>
      <c r="F8092" s="52" t="s">
        <v>26</v>
      </c>
      <c r="G8092" s="53"/>
    </row>
    <row r="8093">
      <c r="A8093" s="49">
        <v>44597.88403596065</v>
      </c>
      <c r="B8093" s="50">
        <v>44598.0090132175</v>
      </c>
      <c r="C8093" s="51">
        <v>0.999</v>
      </c>
      <c r="D8093" s="51">
        <v>64.0</v>
      </c>
      <c r="E8093" s="52" t="s">
        <v>25</v>
      </c>
      <c r="F8093" s="52" t="s">
        <v>26</v>
      </c>
      <c r="G8093" s="53"/>
    </row>
    <row r="8094">
      <c r="A8094" s="49">
        <v>44597.89446055556</v>
      </c>
      <c r="B8094" s="50">
        <v>44598.0194329282</v>
      </c>
      <c r="C8094" s="51">
        <v>0.999</v>
      </c>
      <c r="D8094" s="51">
        <v>64.0</v>
      </c>
      <c r="E8094" s="52" t="s">
        <v>25</v>
      </c>
      <c r="F8094" s="52" t="s">
        <v>26</v>
      </c>
      <c r="G8094" s="53"/>
    </row>
    <row r="8095">
      <c r="A8095" s="49">
        <v>44597.9048744676</v>
      </c>
      <c r="B8095" s="50">
        <v>44598.0298544676</v>
      </c>
      <c r="C8095" s="51">
        <v>0.999</v>
      </c>
      <c r="D8095" s="51">
        <v>64.0</v>
      </c>
      <c r="E8095" s="52" t="s">
        <v>25</v>
      </c>
      <c r="F8095" s="52" t="s">
        <v>26</v>
      </c>
      <c r="G8095" s="53"/>
    </row>
    <row r="8096">
      <c r="A8096" s="49">
        <v>44597.91529618055</v>
      </c>
      <c r="B8096" s="50">
        <v>44598.0402756597</v>
      </c>
      <c r="C8096" s="51">
        <v>0.999</v>
      </c>
      <c r="D8096" s="51">
        <v>64.0</v>
      </c>
      <c r="E8096" s="52" t="s">
        <v>25</v>
      </c>
      <c r="F8096" s="52" t="s">
        <v>26</v>
      </c>
      <c r="G8096" s="53"/>
    </row>
    <row r="8097">
      <c r="A8097" s="49">
        <v>44597.925720983796</v>
      </c>
      <c r="B8097" s="50">
        <v>44598.0506968981</v>
      </c>
      <c r="C8097" s="51">
        <v>1.0</v>
      </c>
      <c r="D8097" s="51">
        <v>64.0</v>
      </c>
      <c r="E8097" s="52" t="s">
        <v>25</v>
      </c>
      <c r="F8097" s="52" t="s">
        <v>26</v>
      </c>
      <c r="G8097" s="53"/>
    </row>
    <row r="8098">
      <c r="A8098" s="49">
        <v>44597.93614518519</v>
      </c>
      <c r="B8098" s="50">
        <v>44598.061117662</v>
      </c>
      <c r="C8098" s="51">
        <v>0.999</v>
      </c>
      <c r="D8098" s="51">
        <v>64.0</v>
      </c>
      <c r="E8098" s="52" t="s">
        <v>25</v>
      </c>
      <c r="F8098" s="52" t="s">
        <v>26</v>
      </c>
      <c r="G8098" s="53"/>
    </row>
    <row r="8099">
      <c r="A8099" s="49">
        <v>44597.94655758102</v>
      </c>
      <c r="B8099" s="50">
        <v>44598.0715388425</v>
      </c>
      <c r="C8099" s="51">
        <v>0.999</v>
      </c>
      <c r="D8099" s="51">
        <v>64.0</v>
      </c>
      <c r="E8099" s="52" t="s">
        <v>25</v>
      </c>
      <c r="F8099" s="52" t="s">
        <v>26</v>
      </c>
      <c r="G8099" s="53"/>
    </row>
    <row r="8100">
      <c r="A8100" s="49">
        <v>44597.95698523148</v>
      </c>
      <c r="B8100" s="50">
        <v>44598.0819598379</v>
      </c>
      <c r="C8100" s="51">
        <v>0.999</v>
      </c>
      <c r="D8100" s="51">
        <v>64.0</v>
      </c>
      <c r="E8100" s="52" t="s">
        <v>25</v>
      </c>
      <c r="F8100" s="52" t="s">
        <v>26</v>
      </c>
      <c r="G8100" s="53"/>
    </row>
    <row r="8101">
      <c r="A8101" s="49">
        <v>44597.96740005787</v>
      </c>
      <c r="B8101" s="50">
        <v>44598.0923805671</v>
      </c>
      <c r="C8101" s="51">
        <v>0.999</v>
      </c>
      <c r="D8101" s="51">
        <v>64.0</v>
      </c>
      <c r="E8101" s="52" t="s">
        <v>25</v>
      </c>
      <c r="F8101" s="52" t="s">
        <v>26</v>
      </c>
      <c r="G8101" s="53"/>
    </row>
    <row r="8102">
      <c r="A8102" s="49">
        <v>44597.9778283912</v>
      </c>
      <c r="B8102" s="50">
        <v>44598.1028009953</v>
      </c>
      <c r="C8102" s="51">
        <v>0.999</v>
      </c>
      <c r="D8102" s="51">
        <v>64.0</v>
      </c>
      <c r="E8102" s="52" t="s">
        <v>25</v>
      </c>
      <c r="F8102" s="52" t="s">
        <v>26</v>
      </c>
      <c r="G8102" s="53"/>
    </row>
    <row r="8103">
      <c r="A8103" s="49">
        <v>44597.988270358794</v>
      </c>
      <c r="B8103" s="50">
        <v>44598.1132451041</v>
      </c>
      <c r="C8103" s="51">
        <v>0.999</v>
      </c>
      <c r="D8103" s="51">
        <v>64.0</v>
      </c>
      <c r="E8103" s="52" t="s">
        <v>25</v>
      </c>
      <c r="F8103" s="52" t="s">
        <v>26</v>
      </c>
      <c r="G8103" s="53"/>
    </row>
    <row r="8104">
      <c r="A8104" s="49">
        <v>44597.99869111111</v>
      </c>
      <c r="B8104" s="50">
        <v>44598.123665706</v>
      </c>
      <c r="C8104" s="51">
        <v>0.999</v>
      </c>
      <c r="D8104" s="51">
        <v>64.0</v>
      </c>
      <c r="E8104" s="52" t="s">
        <v>25</v>
      </c>
      <c r="F8104" s="52" t="s">
        <v>26</v>
      </c>
      <c r="G8104" s="53"/>
    </row>
    <row r="8105">
      <c r="A8105" s="49">
        <v>44598.00910753472</v>
      </c>
      <c r="B8105" s="50">
        <v>44598.1340866666</v>
      </c>
      <c r="C8105" s="51">
        <v>0.999</v>
      </c>
      <c r="D8105" s="51">
        <v>64.0</v>
      </c>
      <c r="E8105" s="52" t="s">
        <v>25</v>
      </c>
      <c r="F8105" s="52" t="s">
        <v>26</v>
      </c>
      <c r="G8105" s="53"/>
    </row>
    <row r="8106">
      <c r="A8106" s="49">
        <v>44598.01952648148</v>
      </c>
      <c r="B8106" s="50">
        <v>44598.1445071527</v>
      </c>
      <c r="C8106" s="51">
        <v>1.0</v>
      </c>
      <c r="D8106" s="51">
        <v>64.0</v>
      </c>
      <c r="E8106" s="52" t="s">
        <v>25</v>
      </c>
      <c r="F8106" s="52" t="s">
        <v>26</v>
      </c>
      <c r="G8106" s="53"/>
    </row>
    <row r="8107">
      <c r="A8107" s="49">
        <v>44598.02995326389</v>
      </c>
      <c r="B8107" s="50">
        <v>44598.1549299884</v>
      </c>
      <c r="C8107" s="51">
        <v>0.999</v>
      </c>
      <c r="D8107" s="51">
        <v>64.0</v>
      </c>
      <c r="E8107" s="52" t="s">
        <v>25</v>
      </c>
      <c r="F8107" s="52" t="s">
        <v>26</v>
      </c>
      <c r="G8107" s="53"/>
    </row>
    <row r="8108">
      <c r="A8108" s="49">
        <v>44598.040378668986</v>
      </c>
      <c r="B8108" s="50">
        <v>44598.1653521875</v>
      </c>
      <c r="C8108" s="51">
        <v>0.999</v>
      </c>
      <c r="D8108" s="51">
        <v>64.0</v>
      </c>
      <c r="E8108" s="52" t="s">
        <v>25</v>
      </c>
      <c r="F8108" s="52" t="s">
        <v>26</v>
      </c>
      <c r="G8108" s="53"/>
    </row>
    <row r="8109">
      <c r="A8109" s="49">
        <v>44598.05080092592</v>
      </c>
      <c r="B8109" s="50">
        <v>44598.1757759027</v>
      </c>
      <c r="C8109" s="51">
        <v>0.999</v>
      </c>
      <c r="D8109" s="51">
        <v>64.0</v>
      </c>
      <c r="E8109" s="52" t="s">
        <v>25</v>
      </c>
      <c r="F8109" s="52" t="s">
        <v>26</v>
      </c>
      <c r="G8109" s="53"/>
    </row>
    <row r="8110">
      <c r="A8110" s="49">
        <v>44598.06121883102</v>
      </c>
      <c r="B8110" s="50">
        <v>44598.1861978009</v>
      </c>
      <c r="C8110" s="51">
        <v>0.999</v>
      </c>
      <c r="D8110" s="51">
        <v>64.0</v>
      </c>
      <c r="E8110" s="52" t="s">
        <v>25</v>
      </c>
      <c r="F8110" s="52" t="s">
        <v>26</v>
      </c>
      <c r="G8110" s="53"/>
    </row>
    <row r="8111">
      <c r="A8111" s="49">
        <v>44598.07166298611</v>
      </c>
      <c r="B8111" s="50">
        <v>44598.196630949</v>
      </c>
      <c r="C8111" s="51">
        <v>0.999</v>
      </c>
      <c r="D8111" s="51">
        <v>64.0</v>
      </c>
      <c r="E8111" s="52" t="s">
        <v>25</v>
      </c>
      <c r="F8111" s="52" t="s">
        <v>26</v>
      </c>
      <c r="G8111" s="53"/>
    </row>
    <row r="8112">
      <c r="A8112" s="49">
        <v>44598.08208868056</v>
      </c>
      <c r="B8112" s="50">
        <v>44598.2070626273</v>
      </c>
      <c r="C8112" s="51">
        <v>0.999</v>
      </c>
      <c r="D8112" s="51">
        <v>64.0</v>
      </c>
      <c r="E8112" s="52" t="s">
        <v>25</v>
      </c>
      <c r="F8112" s="52" t="s">
        <v>26</v>
      </c>
      <c r="G8112" s="53"/>
    </row>
    <row r="8113">
      <c r="A8113" s="49">
        <v>44598.092534317126</v>
      </c>
      <c r="B8113" s="50">
        <v>44598.2175065162</v>
      </c>
      <c r="C8113" s="51">
        <v>1.0</v>
      </c>
      <c r="D8113" s="51">
        <v>64.0</v>
      </c>
      <c r="E8113" s="52" t="s">
        <v>25</v>
      </c>
      <c r="F8113" s="52" t="s">
        <v>26</v>
      </c>
      <c r="G8113" s="53"/>
    </row>
    <row r="8114">
      <c r="A8114" s="49">
        <v>44598.102955486116</v>
      </c>
      <c r="B8114" s="50">
        <v>44598.2279286574</v>
      </c>
      <c r="C8114" s="51">
        <v>0.999</v>
      </c>
      <c r="D8114" s="51">
        <v>64.0</v>
      </c>
      <c r="E8114" s="52" t="s">
        <v>25</v>
      </c>
      <c r="F8114" s="52" t="s">
        <v>26</v>
      </c>
      <c r="G8114" s="53"/>
    </row>
    <row r="8115">
      <c r="A8115" s="49">
        <v>44598.11337299769</v>
      </c>
      <c r="B8115" s="50">
        <v>44598.2383502083</v>
      </c>
      <c r="C8115" s="51">
        <v>0.999</v>
      </c>
      <c r="D8115" s="51">
        <v>64.0</v>
      </c>
      <c r="E8115" s="52" t="s">
        <v>25</v>
      </c>
      <c r="F8115" s="52" t="s">
        <v>26</v>
      </c>
      <c r="G8115" s="53"/>
    </row>
    <row r="8116">
      <c r="A8116" s="49">
        <v>44598.123790833335</v>
      </c>
      <c r="B8116" s="50">
        <v>44598.2487702199</v>
      </c>
      <c r="C8116" s="51">
        <v>1.0</v>
      </c>
      <c r="D8116" s="51">
        <v>64.0</v>
      </c>
      <c r="E8116" s="52" t="s">
        <v>25</v>
      </c>
      <c r="F8116" s="52" t="s">
        <v>26</v>
      </c>
      <c r="G8116" s="53"/>
    </row>
    <row r="8117">
      <c r="A8117" s="49">
        <v>44598.13421885417</v>
      </c>
      <c r="B8117" s="50">
        <v>44598.25919353</v>
      </c>
      <c r="C8117" s="51">
        <v>1.0</v>
      </c>
      <c r="D8117" s="51">
        <v>64.0</v>
      </c>
      <c r="E8117" s="52" t="s">
        <v>25</v>
      </c>
      <c r="F8117" s="52" t="s">
        <v>26</v>
      </c>
      <c r="G8117" s="53"/>
    </row>
    <row r="8118">
      <c r="A8118" s="49">
        <v>44598.14463642361</v>
      </c>
      <c r="B8118" s="50">
        <v>44598.2696146643</v>
      </c>
      <c r="C8118" s="51">
        <v>1.0</v>
      </c>
      <c r="D8118" s="51">
        <v>64.0</v>
      </c>
      <c r="E8118" s="52" t="s">
        <v>25</v>
      </c>
      <c r="F8118" s="52" t="s">
        <v>26</v>
      </c>
      <c r="G8118" s="53"/>
    </row>
    <row r="8119">
      <c r="A8119" s="49">
        <v>44598.15506232639</v>
      </c>
      <c r="B8119" s="50">
        <v>44598.2800353125</v>
      </c>
      <c r="C8119" s="51">
        <v>0.999</v>
      </c>
      <c r="D8119" s="51">
        <v>64.0</v>
      </c>
      <c r="E8119" s="52" t="s">
        <v>25</v>
      </c>
      <c r="F8119" s="52" t="s">
        <v>26</v>
      </c>
      <c r="G8119" s="53"/>
    </row>
    <row r="8120">
      <c r="A8120" s="49">
        <v>44598.16548409722</v>
      </c>
      <c r="B8120" s="50">
        <v>44598.2904576504</v>
      </c>
      <c r="C8120" s="51">
        <v>0.999</v>
      </c>
      <c r="D8120" s="51">
        <v>64.0</v>
      </c>
      <c r="E8120" s="52" t="s">
        <v>25</v>
      </c>
      <c r="F8120" s="52" t="s">
        <v>26</v>
      </c>
      <c r="G8120" s="53"/>
    </row>
    <row r="8121">
      <c r="A8121" s="49">
        <v>44598.17590377315</v>
      </c>
      <c r="B8121" s="50">
        <v>44598.3008787963</v>
      </c>
      <c r="C8121" s="51">
        <v>0.999</v>
      </c>
      <c r="D8121" s="51">
        <v>64.0</v>
      </c>
      <c r="E8121" s="52" t="s">
        <v>25</v>
      </c>
      <c r="F8121" s="52" t="s">
        <v>26</v>
      </c>
      <c r="G8121" s="53"/>
    </row>
    <row r="8122">
      <c r="A8122" s="49">
        <v>44598.18632366898</v>
      </c>
      <c r="B8122" s="50">
        <v>44598.3113021296</v>
      </c>
      <c r="C8122" s="51">
        <v>0.999</v>
      </c>
      <c r="D8122" s="51">
        <v>64.0</v>
      </c>
      <c r="E8122" s="52" t="s">
        <v>25</v>
      </c>
      <c r="F8122" s="52" t="s">
        <v>26</v>
      </c>
      <c r="G8122" s="53"/>
    </row>
    <row r="8123">
      <c r="A8123" s="49">
        <v>44598.19674328704</v>
      </c>
      <c r="B8123" s="50">
        <v>44598.3217216782</v>
      </c>
      <c r="C8123" s="51">
        <v>1.0</v>
      </c>
      <c r="D8123" s="51">
        <v>64.0</v>
      </c>
      <c r="E8123" s="52" t="s">
        <v>25</v>
      </c>
      <c r="F8123" s="52" t="s">
        <v>26</v>
      </c>
      <c r="G8123" s="53"/>
    </row>
    <row r="8124">
      <c r="A8124" s="49">
        <v>44598.20715945602</v>
      </c>
      <c r="B8124" s="50">
        <v>44598.3321431828</v>
      </c>
      <c r="C8124" s="51">
        <v>1.0</v>
      </c>
      <c r="D8124" s="51">
        <v>64.0</v>
      </c>
      <c r="E8124" s="52" t="s">
        <v>25</v>
      </c>
      <c r="F8124" s="52" t="s">
        <v>26</v>
      </c>
      <c r="G8124" s="53"/>
    </row>
    <row r="8125">
      <c r="A8125" s="49">
        <v>44598.21759039351</v>
      </c>
      <c r="B8125" s="50">
        <v>44598.3425645023</v>
      </c>
      <c r="C8125" s="51">
        <v>0.999</v>
      </c>
      <c r="D8125" s="51">
        <v>64.0</v>
      </c>
      <c r="E8125" s="52" t="s">
        <v>25</v>
      </c>
      <c r="F8125" s="52" t="s">
        <v>26</v>
      </c>
      <c r="G8125" s="53"/>
    </row>
    <row r="8126">
      <c r="A8126" s="49">
        <v>44598.2280142824</v>
      </c>
      <c r="B8126" s="50">
        <v>44598.352986412</v>
      </c>
      <c r="C8126" s="51">
        <v>1.0</v>
      </c>
      <c r="D8126" s="51">
        <v>64.0</v>
      </c>
      <c r="E8126" s="52" t="s">
        <v>25</v>
      </c>
      <c r="F8126" s="52" t="s">
        <v>26</v>
      </c>
      <c r="G8126" s="53"/>
    </row>
    <row r="8127">
      <c r="A8127" s="49">
        <v>44598.2384405787</v>
      </c>
      <c r="B8127" s="50">
        <v>44598.3634073495</v>
      </c>
      <c r="C8127" s="51">
        <v>0.999</v>
      </c>
      <c r="D8127" s="51">
        <v>64.0</v>
      </c>
      <c r="E8127" s="52" t="s">
        <v>25</v>
      </c>
      <c r="F8127" s="52" t="s">
        <v>26</v>
      </c>
      <c r="G8127" s="53"/>
    </row>
    <row r="8128">
      <c r="A8128" s="49">
        <v>44598.24888020833</v>
      </c>
      <c r="B8128" s="50">
        <v>44598.373829375</v>
      </c>
      <c r="C8128" s="51">
        <v>0.999</v>
      </c>
      <c r="D8128" s="51">
        <v>64.0</v>
      </c>
      <c r="E8128" s="52" t="s">
        <v>25</v>
      </c>
      <c r="F8128" s="52" t="s">
        <v>26</v>
      </c>
      <c r="G8128" s="53"/>
    </row>
    <row r="8129">
      <c r="A8129" s="49">
        <v>44598.25927096065</v>
      </c>
      <c r="B8129" s="50">
        <v>44598.384252118</v>
      </c>
      <c r="C8129" s="51">
        <v>0.999</v>
      </c>
      <c r="D8129" s="51">
        <v>64.0</v>
      </c>
      <c r="E8129" s="52" t="s">
        <v>25</v>
      </c>
      <c r="F8129" s="52" t="s">
        <v>26</v>
      </c>
      <c r="G8129" s="53"/>
    </row>
    <row r="8130">
      <c r="A8130" s="49">
        <v>44598.269691203706</v>
      </c>
      <c r="B8130" s="50">
        <v>44598.394673831</v>
      </c>
      <c r="C8130" s="51">
        <v>1.0</v>
      </c>
      <c r="D8130" s="51">
        <v>63.0</v>
      </c>
      <c r="E8130" s="52" t="s">
        <v>25</v>
      </c>
      <c r="F8130" s="52" t="s">
        <v>26</v>
      </c>
      <c r="G8130" s="53"/>
    </row>
    <row r="8131">
      <c r="A8131" s="49">
        <v>44598.28013050926</v>
      </c>
      <c r="B8131" s="50">
        <v>44598.4051046875</v>
      </c>
      <c r="C8131" s="51">
        <v>1.0</v>
      </c>
      <c r="D8131" s="51">
        <v>64.0</v>
      </c>
      <c r="E8131" s="52" t="s">
        <v>25</v>
      </c>
      <c r="F8131" s="52" t="s">
        <v>26</v>
      </c>
      <c r="G8131" s="53"/>
    </row>
    <row r="8132">
      <c r="A8132" s="49">
        <v>44598.290566111114</v>
      </c>
      <c r="B8132" s="50">
        <v>44598.4155366898</v>
      </c>
      <c r="C8132" s="51">
        <v>1.0</v>
      </c>
      <c r="D8132" s="51">
        <v>63.0</v>
      </c>
      <c r="E8132" s="52" t="s">
        <v>25</v>
      </c>
      <c r="F8132" s="52" t="s">
        <v>26</v>
      </c>
      <c r="G8132" s="53"/>
    </row>
    <row r="8133">
      <c r="A8133" s="49">
        <v>44598.30100653935</v>
      </c>
      <c r="B8133" s="50">
        <v>44598.4259821527</v>
      </c>
      <c r="C8133" s="51">
        <v>0.999</v>
      </c>
      <c r="D8133" s="51">
        <v>63.0</v>
      </c>
      <c r="E8133" s="52" t="s">
        <v>25</v>
      </c>
      <c r="F8133" s="52" t="s">
        <v>26</v>
      </c>
      <c r="G8133" s="53"/>
    </row>
    <row r="8134">
      <c r="A8134" s="49">
        <v>44598.311431180555</v>
      </c>
      <c r="B8134" s="50">
        <v>44598.4364036689</v>
      </c>
      <c r="C8134" s="51">
        <v>1.0</v>
      </c>
      <c r="D8134" s="51">
        <v>63.0</v>
      </c>
      <c r="E8134" s="52" t="s">
        <v>25</v>
      </c>
      <c r="F8134" s="52" t="s">
        <v>26</v>
      </c>
      <c r="G8134" s="53"/>
    </row>
    <row r="8135">
      <c r="A8135" s="49">
        <v>44598.32184895834</v>
      </c>
      <c r="B8135" s="50">
        <v>44598.4468262615</v>
      </c>
      <c r="C8135" s="51">
        <v>0.999</v>
      </c>
      <c r="D8135" s="51">
        <v>63.0</v>
      </c>
      <c r="E8135" s="52" t="s">
        <v>25</v>
      </c>
      <c r="F8135" s="52" t="s">
        <v>26</v>
      </c>
      <c r="G8135" s="53"/>
    </row>
    <row r="8136">
      <c r="A8136" s="49">
        <v>44598.33226792824</v>
      </c>
      <c r="B8136" s="50">
        <v>44598.457248368</v>
      </c>
      <c r="C8136" s="51">
        <v>0.999</v>
      </c>
      <c r="D8136" s="51">
        <v>63.0</v>
      </c>
      <c r="E8136" s="52" t="s">
        <v>25</v>
      </c>
      <c r="F8136" s="52" t="s">
        <v>26</v>
      </c>
      <c r="G8136" s="53"/>
    </row>
    <row r="8137">
      <c r="A8137" s="49">
        <v>44598.34269709491</v>
      </c>
      <c r="B8137" s="50">
        <v>44598.4676696759</v>
      </c>
      <c r="C8137" s="51">
        <v>0.999</v>
      </c>
      <c r="D8137" s="51">
        <v>63.0</v>
      </c>
      <c r="E8137" s="52" t="s">
        <v>25</v>
      </c>
      <c r="F8137" s="52" t="s">
        <v>26</v>
      </c>
      <c r="G8137" s="53"/>
    </row>
    <row r="8138">
      <c r="A8138" s="49">
        <v>44598.35311253472</v>
      </c>
      <c r="B8138" s="50">
        <v>44598.4780895601</v>
      </c>
      <c r="C8138" s="51">
        <v>0.999</v>
      </c>
      <c r="D8138" s="51">
        <v>63.0</v>
      </c>
      <c r="E8138" s="52" t="s">
        <v>25</v>
      </c>
      <c r="F8138" s="52" t="s">
        <v>26</v>
      </c>
      <c r="G8138" s="53"/>
    </row>
    <row r="8139">
      <c r="A8139" s="49">
        <v>44598.36353804398</v>
      </c>
      <c r="B8139" s="50">
        <v>44598.4885099652</v>
      </c>
      <c r="C8139" s="51">
        <v>0.999</v>
      </c>
      <c r="D8139" s="51">
        <v>63.0</v>
      </c>
      <c r="E8139" s="52" t="s">
        <v>25</v>
      </c>
      <c r="F8139" s="52" t="s">
        <v>26</v>
      </c>
      <c r="G8139" s="53"/>
    </row>
    <row r="8140">
      <c r="A8140" s="49">
        <v>44598.373973229165</v>
      </c>
      <c r="B8140" s="50">
        <v>44598.4989560069</v>
      </c>
      <c r="C8140" s="51">
        <v>0.999</v>
      </c>
      <c r="D8140" s="51">
        <v>63.0</v>
      </c>
      <c r="E8140" s="52" t="s">
        <v>25</v>
      </c>
      <c r="F8140" s="52" t="s">
        <v>26</v>
      </c>
      <c r="G8140" s="53"/>
    </row>
    <row r="8141">
      <c r="A8141" s="49">
        <v>44598.384408541664</v>
      </c>
      <c r="B8141" s="50">
        <v>44598.509388287</v>
      </c>
      <c r="C8141" s="51">
        <v>1.0</v>
      </c>
      <c r="D8141" s="51">
        <v>63.0</v>
      </c>
      <c r="E8141" s="52" t="s">
        <v>25</v>
      </c>
      <c r="F8141" s="52" t="s">
        <v>26</v>
      </c>
      <c r="G8141" s="53"/>
    </row>
    <row r="8142">
      <c r="A8142" s="49">
        <v>44598.39484822917</v>
      </c>
      <c r="B8142" s="50">
        <v>44598.5198218402</v>
      </c>
      <c r="C8142" s="51">
        <v>0.999</v>
      </c>
      <c r="D8142" s="51">
        <v>63.0</v>
      </c>
      <c r="E8142" s="52" t="s">
        <v>25</v>
      </c>
      <c r="F8142" s="52" t="s">
        <v>26</v>
      </c>
      <c r="G8142" s="53"/>
    </row>
    <row r="8143">
      <c r="A8143" s="49">
        <v>44598.405275474535</v>
      </c>
      <c r="B8143" s="50">
        <v>44598.5302425231</v>
      </c>
      <c r="C8143" s="51">
        <v>1.0</v>
      </c>
      <c r="D8143" s="51">
        <v>63.0</v>
      </c>
      <c r="E8143" s="52" t="s">
        <v>25</v>
      </c>
      <c r="F8143" s="52" t="s">
        <v>26</v>
      </c>
      <c r="G8143" s="53"/>
    </row>
    <row r="8144">
      <c r="A8144" s="49">
        <v>44598.415684004634</v>
      </c>
      <c r="B8144" s="50">
        <v>44598.5406642824</v>
      </c>
      <c r="C8144" s="51">
        <v>1.0</v>
      </c>
      <c r="D8144" s="51">
        <v>63.0</v>
      </c>
      <c r="E8144" s="52" t="s">
        <v>25</v>
      </c>
      <c r="F8144" s="52" t="s">
        <v>26</v>
      </c>
      <c r="G8144" s="53"/>
    </row>
    <row r="8145">
      <c r="A8145" s="49">
        <v>44598.42611946759</v>
      </c>
      <c r="B8145" s="50">
        <v>44598.5510957407</v>
      </c>
      <c r="C8145" s="51">
        <v>0.999</v>
      </c>
      <c r="D8145" s="51">
        <v>63.0</v>
      </c>
      <c r="E8145" s="52" t="s">
        <v>25</v>
      </c>
      <c r="F8145" s="52" t="s">
        <v>26</v>
      </c>
      <c r="G8145" s="53"/>
    </row>
    <row r="8146">
      <c r="A8146" s="49">
        <v>44598.43653180556</v>
      </c>
      <c r="B8146" s="50">
        <v>44598.5615143634</v>
      </c>
      <c r="C8146" s="51">
        <v>1.0</v>
      </c>
      <c r="D8146" s="51">
        <v>63.0</v>
      </c>
      <c r="E8146" s="52" t="s">
        <v>25</v>
      </c>
      <c r="F8146" s="52" t="s">
        <v>26</v>
      </c>
      <c r="G8146" s="53"/>
    </row>
    <row r="8147">
      <c r="A8147" s="49">
        <v>44598.44695644676</v>
      </c>
      <c r="B8147" s="50">
        <v>44598.5719340393</v>
      </c>
      <c r="C8147" s="51">
        <v>1.0</v>
      </c>
      <c r="D8147" s="51">
        <v>63.0</v>
      </c>
      <c r="E8147" s="52" t="s">
        <v>25</v>
      </c>
      <c r="F8147" s="52" t="s">
        <v>26</v>
      </c>
      <c r="G8147" s="53"/>
    </row>
    <row r="8148">
      <c r="A8148" s="49">
        <v>44598.4574059838</v>
      </c>
      <c r="B8148" s="50">
        <v>44598.5823790856</v>
      </c>
      <c r="C8148" s="51">
        <v>0.999</v>
      </c>
      <c r="D8148" s="51">
        <v>63.0</v>
      </c>
      <c r="E8148" s="52" t="s">
        <v>25</v>
      </c>
      <c r="F8148" s="52" t="s">
        <v>26</v>
      </c>
      <c r="G8148" s="53"/>
    </row>
    <row r="8149">
      <c r="A8149" s="49">
        <v>44598.46782855324</v>
      </c>
      <c r="B8149" s="50">
        <v>44598.5928009143</v>
      </c>
      <c r="C8149" s="51">
        <v>1.0</v>
      </c>
      <c r="D8149" s="51">
        <v>63.0</v>
      </c>
      <c r="E8149" s="52" t="s">
        <v>25</v>
      </c>
      <c r="F8149" s="52" t="s">
        <v>26</v>
      </c>
      <c r="G8149" s="53"/>
    </row>
    <row r="8150">
      <c r="A8150" s="49">
        <v>44598.47825697917</v>
      </c>
      <c r="B8150" s="50">
        <v>44598.6032335763</v>
      </c>
      <c r="C8150" s="51">
        <v>1.0</v>
      </c>
      <c r="D8150" s="51">
        <v>63.0</v>
      </c>
      <c r="E8150" s="52" t="s">
        <v>25</v>
      </c>
      <c r="F8150" s="52" t="s">
        <v>26</v>
      </c>
      <c r="G8150" s="53"/>
    </row>
    <row r="8151">
      <c r="A8151" s="49">
        <v>44598.48868416667</v>
      </c>
      <c r="B8151" s="50">
        <v>44598.6136555208</v>
      </c>
      <c r="C8151" s="51">
        <v>1.0</v>
      </c>
      <c r="D8151" s="51">
        <v>63.0</v>
      </c>
      <c r="E8151" s="52" t="s">
        <v>25</v>
      </c>
      <c r="F8151" s="52" t="s">
        <v>26</v>
      </c>
      <c r="G8151" s="53"/>
    </row>
    <row r="8152">
      <c r="A8152" s="49">
        <v>44598.49909877314</v>
      </c>
      <c r="B8152" s="50">
        <v>44598.6240789004</v>
      </c>
      <c r="C8152" s="51">
        <v>1.0</v>
      </c>
      <c r="D8152" s="51">
        <v>63.0</v>
      </c>
      <c r="E8152" s="52" t="s">
        <v>25</v>
      </c>
      <c r="F8152" s="52" t="s">
        <v>26</v>
      </c>
      <c r="G8152" s="53"/>
    </row>
    <row r="8153">
      <c r="A8153" s="49">
        <v>44598.50952957176</v>
      </c>
      <c r="B8153" s="50">
        <v>44598.6345016319</v>
      </c>
      <c r="C8153" s="51">
        <v>0.999</v>
      </c>
      <c r="D8153" s="51">
        <v>63.0</v>
      </c>
      <c r="E8153" s="52" t="s">
        <v>25</v>
      </c>
      <c r="F8153" s="52" t="s">
        <v>26</v>
      </c>
      <c r="G8153" s="53"/>
    </row>
    <row r="8154">
      <c r="A8154" s="49">
        <v>44598.519960289355</v>
      </c>
      <c r="B8154" s="50">
        <v>44598.6449359259</v>
      </c>
      <c r="C8154" s="51">
        <v>1.0</v>
      </c>
      <c r="D8154" s="51">
        <v>63.0</v>
      </c>
      <c r="E8154" s="52" t="s">
        <v>25</v>
      </c>
      <c r="F8154" s="52" t="s">
        <v>26</v>
      </c>
      <c r="G8154" s="53"/>
    </row>
    <row r="8155">
      <c r="A8155" s="49">
        <v>44598.530376469906</v>
      </c>
      <c r="B8155" s="50">
        <v>44598.6553572685</v>
      </c>
      <c r="C8155" s="51">
        <v>1.0</v>
      </c>
      <c r="D8155" s="51">
        <v>63.0</v>
      </c>
      <c r="E8155" s="52" t="s">
        <v>25</v>
      </c>
      <c r="F8155" s="52" t="s">
        <v>26</v>
      </c>
      <c r="G8155" s="53"/>
    </row>
    <row r="8156">
      <c r="A8156" s="49">
        <v>44598.540816249995</v>
      </c>
      <c r="B8156" s="50">
        <v>44598.66578875</v>
      </c>
      <c r="C8156" s="51">
        <v>1.0</v>
      </c>
      <c r="D8156" s="51">
        <v>63.0</v>
      </c>
      <c r="E8156" s="52" t="s">
        <v>25</v>
      </c>
      <c r="F8156" s="52" t="s">
        <v>26</v>
      </c>
      <c r="G8156" s="53"/>
    </row>
    <row r="8157">
      <c r="A8157" s="49">
        <v>44598.55123186343</v>
      </c>
      <c r="B8157" s="50">
        <v>44598.6762090393</v>
      </c>
      <c r="C8157" s="51">
        <v>1.0</v>
      </c>
      <c r="D8157" s="51">
        <v>63.0</v>
      </c>
      <c r="E8157" s="52" t="s">
        <v>25</v>
      </c>
      <c r="F8157" s="52" t="s">
        <v>26</v>
      </c>
      <c r="G8157" s="53"/>
    </row>
    <row r="8158">
      <c r="A8158" s="49">
        <v>44598.56167001158</v>
      </c>
      <c r="B8158" s="50">
        <v>44598.6866425694</v>
      </c>
      <c r="C8158" s="51">
        <v>0.999</v>
      </c>
      <c r="D8158" s="51">
        <v>63.0</v>
      </c>
      <c r="E8158" s="52" t="s">
        <v>25</v>
      </c>
      <c r="F8158" s="52" t="s">
        <v>26</v>
      </c>
      <c r="G8158" s="53"/>
    </row>
    <row r="8159">
      <c r="A8159" s="49">
        <v>44598.572089050926</v>
      </c>
      <c r="B8159" s="50">
        <v>44598.6970631249</v>
      </c>
      <c r="C8159" s="51">
        <v>0.999</v>
      </c>
      <c r="D8159" s="51">
        <v>63.0</v>
      </c>
      <c r="E8159" s="52" t="s">
        <v>25</v>
      </c>
      <c r="F8159" s="52" t="s">
        <v>26</v>
      </c>
      <c r="G8159" s="53"/>
    </row>
    <row r="8160">
      <c r="A8160" s="49">
        <v>44598.58250585648</v>
      </c>
      <c r="B8160" s="50">
        <v>44598.7074830555</v>
      </c>
      <c r="C8160" s="51">
        <v>0.999</v>
      </c>
      <c r="D8160" s="51">
        <v>63.0</v>
      </c>
      <c r="E8160" s="52" t="s">
        <v>25</v>
      </c>
      <c r="F8160" s="52" t="s">
        <v>26</v>
      </c>
      <c r="G8160" s="53"/>
    </row>
    <row r="8161">
      <c r="A8161" s="49">
        <v>44598.59292622685</v>
      </c>
      <c r="B8161" s="50">
        <v>44598.7179046643</v>
      </c>
      <c r="C8161" s="51">
        <v>0.999</v>
      </c>
      <c r="D8161" s="51">
        <v>63.0</v>
      </c>
      <c r="E8161" s="52" t="s">
        <v>25</v>
      </c>
      <c r="F8161" s="52" t="s">
        <v>26</v>
      </c>
      <c r="G8161" s="53"/>
    </row>
    <row r="8162">
      <c r="A8162" s="49">
        <v>44598.60335268518</v>
      </c>
      <c r="B8162" s="50">
        <v>44598.7283276041</v>
      </c>
      <c r="C8162" s="51">
        <v>1.0</v>
      </c>
      <c r="D8162" s="51">
        <v>63.0</v>
      </c>
      <c r="E8162" s="52" t="s">
        <v>25</v>
      </c>
      <c r="F8162" s="52" t="s">
        <v>26</v>
      </c>
      <c r="G8162" s="53"/>
    </row>
    <row r="8163">
      <c r="A8163" s="49">
        <v>44598.61376678241</v>
      </c>
      <c r="B8163" s="50">
        <v>44598.7387484375</v>
      </c>
      <c r="C8163" s="51">
        <v>0.999</v>
      </c>
      <c r="D8163" s="51">
        <v>63.0</v>
      </c>
      <c r="E8163" s="52" t="s">
        <v>25</v>
      </c>
      <c r="F8163" s="52" t="s">
        <v>26</v>
      </c>
      <c r="G8163" s="53"/>
    </row>
    <row r="8164">
      <c r="A8164" s="49">
        <v>44598.62419707176</v>
      </c>
      <c r="B8164" s="50">
        <v>44598.7491686574</v>
      </c>
      <c r="C8164" s="51">
        <v>1.0</v>
      </c>
      <c r="D8164" s="51">
        <v>63.0</v>
      </c>
      <c r="E8164" s="52" t="s">
        <v>25</v>
      </c>
      <c r="F8164" s="52" t="s">
        <v>26</v>
      </c>
      <c r="G8164" s="53"/>
    </row>
    <row r="8165">
      <c r="A8165" s="49">
        <v>44598.63460578704</v>
      </c>
      <c r="B8165" s="50">
        <v>44598.7595890972</v>
      </c>
      <c r="C8165" s="51">
        <v>0.999</v>
      </c>
      <c r="D8165" s="51">
        <v>63.0</v>
      </c>
      <c r="E8165" s="52" t="s">
        <v>25</v>
      </c>
      <c r="F8165" s="52" t="s">
        <v>26</v>
      </c>
      <c r="G8165" s="53"/>
    </row>
    <row r="8166">
      <c r="A8166" s="49">
        <v>44598.64503629629</v>
      </c>
      <c r="B8166" s="50">
        <v>44598.7700106365</v>
      </c>
      <c r="C8166" s="51">
        <v>1.0</v>
      </c>
      <c r="D8166" s="51">
        <v>63.0</v>
      </c>
      <c r="E8166" s="52" t="s">
        <v>25</v>
      </c>
      <c r="F8166" s="52" t="s">
        <v>26</v>
      </c>
      <c r="G8166" s="53"/>
    </row>
    <row r="8167">
      <c r="A8167" s="49">
        <v>44598.65546966435</v>
      </c>
      <c r="B8167" s="50">
        <v>44598.7804421412</v>
      </c>
      <c r="C8167" s="51">
        <v>0.999</v>
      </c>
      <c r="D8167" s="51">
        <v>63.0</v>
      </c>
      <c r="E8167" s="52" t="s">
        <v>25</v>
      </c>
      <c r="F8167" s="52" t="s">
        <v>26</v>
      </c>
      <c r="G8167" s="53"/>
    </row>
    <row r="8168">
      <c r="A8168" s="49">
        <v>44598.665885636576</v>
      </c>
      <c r="B8168" s="50">
        <v>44598.7908636574</v>
      </c>
      <c r="C8168" s="51">
        <v>0.999</v>
      </c>
      <c r="D8168" s="51">
        <v>63.0</v>
      </c>
      <c r="E8168" s="52" t="s">
        <v>25</v>
      </c>
      <c r="F8168" s="52" t="s">
        <v>26</v>
      </c>
      <c r="G8168" s="53"/>
    </row>
    <row r="8169">
      <c r="A8169" s="49">
        <v>44598.6763124537</v>
      </c>
      <c r="B8169" s="50">
        <v>44598.8012939583</v>
      </c>
      <c r="C8169" s="51">
        <v>0.999</v>
      </c>
      <c r="D8169" s="51">
        <v>63.0</v>
      </c>
      <c r="E8169" s="52" t="s">
        <v>25</v>
      </c>
      <c r="F8169" s="52" t="s">
        <v>26</v>
      </c>
      <c r="G8169" s="53"/>
    </row>
    <row r="8170">
      <c r="A8170" s="49">
        <v>44598.68673261574</v>
      </c>
      <c r="B8170" s="50">
        <v>44598.8117135648</v>
      </c>
      <c r="C8170" s="51">
        <v>1.0</v>
      </c>
      <c r="D8170" s="51">
        <v>63.0</v>
      </c>
      <c r="E8170" s="52" t="s">
        <v>25</v>
      </c>
      <c r="F8170" s="52" t="s">
        <v>26</v>
      </c>
      <c r="G8170" s="53"/>
    </row>
    <row r="8171">
      <c r="A8171" s="49">
        <v>44598.6971505324</v>
      </c>
      <c r="B8171" s="50">
        <v>44598.8221350231</v>
      </c>
      <c r="C8171" s="51">
        <v>1.0</v>
      </c>
      <c r="D8171" s="51">
        <v>63.0</v>
      </c>
      <c r="E8171" s="52" t="s">
        <v>25</v>
      </c>
      <c r="F8171" s="52" t="s">
        <v>26</v>
      </c>
      <c r="G8171" s="53"/>
    </row>
    <row r="8172">
      <c r="A8172" s="49">
        <v>44598.70759560185</v>
      </c>
      <c r="B8172" s="50">
        <v>44598.8325687037</v>
      </c>
      <c r="C8172" s="51">
        <v>1.0</v>
      </c>
      <c r="D8172" s="51">
        <v>63.0</v>
      </c>
      <c r="E8172" s="52" t="s">
        <v>25</v>
      </c>
      <c r="F8172" s="52" t="s">
        <v>26</v>
      </c>
      <c r="G8172" s="53"/>
    </row>
    <row r="8173">
      <c r="A8173" s="49">
        <v>44598.718022754634</v>
      </c>
      <c r="B8173" s="50">
        <v>44598.842988912</v>
      </c>
      <c r="C8173" s="51">
        <v>0.999</v>
      </c>
      <c r="D8173" s="51">
        <v>63.0</v>
      </c>
      <c r="E8173" s="52" t="s">
        <v>25</v>
      </c>
      <c r="F8173" s="52" t="s">
        <v>26</v>
      </c>
      <c r="G8173" s="53"/>
    </row>
    <row r="8174">
      <c r="A8174" s="49">
        <v>44598.728441458334</v>
      </c>
      <c r="B8174" s="50">
        <v>44598.8534104513</v>
      </c>
      <c r="C8174" s="51">
        <v>0.999</v>
      </c>
      <c r="D8174" s="51">
        <v>62.0</v>
      </c>
      <c r="E8174" s="52" t="s">
        <v>25</v>
      </c>
      <c r="F8174" s="52" t="s">
        <v>26</v>
      </c>
      <c r="G8174" s="53"/>
    </row>
    <row r="8175">
      <c r="A8175" s="49">
        <v>44598.73885011574</v>
      </c>
      <c r="B8175" s="50">
        <v>44598.8638310532</v>
      </c>
      <c r="C8175" s="51">
        <v>0.999</v>
      </c>
      <c r="D8175" s="51">
        <v>63.0</v>
      </c>
      <c r="E8175" s="52" t="s">
        <v>25</v>
      </c>
      <c r="F8175" s="52" t="s">
        <v>26</v>
      </c>
      <c r="G8175" s="53"/>
    </row>
    <row r="8176">
      <c r="A8176" s="49">
        <v>44598.74928664352</v>
      </c>
      <c r="B8176" s="50">
        <v>44598.8742640856</v>
      </c>
      <c r="C8176" s="51">
        <v>0.999</v>
      </c>
      <c r="D8176" s="51">
        <v>62.0</v>
      </c>
      <c r="E8176" s="52" t="s">
        <v>25</v>
      </c>
      <c r="F8176" s="52" t="s">
        <v>26</v>
      </c>
      <c r="G8176" s="53"/>
    </row>
    <row r="8177">
      <c r="A8177" s="49">
        <v>44598.759710555554</v>
      </c>
      <c r="B8177" s="50">
        <v>44598.8846859375</v>
      </c>
      <c r="C8177" s="51">
        <v>1.0</v>
      </c>
      <c r="D8177" s="51">
        <v>62.0</v>
      </c>
      <c r="E8177" s="52" t="s">
        <v>25</v>
      </c>
      <c r="F8177" s="52" t="s">
        <v>26</v>
      </c>
      <c r="G8177" s="53"/>
    </row>
    <row r="8178">
      <c r="A8178" s="49">
        <v>44598.77012503472</v>
      </c>
      <c r="B8178" s="50">
        <v>44598.8951073958</v>
      </c>
      <c r="C8178" s="51">
        <v>0.999</v>
      </c>
      <c r="D8178" s="51">
        <v>62.0</v>
      </c>
      <c r="E8178" s="52" t="s">
        <v>25</v>
      </c>
      <c r="F8178" s="52" t="s">
        <v>26</v>
      </c>
      <c r="G8178" s="53"/>
    </row>
    <row r="8179">
      <c r="A8179" s="49">
        <v>44598.78054677084</v>
      </c>
      <c r="B8179" s="50">
        <v>44598.9055284837</v>
      </c>
      <c r="C8179" s="51">
        <v>1.0</v>
      </c>
      <c r="D8179" s="51">
        <v>62.0</v>
      </c>
      <c r="E8179" s="52" t="s">
        <v>25</v>
      </c>
      <c r="F8179" s="52" t="s">
        <v>26</v>
      </c>
      <c r="G8179" s="53"/>
    </row>
    <row r="8180">
      <c r="A8180" s="49">
        <v>44598.79098965278</v>
      </c>
      <c r="B8180" s="50">
        <v>44598.9159611805</v>
      </c>
      <c r="C8180" s="51">
        <v>0.999</v>
      </c>
      <c r="D8180" s="51">
        <v>62.0</v>
      </c>
      <c r="E8180" s="52" t="s">
        <v>25</v>
      </c>
      <c r="F8180" s="52" t="s">
        <v>26</v>
      </c>
      <c r="G8180" s="53"/>
    </row>
    <row r="8181">
      <c r="A8181" s="49">
        <v>44598.801407569445</v>
      </c>
      <c r="B8181" s="50">
        <v>44598.9263809606</v>
      </c>
      <c r="C8181" s="51">
        <v>1.0</v>
      </c>
      <c r="D8181" s="51">
        <v>62.0</v>
      </c>
      <c r="E8181" s="52" t="s">
        <v>25</v>
      </c>
      <c r="F8181" s="52" t="s">
        <v>26</v>
      </c>
      <c r="G8181" s="53"/>
    </row>
    <row r="8182">
      <c r="A8182" s="49">
        <v>44598.81183050926</v>
      </c>
      <c r="B8182" s="50">
        <v>44598.9368017708</v>
      </c>
      <c r="C8182" s="51">
        <v>1.0</v>
      </c>
      <c r="D8182" s="51">
        <v>62.0</v>
      </c>
      <c r="E8182" s="52" t="s">
        <v>25</v>
      </c>
      <c r="F8182" s="52" t="s">
        <v>26</v>
      </c>
      <c r="G8182" s="53"/>
    </row>
    <row r="8183">
      <c r="A8183" s="49">
        <v>44598.82225171296</v>
      </c>
      <c r="B8183" s="50">
        <v>44598.9472227662</v>
      </c>
      <c r="C8183" s="51">
        <v>1.0</v>
      </c>
      <c r="D8183" s="51">
        <v>62.0</v>
      </c>
      <c r="E8183" s="52" t="s">
        <v>25</v>
      </c>
      <c r="F8183" s="52" t="s">
        <v>26</v>
      </c>
      <c r="G8183" s="53"/>
    </row>
    <row r="8184">
      <c r="A8184" s="49">
        <v>44598.832671192125</v>
      </c>
      <c r="B8184" s="50">
        <v>44598.9576430324</v>
      </c>
      <c r="C8184" s="51">
        <v>1.0</v>
      </c>
      <c r="D8184" s="51">
        <v>62.0</v>
      </c>
      <c r="E8184" s="52" t="s">
        <v>25</v>
      </c>
      <c r="F8184" s="52" t="s">
        <v>26</v>
      </c>
      <c r="G8184" s="53"/>
    </row>
    <row r="8185">
      <c r="A8185" s="49">
        <v>44598.84309043981</v>
      </c>
      <c r="B8185" s="50">
        <v>44598.968062824</v>
      </c>
      <c r="C8185" s="51">
        <v>1.0</v>
      </c>
      <c r="D8185" s="51">
        <v>62.0</v>
      </c>
      <c r="E8185" s="52" t="s">
        <v>25</v>
      </c>
      <c r="F8185" s="52" t="s">
        <v>26</v>
      </c>
      <c r="G8185" s="53"/>
    </row>
    <row r="8186">
      <c r="A8186" s="49">
        <v>44598.85352797454</v>
      </c>
      <c r="B8186" s="50">
        <v>44598.9784974536</v>
      </c>
      <c r="C8186" s="51">
        <v>0.999</v>
      </c>
      <c r="D8186" s="51">
        <v>62.0</v>
      </c>
      <c r="E8186" s="52" t="s">
        <v>25</v>
      </c>
      <c r="F8186" s="52" t="s">
        <v>26</v>
      </c>
      <c r="G8186" s="53"/>
    </row>
    <row r="8187">
      <c r="A8187" s="49">
        <v>44598.863975138884</v>
      </c>
      <c r="B8187" s="50">
        <v>44598.9889312384</v>
      </c>
      <c r="C8187" s="51">
        <v>1.0</v>
      </c>
      <c r="D8187" s="51">
        <v>62.0</v>
      </c>
      <c r="E8187" s="52" t="s">
        <v>25</v>
      </c>
      <c r="F8187" s="52" t="s">
        <v>26</v>
      </c>
      <c r="G8187" s="53"/>
    </row>
    <row r="8188">
      <c r="A8188" s="49">
        <v>44598.87437900463</v>
      </c>
      <c r="B8188" s="50">
        <v>44598.9993515625</v>
      </c>
      <c r="C8188" s="51">
        <v>0.999</v>
      </c>
      <c r="D8188" s="51">
        <v>62.0</v>
      </c>
      <c r="E8188" s="52" t="s">
        <v>25</v>
      </c>
      <c r="F8188" s="52" t="s">
        <v>26</v>
      </c>
      <c r="G8188" s="53"/>
    </row>
    <row r="8189">
      <c r="A8189" s="49">
        <v>44598.884791122684</v>
      </c>
      <c r="B8189" s="50">
        <v>44599.0097708449</v>
      </c>
      <c r="C8189" s="51">
        <v>0.999</v>
      </c>
      <c r="D8189" s="51">
        <v>62.0</v>
      </c>
      <c r="E8189" s="52" t="s">
        <v>25</v>
      </c>
      <c r="F8189" s="52" t="s">
        <v>26</v>
      </c>
      <c r="G8189" s="53"/>
    </row>
    <row r="8190">
      <c r="A8190" s="49">
        <v>44598.8952259375</v>
      </c>
      <c r="B8190" s="50">
        <v>44599.02020353</v>
      </c>
      <c r="C8190" s="51">
        <v>0.999</v>
      </c>
      <c r="D8190" s="51">
        <v>62.0</v>
      </c>
      <c r="E8190" s="52" t="s">
        <v>25</v>
      </c>
      <c r="F8190" s="52" t="s">
        <v>26</v>
      </c>
      <c r="G8190" s="53"/>
    </row>
    <row r="8191">
      <c r="A8191" s="49">
        <v>44598.90565069445</v>
      </c>
      <c r="B8191" s="50">
        <v>44599.0306251157</v>
      </c>
      <c r="C8191" s="51">
        <v>1.0</v>
      </c>
      <c r="D8191" s="51">
        <v>62.0</v>
      </c>
      <c r="E8191" s="52" t="s">
        <v>25</v>
      </c>
      <c r="F8191" s="52" t="s">
        <v>26</v>
      </c>
      <c r="G8191" s="53"/>
    </row>
    <row r="8192">
      <c r="A8192" s="49">
        <v>44598.91607017361</v>
      </c>
      <c r="B8192" s="50">
        <v>44599.0410443287</v>
      </c>
      <c r="C8192" s="51">
        <v>0.999</v>
      </c>
      <c r="D8192" s="51">
        <v>62.0</v>
      </c>
      <c r="E8192" s="52" t="s">
        <v>25</v>
      </c>
      <c r="F8192" s="52" t="s">
        <v>26</v>
      </c>
      <c r="G8192" s="53"/>
    </row>
    <row r="8193">
      <c r="A8193" s="49">
        <v>44598.926491018516</v>
      </c>
      <c r="B8193" s="50">
        <v>44599.0514665625</v>
      </c>
      <c r="C8193" s="51">
        <v>0.999</v>
      </c>
      <c r="D8193" s="51">
        <v>62.0</v>
      </c>
      <c r="E8193" s="52" t="s">
        <v>25</v>
      </c>
      <c r="F8193" s="52" t="s">
        <v>26</v>
      </c>
      <c r="G8193" s="53"/>
    </row>
    <row r="8194">
      <c r="A8194" s="49">
        <v>44598.9369119676</v>
      </c>
      <c r="B8194" s="50">
        <v>44599.0618894328</v>
      </c>
      <c r="C8194" s="51">
        <v>0.999</v>
      </c>
      <c r="D8194" s="51">
        <v>62.0</v>
      </c>
      <c r="E8194" s="52" t="s">
        <v>25</v>
      </c>
      <c r="F8194" s="52" t="s">
        <v>26</v>
      </c>
      <c r="G8194" s="53"/>
    </row>
    <row r="8195">
      <c r="A8195" s="49">
        <v>44598.94732828704</v>
      </c>
      <c r="B8195" s="50">
        <v>44599.0723096759</v>
      </c>
      <c r="C8195" s="51">
        <v>1.0</v>
      </c>
      <c r="D8195" s="51">
        <v>62.0</v>
      </c>
      <c r="E8195" s="52" t="s">
        <v>25</v>
      </c>
      <c r="F8195" s="52" t="s">
        <v>26</v>
      </c>
      <c r="G8195" s="53"/>
    </row>
    <row r="8196">
      <c r="A8196" s="49">
        <v>44598.95775905093</v>
      </c>
      <c r="B8196" s="50">
        <v>44599.0827312731</v>
      </c>
      <c r="C8196" s="51">
        <v>1.0</v>
      </c>
      <c r="D8196" s="51">
        <v>62.0</v>
      </c>
      <c r="E8196" s="52" t="s">
        <v>25</v>
      </c>
      <c r="F8196" s="52" t="s">
        <v>26</v>
      </c>
      <c r="G8196" s="53"/>
    </row>
    <row r="8197">
      <c r="A8197" s="49">
        <v>44598.96817295139</v>
      </c>
      <c r="B8197" s="50">
        <v>44599.0931526851</v>
      </c>
      <c r="C8197" s="51">
        <v>0.999</v>
      </c>
      <c r="D8197" s="51">
        <v>62.0</v>
      </c>
      <c r="E8197" s="52" t="s">
        <v>25</v>
      </c>
      <c r="F8197" s="52" t="s">
        <v>26</v>
      </c>
      <c r="G8197" s="53"/>
    </row>
    <row r="8198">
      <c r="A8198" s="49">
        <v>44598.978605543976</v>
      </c>
      <c r="B8198" s="50">
        <v>44599.1035841782</v>
      </c>
      <c r="C8198" s="51">
        <v>1.0</v>
      </c>
      <c r="D8198" s="51">
        <v>62.0</v>
      </c>
      <c r="E8198" s="52" t="s">
        <v>25</v>
      </c>
      <c r="F8198" s="52" t="s">
        <v>26</v>
      </c>
      <c r="G8198" s="53"/>
    </row>
    <row r="8199">
      <c r="A8199" s="49">
        <v>44598.98903049769</v>
      </c>
      <c r="B8199" s="50">
        <v>44599.1140055555</v>
      </c>
      <c r="C8199" s="51">
        <v>1.0</v>
      </c>
      <c r="D8199" s="51">
        <v>62.0</v>
      </c>
      <c r="E8199" s="52" t="s">
        <v>25</v>
      </c>
      <c r="F8199" s="52" t="s">
        <v>26</v>
      </c>
      <c r="G8199" s="53"/>
    </row>
    <row r="8200">
      <c r="A8200" s="49">
        <v>44598.99945983796</v>
      </c>
      <c r="B8200" s="50">
        <v>44599.1244261689</v>
      </c>
      <c r="C8200" s="51">
        <v>0.999</v>
      </c>
      <c r="D8200" s="51">
        <v>62.0</v>
      </c>
      <c r="E8200" s="52" t="s">
        <v>25</v>
      </c>
      <c r="F8200" s="52" t="s">
        <v>26</v>
      </c>
      <c r="G8200" s="53"/>
    </row>
    <row r="8201">
      <c r="A8201" s="49">
        <v>44599.00988890046</v>
      </c>
      <c r="B8201" s="50">
        <v>44599.13485603</v>
      </c>
      <c r="C8201" s="51">
        <v>1.0</v>
      </c>
      <c r="D8201" s="51">
        <v>62.0</v>
      </c>
      <c r="E8201" s="52" t="s">
        <v>25</v>
      </c>
      <c r="F8201" s="52" t="s">
        <v>26</v>
      </c>
      <c r="G8201" s="53"/>
    </row>
    <row r="8202">
      <c r="A8202" s="49">
        <v>44599.02031565973</v>
      </c>
      <c r="B8202" s="50">
        <v>44599.1452897685</v>
      </c>
      <c r="C8202" s="51">
        <v>1.0</v>
      </c>
      <c r="D8202" s="51">
        <v>62.0</v>
      </c>
      <c r="E8202" s="52" t="s">
        <v>25</v>
      </c>
      <c r="F8202" s="52" t="s">
        <v>26</v>
      </c>
      <c r="G8202" s="53"/>
    </row>
    <row r="8203">
      <c r="A8203" s="49">
        <v>44599.03074071759</v>
      </c>
      <c r="B8203" s="50">
        <v>44599.1557127893</v>
      </c>
      <c r="C8203" s="51">
        <v>1.0</v>
      </c>
      <c r="D8203" s="51">
        <v>62.0</v>
      </c>
      <c r="E8203" s="52" t="s">
        <v>25</v>
      </c>
      <c r="F8203" s="52" t="s">
        <v>26</v>
      </c>
      <c r="G8203" s="53"/>
    </row>
    <row r="8204">
      <c r="A8204" s="49">
        <v>44599.04116375</v>
      </c>
      <c r="B8204" s="50">
        <v>44599.1661450578</v>
      </c>
      <c r="C8204" s="51">
        <v>1.0</v>
      </c>
      <c r="D8204" s="51">
        <v>62.0</v>
      </c>
      <c r="E8204" s="52" t="s">
        <v>25</v>
      </c>
      <c r="F8204" s="52" t="s">
        <v>26</v>
      </c>
      <c r="G8204" s="53"/>
    </row>
    <row r="8205">
      <c r="A8205" s="49">
        <v>44599.05158627315</v>
      </c>
      <c r="B8205" s="50">
        <v>44599.176565162</v>
      </c>
      <c r="C8205" s="51">
        <v>1.0</v>
      </c>
      <c r="D8205" s="51">
        <v>62.0</v>
      </c>
      <c r="E8205" s="52" t="s">
        <v>25</v>
      </c>
      <c r="F8205" s="52" t="s">
        <v>26</v>
      </c>
      <c r="G8205" s="53"/>
    </row>
    <row r="8206">
      <c r="A8206" s="49">
        <v>44599.06200289352</v>
      </c>
      <c r="B8206" s="50">
        <v>44599.1869867129</v>
      </c>
      <c r="C8206" s="51">
        <v>1.0</v>
      </c>
      <c r="D8206" s="51">
        <v>62.0</v>
      </c>
      <c r="E8206" s="52" t="s">
        <v>25</v>
      </c>
      <c r="F8206" s="52" t="s">
        <v>26</v>
      </c>
      <c r="G8206" s="53"/>
    </row>
    <row r="8207">
      <c r="A8207" s="49">
        <v>44599.07242490741</v>
      </c>
      <c r="B8207" s="50">
        <v>44599.1974067824</v>
      </c>
      <c r="C8207" s="51">
        <v>0.999</v>
      </c>
      <c r="D8207" s="51">
        <v>62.0</v>
      </c>
      <c r="E8207" s="52" t="s">
        <v>25</v>
      </c>
      <c r="F8207" s="52" t="s">
        <v>26</v>
      </c>
      <c r="G8207" s="53"/>
    </row>
    <row r="8208">
      <c r="A8208" s="49">
        <v>44599.08285032408</v>
      </c>
      <c r="B8208" s="50">
        <v>44599.207827743</v>
      </c>
      <c r="C8208" s="51">
        <v>0.999</v>
      </c>
      <c r="D8208" s="51">
        <v>62.0</v>
      </c>
      <c r="E8208" s="52" t="s">
        <v>25</v>
      </c>
      <c r="F8208" s="52" t="s">
        <v>26</v>
      </c>
      <c r="G8208" s="53"/>
    </row>
    <row r="8209">
      <c r="A8209" s="49">
        <v>44599.09327053241</v>
      </c>
      <c r="B8209" s="50">
        <v>44599.2182483912</v>
      </c>
      <c r="C8209" s="51">
        <v>1.0</v>
      </c>
      <c r="D8209" s="51">
        <v>62.0</v>
      </c>
      <c r="E8209" s="52" t="s">
        <v>25</v>
      </c>
      <c r="F8209" s="52" t="s">
        <v>26</v>
      </c>
      <c r="G8209" s="53"/>
    </row>
    <row r="8210">
      <c r="A8210" s="49">
        <v>44599.10369664352</v>
      </c>
      <c r="B8210" s="50">
        <v>44599.2286699537</v>
      </c>
      <c r="C8210" s="51">
        <v>1.0</v>
      </c>
      <c r="D8210" s="51">
        <v>62.0</v>
      </c>
      <c r="E8210" s="52" t="s">
        <v>25</v>
      </c>
      <c r="F8210" s="52" t="s">
        <v>26</v>
      </c>
      <c r="G8210" s="53"/>
    </row>
    <row r="8211">
      <c r="A8211" s="49">
        <v>44599.114321099536</v>
      </c>
      <c r="B8211" s="50">
        <v>44599.2390905208</v>
      </c>
      <c r="C8211" s="51">
        <v>0.999</v>
      </c>
      <c r="D8211" s="51">
        <v>62.0</v>
      </c>
      <c r="E8211" s="52" t="s">
        <v>25</v>
      </c>
      <c r="F8211" s="52" t="s">
        <v>26</v>
      </c>
      <c r="G8211" s="53"/>
    </row>
    <row r="8212">
      <c r="A8212" s="49">
        <v>44599.12456268519</v>
      </c>
      <c r="B8212" s="50">
        <v>44599.2495113888</v>
      </c>
      <c r="C8212" s="51">
        <v>1.0</v>
      </c>
      <c r="D8212" s="51">
        <v>62.0</v>
      </c>
      <c r="E8212" s="52" t="s">
        <v>25</v>
      </c>
      <c r="F8212" s="52" t="s">
        <v>26</v>
      </c>
      <c r="G8212" s="53"/>
    </row>
    <row r="8213">
      <c r="A8213" s="49">
        <v>44599.13495810185</v>
      </c>
      <c r="B8213" s="50">
        <v>44599.2599317013</v>
      </c>
      <c r="C8213" s="51">
        <v>1.0</v>
      </c>
      <c r="D8213" s="51">
        <v>62.0</v>
      </c>
      <c r="E8213" s="52" t="s">
        <v>25</v>
      </c>
      <c r="F8213" s="52" t="s">
        <v>26</v>
      </c>
      <c r="G8213" s="53"/>
    </row>
    <row r="8214">
      <c r="A8214" s="49">
        <v>44599.14538501158</v>
      </c>
      <c r="B8214" s="50">
        <v>44599.2703518171</v>
      </c>
      <c r="C8214" s="51">
        <v>1.0</v>
      </c>
      <c r="D8214" s="51">
        <v>62.0</v>
      </c>
      <c r="E8214" s="52" t="s">
        <v>25</v>
      </c>
      <c r="F8214" s="52" t="s">
        <v>26</v>
      </c>
      <c r="G8214" s="53"/>
    </row>
    <row r="8215">
      <c r="A8215" s="49">
        <v>44599.15582824074</v>
      </c>
      <c r="B8215" s="50">
        <v>44599.2808062615</v>
      </c>
      <c r="C8215" s="51">
        <v>1.0</v>
      </c>
      <c r="D8215" s="51">
        <v>62.0</v>
      </c>
      <c r="E8215" s="52" t="s">
        <v>25</v>
      </c>
      <c r="F8215" s="52" t="s">
        <v>26</v>
      </c>
      <c r="G8215" s="53"/>
    </row>
    <row r="8216">
      <c r="A8216" s="49">
        <v>44599.166242175925</v>
      </c>
      <c r="B8216" s="50">
        <v>44599.2912270833</v>
      </c>
      <c r="C8216" s="51">
        <v>1.0</v>
      </c>
      <c r="D8216" s="51">
        <v>62.0</v>
      </c>
      <c r="E8216" s="52" t="s">
        <v>25</v>
      </c>
      <c r="F8216" s="52" t="s">
        <v>26</v>
      </c>
      <c r="G8216" s="53"/>
    </row>
    <row r="8217">
      <c r="A8217" s="49">
        <v>44599.17667564815</v>
      </c>
      <c r="B8217" s="50">
        <v>44599.3016490277</v>
      </c>
      <c r="C8217" s="51">
        <v>1.0</v>
      </c>
      <c r="D8217" s="51">
        <v>62.0</v>
      </c>
      <c r="E8217" s="52" t="s">
        <v>25</v>
      </c>
      <c r="F8217" s="52" t="s">
        <v>26</v>
      </c>
      <c r="G8217" s="53"/>
    </row>
    <row r="8218">
      <c r="A8218" s="49">
        <v>44599.18709892361</v>
      </c>
      <c r="B8218" s="50">
        <v>44599.3120700694</v>
      </c>
      <c r="C8218" s="51">
        <v>1.0</v>
      </c>
      <c r="D8218" s="51">
        <v>62.0</v>
      </c>
      <c r="E8218" s="52" t="s">
        <v>25</v>
      </c>
      <c r="F8218" s="52" t="s">
        <v>26</v>
      </c>
      <c r="G8218" s="53"/>
    </row>
    <row r="8219">
      <c r="A8219" s="49">
        <v>44599.197515520835</v>
      </c>
      <c r="B8219" s="50">
        <v>44599.3224909953</v>
      </c>
      <c r="C8219" s="51">
        <v>0.999</v>
      </c>
      <c r="D8219" s="51">
        <v>62.0</v>
      </c>
      <c r="E8219" s="52" t="s">
        <v>25</v>
      </c>
      <c r="F8219" s="52" t="s">
        <v>26</v>
      </c>
      <c r="G8219" s="53"/>
    </row>
    <row r="8220">
      <c r="A8220" s="49">
        <v>44599.20797393519</v>
      </c>
      <c r="B8220" s="50">
        <v>44599.3329490393</v>
      </c>
      <c r="C8220" s="51">
        <v>0.999</v>
      </c>
      <c r="D8220" s="51">
        <v>62.0</v>
      </c>
      <c r="E8220" s="52" t="s">
        <v>25</v>
      </c>
      <c r="F8220" s="52" t="s">
        <v>26</v>
      </c>
      <c r="G8220" s="53"/>
    </row>
    <row r="8221">
      <c r="A8221" s="49">
        <v>44599.21838835649</v>
      </c>
      <c r="B8221" s="50">
        <v>44599.3433691319</v>
      </c>
      <c r="C8221" s="51">
        <v>0.999</v>
      </c>
      <c r="D8221" s="51">
        <v>62.0</v>
      </c>
      <c r="E8221" s="52" t="s">
        <v>25</v>
      </c>
      <c r="F8221" s="52" t="s">
        <v>26</v>
      </c>
      <c r="G8221" s="53"/>
    </row>
    <row r="8222">
      <c r="A8222" s="49">
        <v>44599.228819247684</v>
      </c>
      <c r="B8222" s="50">
        <v>44599.3537911689</v>
      </c>
      <c r="C8222" s="51">
        <v>1.0</v>
      </c>
      <c r="D8222" s="51">
        <v>62.0</v>
      </c>
      <c r="E8222" s="52" t="s">
        <v>25</v>
      </c>
      <c r="F8222" s="52" t="s">
        <v>26</v>
      </c>
      <c r="G8222" s="53"/>
    </row>
    <row r="8223">
      <c r="A8223" s="49">
        <v>44599.23923114583</v>
      </c>
      <c r="B8223" s="50">
        <v>44599.3642100925</v>
      </c>
      <c r="C8223" s="51">
        <v>0.999</v>
      </c>
      <c r="D8223" s="51">
        <v>62.0</v>
      </c>
      <c r="E8223" s="52" t="s">
        <v>25</v>
      </c>
      <c r="F8223" s="52" t="s">
        <v>26</v>
      </c>
      <c r="G8223" s="53"/>
    </row>
    <row r="8224">
      <c r="A8224" s="49">
        <v>44599.24966315972</v>
      </c>
      <c r="B8224" s="50">
        <v>44599.3746334953</v>
      </c>
      <c r="C8224" s="51">
        <v>0.999</v>
      </c>
      <c r="D8224" s="51">
        <v>62.0</v>
      </c>
      <c r="E8224" s="52" t="s">
        <v>25</v>
      </c>
      <c r="F8224" s="52" t="s">
        <v>26</v>
      </c>
      <c r="G8224" s="53"/>
    </row>
    <row r="8225">
      <c r="A8225" s="49">
        <v>44599.26009480324</v>
      </c>
      <c r="B8225" s="50">
        <v>44599.3850564814</v>
      </c>
      <c r="C8225" s="51">
        <v>1.0</v>
      </c>
      <c r="D8225" s="51">
        <v>62.0</v>
      </c>
      <c r="E8225" s="52" t="s">
        <v>25</v>
      </c>
      <c r="F8225" s="52" t="s">
        <v>26</v>
      </c>
      <c r="G8225" s="53"/>
    </row>
    <row r="8226">
      <c r="A8226" s="49">
        <v>44599.270503101856</v>
      </c>
      <c r="B8226" s="50">
        <v>44599.3954778356</v>
      </c>
      <c r="C8226" s="51">
        <v>1.0</v>
      </c>
      <c r="D8226" s="51">
        <v>62.0</v>
      </c>
      <c r="E8226" s="52" t="s">
        <v>25</v>
      </c>
      <c r="F8226" s="52" t="s">
        <v>26</v>
      </c>
      <c r="G8226" s="53"/>
    </row>
    <row r="8227">
      <c r="A8227" s="49">
        <v>44599.280922997685</v>
      </c>
      <c r="B8227" s="50">
        <v>44599.4058988541</v>
      </c>
      <c r="C8227" s="51">
        <v>0.999</v>
      </c>
      <c r="D8227" s="51">
        <v>62.0</v>
      </c>
      <c r="E8227" s="52" t="s">
        <v>25</v>
      </c>
      <c r="F8227" s="52" t="s">
        <v>26</v>
      </c>
      <c r="G8227" s="53"/>
    </row>
    <row r="8228">
      <c r="A8228" s="49">
        <v>44599.29133958333</v>
      </c>
      <c r="B8228" s="50">
        <v>44599.4163201041</v>
      </c>
      <c r="C8228" s="51">
        <v>1.0</v>
      </c>
      <c r="D8228" s="51">
        <v>62.0</v>
      </c>
      <c r="E8228" s="52" t="s">
        <v>25</v>
      </c>
      <c r="F8228" s="52" t="s">
        <v>26</v>
      </c>
      <c r="G8228" s="53"/>
    </row>
    <row r="8229">
      <c r="A8229" s="49">
        <v>44599.30176234954</v>
      </c>
      <c r="B8229" s="50">
        <v>44599.4267428124</v>
      </c>
      <c r="C8229" s="51">
        <v>0.999</v>
      </c>
      <c r="D8229" s="51">
        <v>62.0</v>
      </c>
      <c r="E8229" s="52" t="s">
        <v>25</v>
      </c>
      <c r="F8229" s="52" t="s">
        <v>26</v>
      </c>
      <c r="G8229" s="53"/>
    </row>
    <row r="8230">
      <c r="A8230" s="49">
        <v>44599.312188738426</v>
      </c>
      <c r="B8230" s="50">
        <v>44599.4371628125</v>
      </c>
      <c r="C8230" s="51">
        <v>1.0</v>
      </c>
      <c r="D8230" s="51">
        <v>62.0</v>
      </c>
      <c r="E8230" s="52" t="s">
        <v>25</v>
      </c>
      <c r="F8230" s="52" t="s">
        <v>26</v>
      </c>
      <c r="G8230" s="53"/>
    </row>
    <row r="8231">
      <c r="A8231" s="49">
        <v>44599.322603877314</v>
      </c>
      <c r="B8231" s="50">
        <v>44599.447584074</v>
      </c>
      <c r="C8231" s="51">
        <v>0.999</v>
      </c>
      <c r="D8231" s="51">
        <v>62.0</v>
      </c>
      <c r="E8231" s="52" t="s">
        <v>25</v>
      </c>
      <c r="F8231" s="52" t="s">
        <v>26</v>
      </c>
      <c r="G8231" s="53"/>
    </row>
    <row r="8232">
      <c r="A8232" s="49">
        <v>44599.333041562495</v>
      </c>
      <c r="B8232" s="50">
        <v>44599.4580162152</v>
      </c>
      <c r="C8232" s="51">
        <v>1.0</v>
      </c>
      <c r="D8232" s="51">
        <v>62.0</v>
      </c>
      <c r="E8232" s="52" t="s">
        <v>25</v>
      </c>
      <c r="F8232" s="52" t="s">
        <v>26</v>
      </c>
      <c r="G8232" s="53"/>
    </row>
    <row r="8233">
      <c r="A8233" s="49">
        <v>44599.34346130787</v>
      </c>
      <c r="B8233" s="50">
        <v>44599.4684352893</v>
      </c>
      <c r="C8233" s="51">
        <v>0.999</v>
      </c>
      <c r="D8233" s="51">
        <v>62.0</v>
      </c>
      <c r="E8233" s="52" t="s">
        <v>25</v>
      </c>
      <c r="F8233" s="52" t="s">
        <v>26</v>
      </c>
      <c r="G8233" s="53"/>
    </row>
    <row r="8234">
      <c r="A8234" s="49">
        <v>44599.35391247685</v>
      </c>
      <c r="B8234" s="50">
        <v>44599.4788798958</v>
      </c>
      <c r="C8234" s="51">
        <v>1.0</v>
      </c>
      <c r="D8234" s="51">
        <v>62.0</v>
      </c>
      <c r="E8234" s="52" t="s">
        <v>25</v>
      </c>
      <c r="F8234" s="52" t="s">
        <v>26</v>
      </c>
      <c r="G8234" s="53"/>
    </row>
    <row r="8235">
      <c r="A8235" s="49">
        <v>44599.36435185185</v>
      </c>
      <c r="B8235" s="50">
        <v>44599.489323993</v>
      </c>
      <c r="C8235" s="51">
        <v>0.999</v>
      </c>
      <c r="D8235" s="51">
        <v>62.0</v>
      </c>
      <c r="E8235" s="52" t="s">
        <v>25</v>
      </c>
      <c r="F8235" s="52" t="s">
        <v>26</v>
      </c>
      <c r="G8235" s="53"/>
    </row>
    <row r="8236">
      <c r="A8236" s="49">
        <v>44599.374775069446</v>
      </c>
      <c r="B8236" s="50">
        <v>44599.4997567476</v>
      </c>
      <c r="C8236" s="51">
        <v>0.999</v>
      </c>
      <c r="D8236" s="51">
        <v>62.0</v>
      </c>
      <c r="E8236" s="52" t="s">
        <v>25</v>
      </c>
      <c r="F8236" s="52" t="s">
        <v>26</v>
      </c>
      <c r="G8236" s="53"/>
    </row>
    <row r="8237">
      <c r="A8237" s="49">
        <v>44599.385206562496</v>
      </c>
      <c r="B8237" s="50">
        <v>44599.5101761689</v>
      </c>
      <c r="C8237" s="51">
        <v>1.0</v>
      </c>
      <c r="D8237" s="51">
        <v>62.0</v>
      </c>
      <c r="E8237" s="52" t="s">
        <v>25</v>
      </c>
      <c r="F8237" s="52" t="s">
        <v>26</v>
      </c>
      <c r="G8237" s="53"/>
    </row>
    <row r="8238">
      <c r="A8238" s="49">
        <v>44599.39561697916</v>
      </c>
      <c r="B8238" s="50">
        <v>44599.5205977083</v>
      </c>
      <c r="C8238" s="51">
        <v>0.999</v>
      </c>
      <c r="D8238" s="51">
        <v>62.0</v>
      </c>
      <c r="E8238" s="52" t="s">
        <v>25</v>
      </c>
      <c r="F8238" s="52" t="s">
        <v>26</v>
      </c>
      <c r="G8238" s="53"/>
    </row>
    <row r="8239">
      <c r="A8239" s="49">
        <v>44599.406051157406</v>
      </c>
      <c r="B8239" s="50">
        <v>44599.5310200231</v>
      </c>
      <c r="C8239" s="51">
        <v>0.999</v>
      </c>
      <c r="D8239" s="51">
        <v>62.0</v>
      </c>
      <c r="E8239" s="52" t="s">
        <v>25</v>
      </c>
      <c r="F8239" s="52" t="s">
        <v>26</v>
      </c>
      <c r="G8239" s="53"/>
    </row>
    <row r="8240">
      <c r="A8240" s="49">
        <v>44599.41646479166</v>
      </c>
      <c r="B8240" s="50">
        <v>44599.5414390509</v>
      </c>
      <c r="C8240" s="51">
        <v>1.0</v>
      </c>
      <c r="D8240" s="51">
        <v>62.0</v>
      </c>
      <c r="E8240" s="52" t="s">
        <v>25</v>
      </c>
      <c r="F8240" s="52" t="s">
        <v>26</v>
      </c>
      <c r="G8240" s="53"/>
    </row>
    <row r="8241">
      <c r="A8241" s="49">
        <v>44599.42688945602</v>
      </c>
      <c r="B8241" s="50">
        <v>44599.5518614236</v>
      </c>
      <c r="C8241" s="51">
        <v>1.0</v>
      </c>
      <c r="D8241" s="51">
        <v>62.0</v>
      </c>
      <c r="E8241" s="52" t="s">
        <v>25</v>
      </c>
      <c r="F8241" s="52" t="s">
        <v>26</v>
      </c>
      <c r="G8241" s="53"/>
    </row>
    <row r="8242">
      <c r="A8242" s="49">
        <v>44599.437310023146</v>
      </c>
      <c r="B8242" s="50">
        <v>44599.5622815972</v>
      </c>
      <c r="C8242" s="51">
        <v>0.999</v>
      </c>
      <c r="D8242" s="51">
        <v>62.0</v>
      </c>
      <c r="E8242" s="52" t="s">
        <v>25</v>
      </c>
      <c r="F8242" s="52" t="s">
        <v>26</v>
      </c>
      <c r="G8242" s="53"/>
    </row>
    <row r="8243">
      <c r="A8243" s="49">
        <v>44599.447733946756</v>
      </c>
      <c r="B8243" s="50">
        <v>44599.5727035648</v>
      </c>
      <c r="C8243" s="51">
        <v>0.999</v>
      </c>
      <c r="D8243" s="51">
        <v>62.0</v>
      </c>
      <c r="E8243" s="52" t="s">
        <v>25</v>
      </c>
      <c r="F8243" s="52" t="s">
        <v>26</v>
      </c>
      <c r="G8243" s="53"/>
    </row>
    <row r="8244">
      <c r="A8244" s="49">
        <v>44599.458157395835</v>
      </c>
      <c r="B8244" s="50">
        <v>44599.5831360995</v>
      </c>
      <c r="C8244" s="51">
        <v>0.999</v>
      </c>
      <c r="D8244" s="51">
        <v>62.0</v>
      </c>
      <c r="E8244" s="52" t="s">
        <v>25</v>
      </c>
      <c r="F8244" s="52" t="s">
        <v>26</v>
      </c>
      <c r="G8244" s="53"/>
    </row>
    <row r="8245">
      <c r="A8245" s="49">
        <v>44599.46857511574</v>
      </c>
      <c r="B8245" s="50">
        <v>44599.5935571412</v>
      </c>
      <c r="C8245" s="51">
        <v>1.0</v>
      </c>
      <c r="D8245" s="51">
        <v>62.0</v>
      </c>
      <c r="E8245" s="52" t="s">
        <v>25</v>
      </c>
      <c r="F8245" s="52" t="s">
        <v>26</v>
      </c>
      <c r="G8245" s="53"/>
    </row>
    <row r="8246">
      <c r="A8246" s="49">
        <v>44599.479014537035</v>
      </c>
      <c r="B8246" s="50">
        <v>44599.6039896064</v>
      </c>
      <c r="C8246" s="51">
        <v>0.999</v>
      </c>
      <c r="D8246" s="51">
        <v>62.0</v>
      </c>
      <c r="E8246" s="52" t="s">
        <v>25</v>
      </c>
      <c r="F8246" s="52" t="s">
        <v>26</v>
      </c>
      <c r="G8246" s="53"/>
    </row>
    <row r="8247">
      <c r="A8247" s="49">
        <v>44599.489428113426</v>
      </c>
      <c r="B8247" s="50">
        <v>44599.614410706</v>
      </c>
      <c r="C8247" s="51">
        <v>1.0</v>
      </c>
      <c r="D8247" s="51">
        <v>62.0</v>
      </c>
      <c r="E8247" s="52" t="s">
        <v>25</v>
      </c>
      <c r="F8247" s="52" t="s">
        <v>26</v>
      </c>
      <c r="G8247" s="53"/>
    </row>
    <row r="8248">
      <c r="A8248" s="49">
        <v>44599.49986252315</v>
      </c>
      <c r="B8248" s="50">
        <v>44599.6248317245</v>
      </c>
      <c r="C8248" s="51">
        <v>1.0</v>
      </c>
      <c r="D8248" s="51">
        <v>62.0</v>
      </c>
      <c r="E8248" s="52" t="s">
        <v>25</v>
      </c>
      <c r="F8248" s="52" t="s">
        <v>26</v>
      </c>
      <c r="G8248" s="53"/>
    </row>
    <row r="8249">
      <c r="A8249" s="49">
        <v>44599.51031118055</v>
      </c>
      <c r="B8249" s="50">
        <v>44599.6352638773</v>
      </c>
      <c r="C8249" s="51">
        <v>1.0</v>
      </c>
      <c r="D8249" s="51">
        <v>62.0</v>
      </c>
      <c r="E8249" s="52" t="s">
        <v>25</v>
      </c>
      <c r="F8249" s="52" t="s">
        <v>26</v>
      </c>
      <c r="G8249" s="53"/>
    </row>
    <row r="8250">
      <c r="A8250" s="49">
        <v>44599.520716747684</v>
      </c>
      <c r="B8250" s="50">
        <v>44599.6456857638</v>
      </c>
      <c r="C8250" s="51">
        <v>0.999</v>
      </c>
      <c r="D8250" s="51">
        <v>62.0</v>
      </c>
      <c r="E8250" s="52" t="s">
        <v>25</v>
      </c>
      <c r="F8250" s="52" t="s">
        <v>26</v>
      </c>
      <c r="G8250" s="53"/>
    </row>
    <row r="8251">
      <c r="A8251" s="49">
        <v>44599.531128877315</v>
      </c>
      <c r="B8251" s="50">
        <v>44599.6561059606</v>
      </c>
      <c r="C8251" s="51">
        <v>1.0</v>
      </c>
      <c r="D8251" s="51">
        <v>62.0</v>
      </c>
      <c r="E8251" s="52" t="s">
        <v>25</v>
      </c>
      <c r="F8251" s="52" t="s">
        <v>26</v>
      </c>
      <c r="G8251" s="53"/>
    </row>
    <row r="8252">
      <c r="A8252" s="49">
        <v>44599.541548043984</v>
      </c>
      <c r="B8252" s="50">
        <v>44599.6665264699</v>
      </c>
      <c r="C8252" s="51">
        <v>0.999</v>
      </c>
      <c r="D8252" s="51">
        <v>62.0</v>
      </c>
      <c r="E8252" s="52" t="s">
        <v>25</v>
      </c>
      <c r="F8252" s="52" t="s">
        <v>26</v>
      </c>
      <c r="G8252" s="53"/>
    </row>
    <row r="8253">
      <c r="A8253" s="49">
        <v>44599.551988900464</v>
      </c>
      <c r="B8253" s="50">
        <v>44599.6769454398</v>
      </c>
      <c r="C8253" s="51">
        <v>1.0</v>
      </c>
      <c r="D8253" s="51">
        <v>62.0</v>
      </c>
      <c r="E8253" s="52" t="s">
        <v>25</v>
      </c>
      <c r="F8253" s="52" t="s">
        <v>26</v>
      </c>
      <c r="G8253" s="53"/>
    </row>
    <row r="8254">
      <c r="A8254" s="49">
        <v>44599.56239160879</v>
      </c>
      <c r="B8254" s="50">
        <v>44599.6873678587</v>
      </c>
      <c r="C8254" s="51">
        <v>1.0</v>
      </c>
      <c r="D8254" s="51">
        <v>62.0</v>
      </c>
      <c r="E8254" s="52" t="s">
        <v>25</v>
      </c>
      <c r="F8254" s="52" t="s">
        <v>26</v>
      </c>
      <c r="G8254" s="53"/>
    </row>
    <row r="8255">
      <c r="A8255" s="49">
        <v>44599.572825428244</v>
      </c>
      <c r="B8255" s="50">
        <v>44599.6977998726</v>
      </c>
      <c r="C8255" s="51">
        <v>1.0</v>
      </c>
      <c r="D8255" s="51">
        <v>62.0</v>
      </c>
      <c r="E8255" s="52" t="s">
        <v>25</v>
      </c>
      <c r="F8255" s="52" t="s">
        <v>26</v>
      </c>
      <c r="G8255" s="53"/>
    </row>
    <row r="8256">
      <c r="A8256" s="49">
        <v>44599.583249386575</v>
      </c>
      <c r="B8256" s="50">
        <v>44599.7082206828</v>
      </c>
      <c r="C8256" s="51">
        <v>1.0</v>
      </c>
      <c r="D8256" s="51">
        <v>62.0</v>
      </c>
      <c r="E8256" s="52" t="s">
        <v>25</v>
      </c>
      <c r="F8256" s="52" t="s">
        <v>26</v>
      </c>
      <c r="G8256" s="53"/>
    </row>
    <row r="8257">
      <c r="A8257" s="49">
        <v>44599.59366453704</v>
      </c>
      <c r="B8257" s="50">
        <v>44599.7186407291</v>
      </c>
      <c r="C8257" s="51">
        <v>0.999</v>
      </c>
      <c r="D8257" s="51">
        <v>62.0</v>
      </c>
      <c r="E8257" s="52" t="s">
        <v>25</v>
      </c>
      <c r="F8257" s="52" t="s">
        <v>26</v>
      </c>
      <c r="G8257" s="53"/>
    </row>
    <row r="8258">
      <c r="A8258" s="49">
        <v>44599.60407798611</v>
      </c>
      <c r="B8258" s="50">
        <v>44599.7290606713</v>
      </c>
      <c r="C8258" s="51">
        <v>0.999</v>
      </c>
      <c r="D8258" s="51">
        <v>62.0</v>
      </c>
      <c r="E8258" s="52" t="s">
        <v>25</v>
      </c>
      <c r="F8258" s="52" t="s">
        <v>26</v>
      </c>
      <c r="G8258" s="53"/>
    </row>
    <row r="8259">
      <c r="A8259" s="49">
        <v>44599.61451140046</v>
      </c>
      <c r="B8259" s="50">
        <v>44599.7394819907</v>
      </c>
      <c r="C8259" s="51">
        <v>1.0</v>
      </c>
      <c r="D8259" s="51">
        <v>62.0</v>
      </c>
      <c r="E8259" s="52" t="s">
        <v>25</v>
      </c>
      <c r="F8259" s="52" t="s">
        <v>26</v>
      </c>
      <c r="G8259" s="53"/>
    </row>
    <row r="8260">
      <c r="A8260" s="49">
        <v>44599.62492962963</v>
      </c>
      <c r="B8260" s="50">
        <v>44599.7499023842</v>
      </c>
      <c r="C8260" s="51">
        <v>1.0</v>
      </c>
      <c r="D8260" s="51">
        <v>62.0</v>
      </c>
      <c r="E8260" s="52" t="s">
        <v>25</v>
      </c>
      <c r="F8260" s="52" t="s">
        <v>26</v>
      </c>
      <c r="G8260" s="53"/>
    </row>
    <row r="8261">
      <c r="A8261" s="49">
        <v>44599.635346828705</v>
      </c>
      <c r="B8261" s="50">
        <v>44599.7603254398</v>
      </c>
      <c r="C8261" s="51">
        <v>1.0</v>
      </c>
      <c r="D8261" s="51">
        <v>62.0</v>
      </c>
      <c r="E8261" s="52" t="s">
        <v>25</v>
      </c>
      <c r="F8261" s="52" t="s">
        <v>26</v>
      </c>
      <c r="G8261" s="53"/>
    </row>
    <row r="8262">
      <c r="A8262" s="49">
        <v>44599.64576590278</v>
      </c>
      <c r="B8262" s="50">
        <v>44599.7707455439</v>
      </c>
      <c r="C8262" s="51">
        <v>0.999</v>
      </c>
      <c r="D8262" s="51">
        <v>62.0</v>
      </c>
      <c r="E8262" s="52" t="s">
        <v>25</v>
      </c>
      <c r="F8262" s="52" t="s">
        <v>26</v>
      </c>
      <c r="G8262" s="53"/>
    </row>
    <row r="8263">
      <c r="A8263" s="49">
        <v>44599.656188912035</v>
      </c>
      <c r="B8263" s="50">
        <v>44599.7811681018</v>
      </c>
      <c r="C8263" s="51">
        <v>0.999</v>
      </c>
      <c r="D8263" s="51">
        <v>62.0</v>
      </c>
      <c r="E8263" s="52" t="s">
        <v>25</v>
      </c>
      <c r="F8263" s="52" t="s">
        <v>26</v>
      </c>
      <c r="G8263" s="53"/>
    </row>
    <row r="8264">
      <c r="A8264" s="49">
        <v>44599.66661005787</v>
      </c>
      <c r="B8264" s="50">
        <v>44599.7915889814</v>
      </c>
      <c r="C8264" s="51">
        <v>0.999</v>
      </c>
      <c r="D8264" s="51">
        <v>62.0</v>
      </c>
      <c r="E8264" s="52" t="s">
        <v>25</v>
      </c>
      <c r="F8264" s="52" t="s">
        <v>26</v>
      </c>
      <c r="G8264" s="53"/>
    </row>
    <row r="8265">
      <c r="A8265" s="49">
        <v>44599.67702973379</v>
      </c>
      <c r="B8265" s="50">
        <v>44599.8020114351</v>
      </c>
      <c r="C8265" s="51">
        <v>0.999</v>
      </c>
      <c r="D8265" s="51">
        <v>62.0</v>
      </c>
      <c r="E8265" s="52" t="s">
        <v>25</v>
      </c>
      <c r="F8265" s="52" t="s">
        <v>26</v>
      </c>
      <c r="G8265" s="53"/>
    </row>
    <row r="8266">
      <c r="A8266" s="49">
        <v>44599.68744836806</v>
      </c>
      <c r="B8266" s="50">
        <v>44599.8124318402</v>
      </c>
      <c r="C8266" s="51">
        <v>0.999</v>
      </c>
      <c r="D8266" s="51">
        <v>62.0</v>
      </c>
      <c r="E8266" s="52" t="s">
        <v>25</v>
      </c>
      <c r="F8266" s="52" t="s">
        <v>26</v>
      </c>
      <c r="G8266" s="53"/>
    </row>
    <row r="8267">
      <c r="A8267" s="49">
        <v>44599.69787775463</v>
      </c>
      <c r="B8267" s="50">
        <v>44599.8228504282</v>
      </c>
      <c r="C8267" s="51">
        <v>0.999</v>
      </c>
      <c r="D8267" s="51">
        <v>62.0</v>
      </c>
      <c r="E8267" s="52" t="s">
        <v>25</v>
      </c>
      <c r="F8267" s="52" t="s">
        <v>26</v>
      </c>
      <c r="G8267" s="53"/>
    </row>
    <row r="8268">
      <c r="A8268" s="49">
        <v>44599.708302060186</v>
      </c>
      <c r="B8268" s="50">
        <v>44599.8332730902</v>
      </c>
      <c r="C8268" s="51">
        <v>1.0</v>
      </c>
      <c r="D8268" s="51">
        <v>62.0</v>
      </c>
      <c r="E8268" s="52" t="s">
        <v>25</v>
      </c>
      <c r="F8268" s="52" t="s">
        <v>26</v>
      </c>
      <c r="G8268" s="53"/>
    </row>
    <row r="8269">
      <c r="A8269" s="49">
        <v>44599.71872453704</v>
      </c>
      <c r="B8269" s="50">
        <v>44599.8436943634</v>
      </c>
      <c r="C8269" s="51">
        <v>1.0</v>
      </c>
      <c r="D8269" s="51">
        <v>62.0</v>
      </c>
      <c r="E8269" s="52" t="s">
        <v>25</v>
      </c>
      <c r="F8269" s="52" t="s">
        <v>26</v>
      </c>
      <c r="G8269" s="53"/>
    </row>
    <row r="8270">
      <c r="A8270" s="49">
        <v>44599.729146875005</v>
      </c>
      <c r="B8270" s="50">
        <v>44599.8541154745</v>
      </c>
      <c r="C8270" s="51">
        <v>1.0</v>
      </c>
      <c r="D8270" s="51">
        <v>62.0</v>
      </c>
      <c r="E8270" s="52" t="s">
        <v>25</v>
      </c>
      <c r="F8270" s="52" t="s">
        <v>26</v>
      </c>
      <c r="G8270" s="53"/>
    </row>
    <row r="8271">
      <c r="A8271" s="49">
        <v>44599.73956578704</v>
      </c>
      <c r="B8271" s="50">
        <v>44599.8645473263</v>
      </c>
      <c r="C8271" s="51">
        <v>1.0</v>
      </c>
      <c r="D8271" s="51">
        <v>62.0</v>
      </c>
      <c r="E8271" s="52" t="s">
        <v>25</v>
      </c>
      <c r="F8271" s="52" t="s">
        <v>26</v>
      </c>
      <c r="G8271" s="53"/>
    </row>
    <row r="8272">
      <c r="A8272" s="49">
        <v>44599.749996875005</v>
      </c>
      <c r="B8272" s="50">
        <v>44599.8749707523</v>
      </c>
      <c r="C8272" s="51">
        <v>0.999</v>
      </c>
      <c r="D8272" s="51">
        <v>62.0</v>
      </c>
      <c r="E8272" s="52" t="s">
        <v>25</v>
      </c>
      <c r="F8272" s="52" t="s">
        <v>26</v>
      </c>
      <c r="G8272" s="53"/>
    </row>
    <row r="8273">
      <c r="A8273" s="49">
        <v>44599.7604209375</v>
      </c>
      <c r="B8273" s="50">
        <v>44599.8853913888</v>
      </c>
      <c r="C8273" s="51">
        <v>1.0</v>
      </c>
      <c r="D8273" s="51">
        <v>62.0</v>
      </c>
      <c r="E8273" s="52" t="s">
        <v>25</v>
      </c>
      <c r="F8273" s="52" t="s">
        <v>26</v>
      </c>
      <c r="G8273" s="53"/>
    </row>
    <row r="8274">
      <c r="A8274" s="49">
        <v>44599.77083530092</v>
      </c>
      <c r="B8274" s="50">
        <v>44599.8958112615</v>
      </c>
      <c r="C8274" s="51">
        <v>0.999</v>
      </c>
      <c r="D8274" s="51">
        <v>62.0</v>
      </c>
      <c r="E8274" s="52" t="s">
        <v>25</v>
      </c>
      <c r="F8274" s="52" t="s">
        <v>26</v>
      </c>
      <c r="G8274" s="53"/>
    </row>
    <row r="8275">
      <c r="A8275" s="49">
        <v>44599.78124998843</v>
      </c>
      <c r="B8275" s="50">
        <v>44599.906233206</v>
      </c>
      <c r="C8275" s="51">
        <v>0.999</v>
      </c>
      <c r="D8275" s="51">
        <v>62.0</v>
      </c>
      <c r="E8275" s="52" t="s">
        <v>25</v>
      </c>
      <c r="F8275" s="52" t="s">
        <v>26</v>
      </c>
      <c r="G8275" s="53"/>
    </row>
    <row r="8276">
      <c r="A8276" s="49">
        <v>44599.791688391204</v>
      </c>
      <c r="B8276" s="50">
        <v>44599.916653912</v>
      </c>
      <c r="C8276" s="51">
        <v>0.999</v>
      </c>
      <c r="D8276" s="51">
        <v>62.0</v>
      </c>
      <c r="E8276" s="52" t="s">
        <v>25</v>
      </c>
      <c r="F8276" s="52" t="s">
        <v>26</v>
      </c>
      <c r="G8276" s="53"/>
    </row>
    <row r="8277">
      <c r="A8277" s="49">
        <v>44599.802091550926</v>
      </c>
      <c r="B8277" s="50">
        <v>44599.9270726388</v>
      </c>
      <c r="C8277" s="51">
        <v>0.999</v>
      </c>
      <c r="D8277" s="51">
        <v>62.0</v>
      </c>
      <c r="E8277" s="52" t="s">
        <v>25</v>
      </c>
      <c r="F8277" s="52" t="s">
        <v>26</v>
      </c>
      <c r="G8277" s="53"/>
    </row>
    <row r="8278">
      <c r="A8278" s="49">
        <v>44599.812520057865</v>
      </c>
      <c r="B8278" s="50">
        <v>44599.9374956481</v>
      </c>
      <c r="C8278" s="51">
        <v>1.0</v>
      </c>
      <c r="D8278" s="51">
        <v>62.0</v>
      </c>
      <c r="E8278" s="52" t="s">
        <v>25</v>
      </c>
      <c r="F8278" s="52" t="s">
        <v>26</v>
      </c>
      <c r="G8278" s="53"/>
    </row>
    <row r="8279">
      <c r="A8279" s="49">
        <v>44599.822942847226</v>
      </c>
      <c r="B8279" s="50">
        <v>44599.94791625</v>
      </c>
      <c r="C8279" s="51">
        <v>0.999</v>
      </c>
      <c r="D8279" s="51">
        <v>62.0</v>
      </c>
      <c r="E8279" s="52" t="s">
        <v>25</v>
      </c>
      <c r="F8279" s="52" t="s">
        <v>26</v>
      </c>
      <c r="G8279" s="53"/>
    </row>
    <row r="8280">
      <c r="A8280" s="49">
        <v>44599.833403888886</v>
      </c>
      <c r="B8280" s="50">
        <v>44599.958361875</v>
      </c>
      <c r="C8280" s="51">
        <v>0.999</v>
      </c>
      <c r="D8280" s="51">
        <v>62.0</v>
      </c>
      <c r="E8280" s="52" t="s">
        <v>25</v>
      </c>
      <c r="F8280" s="52" t="s">
        <v>26</v>
      </c>
      <c r="G8280" s="53"/>
    </row>
    <row r="8281">
      <c r="A8281" s="49">
        <v>44599.84381472222</v>
      </c>
      <c r="B8281" s="50">
        <v>44599.9687842592</v>
      </c>
      <c r="C8281" s="51">
        <v>1.0</v>
      </c>
      <c r="D8281" s="51">
        <v>62.0</v>
      </c>
      <c r="E8281" s="52" t="s">
        <v>25</v>
      </c>
      <c r="F8281" s="52" t="s">
        <v>26</v>
      </c>
      <c r="G8281" s="53"/>
    </row>
    <row r="8282">
      <c r="A8282" s="49">
        <v>44599.85422415509</v>
      </c>
      <c r="B8282" s="50">
        <v>44599.9792055208</v>
      </c>
      <c r="C8282" s="51">
        <v>1.0</v>
      </c>
      <c r="D8282" s="51">
        <v>62.0</v>
      </c>
      <c r="E8282" s="52" t="s">
        <v>25</v>
      </c>
      <c r="F8282" s="52" t="s">
        <v>26</v>
      </c>
      <c r="G8282" s="53"/>
    </row>
    <row r="8283">
      <c r="A8283" s="49">
        <v>44599.864667905094</v>
      </c>
      <c r="B8283" s="50">
        <v>44599.9896271412</v>
      </c>
      <c r="C8283" s="51">
        <v>0.999</v>
      </c>
      <c r="D8283" s="51">
        <v>62.0</v>
      </c>
      <c r="E8283" s="52" t="s">
        <v>25</v>
      </c>
      <c r="F8283" s="52" t="s">
        <v>26</v>
      </c>
      <c r="G8283" s="53"/>
    </row>
    <row r="8284">
      <c r="A8284" s="49">
        <v>44599.87507905092</v>
      </c>
      <c r="B8284" s="50">
        <v>44600.00005978</v>
      </c>
      <c r="C8284" s="51">
        <v>0.999</v>
      </c>
      <c r="D8284" s="51">
        <v>62.0</v>
      </c>
      <c r="E8284" s="52" t="s">
        <v>25</v>
      </c>
      <c r="F8284" s="52" t="s">
        <v>26</v>
      </c>
      <c r="G8284" s="53"/>
    </row>
    <row r="8285">
      <c r="A8285" s="49">
        <v>44599.885514988426</v>
      </c>
      <c r="B8285" s="50">
        <v>44600.0104918402</v>
      </c>
      <c r="C8285" s="51">
        <v>1.0</v>
      </c>
      <c r="D8285" s="51">
        <v>62.0</v>
      </c>
      <c r="E8285" s="52" t="s">
        <v>25</v>
      </c>
      <c r="F8285" s="52" t="s">
        <v>26</v>
      </c>
      <c r="G8285" s="53"/>
    </row>
    <row r="8286">
      <c r="A8286" s="49">
        <v>44599.89595744213</v>
      </c>
      <c r="B8286" s="50">
        <v>44600.0209349305</v>
      </c>
      <c r="C8286" s="51">
        <v>0.999</v>
      </c>
      <c r="D8286" s="51">
        <v>62.0</v>
      </c>
      <c r="E8286" s="52" t="s">
        <v>25</v>
      </c>
      <c r="F8286" s="52" t="s">
        <v>26</v>
      </c>
      <c r="G8286" s="53"/>
    </row>
    <row r="8287">
      <c r="A8287" s="49">
        <v>44599.90639145834</v>
      </c>
      <c r="B8287" s="50">
        <v>44600.0313563425</v>
      </c>
      <c r="C8287" s="51">
        <v>0.999</v>
      </c>
      <c r="D8287" s="51">
        <v>62.0</v>
      </c>
      <c r="E8287" s="52" t="s">
        <v>25</v>
      </c>
      <c r="F8287" s="52" t="s">
        <v>26</v>
      </c>
      <c r="G8287" s="53"/>
    </row>
    <row r="8288">
      <c r="A8288" s="49">
        <v>44599.916809710645</v>
      </c>
      <c r="B8288" s="50">
        <v>44600.0417765162</v>
      </c>
      <c r="C8288" s="51">
        <v>1.0</v>
      </c>
      <c r="D8288" s="51">
        <v>62.0</v>
      </c>
      <c r="E8288" s="52" t="s">
        <v>25</v>
      </c>
      <c r="F8288" s="52" t="s">
        <v>26</v>
      </c>
      <c r="G8288" s="53"/>
    </row>
    <row r="8289">
      <c r="A8289" s="49">
        <v>44599.927214317126</v>
      </c>
      <c r="B8289" s="50">
        <v>44600.0521969212</v>
      </c>
      <c r="C8289" s="51">
        <v>0.999</v>
      </c>
      <c r="D8289" s="51">
        <v>62.0</v>
      </c>
      <c r="E8289" s="52" t="s">
        <v>25</v>
      </c>
      <c r="F8289" s="52" t="s">
        <v>26</v>
      </c>
      <c r="G8289" s="53"/>
    </row>
    <row r="8290">
      <c r="A8290" s="49">
        <v>44599.93768135417</v>
      </c>
      <c r="B8290" s="50">
        <v>44600.062654155</v>
      </c>
      <c r="C8290" s="51">
        <v>0.999</v>
      </c>
      <c r="D8290" s="51">
        <v>62.0</v>
      </c>
      <c r="E8290" s="52" t="s">
        <v>25</v>
      </c>
      <c r="F8290" s="52" t="s">
        <v>26</v>
      </c>
      <c r="G8290" s="53"/>
    </row>
    <row r="8291">
      <c r="A8291" s="49">
        <v>44599.94810871528</v>
      </c>
      <c r="B8291" s="50">
        <v>44600.0730757638</v>
      </c>
      <c r="C8291" s="51">
        <v>0.999</v>
      </c>
      <c r="D8291" s="51">
        <v>62.0</v>
      </c>
      <c r="E8291" s="52" t="s">
        <v>25</v>
      </c>
      <c r="F8291" s="52" t="s">
        <v>26</v>
      </c>
      <c r="G8291" s="53"/>
    </row>
    <row r="8292">
      <c r="A8292" s="49">
        <v>44599.95853700231</v>
      </c>
      <c r="B8292" s="50">
        <v>44600.0835093055</v>
      </c>
      <c r="C8292" s="51">
        <v>1.0</v>
      </c>
      <c r="D8292" s="51">
        <v>62.0</v>
      </c>
      <c r="E8292" s="52" t="s">
        <v>25</v>
      </c>
      <c r="F8292" s="52" t="s">
        <v>26</v>
      </c>
      <c r="G8292" s="53"/>
    </row>
    <row r="8293">
      <c r="A8293" s="49">
        <v>44599.968950208335</v>
      </c>
      <c r="B8293" s="50">
        <v>44600.0939309027</v>
      </c>
      <c r="C8293" s="51">
        <v>0.999</v>
      </c>
      <c r="D8293" s="51">
        <v>62.0</v>
      </c>
      <c r="E8293" s="52" t="s">
        <v>25</v>
      </c>
      <c r="F8293" s="52" t="s">
        <v>26</v>
      </c>
      <c r="G8293" s="53"/>
    </row>
    <row r="8294">
      <c r="A8294" s="49">
        <v>44599.979465868055</v>
      </c>
      <c r="B8294" s="50">
        <v>44600.104352743</v>
      </c>
      <c r="C8294" s="51">
        <v>0.999</v>
      </c>
      <c r="D8294" s="51">
        <v>62.0</v>
      </c>
      <c r="E8294" s="52" t="s">
        <v>25</v>
      </c>
      <c r="F8294" s="52" t="s">
        <v>26</v>
      </c>
      <c r="G8294" s="53"/>
    </row>
    <row r="8295">
      <c r="A8295" s="49">
        <v>44599.98989020834</v>
      </c>
      <c r="B8295" s="50">
        <v>44600.1147745138</v>
      </c>
      <c r="C8295" s="51">
        <v>1.0</v>
      </c>
      <c r="D8295" s="51">
        <v>62.0</v>
      </c>
      <c r="E8295" s="52" t="s">
        <v>25</v>
      </c>
      <c r="F8295" s="52" t="s">
        <v>26</v>
      </c>
      <c r="G8295" s="53"/>
    </row>
    <row r="8296">
      <c r="A8296" s="49">
        <v>44600.00022835648</v>
      </c>
      <c r="B8296" s="50">
        <v>44600.1252060995</v>
      </c>
      <c r="C8296" s="51">
        <v>0.999</v>
      </c>
      <c r="D8296" s="51">
        <v>62.0</v>
      </c>
      <c r="E8296" s="52" t="s">
        <v>25</v>
      </c>
      <c r="F8296" s="52" t="s">
        <v>26</v>
      </c>
      <c r="G8296" s="53"/>
    </row>
    <row r="8297">
      <c r="A8297" s="49">
        <v>44600.01065517361</v>
      </c>
      <c r="B8297" s="50">
        <v>44600.1356268749</v>
      </c>
      <c r="C8297" s="51">
        <v>1.0</v>
      </c>
      <c r="D8297" s="51">
        <v>62.0</v>
      </c>
      <c r="E8297" s="52" t="s">
        <v>25</v>
      </c>
      <c r="F8297" s="52" t="s">
        <v>26</v>
      </c>
      <c r="G8297" s="53"/>
    </row>
    <row r="8298">
      <c r="A8298" s="49">
        <v>44600.021074502314</v>
      </c>
      <c r="B8298" s="50">
        <v>44600.1460501041</v>
      </c>
      <c r="C8298" s="51">
        <v>1.0</v>
      </c>
      <c r="D8298" s="51">
        <v>62.0</v>
      </c>
      <c r="E8298" s="52" t="s">
        <v>25</v>
      </c>
      <c r="F8298" s="52" t="s">
        <v>26</v>
      </c>
      <c r="G8298" s="53"/>
    </row>
    <row r="8299">
      <c r="A8299" s="49">
        <v>44600.0316447338</v>
      </c>
      <c r="B8299" s="50">
        <v>44600.1564704513</v>
      </c>
      <c r="C8299" s="51">
        <v>1.0</v>
      </c>
      <c r="D8299" s="51">
        <v>62.0</v>
      </c>
      <c r="E8299" s="52" t="s">
        <v>25</v>
      </c>
      <c r="F8299" s="52" t="s">
        <v>26</v>
      </c>
      <c r="G8299" s="53"/>
    </row>
    <row r="8300">
      <c r="A8300" s="49">
        <v>44600.04193824074</v>
      </c>
      <c r="B8300" s="50">
        <v>44600.1668893981</v>
      </c>
      <c r="C8300" s="51">
        <v>1.0</v>
      </c>
      <c r="D8300" s="51">
        <v>62.0</v>
      </c>
      <c r="E8300" s="52" t="s">
        <v>25</v>
      </c>
      <c r="F8300" s="52" t="s">
        <v>26</v>
      </c>
      <c r="G8300" s="53"/>
    </row>
    <row r="8301">
      <c r="A8301" s="49">
        <v>44600.05235679398</v>
      </c>
      <c r="B8301" s="50">
        <v>44600.1773104513</v>
      </c>
      <c r="C8301" s="51">
        <v>1.0</v>
      </c>
      <c r="D8301" s="51">
        <v>62.0</v>
      </c>
      <c r="E8301" s="52" t="s">
        <v>25</v>
      </c>
      <c r="F8301" s="52" t="s">
        <v>26</v>
      </c>
      <c r="G8301" s="53"/>
    </row>
    <row r="8302">
      <c r="A8302" s="49">
        <v>44600.06274887732</v>
      </c>
      <c r="B8302" s="50">
        <v>44600.1877313773</v>
      </c>
      <c r="C8302" s="51">
        <v>0.999</v>
      </c>
      <c r="D8302" s="51">
        <v>62.0</v>
      </c>
      <c r="E8302" s="52" t="s">
        <v>25</v>
      </c>
      <c r="F8302" s="52" t="s">
        <v>26</v>
      </c>
      <c r="G8302" s="53"/>
    </row>
    <row r="8303">
      <c r="A8303" s="49">
        <v>44600.07317736111</v>
      </c>
      <c r="B8303" s="50">
        <v>44600.1981522569</v>
      </c>
      <c r="C8303" s="51">
        <v>0.999</v>
      </c>
      <c r="D8303" s="51">
        <v>62.0</v>
      </c>
      <c r="E8303" s="52" t="s">
        <v>25</v>
      </c>
      <c r="F8303" s="52" t="s">
        <v>26</v>
      </c>
      <c r="G8303" s="53"/>
    </row>
    <row r="8304">
      <c r="A8304" s="49">
        <v>44600.083600185186</v>
      </c>
      <c r="B8304" s="50">
        <v>44600.2085737152</v>
      </c>
      <c r="C8304" s="51">
        <v>1.0</v>
      </c>
      <c r="D8304" s="51">
        <v>62.0</v>
      </c>
      <c r="E8304" s="52" t="s">
        <v>25</v>
      </c>
      <c r="F8304" s="52" t="s">
        <v>26</v>
      </c>
      <c r="G8304" s="53"/>
    </row>
    <row r="8305">
      <c r="A8305" s="49">
        <v>44600.09403418981</v>
      </c>
      <c r="B8305" s="50">
        <v>44600.2189953125</v>
      </c>
      <c r="C8305" s="51">
        <v>1.0</v>
      </c>
      <c r="D8305" s="51">
        <v>62.0</v>
      </c>
      <c r="E8305" s="52" t="s">
        <v>25</v>
      </c>
      <c r="F8305" s="52" t="s">
        <v>26</v>
      </c>
      <c r="G8305" s="53"/>
    </row>
    <row r="8306">
      <c r="A8306" s="49">
        <v>44600.104457152775</v>
      </c>
      <c r="B8306" s="50">
        <v>44600.2294273611</v>
      </c>
      <c r="C8306" s="51">
        <v>0.999</v>
      </c>
      <c r="D8306" s="51">
        <v>62.0</v>
      </c>
      <c r="E8306" s="52" t="s">
        <v>25</v>
      </c>
      <c r="F8306" s="52" t="s">
        <v>26</v>
      </c>
      <c r="G8306" s="53"/>
    </row>
    <row r="8307">
      <c r="A8307" s="49">
        <v>44600.11488226852</v>
      </c>
      <c r="B8307" s="50">
        <v>44600.239847662</v>
      </c>
      <c r="C8307" s="51">
        <v>1.0</v>
      </c>
      <c r="D8307" s="51">
        <v>62.0</v>
      </c>
      <c r="E8307" s="52" t="s">
        <v>25</v>
      </c>
      <c r="F8307" s="52" t="s">
        <v>26</v>
      </c>
      <c r="G8307" s="53"/>
    </row>
    <row r="8308">
      <c r="A8308" s="49">
        <v>44600.12530047454</v>
      </c>
      <c r="B8308" s="50">
        <v>44600.2502684259</v>
      </c>
      <c r="C8308" s="51">
        <v>1.0</v>
      </c>
      <c r="D8308" s="51">
        <v>62.0</v>
      </c>
      <c r="E8308" s="52" t="s">
        <v>25</v>
      </c>
      <c r="F8308" s="52" t="s">
        <v>26</v>
      </c>
      <c r="G8308" s="53"/>
    </row>
    <row r="8309">
      <c r="A8309" s="49">
        <v>44600.13579299768</v>
      </c>
      <c r="B8309" s="50">
        <v>44600.2606895949</v>
      </c>
      <c r="C8309" s="51">
        <v>0.999</v>
      </c>
      <c r="D8309" s="51">
        <v>62.0</v>
      </c>
      <c r="E8309" s="52" t="s">
        <v>25</v>
      </c>
      <c r="F8309" s="52" t="s">
        <v>26</v>
      </c>
      <c r="G8309" s="53"/>
    </row>
    <row r="8310">
      <c r="A8310" s="49">
        <v>44600.14615871527</v>
      </c>
      <c r="B8310" s="50">
        <v>44600.2711107523</v>
      </c>
      <c r="C8310" s="51">
        <v>0.999</v>
      </c>
      <c r="D8310" s="51">
        <v>62.0</v>
      </c>
      <c r="E8310" s="52" t="s">
        <v>25</v>
      </c>
      <c r="F8310" s="52" t="s">
        <v>26</v>
      </c>
      <c r="G8310" s="53"/>
    </row>
    <row r="8311">
      <c r="A8311" s="49">
        <v>44600.156629571764</v>
      </c>
      <c r="B8311" s="50">
        <v>44600.2815299421</v>
      </c>
      <c r="C8311" s="51">
        <v>1.0</v>
      </c>
      <c r="D8311" s="51">
        <v>62.0</v>
      </c>
      <c r="E8311" s="52" t="s">
        <v>25</v>
      </c>
      <c r="F8311" s="52" t="s">
        <v>26</v>
      </c>
      <c r="G8311" s="53"/>
    </row>
    <row r="8312">
      <c r="A8312" s="49">
        <v>44600.16697744213</v>
      </c>
      <c r="B8312" s="50">
        <v>44600.2919493634</v>
      </c>
      <c r="C8312" s="51">
        <v>1.0</v>
      </c>
      <c r="D8312" s="51">
        <v>62.0</v>
      </c>
      <c r="E8312" s="52" t="s">
        <v>25</v>
      </c>
      <c r="F8312" s="52" t="s">
        <v>26</v>
      </c>
      <c r="G8312" s="53"/>
    </row>
    <row r="8313">
      <c r="A8313" s="49">
        <v>44600.17741363426</v>
      </c>
      <c r="B8313" s="50">
        <v>44600.3023718171</v>
      </c>
      <c r="C8313" s="51">
        <v>1.0</v>
      </c>
      <c r="D8313" s="51">
        <v>62.0</v>
      </c>
      <c r="E8313" s="52" t="s">
        <v>25</v>
      </c>
      <c r="F8313" s="52" t="s">
        <v>26</v>
      </c>
      <c r="G8313" s="53"/>
    </row>
    <row r="8314">
      <c r="A8314" s="49">
        <v>44600.18784013889</v>
      </c>
      <c r="B8314" s="50">
        <v>44600.3128173379</v>
      </c>
      <c r="C8314" s="51">
        <v>1.0</v>
      </c>
      <c r="D8314" s="51">
        <v>62.0</v>
      </c>
      <c r="E8314" s="52" t="s">
        <v>25</v>
      </c>
      <c r="F8314" s="52" t="s">
        <v>26</v>
      </c>
      <c r="G8314" s="53"/>
    </row>
    <row r="8315">
      <c r="A8315" s="49">
        <v>44600.19827277778</v>
      </c>
      <c r="B8315" s="50">
        <v>44600.3232504976</v>
      </c>
      <c r="C8315" s="51">
        <v>1.0</v>
      </c>
      <c r="D8315" s="51">
        <v>62.0</v>
      </c>
      <c r="E8315" s="52" t="s">
        <v>25</v>
      </c>
      <c r="F8315" s="52" t="s">
        <v>26</v>
      </c>
      <c r="G8315" s="53"/>
    </row>
    <row r="8316">
      <c r="A8316" s="49">
        <v>44600.20869915509</v>
      </c>
      <c r="B8316" s="50">
        <v>44600.3336700925</v>
      </c>
      <c r="C8316" s="51">
        <v>1.0</v>
      </c>
      <c r="D8316" s="51">
        <v>62.0</v>
      </c>
      <c r="E8316" s="52" t="s">
        <v>25</v>
      </c>
      <c r="F8316" s="52" t="s">
        <v>26</v>
      </c>
      <c r="G8316" s="53"/>
    </row>
    <row r="8317">
      <c r="A8317" s="49">
        <v>44600.219291331014</v>
      </c>
      <c r="B8317" s="50">
        <v>44600.3440903703</v>
      </c>
      <c r="C8317" s="51">
        <v>1.0</v>
      </c>
      <c r="D8317" s="51">
        <v>62.0</v>
      </c>
      <c r="E8317" s="52" t="s">
        <v>25</v>
      </c>
      <c r="F8317" s="52" t="s">
        <v>26</v>
      </c>
      <c r="G8317" s="53"/>
    </row>
    <row r="8318">
      <c r="A8318" s="49">
        <v>44600.22953505787</v>
      </c>
      <c r="B8318" s="50">
        <v>44600.3545123726</v>
      </c>
      <c r="C8318" s="51">
        <v>0.999</v>
      </c>
      <c r="D8318" s="51">
        <v>62.0</v>
      </c>
      <c r="E8318" s="52" t="s">
        <v>25</v>
      </c>
      <c r="F8318" s="52" t="s">
        <v>26</v>
      </c>
      <c r="G8318" s="53"/>
    </row>
    <row r="8319">
      <c r="A8319" s="49">
        <v>44600.239987291665</v>
      </c>
      <c r="B8319" s="50">
        <v>44600.364934618</v>
      </c>
      <c r="C8319" s="51">
        <v>0.999</v>
      </c>
      <c r="D8319" s="51">
        <v>62.0</v>
      </c>
      <c r="E8319" s="52" t="s">
        <v>25</v>
      </c>
      <c r="F8319" s="52" t="s">
        <v>26</v>
      </c>
      <c r="G8319" s="53"/>
    </row>
    <row r="8320">
      <c r="A8320" s="49">
        <v>44600.2503855324</v>
      </c>
      <c r="B8320" s="50">
        <v>44600.3753661226</v>
      </c>
      <c r="C8320" s="51">
        <v>1.0</v>
      </c>
      <c r="D8320" s="51">
        <v>63.0</v>
      </c>
      <c r="E8320" s="52" t="s">
        <v>25</v>
      </c>
      <c r="F8320" s="52" t="s">
        <v>26</v>
      </c>
      <c r="G8320" s="53"/>
    </row>
    <row r="8321">
      <c r="A8321" s="49">
        <v>44600.260823599536</v>
      </c>
      <c r="B8321" s="50">
        <v>44600.3857984606</v>
      </c>
      <c r="C8321" s="51">
        <v>1.0</v>
      </c>
      <c r="D8321" s="51">
        <v>63.0</v>
      </c>
      <c r="E8321" s="52" t="s">
        <v>25</v>
      </c>
      <c r="F8321" s="52" t="s">
        <v>26</v>
      </c>
      <c r="G8321" s="53"/>
    </row>
    <row r="8322">
      <c r="A8322" s="49">
        <v>44600.271246805554</v>
      </c>
      <c r="B8322" s="50">
        <v>44600.3962200578</v>
      </c>
      <c r="C8322" s="51">
        <v>0.999</v>
      </c>
      <c r="D8322" s="51">
        <v>64.0</v>
      </c>
      <c r="E8322" s="52" t="s">
        <v>25</v>
      </c>
      <c r="F8322" s="52" t="s">
        <v>26</v>
      </c>
      <c r="G8322" s="53"/>
    </row>
    <row r="8323">
      <c r="A8323" s="49">
        <v>44600.281684421294</v>
      </c>
      <c r="B8323" s="50">
        <v>44600.4066521875</v>
      </c>
      <c r="C8323" s="51">
        <v>0.999</v>
      </c>
      <c r="D8323" s="51">
        <v>64.0</v>
      </c>
      <c r="E8323" s="52" t="s">
        <v>25</v>
      </c>
      <c r="F8323" s="52" t="s">
        <v>26</v>
      </c>
      <c r="G8323" s="53"/>
    </row>
    <row r="8324">
      <c r="A8324" s="49">
        <v>44600.29210302084</v>
      </c>
      <c r="B8324" s="50">
        <v>44600.4170739351</v>
      </c>
      <c r="C8324" s="51">
        <v>0.999</v>
      </c>
      <c r="D8324" s="51">
        <v>65.0</v>
      </c>
      <c r="E8324" s="52" t="s">
        <v>25</v>
      </c>
      <c r="F8324" s="52" t="s">
        <v>26</v>
      </c>
      <c r="G8324" s="53"/>
    </row>
    <row r="8325">
      <c r="A8325" s="49">
        <v>44600.30256003472</v>
      </c>
      <c r="B8325" s="50">
        <v>44600.4274942592</v>
      </c>
      <c r="C8325" s="51">
        <v>0.999</v>
      </c>
      <c r="D8325" s="51">
        <v>65.0</v>
      </c>
      <c r="E8325" s="52" t="s">
        <v>25</v>
      </c>
      <c r="F8325" s="52" t="s">
        <v>26</v>
      </c>
      <c r="G8325" s="53"/>
    </row>
    <row r="8326">
      <c r="A8326" s="49">
        <v>44600.31297804398</v>
      </c>
      <c r="B8326" s="50">
        <v>44600.4379145254</v>
      </c>
      <c r="C8326" s="51">
        <v>0.999</v>
      </c>
      <c r="D8326" s="51">
        <v>65.0</v>
      </c>
      <c r="E8326" s="52" t="s">
        <v>25</v>
      </c>
      <c r="F8326" s="52" t="s">
        <v>26</v>
      </c>
      <c r="G8326" s="53"/>
    </row>
    <row r="8327">
      <c r="A8327" s="49">
        <v>44600.32348633102</v>
      </c>
      <c r="B8327" s="50">
        <v>44600.448347581</v>
      </c>
      <c r="C8327" s="51">
        <v>0.999</v>
      </c>
      <c r="D8327" s="51">
        <v>66.0</v>
      </c>
      <c r="E8327" s="52" t="s">
        <v>25</v>
      </c>
      <c r="F8327" s="52" t="s">
        <v>26</v>
      </c>
      <c r="G8327" s="53"/>
    </row>
    <row r="8328">
      <c r="A8328" s="49">
        <v>44600.33381174768</v>
      </c>
      <c r="B8328" s="50">
        <v>44600.4587799999</v>
      </c>
      <c r="C8328" s="51">
        <v>0.999</v>
      </c>
      <c r="D8328" s="51">
        <v>66.0</v>
      </c>
      <c r="E8328" s="52" t="s">
        <v>25</v>
      </c>
      <c r="F8328" s="52" t="s">
        <v>26</v>
      </c>
      <c r="G8328" s="53"/>
    </row>
    <row r="8329">
      <c r="A8329" s="49">
        <v>44600.344232407406</v>
      </c>
      <c r="B8329" s="50">
        <v>44600.4692015393</v>
      </c>
      <c r="C8329" s="51">
        <v>0.999</v>
      </c>
      <c r="D8329" s="51">
        <v>67.0</v>
      </c>
      <c r="E8329" s="52" t="s">
        <v>25</v>
      </c>
      <c r="F8329" s="52" t="s">
        <v>26</v>
      </c>
      <c r="G8329" s="53"/>
    </row>
    <row r="8330">
      <c r="A8330" s="49">
        <v>44600.35463886574</v>
      </c>
      <c r="B8330" s="50">
        <v>44600.4796223032</v>
      </c>
      <c r="C8330" s="51">
        <v>0.999</v>
      </c>
      <c r="D8330" s="51">
        <v>67.0</v>
      </c>
      <c r="E8330" s="52" t="s">
        <v>25</v>
      </c>
      <c r="F8330" s="52" t="s">
        <v>26</v>
      </c>
      <c r="G8330" s="53"/>
    </row>
    <row r="8331">
      <c r="A8331" s="49">
        <v>44600.365085428246</v>
      </c>
      <c r="B8331" s="50">
        <v>44600.490042662</v>
      </c>
      <c r="C8331" s="51">
        <v>0.999</v>
      </c>
      <c r="D8331" s="51">
        <v>68.0</v>
      </c>
      <c r="E8331" s="52" t="s">
        <v>25</v>
      </c>
      <c r="F8331" s="52" t="s">
        <v>26</v>
      </c>
      <c r="G8331" s="53"/>
    </row>
    <row r="8332">
      <c r="A8332" s="49">
        <v>44600.375590578704</v>
      </c>
      <c r="B8332" s="50">
        <v>44600.5004654861</v>
      </c>
      <c r="C8332" s="51">
        <v>0.999</v>
      </c>
      <c r="D8332" s="51">
        <v>68.0</v>
      </c>
      <c r="E8332" s="52" t="s">
        <v>25</v>
      </c>
      <c r="F8332" s="52" t="s">
        <v>26</v>
      </c>
      <c r="G8332" s="53"/>
    </row>
    <row r="8333">
      <c r="A8333" s="49">
        <v>44600.38592108796</v>
      </c>
      <c r="B8333" s="50">
        <v>44600.5108966782</v>
      </c>
      <c r="C8333" s="51">
        <v>0.999</v>
      </c>
      <c r="D8333" s="51">
        <v>68.0</v>
      </c>
      <c r="E8333" s="52" t="s">
        <v>25</v>
      </c>
      <c r="F8333" s="52" t="s">
        <v>26</v>
      </c>
      <c r="G8333" s="53"/>
    </row>
    <row r="8334">
      <c r="A8334" s="49">
        <v>44600.39635265047</v>
      </c>
      <c r="B8334" s="50">
        <v>44600.5213300462</v>
      </c>
      <c r="C8334" s="51">
        <v>0.999</v>
      </c>
      <c r="D8334" s="51">
        <v>68.0</v>
      </c>
      <c r="E8334" s="52" t="s">
        <v>25</v>
      </c>
      <c r="F8334" s="52" t="s">
        <v>26</v>
      </c>
      <c r="G8334" s="53"/>
    </row>
    <row r="8335">
      <c r="A8335" s="49">
        <v>44600.4067740162</v>
      </c>
      <c r="B8335" s="50">
        <v>44600.5317508101</v>
      </c>
      <c r="C8335" s="51">
        <v>0.999</v>
      </c>
      <c r="D8335" s="51">
        <v>68.0</v>
      </c>
      <c r="E8335" s="52" t="s">
        <v>25</v>
      </c>
      <c r="F8335" s="52" t="s">
        <v>26</v>
      </c>
      <c r="G8335" s="53"/>
    </row>
    <row r="8336">
      <c r="A8336" s="49">
        <v>44600.41719795139</v>
      </c>
      <c r="B8336" s="50">
        <v>44600.5421714583</v>
      </c>
      <c r="C8336" s="51">
        <v>0.999</v>
      </c>
      <c r="D8336" s="51">
        <v>68.0</v>
      </c>
      <c r="E8336" s="52" t="s">
        <v>25</v>
      </c>
      <c r="F8336" s="52" t="s">
        <v>26</v>
      </c>
      <c r="G8336" s="53"/>
    </row>
    <row r="8337">
      <c r="A8337" s="49">
        <v>44600.42761438657</v>
      </c>
      <c r="B8337" s="50">
        <v>44600.5525920949</v>
      </c>
      <c r="C8337" s="51">
        <v>0.999</v>
      </c>
      <c r="D8337" s="51">
        <v>67.0</v>
      </c>
      <c r="E8337" s="52" t="s">
        <v>25</v>
      </c>
      <c r="F8337" s="52" t="s">
        <v>26</v>
      </c>
      <c r="G8337" s="53"/>
    </row>
    <row r="8338">
      <c r="A8338" s="49">
        <v>44600.438067800926</v>
      </c>
      <c r="B8338" s="50">
        <v>44600.5630477777</v>
      </c>
      <c r="C8338" s="51">
        <v>0.999</v>
      </c>
      <c r="D8338" s="51">
        <v>67.0</v>
      </c>
      <c r="E8338" s="52" t="s">
        <v>25</v>
      </c>
      <c r="F8338" s="52" t="s">
        <v>26</v>
      </c>
      <c r="G8338" s="53"/>
    </row>
    <row r="8339">
      <c r="A8339" s="49">
        <v>44600.448490509254</v>
      </c>
      <c r="B8339" s="50">
        <v>44600.5734689467</v>
      </c>
      <c r="C8339" s="51">
        <v>0.999</v>
      </c>
      <c r="D8339" s="51">
        <v>67.0</v>
      </c>
      <c r="E8339" s="52" t="s">
        <v>25</v>
      </c>
      <c r="F8339" s="52" t="s">
        <v>26</v>
      </c>
      <c r="G8339" s="53"/>
    </row>
    <row r="8340">
      <c r="A8340" s="49">
        <v>44600.45893771991</v>
      </c>
      <c r="B8340" s="50">
        <v>44600.5839143865</v>
      </c>
      <c r="C8340" s="51">
        <v>0.999</v>
      </c>
      <c r="D8340" s="51">
        <v>67.0</v>
      </c>
      <c r="E8340" s="52" t="s">
        <v>25</v>
      </c>
      <c r="F8340" s="52" t="s">
        <v>26</v>
      </c>
      <c r="G8340" s="53"/>
    </row>
    <row r="8341">
      <c r="A8341" s="49">
        <v>44600.46936491899</v>
      </c>
      <c r="B8341" s="50">
        <v>44600.5943434375</v>
      </c>
      <c r="C8341" s="51">
        <v>0.999</v>
      </c>
      <c r="D8341" s="51">
        <v>67.0</v>
      </c>
      <c r="E8341" s="52" t="s">
        <v>25</v>
      </c>
      <c r="F8341" s="52" t="s">
        <v>26</v>
      </c>
      <c r="G8341" s="53"/>
    </row>
    <row r="8342">
      <c r="A8342" s="49">
        <v>44600.47979997685</v>
      </c>
      <c r="B8342" s="50">
        <v>44600.6047631828</v>
      </c>
      <c r="C8342" s="51">
        <v>0.999</v>
      </c>
      <c r="D8342" s="51">
        <v>67.0</v>
      </c>
      <c r="E8342" s="52" t="s">
        <v>25</v>
      </c>
      <c r="F8342" s="52" t="s">
        <v>26</v>
      </c>
      <c r="G8342" s="53"/>
    </row>
    <row r="8343">
      <c r="A8343" s="49">
        <v>44600.49020478009</v>
      </c>
      <c r="B8343" s="50">
        <v>44600.615183993</v>
      </c>
      <c r="C8343" s="51">
        <v>0.999</v>
      </c>
      <c r="D8343" s="51">
        <v>67.0</v>
      </c>
      <c r="E8343" s="52" t="s">
        <v>25</v>
      </c>
      <c r="F8343" s="52" t="s">
        <v>26</v>
      </c>
      <c r="G8343" s="53"/>
    </row>
    <row r="8344">
      <c r="A8344" s="49">
        <v>44600.500624479166</v>
      </c>
      <c r="B8344" s="50">
        <v>44600.6256033564</v>
      </c>
      <c r="C8344" s="51">
        <v>0.999</v>
      </c>
      <c r="D8344" s="51">
        <v>67.0</v>
      </c>
      <c r="E8344" s="52" t="s">
        <v>25</v>
      </c>
      <c r="F8344" s="52" t="s">
        <v>26</v>
      </c>
      <c r="G8344" s="53"/>
    </row>
    <row r="8345">
      <c r="A8345" s="49">
        <v>44600.51104226852</v>
      </c>
      <c r="B8345" s="50">
        <v>44600.6360238657</v>
      </c>
      <c r="C8345" s="51">
        <v>0.999</v>
      </c>
      <c r="D8345" s="51">
        <v>67.0</v>
      </c>
      <c r="E8345" s="52" t="s">
        <v>25</v>
      </c>
      <c r="F8345" s="52" t="s">
        <v>26</v>
      </c>
      <c r="G8345" s="53"/>
    </row>
    <row r="8346">
      <c r="A8346" s="49">
        <v>44600.521471064814</v>
      </c>
      <c r="B8346" s="50">
        <v>44600.6464451388</v>
      </c>
      <c r="C8346" s="51">
        <v>0.999</v>
      </c>
      <c r="D8346" s="51">
        <v>67.0</v>
      </c>
      <c r="E8346" s="52" t="s">
        <v>25</v>
      </c>
      <c r="F8346" s="52" t="s">
        <v>26</v>
      </c>
      <c r="G8346" s="53"/>
    </row>
    <row r="8347">
      <c r="A8347" s="49">
        <v>44600.531890011574</v>
      </c>
      <c r="B8347" s="50">
        <v>44600.6568668402</v>
      </c>
      <c r="C8347" s="51">
        <v>0.999</v>
      </c>
      <c r="D8347" s="51">
        <v>67.0</v>
      </c>
      <c r="E8347" s="52" t="s">
        <v>25</v>
      </c>
      <c r="F8347" s="52" t="s">
        <v>26</v>
      </c>
      <c r="G8347" s="53"/>
    </row>
    <row r="8348">
      <c r="A8348" s="49">
        <v>44600.54230710648</v>
      </c>
      <c r="B8348" s="50">
        <v>44600.6672885995</v>
      </c>
      <c r="C8348" s="51">
        <v>0.999</v>
      </c>
      <c r="D8348" s="51">
        <v>67.0</v>
      </c>
      <c r="E8348" s="52" t="s">
        <v>25</v>
      </c>
      <c r="F8348" s="52" t="s">
        <v>26</v>
      </c>
      <c r="G8348" s="53"/>
    </row>
    <row r="8349">
      <c r="A8349" s="49">
        <v>44600.55272997685</v>
      </c>
      <c r="B8349" s="50">
        <v>44600.6777088078</v>
      </c>
      <c r="C8349" s="51">
        <v>0.999</v>
      </c>
      <c r="D8349" s="51">
        <v>67.0</v>
      </c>
      <c r="E8349" s="52" t="s">
        <v>25</v>
      </c>
      <c r="F8349" s="52" t="s">
        <v>26</v>
      </c>
      <c r="G8349" s="53"/>
    </row>
    <row r="8350">
      <c r="A8350" s="49">
        <v>44600.563171828704</v>
      </c>
      <c r="B8350" s="50">
        <v>44600.6881514814</v>
      </c>
      <c r="C8350" s="51">
        <v>0.999</v>
      </c>
      <c r="D8350" s="51">
        <v>67.0</v>
      </c>
      <c r="E8350" s="52" t="s">
        <v>25</v>
      </c>
      <c r="F8350" s="52" t="s">
        <v>26</v>
      </c>
      <c r="G8350" s="53"/>
    </row>
    <row r="8351">
      <c r="A8351" s="49">
        <v>44600.57359034722</v>
      </c>
      <c r="B8351" s="50">
        <v>44600.6985716319</v>
      </c>
      <c r="C8351" s="51">
        <v>0.999</v>
      </c>
      <c r="D8351" s="51">
        <v>67.0</v>
      </c>
      <c r="E8351" s="52" t="s">
        <v>25</v>
      </c>
      <c r="F8351" s="52" t="s">
        <v>26</v>
      </c>
      <c r="G8351" s="53"/>
    </row>
    <row r="8352">
      <c r="A8352" s="49">
        <v>44600.58402173611</v>
      </c>
      <c r="B8352" s="50">
        <v>44600.7089938657</v>
      </c>
      <c r="C8352" s="51">
        <v>0.999</v>
      </c>
      <c r="D8352" s="51">
        <v>67.0</v>
      </c>
      <c r="E8352" s="52" t="s">
        <v>25</v>
      </c>
      <c r="F8352" s="52" t="s">
        <v>26</v>
      </c>
      <c r="G8352" s="53"/>
    </row>
    <row r="8353">
      <c r="A8353" s="49">
        <v>44600.594448703705</v>
      </c>
      <c r="B8353" s="50">
        <v>44600.7194160416</v>
      </c>
      <c r="C8353" s="51">
        <v>0.999</v>
      </c>
      <c r="D8353" s="51">
        <v>67.0</v>
      </c>
      <c r="E8353" s="52" t="s">
        <v>25</v>
      </c>
      <c r="F8353" s="52" t="s">
        <v>26</v>
      </c>
      <c r="G8353" s="53"/>
    </row>
    <row r="8354">
      <c r="A8354" s="49">
        <v>44600.6048558912</v>
      </c>
      <c r="B8354" s="50">
        <v>44600.7298382986</v>
      </c>
      <c r="C8354" s="51">
        <v>0.999</v>
      </c>
      <c r="D8354" s="51">
        <v>67.0</v>
      </c>
      <c r="E8354" s="52" t="s">
        <v>25</v>
      </c>
      <c r="F8354" s="52" t="s">
        <v>26</v>
      </c>
      <c r="G8354" s="53"/>
    </row>
    <row r="8355">
      <c r="A8355" s="49">
        <v>44600.615286875</v>
      </c>
      <c r="B8355" s="50">
        <v>44600.7402696875</v>
      </c>
      <c r="C8355" s="51">
        <v>0.999</v>
      </c>
      <c r="D8355" s="51">
        <v>67.0</v>
      </c>
      <c r="E8355" s="52" t="s">
        <v>25</v>
      </c>
      <c r="F8355" s="52" t="s">
        <v>26</v>
      </c>
      <c r="G8355" s="53"/>
    </row>
    <row r="8356">
      <c r="A8356" s="49">
        <v>44600.62577078704</v>
      </c>
      <c r="B8356" s="50">
        <v>44600.7506918402</v>
      </c>
      <c r="C8356" s="51">
        <v>0.999</v>
      </c>
      <c r="D8356" s="51">
        <v>67.0</v>
      </c>
      <c r="E8356" s="52" t="s">
        <v>25</v>
      </c>
      <c r="F8356" s="52" t="s">
        <v>26</v>
      </c>
      <c r="G8356" s="53"/>
    </row>
    <row r="8357">
      <c r="A8357" s="49">
        <v>44600.636139560185</v>
      </c>
      <c r="B8357" s="50">
        <v>44600.7611119212</v>
      </c>
      <c r="C8357" s="51">
        <v>0.999</v>
      </c>
      <c r="D8357" s="51">
        <v>67.0</v>
      </c>
      <c r="E8357" s="52" t="s">
        <v>25</v>
      </c>
      <c r="F8357" s="52" t="s">
        <v>26</v>
      </c>
      <c r="G8357" s="53"/>
    </row>
    <row r="8358">
      <c r="A8358" s="49">
        <v>44600.646583587964</v>
      </c>
      <c r="B8358" s="50">
        <v>44600.771555625</v>
      </c>
      <c r="C8358" s="51">
        <v>0.999</v>
      </c>
      <c r="D8358" s="51">
        <v>67.0</v>
      </c>
      <c r="E8358" s="52" t="s">
        <v>25</v>
      </c>
      <c r="F8358" s="52" t="s">
        <v>26</v>
      </c>
      <c r="G8358" s="53"/>
    </row>
    <row r="8359">
      <c r="A8359" s="49">
        <v>44600.65702028935</v>
      </c>
      <c r="B8359" s="50">
        <v>44600.781988831</v>
      </c>
      <c r="C8359" s="51">
        <v>0.999</v>
      </c>
      <c r="D8359" s="51">
        <v>67.0</v>
      </c>
      <c r="E8359" s="52" t="s">
        <v>25</v>
      </c>
      <c r="F8359" s="52" t="s">
        <v>26</v>
      </c>
      <c r="G8359" s="53"/>
    </row>
    <row r="8360">
      <c r="A8360" s="49">
        <v>44600.667426099535</v>
      </c>
      <c r="B8360" s="50">
        <v>44600.7924095138</v>
      </c>
      <c r="C8360" s="51">
        <v>0.999</v>
      </c>
      <c r="D8360" s="51">
        <v>67.0</v>
      </c>
      <c r="E8360" s="52" t="s">
        <v>25</v>
      </c>
      <c r="F8360" s="52" t="s">
        <v>26</v>
      </c>
      <c r="G8360" s="53"/>
    </row>
    <row r="8361">
      <c r="A8361" s="49">
        <v>44600.67784747685</v>
      </c>
      <c r="B8361" s="50">
        <v>44600.8028322569</v>
      </c>
      <c r="C8361" s="51">
        <v>0.999</v>
      </c>
      <c r="D8361" s="51">
        <v>67.0</v>
      </c>
      <c r="E8361" s="52" t="s">
        <v>25</v>
      </c>
      <c r="F8361" s="52" t="s">
        <v>26</v>
      </c>
      <c r="G8361" s="53"/>
    </row>
    <row r="8362">
      <c r="A8362" s="49">
        <v>44600.688302916664</v>
      </c>
      <c r="B8362" s="50">
        <v>44600.8132773379</v>
      </c>
      <c r="C8362" s="51">
        <v>0.999</v>
      </c>
      <c r="D8362" s="51">
        <v>67.0</v>
      </c>
      <c r="E8362" s="52" t="s">
        <v>25</v>
      </c>
      <c r="F8362" s="52" t="s">
        <v>26</v>
      </c>
      <c r="G8362" s="53"/>
    </row>
    <row r="8363">
      <c r="A8363" s="49">
        <v>44600.698726076385</v>
      </c>
      <c r="B8363" s="50">
        <v>44600.823700868</v>
      </c>
      <c r="C8363" s="51">
        <v>0.999</v>
      </c>
      <c r="D8363" s="51">
        <v>67.0</v>
      </c>
      <c r="E8363" s="52" t="s">
        <v>25</v>
      </c>
      <c r="F8363" s="52" t="s">
        <v>26</v>
      </c>
      <c r="G8363" s="53"/>
    </row>
    <row r="8364">
      <c r="A8364" s="49">
        <v>44600.70914457176</v>
      </c>
      <c r="B8364" s="50">
        <v>44600.8341231365</v>
      </c>
      <c r="C8364" s="51">
        <v>0.999</v>
      </c>
      <c r="D8364" s="51">
        <v>67.0</v>
      </c>
      <c r="E8364" s="52" t="s">
        <v>25</v>
      </c>
      <c r="F8364" s="52" t="s">
        <v>26</v>
      </c>
      <c r="G8364" s="53"/>
    </row>
    <row r="8365">
      <c r="A8365" s="49">
        <v>44600.71956506945</v>
      </c>
      <c r="B8365" s="50">
        <v>44600.844543831</v>
      </c>
      <c r="C8365" s="51">
        <v>0.999</v>
      </c>
      <c r="D8365" s="51">
        <v>67.0</v>
      </c>
      <c r="E8365" s="52" t="s">
        <v>25</v>
      </c>
      <c r="F8365" s="52" t="s">
        <v>26</v>
      </c>
      <c r="G8365" s="53"/>
    </row>
    <row r="8366">
      <c r="A8366" s="49">
        <v>44600.729991678236</v>
      </c>
      <c r="B8366" s="50">
        <v>44600.8549646064</v>
      </c>
      <c r="C8366" s="51">
        <v>0.999</v>
      </c>
      <c r="D8366" s="51">
        <v>67.0</v>
      </c>
      <c r="E8366" s="52" t="s">
        <v>25</v>
      </c>
      <c r="F8366" s="52" t="s">
        <v>26</v>
      </c>
      <c r="G8366" s="53"/>
    </row>
    <row r="8367">
      <c r="A8367" s="49">
        <v>44600.74040902778</v>
      </c>
      <c r="B8367" s="50">
        <v>44600.865385405</v>
      </c>
      <c r="C8367" s="51">
        <v>0.999</v>
      </c>
      <c r="D8367" s="51">
        <v>67.0</v>
      </c>
      <c r="E8367" s="52" t="s">
        <v>25</v>
      </c>
      <c r="F8367" s="52" t="s">
        <v>26</v>
      </c>
      <c r="G8367" s="53"/>
    </row>
    <row r="8368">
      <c r="A8368" s="49">
        <v>44600.75083252315</v>
      </c>
      <c r="B8368" s="50">
        <v>44600.875805787</v>
      </c>
      <c r="C8368" s="51">
        <v>0.999</v>
      </c>
      <c r="D8368" s="51">
        <v>67.0</v>
      </c>
      <c r="E8368" s="52" t="s">
        <v>25</v>
      </c>
      <c r="F8368" s="52" t="s">
        <v>26</v>
      </c>
      <c r="G8368" s="53"/>
    </row>
    <row r="8369">
      <c r="A8369" s="49">
        <v>44600.76125738426</v>
      </c>
      <c r="B8369" s="50">
        <v>44600.8862273263</v>
      </c>
      <c r="C8369" s="51">
        <v>0.999</v>
      </c>
      <c r="D8369" s="51">
        <v>67.0</v>
      </c>
      <c r="E8369" s="52" t="s">
        <v>25</v>
      </c>
      <c r="F8369" s="52" t="s">
        <v>26</v>
      </c>
      <c r="G8369" s="53"/>
    </row>
    <row r="8370">
      <c r="A8370" s="49">
        <v>44600.77166774306</v>
      </c>
      <c r="B8370" s="50">
        <v>44600.8966497222</v>
      </c>
      <c r="C8370" s="51">
        <v>0.999</v>
      </c>
      <c r="D8370" s="51">
        <v>67.0</v>
      </c>
      <c r="E8370" s="52" t="s">
        <v>25</v>
      </c>
      <c r="F8370" s="52" t="s">
        <v>26</v>
      </c>
      <c r="G8370" s="53"/>
    </row>
    <row r="8371">
      <c r="A8371" s="49">
        <v>44600.78213060185</v>
      </c>
      <c r="B8371" s="50">
        <v>44600.9071051851</v>
      </c>
      <c r="C8371" s="51">
        <v>0.999</v>
      </c>
      <c r="D8371" s="51">
        <v>67.0</v>
      </c>
      <c r="E8371" s="52" t="s">
        <v>25</v>
      </c>
      <c r="F8371" s="52" t="s">
        <v>26</v>
      </c>
      <c r="G8371" s="53"/>
    </row>
    <row r="8372">
      <c r="A8372" s="49">
        <v>44600.79257229167</v>
      </c>
      <c r="B8372" s="50">
        <v>44600.9175376736</v>
      </c>
      <c r="C8372" s="51">
        <v>0.999</v>
      </c>
      <c r="D8372" s="51">
        <v>66.0</v>
      </c>
      <c r="E8372" s="52" t="s">
        <v>25</v>
      </c>
      <c r="F8372" s="52" t="s">
        <v>26</v>
      </c>
      <c r="G8372" s="53"/>
    </row>
    <row r="8373">
      <c r="A8373" s="49">
        <v>44600.80297527778</v>
      </c>
      <c r="B8373" s="50">
        <v>44600.927959456</v>
      </c>
      <c r="C8373" s="51">
        <v>0.999</v>
      </c>
      <c r="D8373" s="51">
        <v>66.0</v>
      </c>
      <c r="E8373" s="52" t="s">
        <v>25</v>
      </c>
      <c r="F8373" s="52" t="s">
        <v>26</v>
      </c>
      <c r="G8373" s="53"/>
    </row>
    <row r="8374">
      <c r="A8374" s="49">
        <v>44600.81340943287</v>
      </c>
      <c r="B8374" s="50">
        <v>44600.9383799652</v>
      </c>
      <c r="C8374" s="51">
        <v>0.999</v>
      </c>
      <c r="D8374" s="51">
        <v>66.0</v>
      </c>
      <c r="E8374" s="52" t="s">
        <v>25</v>
      </c>
      <c r="F8374" s="52" t="s">
        <v>26</v>
      </c>
      <c r="G8374" s="53"/>
    </row>
    <row r="8375">
      <c r="A8375" s="49">
        <v>44600.823827025466</v>
      </c>
      <c r="B8375" s="50">
        <v>44600.9488040856</v>
      </c>
      <c r="C8375" s="51">
        <v>0.999</v>
      </c>
      <c r="D8375" s="51">
        <v>66.0</v>
      </c>
      <c r="E8375" s="52" t="s">
        <v>25</v>
      </c>
      <c r="F8375" s="52" t="s">
        <v>26</v>
      </c>
      <c r="G8375" s="53"/>
    </row>
    <row r="8376">
      <c r="A8376" s="49">
        <v>44600.83425429398</v>
      </c>
      <c r="B8376" s="50">
        <v>44600.9592253356</v>
      </c>
      <c r="C8376" s="51">
        <v>0.999</v>
      </c>
      <c r="D8376" s="51">
        <v>66.0</v>
      </c>
      <c r="E8376" s="52" t="s">
        <v>25</v>
      </c>
      <c r="F8376" s="52" t="s">
        <v>26</v>
      </c>
      <c r="G8376" s="53"/>
    </row>
    <row r="8377">
      <c r="A8377" s="49">
        <v>44600.844676319444</v>
      </c>
      <c r="B8377" s="50">
        <v>44600.9696582523</v>
      </c>
      <c r="C8377" s="51">
        <v>0.999</v>
      </c>
      <c r="D8377" s="51">
        <v>66.0</v>
      </c>
      <c r="E8377" s="52" t="s">
        <v>25</v>
      </c>
      <c r="F8377" s="52" t="s">
        <v>26</v>
      </c>
      <c r="G8377" s="53"/>
    </row>
    <row r="8378">
      <c r="A8378" s="49">
        <v>44600.85511853009</v>
      </c>
      <c r="B8378" s="50">
        <v>44600.9800906481</v>
      </c>
      <c r="C8378" s="51">
        <v>0.999</v>
      </c>
      <c r="D8378" s="51">
        <v>66.0</v>
      </c>
      <c r="E8378" s="52" t="s">
        <v>25</v>
      </c>
      <c r="F8378" s="52" t="s">
        <v>26</v>
      </c>
      <c r="G8378" s="53"/>
    </row>
    <row r="8379">
      <c r="A8379" s="49">
        <v>44600.86553756944</v>
      </c>
      <c r="B8379" s="50">
        <v>44600.9905127777</v>
      </c>
      <c r="C8379" s="51">
        <v>0.999</v>
      </c>
      <c r="D8379" s="51">
        <v>66.0</v>
      </c>
      <c r="E8379" s="52" t="s">
        <v>25</v>
      </c>
      <c r="F8379" s="52" t="s">
        <v>26</v>
      </c>
      <c r="G8379" s="53"/>
    </row>
    <row r="8380">
      <c r="A8380" s="49">
        <v>44600.87596148148</v>
      </c>
      <c r="B8380" s="50">
        <v>44601.0009337037</v>
      </c>
      <c r="C8380" s="51">
        <v>0.999</v>
      </c>
      <c r="D8380" s="51">
        <v>66.0</v>
      </c>
      <c r="E8380" s="52" t="s">
        <v>25</v>
      </c>
      <c r="F8380" s="52" t="s">
        <v>26</v>
      </c>
      <c r="G8380" s="53"/>
    </row>
    <row r="8381">
      <c r="A8381" s="49">
        <v>44600.886380428245</v>
      </c>
      <c r="B8381" s="50">
        <v>44601.0113545254</v>
      </c>
      <c r="C8381" s="51">
        <v>0.999</v>
      </c>
      <c r="D8381" s="51">
        <v>66.0</v>
      </c>
      <c r="E8381" s="52" t="s">
        <v>25</v>
      </c>
      <c r="F8381" s="52" t="s">
        <v>26</v>
      </c>
      <c r="G8381" s="53"/>
    </row>
    <row r="8382">
      <c r="A8382" s="49">
        <v>44600.896798194444</v>
      </c>
      <c r="B8382" s="50">
        <v>44601.0217774652</v>
      </c>
      <c r="C8382" s="51">
        <v>0.999</v>
      </c>
      <c r="D8382" s="51">
        <v>66.0</v>
      </c>
      <c r="E8382" s="52" t="s">
        <v>25</v>
      </c>
      <c r="F8382" s="52" t="s">
        <v>26</v>
      </c>
      <c r="G8382" s="53"/>
    </row>
    <row r="8383">
      <c r="A8383" s="49">
        <v>44600.907226111114</v>
      </c>
      <c r="B8383" s="50">
        <v>44601.0321977083</v>
      </c>
      <c r="C8383" s="51">
        <v>0.999</v>
      </c>
      <c r="D8383" s="51">
        <v>66.0</v>
      </c>
      <c r="E8383" s="52" t="s">
        <v>25</v>
      </c>
      <c r="F8383" s="52" t="s">
        <v>26</v>
      </c>
      <c r="G8383" s="53"/>
    </row>
    <row r="8384">
      <c r="A8384" s="49">
        <v>44600.91764496527</v>
      </c>
      <c r="B8384" s="50">
        <v>44601.0426197106</v>
      </c>
      <c r="C8384" s="51">
        <v>0.999</v>
      </c>
      <c r="D8384" s="51">
        <v>66.0</v>
      </c>
      <c r="E8384" s="52" t="s">
        <v>25</v>
      </c>
      <c r="F8384" s="52" t="s">
        <v>26</v>
      </c>
      <c r="G8384" s="53"/>
    </row>
    <row r="8385">
      <c r="A8385" s="49">
        <v>44600.92806767361</v>
      </c>
      <c r="B8385" s="50">
        <v>44601.0530401967</v>
      </c>
      <c r="C8385" s="51">
        <v>0.999</v>
      </c>
      <c r="D8385" s="51">
        <v>66.0</v>
      </c>
      <c r="E8385" s="52" t="s">
        <v>25</v>
      </c>
      <c r="F8385" s="52" t="s">
        <v>26</v>
      </c>
      <c r="G8385" s="53"/>
    </row>
    <row r="8386">
      <c r="A8386" s="49">
        <v>44600.938508125</v>
      </c>
      <c r="B8386" s="50">
        <v>44601.0634605324</v>
      </c>
      <c r="C8386" s="51">
        <v>0.999</v>
      </c>
      <c r="D8386" s="51">
        <v>66.0</v>
      </c>
      <c r="E8386" s="52" t="s">
        <v>25</v>
      </c>
      <c r="F8386" s="52" t="s">
        <v>26</v>
      </c>
      <c r="G8386" s="53"/>
    </row>
    <row r="8387">
      <c r="A8387" s="49">
        <v>44600.94890795139</v>
      </c>
      <c r="B8387" s="50">
        <v>44601.0738809027</v>
      </c>
      <c r="C8387" s="51">
        <v>0.999</v>
      </c>
      <c r="D8387" s="51">
        <v>66.0</v>
      </c>
      <c r="E8387" s="52" t="s">
        <v>25</v>
      </c>
      <c r="F8387" s="52" t="s">
        <v>26</v>
      </c>
      <c r="G8387" s="53"/>
    </row>
    <row r="8388">
      <c r="A8388" s="49">
        <v>44600.9593302662</v>
      </c>
      <c r="B8388" s="50">
        <v>44601.0843020138</v>
      </c>
      <c r="C8388" s="51">
        <v>0.999</v>
      </c>
      <c r="D8388" s="51">
        <v>66.0</v>
      </c>
      <c r="E8388" s="52" t="s">
        <v>25</v>
      </c>
      <c r="F8388" s="52" t="s">
        <v>26</v>
      </c>
      <c r="G8388" s="53"/>
    </row>
    <row r="8389">
      <c r="A8389" s="49">
        <v>44600.96975297453</v>
      </c>
      <c r="B8389" s="50">
        <v>44601.094722905</v>
      </c>
      <c r="C8389" s="51">
        <v>0.999</v>
      </c>
      <c r="D8389" s="51">
        <v>66.0</v>
      </c>
      <c r="E8389" s="52" t="s">
        <v>25</v>
      </c>
      <c r="F8389" s="52" t="s">
        <v>26</v>
      </c>
      <c r="G8389" s="53"/>
    </row>
    <row r="8390">
      <c r="A8390" s="49">
        <v>44600.98016413194</v>
      </c>
      <c r="B8390" s="50">
        <v>44601.1051448379</v>
      </c>
      <c r="C8390" s="51">
        <v>0.999</v>
      </c>
      <c r="D8390" s="51">
        <v>66.0</v>
      </c>
      <c r="E8390" s="52" t="s">
        <v>25</v>
      </c>
      <c r="F8390" s="52" t="s">
        <v>26</v>
      </c>
      <c r="G8390" s="53"/>
    </row>
    <row r="8391">
      <c r="A8391" s="49">
        <v>44600.99060125</v>
      </c>
      <c r="B8391" s="50">
        <v>44601.1155672222</v>
      </c>
      <c r="C8391" s="51">
        <v>0.999</v>
      </c>
      <c r="D8391" s="51">
        <v>66.0</v>
      </c>
      <c r="E8391" s="52" t="s">
        <v>25</v>
      </c>
      <c r="F8391" s="52" t="s">
        <v>26</v>
      </c>
      <c r="G8391" s="53"/>
    </row>
    <row r="8392">
      <c r="A8392" s="49">
        <v>44601.00102778935</v>
      </c>
      <c r="B8392" s="50">
        <v>44601.1259990856</v>
      </c>
      <c r="C8392" s="51">
        <v>0.999</v>
      </c>
      <c r="D8392" s="51">
        <v>66.0</v>
      </c>
      <c r="E8392" s="52" t="s">
        <v>25</v>
      </c>
      <c r="F8392" s="52" t="s">
        <v>26</v>
      </c>
      <c r="G8392" s="53"/>
    </row>
    <row r="8393">
      <c r="A8393" s="49">
        <v>44601.0114494213</v>
      </c>
      <c r="B8393" s="50">
        <v>44601.13641978</v>
      </c>
      <c r="C8393" s="51">
        <v>0.999</v>
      </c>
      <c r="D8393" s="51">
        <v>66.0</v>
      </c>
      <c r="E8393" s="52" t="s">
        <v>25</v>
      </c>
      <c r="F8393" s="52" t="s">
        <v>26</v>
      </c>
      <c r="G8393" s="53"/>
    </row>
    <row r="8394">
      <c r="A8394" s="49">
        <v>44601.021865648145</v>
      </c>
      <c r="B8394" s="50">
        <v>44601.1468393171</v>
      </c>
      <c r="C8394" s="51">
        <v>0.999</v>
      </c>
      <c r="D8394" s="51">
        <v>66.0</v>
      </c>
      <c r="E8394" s="52" t="s">
        <v>25</v>
      </c>
      <c r="F8394" s="52" t="s">
        <v>26</v>
      </c>
      <c r="G8394" s="53"/>
    </row>
    <row r="8395">
      <c r="A8395" s="49">
        <v>44601.032290937495</v>
      </c>
      <c r="B8395" s="50">
        <v>44601.1572602199</v>
      </c>
      <c r="C8395" s="51">
        <v>0.999</v>
      </c>
      <c r="D8395" s="51">
        <v>66.0</v>
      </c>
      <c r="E8395" s="52" t="s">
        <v>25</v>
      </c>
      <c r="F8395" s="52" t="s">
        <v>26</v>
      </c>
      <c r="G8395" s="53"/>
    </row>
    <row r="8396">
      <c r="A8396" s="49">
        <v>44601.04272030093</v>
      </c>
      <c r="B8396" s="50">
        <v>44601.1676825115</v>
      </c>
      <c r="C8396" s="51">
        <v>0.999</v>
      </c>
      <c r="D8396" s="51">
        <v>66.0</v>
      </c>
      <c r="E8396" s="52" t="s">
        <v>25</v>
      </c>
      <c r="F8396" s="52" t="s">
        <v>26</v>
      </c>
      <c r="G8396" s="53"/>
    </row>
    <row r="8397">
      <c r="A8397" s="49">
        <v>44601.053130115746</v>
      </c>
      <c r="B8397" s="50">
        <v>44601.1781023726</v>
      </c>
      <c r="C8397" s="51">
        <v>0.999</v>
      </c>
      <c r="D8397" s="51">
        <v>66.0</v>
      </c>
      <c r="E8397" s="52" t="s">
        <v>25</v>
      </c>
      <c r="F8397" s="52" t="s">
        <v>26</v>
      </c>
      <c r="G8397" s="53"/>
    </row>
    <row r="8398">
      <c r="A8398" s="49">
        <v>44601.063543310185</v>
      </c>
      <c r="B8398" s="50">
        <v>44601.1885218981</v>
      </c>
      <c r="C8398" s="51">
        <v>0.999</v>
      </c>
      <c r="D8398" s="51">
        <v>66.0</v>
      </c>
      <c r="E8398" s="52" t="s">
        <v>25</v>
      </c>
      <c r="F8398" s="52" t="s">
        <v>26</v>
      </c>
      <c r="G8398" s="53"/>
    </row>
    <row r="8399">
      <c r="A8399" s="49">
        <v>44601.07396417824</v>
      </c>
      <c r="B8399" s="50">
        <v>44601.1989434259</v>
      </c>
      <c r="C8399" s="51">
        <v>0.999</v>
      </c>
      <c r="D8399" s="51">
        <v>66.0</v>
      </c>
      <c r="E8399" s="52" t="s">
        <v>25</v>
      </c>
      <c r="F8399" s="52" t="s">
        <v>26</v>
      </c>
      <c r="G8399" s="53"/>
    </row>
    <row r="8400">
      <c r="A8400" s="49">
        <v>44601.084402187495</v>
      </c>
      <c r="B8400" s="50">
        <v>44601.2093761226</v>
      </c>
      <c r="C8400" s="51">
        <v>0.999</v>
      </c>
      <c r="D8400" s="51">
        <v>66.0</v>
      </c>
      <c r="E8400" s="52" t="s">
        <v>25</v>
      </c>
      <c r="F8400" s="52" t="s">
        <v>26</v>
      </c>
      <c r="G8400" s="53"/>
    </row>
    <row r="8401">
      <c r="A8401" s="49">
        <v>44601.094832048606</v>
      </c>
      <c r="B8401" s="50">
        <v>44601.219797905</v>
      </c>
      <c r="C8401" s="51">
        <v>0.999</v>
      </c>
      <c r="D8401" s="51">
        <v>66.0</v>
      </c>
      <c r="E8401" s="52" t="s">
        <v>25</v>
      </c>
      <c r="F8401" s="52" t="s">
        <v>26</v>
      </c>
      <c r="G8401" s="53"/>
    </row>
    <row r="8402">
      <c r="A8402" s="49">
        <v>44601.10525435185</v>
      </c>
      <c r="B8402" s="50">
        <v>44601.2302305786</v>
      </c>
      <c r="C8402" s="51">
        <v>0.999</v>
      </c>
      <c r="D8402" s="51">
        <v>66.0</v>
      </c>
      <c r="E8402" s="52" t="s">
        <v>25</v>
      </c>
      <c r="F8402" s="52" t="s">
        <v>26</v>
      </c>
      <c r="G8402" s="53"/>
    </row>
    <row r="8403">
      <c r="A8403" s="49">
        <v>44601.115698587964</v>
      </c>
      <c r="B8403" s="50">
        <v>44601.2406744907</v>
      </c>
      <c r="C8403" s="51">
        <v>0.999</v>
      </c>
      <c r="D8403" s="51">
        <v>66.0</v>
      </c>
      <c r="E8403" s="52" t="s">
        <v>25</v>
      </c>
      <c r="F8403" s="52" t="s">
        <v>26</v>
      </c>
      <c r="G8403" s="53"/>
    </row>
    <row r="8404">
      <c r="A8404" s="49">
        <v>44601.12611793981</v>
      </c>
      <c r="B8404" s="50">
        <v>44601.2510960995</v>
      </c>
      <c r="C8404" s="51">
        <v>0.999</v>
      </c>
      <c r="D8404" s="51">
        <v>66.0</v>
      </c>
      <c r="E8404" s="52" t="s">
        <v>25</v>
      </c>
      <c r="F8404" s="52" t="s">
        <v>26</v>
      </c>
      <c r="G8404" s="53"/>
    </row>
    <row r="8405">
      <c r="A8405" s="49">
        <v>44601.13654381945</v>
      </c>
      <c r="B8405" s="50">
        <v>44601.2615172453</v>
      </c>
      <c r="C8405" s="51">
        <v>0.999</v>
      </c>
      <c r="D8405" s="51">
        <v>66.0</v>
      </c>
      <c r="E8405" s="52" t="s">
        <v>25</v>
      </c>
      <c r="F8405" s="52" t="s">
        <v>26</v>
      </c>
      <c r="G8405" s="53"/>
    </row>
    <row r="8406">
      <c r="A8406" s="49">
        <v>44601.14696241898</v>
      </c>
      <c r="B8406" s="50">
        <v>44601.2719389351</v>
      </c>
      <c r="C8406" s="51">
        <v>0.999</v>
      </c>
      <c r="D8406" s="51">
        <v>66.0</v>
      </c>
      <c r="E8406" s="52" t="s">
        <v>25</v>
      </c>
      <c r="F8406" s="52" t="s">
        <v>26</v>
      </c>
      <c r="G8406" s="53"/>
    </row>
    <row r="8407">
      <c r="A8407" s="49">
        <v>44601.15738376157</v>
      </c>
      <c r="B8407" s="50">
        <v>44601.2823592476</v>
      </c>
      <c r="C8407" s="51">
        <v>0.999</v>
      </c>
      <c r="D8407" s="51">
        <v>66.0</v>
      </c>
      <c r="E8407" s="52" t="s">
        <v>25</v>
      </c>
      <c r="F8407" s="52" t="s">
        <v>26</v>
      </c>
      <c r="G8407" s="53"/>
    </row>
    <row r="8408">
      <c r="A8408" s="49">
        <v>44601.16779774305</v>
      </c>
      <c r="B8408" s="50">
        <v>44601.2927807291</v>
      </c>
      <c r="C8408" s="51">
        <v>0.999</v>
      </c>
      <c r="D8408" s="51">
        <v>66.0</v>
      </c>
      <c r="E8408" s="52" t="s">
        <v>25</v>
      </c>
      <c r="F8408" s="52" t="s">
        <v>26</v>
      </c>
      <c r="G8408" s="53"/>
    </row>
    <row r="8409">
      <c r="A8409" s="49">
        <v>44601.178240671295</v>
      </c>
      <c r="B8409" s="50">
        <v>44601.3032139814</v>
      </c>
      <c r="C8409" s="51">
        <v>0.999</v>
      </c>
      <c r="D8409" s="51">
        <v>66.0</v>
      </c>
      <c r="E8409" s="52" t="s">
        <v>25</v>
      </c>
      <c r="F8409" s="52" t="s">
        <v>26</v>
      </c>
      <c r="G8409" s="53"/>
    </row>
    <row r="8410">
      <c r="A8410" s="49">
        <v>44601.18866355324</v>
      </c>
      <c r="B8410" s="50">
        <v>44601.3136378009</v>
      </c>
      <c r="C8410" s="51">
        <v>0.999</v>
      </c>
      <c r="D8410" s="51">
        <v>66.0</v>
      </c>
      <c r="E8410" s="52" t="s">
        <v>25</v>
      </c>
      <c r="F8410" s="52" t="s">
        <v>26</v>
      </c>
      <c r="G8410" s="53"/>
    </row>
    <row r="8411">
      <c r="A8411" s="49">
        <v>44601.199104444444</v>
      </c>
      <c r="B8411" s="50">
        <v>44601.3240704745</v>
      </c>
      <c r="C8411" s="51">
        <v>0.999</v>
      </c>
      <c r="D8411" s="51">
        <v>65.0</v>
      </c>
      <c r="E8411" s="52" t="s">
        <v>25</v>
      </c>
      <c r="F8411" s="52" t="s">
        <v>26</v>
      </c>
      <c r="G8411" s="53"/>
    </row>
    <row r="8412">
      <c r="A8412" s="49">
        <v>44601.2095258912</v>
      </c>
      <c r="B8412" s="50">
        <v>44601.3345012847</v>
      </c>
      <c r="C8412" s="51">
        <v>0.999</v>
      </c>
      <c r="D8412" s="51">
        <v>66.0</v>
      </c>
      <c r="E8412" s="52" t="s">
        <v>25</v>
      </c>
      <c r="F8412" s="52" t="s">
        <v>26</v>
      </c>
      <c r="G8412" s="53"/>
    </row>
    <row r="8413">
      <c r="A8413" s="49">
        <v>44601.21994016204</v>
      </c>
      <c r="B8413" s="50">
        <v>44601.3449225347</v>
      </c>
      <c r="C8413" s="51">
        <v>0.999</v>
      </c>
      <c r="D8413" s="51">
        <v>66.0</v>
      </c>
      <c r="E8413" s="52" t="s">
        <v>25</v>
      </c>
      <c r="F8413" s="52" t="s">
        <v>26</v>
      </c>
      <c r="G8413" s="53"/>
    </row>
    <row r="8414">
      <c r="A8414" s="49">
        <v>44601.23036768519</v>
      </c>
      <c r="B8414" s="50">
        <v>44601.3553435185</v>
      </c>
      <c r="C8414" s="51">
        <v>0.999</v>
      </c>
      <c r="D8414" s="51">
        <v>65.0</v>
      </c>
      <c r="E8414" s="52" t="s">
        <v>25</v>
      </c>
      <c r="F8414" s="52" t="s">
        <v>26</v>
      </c>
      <c r="G8414" s="53"/>
    </row>
    <row r="8415">
      <c r="A8415" s="49">
        <v>44601.240798217594</v>
      </c>
      <c r="B8415" s="50">
        <v>44601.3657652777</v>
      </c>
      <c r="C8415" s="51">
        <v>0.999</v>
      </c>
      <c r="D8415" s="51">
        <v>65.0</v>
      </c>
      <c r="E8415" s="52" t="s">
        <v>25</v>
      </c>
      <c r="F8415" s="52" t="s">
        <v>26</v>
      </c>
      <c r="G8415" s="53"/>
    </row>
    <row r="8416">
      <c r="A8416" s="49">
        <v>44601.251217083336</v>
      </c>
      <c r="B8416" s="50">
        <v>44601.3761868981</v>
      </c>
      <c r="C8416" s="51">
        <v>0.999</v>
      </c>
      <c r="D8416" s="51">
        <v>65.0</v>
      </c>
      <c r="E8416" s="52" t="s">
        <v>25</v>
      </c>
      <c r="F8416" s="52" t="s">
        <v>26</v>
      </c>
      <c r="G8416" s="53"/>
    </row>
    <row r="8417">
      <c r="A8417" s="49">
        <v>44601.261658414354</v>
      </c>
      <c r="B8417" s="50">
        <v>44601.3866188657</v>
      </c>
      <c r="C8417" s="51">
        <v>0.999</v>
      </c>
      <c r="D8417" s="51">
        <v>65.0</v>
      </c>
      <c r="E8417" s="52" t="s">
        <v>25</v>
      </c>
      <c r="F8417" s="52" t="s">
        <v>26</v>
      </c>
      <c r="G8417" s="53"/>
    </row>
    <row r="8418">
      <c r="A8418" s="49">
        <v>44601.27207334491</v>
      </c>
      <c r="B8418" s="50">
        <v>44601.3970405439</v>
      </c>
      <c r="C8418" s="51">
        <v>0.999</v>
      </c>
      <c r="D8418" s="51">
        <v>65.0</v>
      </c>
      <c r="E8418" s="52" t="s">
        <v>25</v>
      </c>
      <c r="F8418" s="52" t="s">
        <v>26</v>
      </c>
      <c r="G8418" s="53"/>
    </row>
    <row r="8419">
      <c r="A8419" s="49">
        <v>44601.28249967593</v>
      </c>
      <c r="B8419" s="50">
        <v>44601.407473449</v>
      </c>
      <c r="C8419" s="51">
        <v>0.999</v>
      </c>
      <c r="D8419" s="51">
        <v>65.0</v>
      </c>
      <c r="E8419" s="52" t="s">
        <v>25</v>
      </c>
      <c r="F8419" s="52" t="s">
        <v>26</v>
      </c>
      <c r="G8419" s="53"/>
    </row>
    <row r="8420">
      <c r="A8420" s="49">
        <v>44601.292919467596</v>
      </c>
      <c r="B8420" s="50">
        <v>44601.4178945833</v>
      </c>
      <c r="C8420" s="51">
        <v>0.999</v>
      </c>
      <c r="D8420" s="51">
        <v>65.0</v>
      </c>
      <c r="E8420" s="52" t="s">
        <v>25</v>
      </c>
      <c r="F8420" s="52" t="s">
        <v>26</v>
      </c>
      <c r="G8420" s="53"/>
    </row>
    <row r="8421">
      <c r="A8421" s="49">
        <v>44601.30333274306</v>
      </c>
      <c r="B8421" s="50">
        <v>44601.4283147916</v>
      </c>
      <c r="C8421" s="51">
        <v>0.999</v>
      </c>
      <c r="D8421" s="51">
        <v>65.0</v>
      </c>
      <c r="E8421" s="52" t="s">
        <v>25</v>
      </c>
      <c r="F8421" s="52" t="s">
        <v>26</v>
      </c>
      <c r="G8421" s="53"/>
    </row>
    <row r="8422">
      <c r="A8422" s="49">
        <v>44601.31376103009</v>
      </c>
      <c r="B8422" s="50">
        <v>44601.438736331</v>
      </c>
      <c r="C8422" s="51">
        <v>0.999</v>
      </c>
      <c r="D8422" s="51">
        <v>65.0</v>
      </c>
      <c r="E8422" s="52" t="s">
        <v>25</v>
      </c>
      <c r="F8422" s="52" t="s">
        <v>26</v>
      </c>
      <c r="G8422" s="53"/>
    </row>
    <row r="8423">
      <c r="A8423" s="49">
        <v>44601.32417633102</v>
      </c>
      <c r="B8423" s="50">
        <v>44601.4491572916</v>
      </c>
      <c r="C8423" s="51">
        <v>0.999</v>
      </c>
      <c r="D8423" s="51">
        <v>65.0</v>
      </c>
      <c r="E8423" s="52" t="s">
        <v>25</v>
      </c>
      <c r="F8423" s="52" t="s">
        <v>26</v>
      </c>
      <c r="G8423" s="53"/>
    </row>
    <row r="8424">
      <c r="A8424" s="49">
        <v>44601.33461197917</v>
      </c>
      <c r="B8424" s="50">
        <v>44601.4595768171</v>
      </c>
      <c r="C8424" s="51">
        <v>0.999</v>
      </c>
      <c r="D8424" s="51">
        <v>65.0</v>
      </c>
      <c r="E8424" s="52" t="s">
        <v>25</v>
      </c>
      <c r="F8424" s="52" t="s">
        <v>26</v>
      </c>
      <c r="G8424" s="53"/>
    </row>
    <row r="8425">
      <c r="A8425" s="49">
        <v>44601.34503803241</v>
      </c>
      <c r="B8425" s="50">
        <v>44601.4699977662</v>
      </c>
      <c r="C8425" s="51">
        <v>0.999</v>
      </c>
      <c r="D8425" s="51">
        <v>65.0</v>
      </c>
      <c r="E8425" s="52" t="s">
        <v>25</v>
      </c>
      <c r="F8425" s="52" t="s">
        <v>26</v>
      </c>
      <c r="G8425" s="53"/>
    </row>
    <row r="8426">
      <c r="A8426" s="49">
        <v>44601.35544275463</v>
      </c>
      <c r="B8426" s="50">
        <v>44601.4804181944</v>
      </c>
      <c r="C8426" s="51">
        <v>0.999</v>
      </c>
      <c r="D8426" s="51">
        <v>65.0</v>
      </c>
      <c r="E8426" s="52" t="s">
        <v>25</v>
      </c>
      <c r="F8426" s="52" t="s">
        <v>26</v>
      </c>
      <c r="G8426" s="53"/>
    </row>
    <row r="8427">
      <c r="A8427" s="49">
        <v>44601.36586266204</v>
      </c>
      <c r="B8427" s="50">
        <v>44601.4908386689</v>
      </c>
      <c r="C8427" s="51">
        <v>0.999</v>
      </c>
      <c r="D8427" s="51">
        <v>65.0</v>
      </c>
      <c r="E8427" s="52" t="s">
        <v>25</v>
      </c>
      <c r="F8427" s="52" t="s">
        <v>26</v>
      </c>
      <c r="G8427" s="53"/>
    </row>
    <row r="8428">
      <c r="A8428" s="49">
        <v>44601.37628680556</v>
      </c>
      <c r="B8428" s="50">
        <v>44601.5012603935</v>
      </c>
      <c r="C8428" s="51">
        <v>0.999</v>
      </c>
      <c r="D8428" s="51">
        <v>65.0</v>
      </c>
      <c r="E8428" s="52" t="s">
        <v>25</v>
      </c>
      <c r="F8428" s="52" t="s">
        <v>26</v>
      </c>
      <c r="G8428" s="53"/>
    </row>
    <row r="8429">
      <c r="A8429" s="49">
        <v>44601.38670299768</v>
      </c>
      <c r="B8429" s="50">
        <v>44601.5116822916</v>
      </c>
      <c r="C8429" s="51">
        <v>0.999</v>
      </c>
      <c r="D8429" s="51">
        <v>65.0</v>
      </c>
      <c r="E8429" s="52" t="s">
        <v>25</v>
      </c>
      <c r="F8429" s="52" t="s">
        <v>26</v>
      </c>
      <c r="G8429" s="53"/>
    </row>
    <row r="8430">
      <c r="A8430" s="49">
        <v>44601.39712068287</v>
      </c>
      <c r="B8430" s="50">
        <v>44601.5221025462</v>
      </c>
      <c r="C8430" s="51">
        <v>0.999</v>
      </c>
      <c r="D8430" s="51">
        <v>65.0</v>
      </c>
      <c r="E8430" s="52" t="s">
        <v>25</v>
      </c>
      <c r="F8430" s="52" t="s">
        <v>26</v>
      </c>
      <c r="G8430" s="53"/>
    </row>
    <row r="8431">
      <c r="A8431" s="49">
        <v>44601.407557349536</v>
      </c>
      <c r="B8431" s="50">
        <v>44601.5325229166</v>
      </c>
      <c r="C8431" s="51">
        <v>0.999</v>
      </c>
      <c r="D8431" s="51">
        <v>65.0</v>
      </c>
      <c r="E8431" s="52" t="s">
        <v>25</v>
      </c>
      <c r="F8431" s="52" t="s">
        <v>26</v>
      </c>
      <c r="G8431" s="53"/>
    </row>
    <row r="8432">
      <c r="A8432" s="49">
        <v>44601.417970995375</v>
      </c>
      <c r="B8432" s="50">
        <v>44601.5429428125</v>
      </c>
      <c r="C8432" s="51">
        <v>0.999</v>
      </c>
      <c r="D8432" s="51">
        <v>65.0</v>
      </c>
      <c r="E8432" s="52" t="s">
        <v>25</v>
      </c>
      <c r="F8432" s="52" t="s">
        <v>26</v>
      </c>
      <c r="G8432" s="53"/>
    </row>
    <row r="8433">
      <c r="A8433" s="49">
        <v>44601.428387824075</v>
      </c>
      <c r="B8433" s="50">
        <v>44601.5533641898</v>
      </c>
      <c r="C8433" s="51">
        <v>0.999</v>
      </c>
      <c r="D8433" s="51">
        <v>65.0</v>
      </c>
      <c r="E8433" s="52" t="s">
        <v>25</v>
      </c>
      <c r="F8433" s="52" t="s">
        <v>26</v>
      </c>
      <c r="G8433" s="53"/>
    </row>
    <row r="8434">
      <c r="A8434" s="49">
        <v>44601.43880390046</v>
      </c>
      <c r="B8434" s="50">
        <v>44601.5637845833</v>
      </c>
      <c r="C8434" s="51">
        <v>0.999</v>
      </c>
      <c r="D8434" s="51">
        <v>65.0</v>
      </c>
      <c r="E8434" s="52" t="s">
        <v>25</v>
      </c>
      <c r="F8434" s="52" t="s">
        <v>26</v>
      </c>
      <c r="G8434" s="53"/>
    </row>
    <row r="8435">
      <c r="A8435" s="49">
        <v>44601.44923003472</v>
      </c>
      <c r="B8435" s="50">
        <v>44601.574204375</v>
      </c>
      <c r="C8435" s="51">
        <v>0.999</v>
      </c>
      <c r="D8435" s="51">
        <v>65.0</v>
      </c>
      <c r="E8435" s="52" t="s">
        <v>25</v>
      </c>
      <c r="F8435" s="52" t="s">
        <v>26</v>
      </c>
      <c r="G8435" s="53"/>
    </row>
    <row r="8436">
      <c r="A8436" s="49">
        <v>44601.45967149305</v>
      </c>
      <c r="B8436" s="50">
        <v>44601.584638831</v>
      </c>
      <c r="C8436" s="51">
        <v>0.999</v>
      </c>
      <c r="D8436" s="51">
        <v>65.0</v>
      </c>
      <c r="E8436" s="52" t="s">
        <v>25</v>
      </c>
      <c r="F8436" s="52" t="s">
        <v>26</v>
      </c>
      <c r="G8436" s="53"/>
    </row>
    <row r="8437">
      <c r="A8437" s="49">
        <v>44601.47010135416</v>
      </c>
      <c r="B8437" s="50">
        <v>44601.5950602893</v>
      </c>
      <c r="C8437" s="51">
        <v>0.999</v>
      </c>
      <c r="D8437" s="51">
        <v>65.0</v>
      </c>
      <c r="E8437" s="52" t="s">
        <v>25</v>
      </c>
      <c r="F8437" s="52" t="s">
        <v>26</v>
      </c>
      <c r="G8437" s="53"/>
    </row>
    <row r="8438">
      <c r="A8438" s="49">
        <v>44601.48051350695</v>
      </c>
      <c r="B8438" s="50">
        <v>44601.6054822685</v>
      </c>
      <c r="C8438" s="51">
        <v>0.999</v>
      </c>
      <c r="D8438" s="51">
        <v>65.0</v>
      </c>
      <c r="E8438" s="52" t="s">
        <v>25</v>
      </c>
      <c r="F8438" s="52" t="s">
        <v>26</v>
      </c>
      <c r="G8438" s="53"/>
    </row>
    <row r="8439">
      <c r="A8439" s="49">
        <v>44601.49093980324</v>
      </c>
      <c r="B8439" s="50">
        <v>44601.6159023032</v>
      </c>
      <c r="C8439" s="51">
        <v>0.999</v>
      </c>
      <c r="D8439" s="51">
        <v>65.0</v>
      </c>
      <c r="E8439" s="52" t="s">
        <v>25</v>
      </c>
      <c r="F8439" s="52" t="s">
        <v>26</v>
      </c>
      <c r="G8439" s="53"/>
    </row>
    <row r="8440">
      <c r="A8440" s="49">
        <v>44601.50135827546</v>
      </c>
      <c r="B8440" s="50">
        <v>44601.6263246064</v>
      </c>
      <c r="C8440" s="51">
        <v>0.999</v>
      </c>
      <c r="D8440" s="51">
        <v>65.0</v>
      </c>
      <c r="E8440" s="52" t="s">
        <v>25</v>
      </c>
      <c r="F8440" s="52" t="s">
        <v>26</v>
      </c>
      <c r="G8440" s="53"/>
    </row>
    <row r="8441">
      <c r="A8441" s="49">
        <v>44601.511774363426</v>
      </c>
      <c r="B8441" s="50">
        <v>44601.6367447685</v>
      </c>
      <c r="C8441" s="51">
        <v>0.999</v>
      </c>
      <c r="D8441" s="51">
        <v>65.0</v>
      </c>
      <c r="E8441" s="52" t="s">
        <v>25</v>
      </c>
      <c r="F8441" s="52" t="s">
        <v>26</v>
      </c>
      <c r="G8441" s="53"/>
    </row>
    <row r="8442">
      <c r="A8442" s="49">
        <v>44601.52219146991</v>
      </c>
      <c r="B8442" s="50">
        <v>44601.6471651388</v>
      </c>
      <c r="C8442" s="51">
        <v>0.999</v>
      </c>
      <c r="D8442" s="51">
        <v>65.0</v>
      </c>
      <c r="E8442" s="52" t="s">
        <v>25</v>
      </c>
      <c r="F8442" s="52" t="s">
        <v>26</v>
      </c>
      <c r="G8442" s="53"/>
    </row>
    <row r="8443">
      <c r="A8443" s="49">
        <v>44601.53264549769</v>
      </c>
      <c r="B8443" s="50">
        <v>44601.6576209259</v>
      </c>
      <c r="C8443" s="51">
        <v>0.999</v>
      </c>
      <c r="D8443" s="51">
        <v>65.0</v>
      </c>
      <c r="E8443" s="52" t="s">
        <v>25</v>
      </c>
      <c r="F8443" s="52" t="s">
        <v>26</v>
      </c>
      <c r="G8443" s="53"/>
    </row>
    <row r="8444">
      <c r="A8444" s="49">
        <v>44601.54306319445</v>
      </c>
      <c r="B8444" s="50">
        <v>44601.6680429282</v>
      </c>
      <c r="C8444" s="51">
        <v>0.999</v>
      </c>
      <c r="D8444" s="51">
        <v>65.0</v>
      </c>
      <c r="E8444" s="52" t="s">
        <v>25</v>
      </c>
      <c r="F8444" s="52" t="s">
        <v>26</v>
      </c>
      <c r="G8444" s="53"/>
    </row>
    <row r="8445">
      <c r="A8445" s="49">
        <v>44601.55349010417</v>
      </c>
      <c r="B8445" s="50">
        <v>44601.6784636805</v>
      </c>
      <c r="C8445" s="51">
        <v>0.999</v>
      </c>
      <c r="D8445" s="51">
        <v>65.0</v>
      </c>
      <c r="E8445" s="52" t="s">
        <v>25</v>
      </c>
      <c r="F8445" s="52" t="s">
        <v>26</v>
      </c>
      <c r="G8445" s="53"/>
    </row>
    <row r="8446">
      <c r="A8446" s="49">
        <v>44601.563930578704</v>
      </c>
      <c r="B8446" s="50">
        <v>44601.6888979513</v>
      </c>
      <c r="C8446" s="51">
        <v>0.999</v>
      </c>
      <c r="D8446" s="51">
        <v>65.0</v>
      </c>
      <c r="E8446" s="52" t="s">
        <v>25</v>
      </c>
      <c r="F8446" s="52" t="s">
        <v>26</v>
      </c>
      <c r="G8446" s="53"/>
    </row>
    <row r="8447">
      <c r="A8447" s="49">
        <v>44601.57435263889</v>
      </c>
      <c r="B8447" s="50">
        <v>44601.6993183449</v>
      </c>
      <c r="C8447" s="51">
        <v>0.999</v>
      </c>
      <c r="D8447" s="51">
        <v>65.0</v>
      </c>
      <c r="E8447" s="52" t="s">
        <v>25</v>
      </c>
      <c r="F8447" s="52" t="s">
        <v>26</v>
      </c>
      <c r="G8447" s="53"/>
    </row>
    <row r="8448">
      <c r="A8448" s="49">
        <v>44601.584773877315</v>
      </c>
      <c r="B8448" s="50">
        <v>44601.7097510532</v>
      </c>
      <c r="C8448" s="51">
        <v>0.999</v>
      </c>
      <c r="D8448" s="51">
        <v>65.0</v>
      </c>
      <c r="E8448" s="52" t="s">
        <v>25</v>
      </c>
      <c r="F8448" s="52" t="s">
        <v>26</v>
      </c>
      <c r="G8448" s="53"/>
    </row>
    <row r="8449">
      <c r="A8449" s="49">
        <v>44601.59519710648</v>
      </c>
      <c r="B8449" s="50">
        <v>44601.7201710763</v>
      </c>
      <c r="C8449" s="51">
        <v>0.999</v>
      </c>
      <c r="D8449" s="51">
        <v>65.0</v>
      </c>
      <c r="E8449" s="52" t="s">
        <v>25</v>
      </c>
      <c r="F8449" s="52" t="s">
        <v>26</v>
      </c>
      <c r="G8449" s="53"/>
    </row>
    <row r="8450">
      <c r="A8450" s="49">
        <v>44601.60561932871</v>
      </c>
      <c r="B8450" s="50">
        <v>44601.7305915046</v>
      </c>
      <c r="C8450" s="51">
        <v>0.999</v>
      </c>
      <c r="D8450" s="51">
        <v>65.0</v>
      </c>
      <c r="E8450" s="52" t="s">
        <v>25</v>
      </c>
      <c r="F8450" s="52" t="s">
        <v>26</v>
      </c>
      <c r="G8450" s="53"/>
    </row>
    <row r="8451">
      <c r="A8451" s="49">
        <v>44601.61608997685</v>
      </c>
      <c r="B8451" s="50">
        <v>44601.7410121759</v>
      </c>
      <c r="C8451" s="51">
        <v>0.999</v>
      </c>
      <c r="D8451" s="51">
        <v>65.0</v>
      </c>
      <c r="E8451" s="52" t="s">
        <v>25</v>
      </c>
      <c r="F8451" s="52" t="s">
        <v>26</v>
      </c>
      <c r="G8451" s="53"/>
    </row>
    <row r="8452">
      <c r="A8452" s="49">
        <v>44601.62645603009</v>
      </c>
      <c r="B8452" s="50">
        <v>44601.7514325462</v>
      </c>
      <c r="C8452" s="51">
        <v>0.999</v>
      </c>
      <c r="D8452" s="51">
        <v>65.0</v>
      </c>
      <c r="E8452" s="52" t="s">
        <v>25</v>
      </c>
      <c r="F8452" s="52" t="s">
        <v>26</v>
      </c>
      <c r="G8452" s="53"/>
    </row>
    <row r="8453">
      <c r="A8453" s="49">
        <v>44601.636879212965</v>
      </c>
      <c r="B8453" s="50">
        <v>44601.761853125</v>
      </c>
      <c r="C8453" s="51">
        <v>0.999</v>
      </c>
      <c r="D8453" s="51">
        <v>65.0</v>
      </c>
      <c r="E8453" s="52" t="s">
        <v>25</v>
      </c>
      <c r="F8453" s="52" t="s">
        <v>26</v>
      </c>
      <c r="G8453" s="53"/>
    </row>
    <row r="8454">
      <c r="A8454" s="49">
        <v>44601.6473040625</v>
      </c>
      <c r="B8454" s="50">
        <v>44601.7722744097</v>
      </c>
      <c r="C8454" s="51">
        <v>0.999</v>
      </c>
      <c r="D8454" s="51">
        <v>65.0</v>
      </c>
      <c r="E8454" s="52" t="s">
        <v>25</v>
      </c>
      <c r="F8454" s="52" t="s">
        <v>26</v>
      </c>
      <c r="G8454" s="53"/>
    </row>
    <row r="8455">
      <c r="A8455" s="49">
        <v>44601.65771486111</v>
      </c>
      <c r="B8455" s="50">
        <v>44601.7826972222</v>
      </c>
      <c r="C8455" s="51">
        <v>0.999</v>
      </c>
      <c r="D8455" s="51">
        <v>65.0</v>
      </c>
      <c r="E8455" s="52" t="s">
        <v>25</v>
      </c>
      <c r="F8455" s="52" t="s">
        <v>26</v>
      </c>
      <c r="G8455" s="53"/>
    </row>
    <row r="8456">
      <c r="A8456" s="49">
        <v>44601.66814892361</v>
      </c>
      <c r="B8456" s="50">
        <v>44601.7931191203</v>
      </c>
      <c r="C8456" s="51">
        <v>0.999</v>
      </c>
      <c r="D8456" s="51">
        <v>65.0</v>
      </c>
      <c r="E8456" s="52" t="s">
        <v>25</v>
      </c>
      <c r="F8456" s="52" t="s">
        <v>26</v>
      </c>
      <c r="G8456" s="53"/>
    </row>
    <row r="8457">
      <c r="A8457" s="49">
        <v>44601.67855646991</v>
      </c>
      <c r="B8457" s="50">
        <v>44601.8035400694</v>
      </c>
      <c r="C8457" s="51">
        <v>0.999</v>
      </c>
      <c r="D8457" s="51">
        <v>65.0</v>
      </c>
      <c r="E8457" s="52" t="s">
        <v>25</v>
      </c>
      <c r="F8457" s="52" t="s">
        <v>26</v>
      </c>
      <c r="G8457" s="53"/>
    </row>
    <row r="8458">
      <c r="A8458" s="49">
        <v>44601.68900434028</v>
      </c>
      <c r="B8458" s="50">
        <v>44601.8139612615</v>
      </c>
      <c r="C8458" s="51">
        <v>0.999</v>
      </c>
      <c r="D8458" s="51">
        <v>65.0</v>
      </c>
      <c r="E8458" s="52" t="s">
        <v>25</v>
      </c>
      <c r="F8458" s="52" t="s">
        <v>26</v>
      </c>
      <c r="G8458" s="53"/>
    </row>
    <row r="8459">
      <c r="A8459" s="49">
        <v>44601.69941002315</v>
      </c>
      <c r="B8459" s="50">
        <v>44601.8243832291</v>
      </c>
      <c r="C8459" s="51">
        <v>0.999</v>
      </c>
      <c r="D8459" s="51">
        <v>65.0</v>
      </c>
      <c r="E8459" s="52" t="s">
        <v>25</v>
      </c>
      <c r="F8459" s="52" t="s">
        <v>26</v>
      </c>
      <c r="G8459" s="53"/>
    </row>
    <row r="8460">
      <c r="A8460" s="49">
        <v>44601.709827743056</v>
      </c>
      <c r="B8460" s="50">
        <v>44601.8348044444</v>
      </c>
      <c r="C8460" s="51">
        <v>0.999</v>
      </c>
      <c r="D8460" s="51">
        <v>65.0</v>
      </c>
      <c r="E8460" s="52" t="s">
        <v>25</v>
      </c>
      <c r="F8460" s="52" t="s">
        <v>26</v>
      </c>
      <c r="G8460" s="53"/>
    </row>
    <row r="8461">
      <c r="A8461" s="49">
        <v>44601.72026371528</v>
      </c>
      <c r="B8461" s="50">
        <v>44601.8452360069</v>
      </c>
      <c r="C8461" s="51">
        <v>0.999</v>
      </c>
      <c r="D8461" s="51">
        <v>65.0</v>
      </c>
      <c r="E8461" s="52" t="s">
        <v>25</v>
      </c>
      <c r="F8461" s="52" t="s">
        <v>26</v>
      </c>
      <c r="G8461" s="53"/>
    </row>
    <row r="8462">
      <c r="A8462" s="49">
        <v>44601.73069899305</v>
      </c>
      <c r="B8462" s="50">
        <v>44601.8556697453</v>
      </c>
      <c r="C8462" s="51">
        <v>0.999</v>
      </c>
      <c r="D8462" s="51">
        <v>65.0</v>
      </c>
      <c r="E8462" s="52" t="s">
        <v>25</v>
      </c>
      <c r="F8462" s="52" t="s">
        <v>26</v>
      </c>
      <c r="G8462" s="53"/>
    </row>
    <row r="8463">
      <c r="A8463" s="49">
        <v>44601.74111954861</v>
      </c>
      <c r="B8463" s="50">
        <v>44601.8660920949</v>
      </c>
      <c r="C8463" s="51">
        <v>0.999</v>
      </c>
      <c r="D8463" s="51">
        <v>65.0</v>
      </c>
      <c r="E8463" s="52" t="s">
        <v>25</v>
      </c>
      <c r="F8463" s="52" t="s">
        <v>26</v>
      </c>
      <c r="G8463" s="53"/>
    </row>
    <row r="8464">
      <c r="A8464" s="49">
        <v>44601.75154329861</v>
      </c>
      <c r="B8464" s="50">
        <v>44601.8765125462</v>
      </c>
      <c r="C8464" s="51">
        <v>0.999</v>
      </c>
      <c r="D8464" s="51">
        <v>64.0</v>
      </c>
      <c r="E8464" s="52" t="s">
        <v>25</v>
      </c>
      <c r="F8464" s="52" t="s">
        <v>26</v>
      </c>
      <c r="G8464" s="53"/>
    </row>
    <row r="8465">
      <c r="A8465" s="49">
        <v>44601.7619687963</v>
      </c>
      <c r="B8465" s="50">
        <v>44601.886932199</v>
      </c>
      <c r="C8465" s="51">
        <v>0.999</v>
      </c>
      <c r="D8465" s="51">
        <v>65.0</v>
      </c>
      <c r="E8465" s="52" t="s">
        <v>25</v>
      </c>
      <c r="F8465" s="52" t="s">
        <v>26</v>
      </c>
      <c r="G8465" s="53"/>
    </row>
    <row r="8466">
      <c r="A8466" s="49">
        <v>44601.77237846065</v>
      </c>
      <c r="B8466" s="50">
        <v>44601.8973530787</v>
      </c>
      <c r="C8466" s="51">
        <v>0.999</v>
      </c>
      <c r="D8466" s="51">
        <v>64.0</v>
      </c>
      <c r="E8466" s="52" t="s">
        <v>25</v>
      </c>
      <c r="F8466" s="52" t="s">
        <v>26</v>
      </c>
      <c r="G8466" s="53"/>
    </row>
    <row r="8467">
      <c r="A8467" s="49">
        <v>44601.78280247685</v>
      </c>
      <c r="B8467" s="50">
        <v>44601.9077742592</v>
      </c>
      <c r="C8467" s="51">
        <v>0.999</v>
      </c>
      <c r="D8467" s="51">
        <v>64.0</v>
      </c>
      <c r="E8467" s="52" t="s">
        <v>25</v>
      </c>
      <c r="F8467" s="52" t="s">
        <v>26</v>
      </c>
      <c r="G8467" s="53"/>
    </row>
    <row r="8468">
      <c r="A8468" s="49">
        <v>44601.79323481482</v>
      </c>
      <c r="B8468" s="50">
        <v>44601.9182065046</v>
      </c>
      <c r="C8468" s="51">
        <v>0.999</v>
      </c>
      <c r="D8468" s="51">
        <v>64.0</v>
      </c>
      <c r="E8468" s="52" t="s">
        <v>25</v>
      </c>
      <c r="F8468" s="52" t="s">
        <v>26</v>
      </c>
      <c r="G8468" s="53"/>
    </row>
    <row r="8469">
      <c r="A8469" s="49">
        <v>44601.803651724535</v>
      </c>
      <c r="B8469" s="50">
        <v>44601.9286276504</v>
      </c>
      <c r="C8469" s="51">
        <v>0.999</v>
      </c>
      <c r="D8469" s="51">
        <v>64.0</v>
      </c>
      <c r="E8469" s="52" t="s">
        <v>25</v>
      </c>
      <c r="F8469" s="52" t="s">
        <v>26</v>
      </c>
      <c r="G8469" s="53"/>
    </row>
    <row r="8470">
      <c r="A8470" s="49">
        <v>44601.814077233794</v>
      </c>
      <c r="B8470" s="50">
        <v>44601.9390497685</v>
      </c>
      <c r="C8470" s="51">
        <v>0.999</v>
      </c>
      <c r="D8470" s="51">
        <v>64.0</v>
      </c>
      <c r="E8470" s="52" t="s">
        <v>25</v>
      </c>
      <c r="F8470" s="52" t="s">
        <v>26</v>
      </c>
      <c r="G8470" s="53"/>
    </row>
    <row r="8471">
      <c r="A8471" s="49">
        <v>44601.82450023148</v>
      </c>
      <c r="B8471" s="50">
        <v>44601.9494721412</v>
      </c>
      <c r="C8471" s="51">
        <v>0.999</v>
      </c>
      <c r="D8471" s="51">
        <v>64.0</v>
      </c>
      <c r="E8471" s="52" t="s">
        <v>25</v>
      </c>
      <c r="F8471" s="52" t="s">
        <v>26</v>
      </c>
      <c r="G8471" s="53"/>
    </row>
    <row r="8472">
      <c r="A8472" s="49">
        <v>44601.83493111111</v>
      </c>
      <c r="B8472" s="50">
        <v>44601.959903449</v>
      </c>
      <c r="C8472" s="51">
        <v>0.999</v>
      </c>
      <c r="D8472" s="51">
        <v>64.0</v>
      </c>
      <c r="E8472" s="52" t="s">
        <v>25</v>
      </c>
      <c r="F8472" s="52" t="s">
        <v>26</v>
      </c>
      <c r="G8472" s="53"/>
    </row>
    <row r="8473">
      <c r="A8473" s="49">
        <v>44601.84536412037</v>
      </c>
      <c r="B8473" s="50">
        <v>44601.9703367013</v>
      </c>
      <c r="C8473" s="51">
        <v>0.999</v>
      </c>
      <c r="D8473" s="51">
        <v>64.0</v>
      </c>
      <c r="E8473" s="52" t="s">
        <v>25</v>
      </c>
      <c r="F8473" s="52" t="s">
        <v>26</v>
      </c>
      <c r="G8473" s="53"/>
    </row>
    <row r="8474">
      <c r="A8474" s="49">
        <v>44601.8558009838</v>
      </c>
      <c r="B8474" s="50">
        <v>44601.9807691898</v>
      </c>
      <c r="C8474" s="51">
        <v>0.999</v>
      </c>
      <c r="D8474" s="51">
        <v>64.0</v>
      </c>
      <c r="E8474" s="52" t="s">
        <v>25</v>
      </c>
      <c r="F8474" s="52" t="s">
        <v>26</v>
      </c>
      <c r="G8474" s="53"/>
    </row>
    <row r="8475">
      <c r="A8475" s="49">
        <v>44601.866220208336</v>
      </c>
      <c r="B8475" s="50">
        <v>44601.9911894907</v>
      </c>
      <c r="C8475" s="51">
        <v>0.999</v>
      </c>
      <c r="D8475" s="51">
        <v>64.0</v>
      </c>
      <c r="E8475" s="52" t="s">
        <v>25</v>
      </c>
      <c r="F8475" s="52" t="s">
        <v>26</v>
      </c>
      <c r="G8475" s="53"/>
    </row>
    <row r="8476">
      <c r="A8476" s="49">
        <v>44601.87665774305</v>
      </c>
      <c r="B8476" s="50">
        <v>44602.0016223148</v>
      </c>
      <c r="C8476" s="51">
        <v>0.999</v>
      </c>
      <c r="D8476" s="51">
        <v>64.0</v>
      </c>
      <c r="E8476" s="52" t="s">
        <v>25</v>
      </c>
      <c r="F8476" s="52" t="s">
        <v>26</v>
      </c>
      <c r="G8476" s="53"/>
    </row>
    <row r="8477">
      <c r="A8477" s="49">
        <v>44601.88708306713</v>
      </c>
      <c r="B8477" s="50">
        <v>44602.0120554629</v>
      </c>
      <c r="C8477" s="51">
        <v>0.999</v>
      </c>
      <c r="D8477" s="51">
        <v>64.0</v>
      </c>
      <c r="E8477" s="52" t="s">
        <v>25</v>
      </c>
      <c r="F8477" s="52" t="s">
        <v>26</v>
      </c>
      <c r="G8477" s="53"/>
    </row>
    <row r="8478">
      <c r="A8478" s="49">
        <v>44601.89749912037</v>
      </c>
      <c r="B8478" s="50">
        <v>44602.0224749189</v>
      </c>
      <c r="C8478" s="51">
        <v>0.999</v>
      </c>
      <c r="D8478" s="51">
        <v>64.0</v>
      </c>
      <c r="E8478" s="52" t="s">
        <v>25</v>
      </c>
      <c r="F8478" s="52" t="s">
        <v>26</v>
      </c>
      <c r="G8478" s="53"/>
    </row>
    <row r="8479">
      <c r="A8479" s="49">
        <v>44601.90792481482</v>
      </c>
      <c r="B8479" s="50">
        <v>44602.0328964814</v>
      </c>
      <c r="C8479" s="51">
        <v>0.999</v>
      </c>
      <c r="D8479" s="51">
        <v>64.0</v>
      </c>
      <c r="E8479" s="52" t="s">
        <v>25</v>
      </c>
      <c r="F8479" s="52" t="s">
        <v>26</v>
      </c>
      <c r="G8479" s="53"/>
    </row>
    <row r="8480">
      <c r="A8480" s="49">
        <v>44601.918345300925</v>
      </c>
      <c r="B8480" s="50">
        <v>44602.0433173148</v>
      </c>
      <c r="C8480" s="51">
        <v>0.999</v>
      </c>
      <c r="D8480" s="51">
        <v>64.0</v>
      </c>
      <c r="E8480" s="52" t="s">
        <v>25</v>
      </c>
      <c r="F8480" s="52" t="s">
        <v>26</v>
      </c>
      <c r="G8480" s="53"/>
    </row>
    <row r="8481">
      <c r="A8481" s="49">
        <v>44601.9287650926</v>
      </c>
      <c r="B8481" s="50">
        <v>44602.0537381944</v>
      </c>
      <c r="C8481" s="51">
        <v>0.999</v>
      </c>
      <c r="D8481" s="51">
        <v>64.0</v>
      </c>
      <c r="E8481" s="52" t="s">
        <v>25</v>
      </c>
      <c r="F8481" s="52" t="s">
        <v>26</v>
      </c>
      <c r="G8481" s="53"/>
    </row>
    <row r="8482">
      <c r="A8482" s="49">
        <v>44601.93920116898</v>
      </c>
      <c r="B8482" s="50">
        <v>44602.0641835416</v>
      </c>
      <c r="C8482" s="51">
        <v>0.999</v>
      </c>
      <c r="D8482" s="51">
        <v>64.0</v>
      </c>
      <c r="E8482" s="52" t="s">
        <v>25</v>
      </c>
      <c r="F8482" s="52" t="s">
        <v>26</v>
      </c>
      <c r="G8482" s="53"/>
    </row>
    <row r="8483">
      <c r="A8483" s="49">
        <v>44601.94963207176</v>
      </c>
      <c r="B8483" s="50">
        <v>44602.0746048032</v>
      </c>
      <c r="C8483" s="51">
        <v>0.999</v>
      </c>
      <c r="D8483" s="51">
        <v>64.0</v>
      </c>
      <c r="E8483" s="52" t="s">
        <v>25</v>
      </c>
      <c r="F8483" s="52" t="s">
        <v>26</v>
      </c>
      <c r="G8483" s="53"/>
    </row>
    <row r="8484">
      <c r="A8484" s="49">
        <v>44601.960054375</v>
      </c>
      <c r="B8484" s="50">
        <v>44602.0850270949</v>
      </c>
      <c r="C8484" s="51">
        <v>0.999</v>
      </c>
      <c r="D8484" s="51">
        <v>64.0</v>
      </c>
      <c r="E8484" s="52" t="s">
        <v>25</v>
      </c>
      <c r="F8484" s="52" t="s">
        <v>26</v>
      </c>
      <c r="G8484" s="53"/>
    </row>
    <row r="8485">
      <c r="A8485" s="49">
        <v>44601.97047525463</v>
      </c>
      <c r="B8485" s="50">
        <v>44602.0954493981</v>
      </c>
      <c r="C8485" s="51">
        <v>0.999</v>
      </c>
      <c r="D8485" s="51">
        <v>64.0</v>
      </c>
      <c r="E8485" s="52" t="s">
        <v>25</v>
      </c>
      <c r="F8485" s="52" t="s">
        <v>26</v>
      </c>
      <c r="G8485" s="53"/>
    </row>
    <row r="8486">
      <c r="A8486" s="49">
        <v>44601.98089655093</v>
      </c>
      <c r="B8486" s="50">
        <v>44602.1058701157</v>
      </c>
      <c r="C8486" s="51">
        <v>0.999</v>
      </c>
      <c r="D8486" s="51">
        <v>64.0</v>
      </c>
      <c r="E8486" s="52" t="s">
        <v>25</v>
      </c>
      <c r="F8486" s="52" t="s">
        <v>26</v>
      </c>
      <c r="G8486" s="53"/>
    </row>
    <row r="8487">
      <c r="A8487" s="49">
        <v>44601.99132973379</v>
      </c>
      <c r="B8487" s="50">
        <v>44602.116302662</v>
      </c>
      <c r="C8487" s="51">
        <v>0.999</v>
      </c>
      <c r="D8487" s="51">
        <v>64.0</v>
      </c>
      <c r="E8487" s="52" t="s">
        <v>25</v>
      </c>
      <c r="F8487" s="52" t="s">
        <v>26</v>
      </c>
      <c r="G8487" s="53"/>
    </row>
    <row r="8488">
      <c r="A8488" s="49">
        <v>44602.00175416667</v>
      </c>
      <c r="B8488" s="50">
        <v>44602.126723831</v>
      </c>
      <c r="C8488" s="51">
        <v>0.999</v>
      </c>
      <c r="D8488" s="51">
        <v>64.0</v>
      </c>
      <c r="E8488" s="52" t="s">
        <v>25</v>
      </c>
      <c r="F8488" s="52" t="s">
        <v>26</v>
      </c>
      <c r="G8488" s="53"/>
    </row>
    <row r="8489">
      <c r="A8489" s="49">
        <v>44602.012163657404</v>
      </c>
      <c r="B8489" s="50">
        <v>44602.1371450115</v>
      </c>
      <c r="C8489" s="51">
        <v>0.999</v>
      </c>
      <c r="D8489" s="51">
        <v>64.0</v>
      </c>
      <c r="E8489" s="52" t="s">
        <v>25</v>
      </c>
      <c r="F8489" s="52" t="s">
        <v>26</v>
      </c>
      <c r="G8489" s="53"/>
    </row>
    <row r="8490">
      <c r="A8490" s="49">
        <v>44602.02258392361</v>
      </c>
      <c r="B8490" s="50">
        <v>44602.1475669791</v>
      </c>
      <c r="C8490" s="51">
        <v>0.999</v>
      </c>
      <c r="D8490" s="51">
        <v>64.0</v>
      </c>
      <c r="E8490" s="52" t="s">
        <v>25</v>
      </c>
      <c r="F8490" s="52" t="s">
        <v>26</v>
      </c>
      <c r="G8490" s="53"/>
    </row>
    <row r="8491">
      <c r="A8491" s="49">
        <v>44602.033008530096</v>
      </c>
      <c r="B8491" s="50">
        <v>44602.1579871759</v>
      </c>
      <c r="C8491" s="51">
        <v>0.999</v>
      </c>
      <c r="D8491" s="51">
        <v>64.0</v>
      </c>
      <c r="E8491" s="52" t="s">
        <v>25</v>
      </c>
      <c r="F8491" s="52" t="s">
        <v>26</v>
      </c>
      <c r="G8491" s="53"/>
    </row>
    <row r="8492">
      <c r="A8492" s="49">
        <v>44602.04343766204</v>
      </c>
      <c r="B8492" s="50">
        <v>44602.1684100115</v>
      </c>
      <c r="C8492" s="51">
        <v>0.999</v>
      </c>
      <c r="D8492" s="51">
        <v>64.0</v>
      </c>
      <c r="E8492" s="52" t="s">
        <v>25</v>
      </c>
      <c r="F8492" s="52" t="s">
        <v>26</v>
      </c>
      <c r="G8492" s="53"/>
    </row>
    <row r="8493">
      <c r="A8493" s="49">
        <v>44602.05385744213</v>
      </c>
      <c r="B8493" s="50">
        <v>44602.1788306018</v>
      </c>
      <c r="C8493" s="51">
        <v>0.999</v>
      </c>
      <c r="D8493" s="51">
        <v>64.0</v>
      </c>
      <c r="E8493" s="52" t="s">
        <v>25</v>
      </c>
      <c r="F8493" s="52" t="s">
        <v>26</v>
      </c>
      <c r="G8493" s="53"/>
    </row>
    <row r="8494">
      <c r="A8494" s="49">
        <v>44602.06427753472</v>
      </c>
      <c r="B8494" s="50">
        <v>44602.1892532986</v>
      </c>
      <c r="C8494" s="51">
        <v>0.999</v>
      </c>
      <c r="D8494" s="51">
        <v>64.0</v>
      </c>
      <c r="E8494" s="52" t="s">
        <v>25</v>
      </c>
      <c r="F8494" s="52" t="s">
        <v>26</v>
      </c>
      <c r="G8494" s="53"/>
    </row>
    <row r="8495">
      <c r="A8495" s="49">
        <v>44602.074714710645</v>
      </c>
      <c r="B8495" s="50">
        <v>44602.1996855324</v>
      </c>
      <c r="C8495" s="51">
        <v>0.999</v>
      </c>
      <c r="D8495" s="51">
        <v>64.0</v>
      </c>
      <c r="E8495" s="52" t="s">
        <v>25</v>
      </c>
      <c r="F8495" s="52" t="s">
        <v>26</v>
      </c>
      <c r="G8495" s="53"/>
    </row>
    <row r="8496">
      <c r="A8496" s="49">
        <v>44602.085152326385</v>
      </c>
      <c r="B8496" s="50">
        <v>44602.2101174074</v>
      </c>
      <c r="C8496" s="51">
        <v>0.999</v>
      </c>
      <c r="D8496" s="51">
        <v>64.0</v>
      </c>
      <c r="E8496" s="52" t="s">
        <v>25</v>
      </c>
      <c r="F8496" s="52" t="s">
        <v>26</v>
      </c>
      <c r="G8496" s="53"/>
    </row>
    <row r="8497">
      <c r="A8497" s="49">
        <v>44602.09557105324</v>
      </c>
      <c r="B8497" s="50">
        <v>44602.2205380671</v>
      </c>
      <c r="C8497" s="51">
        <v>0.999</v>
      </c>
      <c r="D8497" s="51">
        <v>64.0</v>
      </c>
      <c r="E8497" s="52" t="s">
        <v>25</v>
      </c>
      <c r="F8497" s="52" t="s">
        <v>26</v>
      </c>
      <c r="G8497" s="53"/>
    </row>
    <row r="8498">
      <c r="A8498" s="49">
        <v>44602.105981030094</v>
      </c>
      <c r="B8498" s="50">
        <v>44602.2309577314</v>
      </c>
      <c r="C8498" s="51">
        <v>0.999</v>
      </c>
      <c r="D8498" s="51">
        <v>64.0</v>
      </c>
      <c r="E8498" s="52" t="s">
        <v>25</v>
      </c>
      <c r="F8498" s="52" t="s">
        <v>26</v>
      </c>
      <c r="G8498" s="53"/>
    </row>
    <row r="8499">
      <c r="A8499" s="49">
        <v>44602.116424340275</v>
      </c>
      <c r="B8499" s="50">
        <v>44602.2413910763</v>
      </c>
      <c r="C8499" s="51">
        <v>0.999</v>
      </c>
      <c r="D8499" s="51">
        <v>64.0</v>
      </c>
      <c r="E8499" s="52" t="s">
        <v>25</v>
      </c>
      <c r="F8499" s="52" t="s">
        <v>26</v>
      </c>
      <c r="G8499" s="53"/>
    </row>
    <row r="8500">
      <c r="A8500" s="49">
        <v>44602.12685505787</v>
      </c>
      <c r="B8500" s="50">
        <v>44602.2518227083</v>
      </c>
      <c r="C8500" s="51">
        <v>0.999</v>
      </c>
      <c r="D8500" s="51">
        <v>64.0</v>
      </c>
      <c r="E8500" s="52" t="s">
        <v>25</v>
      </c>
      <c r="F8500" s="52" t="s">
        <v>26</v>
      </c>
      <c r="G8500" s="53"/>
    </row>
    <row r="8501">
      <c r="A8501" s="49">
        <v>44602.13726362269</v>
      </c>
      <c r="B8501" s="50">
        <v>44602.2622435879</v>
      </c>
      <c r="C8501" s="51">
        <v>0.999</v>
      </c>
      <c r="D8501" s="51">
        <v>64.0</v>
      </c>
      <c r="E8501" s="52" t="s">
        <v>25</v>
      </c>
      <c r="F8501" s="52" t="s">
        <v>26</v>
      </c>
      <c r="G8501" s="53"/>
    </row>
    <row r="8502">
      <c r="A8502" s="49">
        <v>44602.147689907404</v>
      </c>
      <c r="B8502" s="50">
        <v>44602.2726640972</v>
      </c>
      <c r="C8502" s="51">
        <v>0.999</v>
      </c>
      <c r="D8502" s="51">
        <v>64.0</v>
      </c>
      <c r="E8502" s="52" t="s">
        <v>25</v>
      </c>
      <c r="F8502" s="52" t="s">
        <v>26</v>
      </c>
      <c r="G8502" s="53"/>
    </row>
    <row r="8503">
      <c r="A8503" s="49">
        <v>44602.15811398148</v>
      </c>
      <c r="B8503" s="50">
        <v>44602.2830827199</v>
      </c>
      <c r="C8503" s="51">
        <v>0.999</v>
      </c>
      <c r="D8503" s="51">
        <v>64.0</v>
      </c>
      <c r="E8503" s="52" t="s">
        <v>25</v>
      </c>
      <c r="F8503" s="52" t="s">
        <v>26</v>
      </c>
      <c r="G8503" s="53"/>
    </row>
    <row r="8504">
      <c r="A8504" s="49">
        <v>44602.16852954861</v>
      </c>
      <c r="B8504" s="50">
        <v>44602.2935024421</v>
      </c>
      <c r="C8504" s="51">
        <v>0.999</v>
      </c>
      <c r="D8504" s="51">
        <v>64.0</v>
      </c>
      <c r="E8504" s="52" t="s">
        <v>25</v>
      </c>
      <c r="F8504" s="52" t="s">
        <v>26</v>
      </c>
      <c r="G8504" s="53"/>
    </row>
    <row r="8505">
      <c r="A8505" s="49">
        <v>44602.178976724535</v>
      </c>
      <c r="B8505" s="50">
        <v>44602.3039342245</v>
      </c>
      <c r="C8505" s="51">
        <v>0.999</v>
      </c>
      <c r="D8505" s="51">
        <v>64.0</v>
      </c>
      <c r="E8505" s="52" t="s">
        <v>25</v>
      </c>
      <c r="F8505" s="52" t="s">
        <v>26</v>
      </c>
      <c r="G8505" s="53"/>
    </row>
    <row r="8506">
      <c r="A8506" s="49">
        <v>44602.18941795139</v>
      </c>
      <c r="B8506" s="50">
        <v>44602.3143782986</v>
      </c>
      <c r="C8506" s="51">
        <v>0.999</v>
      </c>
      <c r="D8506" s="51">
        <v>64.0</v>
      </c>
      <c r="E8506" s="52" t="s">
        <v>25</v>
      </c>
      <c r="F8506" s="52" t="s">
        <v>26</v>
      </c>
      <c r="G8506" s="53"/>
    </row>
    <row r="8507">
      <c r="A8507" s="49">
        <v>44602.19983895833</v>
      </c>
      <c r="B8507" s="50">
        <v>44602.324810162</v>
      </c>
      <c r="C8507" s="51">
        <v>0.999</v>
      </c>
      <c r="D8507" s="51">
        <v>64.0</v>
      </c>
      <c r="E8507" s="52" t="s">
        <v>25</v>
      </c>
      <c r="F8507" s="52" t="s">
        <v>26</v>
      </c>
      <c r="G8507" s="53"/>
    </row>
    <row r="8508">
      <c r="A8508" s="49">
        <v>44602.21026515047</v>
      </c>
      <c r="B8508" s="50">
        <v>44602.3352311111</v>
      </c>
      <c r="C8508" s="51">
        <v>0.999</v>
      </c>
      <c r="D8508" s="51">
        <v>64.0</v>
      </c>
      <c r="E8508" s="52" t="s">
        <v>25</v>
      </c>
      <c r="F8508" s="52" t="s">
        <v>26</v>
      </c>
      <c r="G8508" s="53"/>
    </row>
    <row r="8509">
      <c r="A8509" s="49">
        <v>44602.2207025463</v>
      </c>
      <c r="B8509" s="50">
        <v>44602.3456642824</v>
      </c>
      <c r="C8509" s="51">
        <v>0.999</v>
      </c>
      <c r="D8509" s="51">
        <v>64.0</v>
      </c>
      <c r="E8509" s="52" t="s">
        <v>25</v>
      </c>
      <c r="F8509" s="52" t="s">
        <v>26</v>
      </c>
      <c r="G8509" s="53"/>
    </row>
    <row r="8510">
      <c r="A8510" s="49">
        <v>44602.231115358794</v>
      </c>
      <c r="B8510" s="50">
        <v>44602.3560849537</v>
      </c>
      <c r="C8510" s="51">
        <v>0.999</v>
      </c>
      <c r="D8510" s="51">
        <v>64.0</v>
      </c>
      <c r="E8510" s="52" t="s">
        <v>25</v>
      </c>
      <c r="F8510" s="52" t="s">
        <v>26</v>
      </c>
      <c r="G8510" s="53"/>
    </row>
    <row r="8511">
      <c r="A8511" s="49">
        <v>44602.24154415509</v>
      </c>
      <c r="B8511" s="50">
        <v>44602.3665076157</v>
      </c>
      <c r="C8511" s="51">
        <v>0.999</v>
      </c>
      <c r="D8511" s="51">
        <v>64.0</v>
      </c>
      <c r="E8511" s="52" t="s">
        <v>25</v>
      </c>
      <c r="F8511" s="52" t="s">
        <v>26</v>
      </c>
      <c r="G8511" s="53"/>
    </row>
    <row r="8512">
      <c r="A8512" s="49">
        <v>44602.25195877315</v>
      </c>
      <c r="B8512" s="50">
        <v>44602.3769291087</v>
      </c>
      <c r="C8512" s="51">
        <v>0.999</v>
      </c>
      <c r="D8512" s="51">
        <v>64.0</v>
      </c>
      <c r="E8512" s="52" t="s">
        <v>25</v>
      </c>
      <c r="F8512" s="52" t="s">
        <v>26</v>
      </c>
      <c r="G8512" s="53"/>
    </row>
    <row r="8513">
      <c r="A8513" s="49">
        <v>44602.262370972225</v>
      </c>
      <c r="B8513" s="50">
        <v>44602.3873485416</v>
      </c>
      <c r="C8513" s="51">
        <v>0.999</v>
      </c>
      <c r="D8513" s="51">
        <v>64.0</v>
      </c>
      <c r="E8513" s="52" t="s">
        <v>25</v>
      </c>
      <c r="F8513" s="52" t="s">
        <v>26</v>
      </c>
      <c r="G8513" s="53"/>
    </row>
    <row r="8514">
      <c r="A8514" s="49">
        <v>44602.27279945602</v>
      </c>
      <c r="B8514" s="50">
        <v>44602.3977693287</v>
      </c>
      <c r="C8514" s="51">
        <v>0.999</v>
      </c>
      <c r="D8514" s="51">
        <v>64.0</v>
      </c>
      <c r="E8514" s="52" t="s">
        <v>25</v>
      </c>
      <c r="F8514" s="52" t="s">
        <v>26</v>
      </c>
      <c r="G8514" s="53"/>
    </row>
    <row r="8515">
      <c r="A8515" s="49">
        <v>44602.283215752315</v>
      </c>
      <c r="B8515" s="50">
        <v>44602.4081898842</v>
      </c>
      <c r="C8515" s="51">
        <v>0.999</v>
      </c>
      <c r="D8515" s="51">
        <v>64.0</v>
      </c>
      <c r="E8515" s="52" t="s">
        <v>25</v>
      </c>
      <c r="F8515" s="52" t="s">
        <v>26</v>
      </c>
      <c r="G8515" s="53"/>
    </row>
    <row r="8516">
      <c r="A8516" s="49">
        <v>44602.29364019676</v>
      </c>
      <c r="B8516" s="50">
        <v>44602.4186117592</v>
      </c>
      <c r="C8516" s="51">
        <v>0.999</v>
      </c>
      <c r="D8516" s="51">
        <v>64.0</v>
      </c>
      <c r="E8516" s="52" t="s">
        <v>25</v>
      </c>
      <c r="F8516" s="52" t="s">
        <v>26</v>
      </c>
      <c r="G8516" s="53"/>
    </row>
    <row r="8517">
      <c r="A8517" s="49">
        <v>44602.30406978009</v>
      </c>
      <c r="B8517" s="50">
        <v>44602.4290330208</v>
      </c>
      <c r="C8517" s="51">
        <v>0.999</v>
      </c>
      <c r="D8517" s="51">
        <v>64.0</v>
      </c>
      <c r="E8517" s="52" t="s">
        <v>25</v>
      </c>
      <c r="F8517" s="52" t="s">
        <v>26</v>
      </c>
      <c r="G8517" s="53"/>
    </row>
    <row r="8518">
      <c r="A8518" s="49">
        <v>44602.31448173611</v>
      </c>
      <c r="B8518" s="50">
        <v>44602.4394564699</v>
      </c>
      <c r="C8518" s="51">
        <v>0.999</v>
      </c>
      <c r="D8518" s="51">
        <v>64.0</v>
      </c>
      <c r="E8518" s="52" t="s">
        <v>25</v>
      </c>
      <c r="F8518" s="52" t="s">
        <v>26</v>
      </c>
      <c r="G8518" s="53"/>
    </row>
    <row r="8519">
      <c r="A8519" s="49">
        <v>44602.324897488426</v>
      </c>
      <c r="B8519" s="50">
        <v>44602.4498773842</v>
      </c>
      <c r="C8519" s="51">
        <v>0.999</v>
      </c>
      <c r="D8519" s="51">
        <v>64.0</v>
      </c>
      <c r="E8519" s="52" t="s">
        <v>25</v>
      </c>
      <c r="F8519" s="52" t="s">
        <v>26</v>
      </c>
      <c r="G8519" s="53"/>
    </row>
    <row r="8520">
      <c r="A8520" s="49">
        <v>44602.335324733795</v>
      </c>
      <c r="B8520" s="50">
        <v>44602.4602976157</v>
      </c>
      <c r="C8520" s="51">
        <v>0.999</v>
      </c>
      <c r="D8520" s="51">
        <v>64.0</v>
      </c>
      <c r="E8520" s="52" t="s">
        <v>25</v>
      </c>
      <c r="F8520" s="52" t="s">
        <v>26</v>
      </c>
      <c r="G8520" s="53"/>
    </row>
    <row r="8521">
      <c r="A8521" s="49">
        <v>44602.345748078704</v>
      </c>
      <c r="B8521" s="50">
        <v>44602.4707183796</v>
      </c>
      <c r="C8521" s="51">
        <v>0.999</v>
      </c>
      <c r="D8521" s="51">
        <v>64.0</v>
      </c>
      <c r="E8521" s="52" t="s">
        <v>25</v>
      </c>
      <c r="F8521" s="52" t="s">
        <v>26</v>
      </c>
      <c r="G8521" s="53"/>
    </row>
    <row r="8522">
      <c r="A8522" s="49">
        <v>44602.35616991898</v>
      </c>
      <c r="B8522" s="50">
        <v>44602.4811381365</v>
      </c>
      <c r="C8522" s="51">
        <v>0.999</v>
      </c>
      <c r="D8522" s="51">
        <v>64.0</v>
      </c>
      <c r="E8522" s="52" t="s">
        <v>25</v>
      </c>
      <c r="F8522" s="52" t="s">
        <v>26</v>
      </c>
      <c r="G8522" s="53"/>
    </row>
    <row r="8523">
      <c r="A8523" s="49">
        <v>44602.36660288194</v>
      </c>
      <c r="B8523" s="50">
        <v>44602.4915607175</v>
      </c>
      <c r="C8523" s="51">
        <v>0.999</v>
      </c>
      <c r="D8523" s="51">
        <v>64.0</v>
      </c>
      <c r="E8523" s="52" t="s">
        <v>25</v>
      </c>
      <c r="F8523" s="52" t="s">
        <v>26</v>
      </c>
      <c r="G8523" s="53"/>
    </row>
    <row r="8524">
      <c r="A8524" s="49">
        <v>44602.37701473379</v>
      </c>
      <c r="B8524" s="50">
        <v>44602.5019817708</v>
      </c>
      <c r="C8524" s="51">
        <v>0.999</v>
      </c>
      <c r="D8524" s="51">
        <v>64.0</v>
      </c>
      <c r="E8524" s="52" t="s">
        <v>25</v>
      </c>
      <c r="F8524" s="52" t="s">
        <v>26</v>
      </c>
      <c r="G8524" s="53"/>
    </row>
    <row r="8525">
      <c r="A8525" s="49">
        <v>44602.38743188657</v>
      </c>
      <c r="B8525" s="50">
        <v>44602.5124016666</v>
      </c>
      <c r="C8525" s="51">
        <v>0.999</v>
      </c>
      <c r="D8525" s="51">
        <v>64.0</v>
      </c>
      <c r="E8525" s="52" t="s">
        <v>25</v>
      </c>
      <c r="F8525" s="52" t="s">
        <v>26</v>
      </c>
      <c r="G8525" s="53"/>
    </row>
    <row r="8526">
      <c r="A8526" s="49">
        <v>44602.39787763889</v>
      </c>
      <c r="B8526" s="50">
        <v>44602.5228475347</v>
      </c>
      <c r="C8526" s="51">
        <v>0.999</v>
      </c>
      <c r="D8526" s="51">
        <v>64.0</v>
      </c>
      <c r="E8526" s="52" t="s">
        <v>25</v>
      </c>
      <c r="F8526" s="52" t="s">
        <v>26</v>
      </c>
      <c r="G8526" s="53"/>
    </row>
    <row r="8527">
      <c r="A8527" s="49">
        <v>44602.4082996875</v>
      </c>
      <c r="B8527" s="50">
        <v>44602.53326853</v>
      </c>
      <c r="C8527" s="51">
        <v>0.999</v>
      </c>
      <c r="D8527" s="51">
        <v>64.0</v>
      </c>
      <c r="E8527" s="52" t="s">
        <v>25</v>
      </c>
      <c r="F8527" s="52" t="s">
        <v>26</v>
      </c>
      <c r="G8527" s="53"/>
    </row>
    <row r="8528">
      <c r="A8528" s="49">
        <v>44602.418715486114</v>
      </c>
      <c r="B8528" s="50">
        <v>44602.5436896874</v>
      </c>
      <c r="C8528" s="51">
        <v>0.999</v>
      </c>
      <c r="D8528" s="51">
        <v>64.0</v>
      </c>
      <c r="E8528" s="52" t="s">
        <v>25</v>
      </c>
      <c r="F8528" s="52" t="s">
        <v>26</v>
      </c>
      <c r="G8528" s="53"/>
    </row>
    <row r="8529">
      <c r="A8529" s="49">
        <v>44602.42913591435</v>
      </c>
      <c r="B8529" s="50">
        <v>44602.5541106481</v>
      </c>
      <c r="C8529" s="51">
        <v>0.999</v>
      </c>
      <c r="D8529" s="51">
        <v>64.0</v>
      </c>
      <c r="E8529" s="52" t="s">
        <v>25</v>
      </c>
      <c r="F8529" s="52" t="s">
        <v>26</v>
      </c>
      <c r="G8529" s="53"/>
    </row>
    <row r="8530">
      <c r="A8530" s="49">
        <v>44602.43956488426</v>
      </c>
      <c r="B8530" s="50">
        <v>44602.5645447337</v>
      </c>
      <c r="C8530" s="51">
        <v>0.999</v>
      </c>
      <c r="D8530" s="51">
        <v>64.0</v>
      </c>
      <c r="E8530" s="52" t="s">
        <v>25</v>
      </c>
      <c r="F8530" s="52" t="s">
        <v>26</v>
      </c>
      <c r="G8530" s="53"/>
    </row>
    <row r="8531">
      <c r="A8531" s="49">
        <v>44602.45000834491</v>
      </c>
      <c r="B8531" s="50">
        <v>44602.574978831</v>
      </c>
      <c r="C8531" s="51">
        <v>0.999</v>
      </c>
      <c r="D8531" s="51">
        <v>64.0</v>
      </c>
      <c r="E8531" s="52" t="s">
        <v>25</v>
      </c>
      <c r="F8531" s="52" t="s">
        <v>26</v>
      </c>
      <c r="G8531" s="53"/>
    </row>
    <row r="8532">
      <c r="A8532" s="49">
        <v>44602.460420891206</v>
      </c>
      <c r="B8532" s="50">
        <v>44602.5854009143</v>
      </c>
      <c r="C8532" s="51">
        <v>0.999</v>
      </c>
      <c r="D8532" s="51">
        <v>64.0</v>
      </c>
      <c r="E8532" s="52" t="s">
        <v>25</v>
      </c>
      <c r="F8532" s="52" t="s">
        <v>26</v>
      </c>
      <c r="G8532" s="53"/>
    </row>
    <row r="8533">
      <c r="A8533" s="49">
        <v>44602.470850625</v>
      </c>
      <c r="B8533" s="50">
        <v>44602.5958212962</v>
      </c>
      <c r="C8533" s="51">
        <v>0.999</v>
      </c>
      <c r="D8533" s="51">
        <v>64.0</v>
      </c>
      <c r="E8533" s="52" t="s">
        <v>25</v>
      </c>
      <c r="F8533" s="52" t="s">
        <v>26</v>
      </c>
      <c r="G8533" s="53"/>
    </row>
    <row r="8534">
      <c r="A8534" s="49">
        <v>44602.48126847223</v>
      </c>
      <c r="B8534" s="50">
        <v>44602.6062426388</v>
      </c>
      <c r="C8534" s="51">
        <v>0.999</v>
      </c>
      <c r="D8534" s="51">
        <v>64.0</v>
      </c>
      <c r="E8534" s="52" t="s">
        <v>25</v>
      </c>
      <c r="F8534" s="52" t="s">
        <v>26</v>
      </c>
      <c r="G8534" s="53"/>
    </row>
    <row r="8535">
      <c r="A8535" s="49">
        <v>44602.49169333333</v>
      </c>
      <c r="B8535" s="50">
        <v>44602.6166643055</v>
      </c>
      <c r="C8535" s="51">
        <v>0.999</v>
      </c>
      <c r="D8535" s="51">
        <v>64.0</v>
      </c>
      <c r="E8535" s="52" t="s">
        <v>25</v>
      </c>
      <c r="F8535" s="52" t="s">
        <v>26</v>
      </c>
      <c r="G8535" s="53"/>
    </row>
    <row r="8536">
      <c r="A8536" s="49">
        <v>44602.50211429398</v>
      </c>
      <c r="B8536" s="50">
        <v>44602.6270854513</v>
      </c>
      <c r="C8536" s="51">
        <v>0.999</v>
      </c>
      <c r="D8536" s="51">
        <v>64.0</v>
      </c>
      <c r="E8536" s="52" t="s">
        <v>25</v>
      </c>
      <c r="F8536" s="52" t="s">
        <v>26</v>
      </c>
      <c r="G8536" s="53"/>
    </row>
    <row r="8537">
      <c r="A8537" s="49">
        <v>44602.51253548611</v>
      </c>
      <c r="B8537" s="50">
        <v>44602.6375055208</v>
      </c>
      <c r="C8537" s="51">
        <v>0.999</v>
      </c>
      <c r="D8537" s="51">
        <v>64.0</v>
      </c>
      <c r="E8537" s="52" t="s">
        <v>25</v>
      </c>
      <c r="F8537" s="52" t="s">
        <v>26</v>
      </c>
      <c r="G8537" s="53"/>
    </row>
    <row r="8538">
      <c r="A8538" s="49">
        <v>44602.522953113425</v>
      </c>
      <c r="B8538" s="50">
        <v>44602.647925787</v>
      </c>
      <c r="C8538" s="51">
        <v>0.999</v>
      </c>
      <c r="D8538" s="51">
        <v>64.0</v>
      </c>
      <c r="E8538" s="52" t="s">
        <v>25</v>
      </c>
      <c r="F8538" s="52" t="s">
        <v>26</v>
      </c>
      <c r="G8538" s="53"/>
    </row>
    <row r="8539">
      <c r="A8539" s="49">
        <v>44602.53337348379</v>
      </c>
      <c r="B8539" s="50">
        <v>44602.6583452893</v>
      </c>
      <c r="C8539" s="51">
        <v>0.999</v>
      </c>
      <c r="D8539" s="51">
        <v>64.0</v>
      </c>
      <c r="E8539" s="52" t="s">
        <v>25</v>
      </c>
      <c r="F8539" s="52" t="s">
        <v>26</v>
      </c>
      <c r="G8539" s="53"/>
    </row>
    <row r="8540">
      <c r="A8540" s="49">
        <v>44602.54378476852</v>
      </c>
      <c r="B8540" s="50">
        <v>44602.6687675462</v>
      </c>
      <c r="C8540" s="51">
        <v>0.999</v>
      </c>
      <c r="D8540" s="51">
        <v>64.0</v>
      </c>
      <c r="E8540" s="52" t="s">
        <v>25</v>
      </c>
      <c r="F8540" s="52" t="s">
        <v>26</v>
      </c>
      <c r="G8540" s="53"/>
    </row>
    <row r="8541">
      <c r="A8541" s="49">
        <v>44602.55421666667</v>
      </c>
      <c r="B8541" s="50">
        <v>44602.6791875925</v>
      </c>
      <c r="C8541" s="51">
        <v>0.999</v>
      </c>
      <c r="D8541" s="51">
        <v>64.0</v>
      </c>
      <c r="E8541" s="52" t="s">
        <v>25</v>
      </c>
      <c r="F8541" s="52" t="s">
        <v>26</v>
      </c>
      <c r="G8541" s="53"/>
    </row>
    <row r="8542">
      <c r="A8542" s="49">
        <v>44602.56464039352</v>
      </c>
      <c r="B8542" s="50">
        <v>44602.6896107523</v>
      </c>
      <c r="C8542" s="51">
        <v>0.999</v>
      </c>
      <c r="D8542" s="51">
        <v>64.0</v>
      </c>
      <c r="E8542" s="52" t="s">
        <v>25</v>
      </c>
      <c r="F8542" s="52" t="s">
        <v>26</v>
      </c>
      <c r="G8542" s="53"/>
    </row>
    <row r="8543">
      <c r="A8543" s="49">
        <v>44602.575072928244</v>
      </c>
      <c r="B8543" s="50">
        <v>44602.7000426041</v>
      </c>
      <c r="C8543" s="51">
        <v>0.999</v>
      </c>
      <c r="D8543" s="51">
        <v>64.0</v>
      </c>
      <c r="E8543" s="52" t="s">
        <v>25</v>
      </c>
      <c r="F8543" s="52" t="s">
        <v>26</v>
      </c>
      <c r="G8543" s="53"/>
    </row>
    <row r="8544">
      <c r="A8544" s="49">
        <v>44602.58549716436</v>
      </c>
      <c r="B8544" s="50">
        <v>44602.7104746296</v>
      </c>
      <c r="C8544" s="51">
        <v>0.999</v>
      </c>
      <c r="D8544" s="51">
        <v>64.0</v>
      </c>
      <c r="E8544" s="52" t="s">
        <v>25</v>
      </c>
      <c r="F8544" s="52" t="s">
        <v>26</v>
      </c>
      <c r="G8544" s="53"/>
    </row>
    <row r="8545">
      <c r="A8545" s="49">
        <v>44602.595931874996</v>
      </c>
      <c r="B8545" s="50">
        <v>44602.7209083911</v>
      </c>
      <c r="C8545" s="51">
        <v>0.999</v>
      </c>
      <c r="D8545" s="51">
        <v>64.0</v>
      </c>
      <c r="E8545" s="52" t="s">
        <v>25</v>
      </c>
      <c r="F8545" s="52" t="s">
        <v>26</v>
      </c>
      <c r="G8545" s="53"/>
    </row>
    <row r="8546">
      <c r="A8546" s="49">
        <v>44602.606362569444</v>
      </c>
      <c r="B8546" s="50">
        <v>44602.7313395717</v>
      </c>
      <c r="C8546" s="51">
        <v>0.999</v>
      </c>
      <c r="D8546" s="51">
        <v>64.0</v>
      </c>
      <c r="E8546" s="52" t="s">
        <v>25</v>
      </c>
      <c r="F8546" s="52" t="s">
        <v>26</v>
      </c>
      <c r="G8546" s="53"/>
    </row>
    <row r="8547">
      <c r="A8547" s="49">
        <v>44602.61679210648</v>
      </c>
      <c r="B8547" s="50">
        <v>44602.7417613541</v>
      </c>
      <c r="C8547" s="51">
        <v>0.999</v>
      </c>
      <c r="D8547" s="51">
        <v>64.0</v>
      </c>
      <c r="E8547" s="52" t="s">
        <v>25</v>
      </c>
      <c r="F8547" s="52" t="s">
        <v>26</v>
      </c>
      <c r="G8547" s="53"/>
    </row>
    <row r="8548">
      <c r="A8548" s="49">
        <v>44602.62726054398</v>
      </c>
      <c r="B8548" s="50">
        <v>44602.7522303356</v>
      </c>
      <c r="C8548" s="51">
        <v>0.999</v>
      </c>
      <c r="D8548" s="51">
        <v>64.0</v>
      </c>
      <c r="E8548" s="52" t="s">
        <v>25</v>
      </c>
      <c r="F8548" s="52" t="s">
        <v>26</v>
      </c>
      <c r="G8548" s="53"/>
    </row>
    <row r="8549">
      <c r="A8549" s="49">
        <v>44602.63767630787</v>
      </c>
      <c r="B8549" s="50">
        <v>44602.7626516435</v>
      </c>
      <c r="C8549" s="51">
        <v>0.999</v>
      </c>
      <c r="D8549" s="51">
        <v>64.0</v>
      </c>
      <c r="E8549" s="52" t="s">
        <v>25</v>
      </c>
      <c r="F8549" s="52" t="s">
        <v>26</v>
      </c>
      <c r="G8549" s="53"/>
    </row>
    <row r="8550">
      <c r="A8550" s="49">
        <v>44602.64810048611</v>
      </c>
      <c r="B8550" s="50">
        <v>44602.7730730439</v>
      </c>
      <c r="C8550" s="51">
        <v>0.999</v>
      </c>
      <c r="D8550" s="51">
        <v>64.0</v>
      </c>
      <c r="E8550" s="52" t="s">
        <v>25</v>
      </c>
      <c r="F8550" s="52" t="s">
        <v>26</v>
      </c>
      <c r="G8550" s="53"/>
    </row>
    <row r="8551">
      <c r="A8551" s="49">
        <v>44602.65852311342</v>
      </c>
      <c r="B8551" s="50">
        <v>44602.7834959259</v>
      </c>
      <c r="C8551" s="51">
        <v>0.999</v>
      </c>
      <c r="D8551" s="51">
        <v>64.0</v>
      </c>
      <c r="E8551" s="52" t="s">
        <v>25</v>
      </c>
      <c r="F8551" s="52" t="s">
        <v>26</v>
      </c>
      <c r="G8551" s="53"/>
    </row>
    <row r="8552">
      <c r="A8552" s="49">
        <v>44602.66894826389</v>
      </c>
      <c r="B8552" s="50">
        <v>44602.793917743</v>
      </c>
      <c r="C8552" s="51">
        <v>0.999</v>
      </c>
      <c r="D8552" s="51">
        <v>64.0</v>
      </c>
      <c r="E8552" s="52" t="s">
        <v>25</v>
      </c>
      <c r="F8552" s="52" t="s">
        <v>26</v>
      </c>
      <c r="G8552" s="53"/>
    </row>
    <row r="8553">
      <c r="A8553" s="49">
        <v>44602.67937238426</v>
      </c>
      <c r="B8553" s="50">
        <v>44602.804340405</v>
      </c>
      <c r="C8553" s="51">
        <v>0.999</v>
      </c>
      <c r="D8553" s="51">
        <v>64.0</v>
      </c>
      <c r="E8553" s="52" t="s">
        <v>25</v>
      </c>
      <c r="F8553" s="52" t="s">
        <v>26</v>
      </c>
      <c r="G8553" s="53"/>
    </row>
    <row r="8554">
      <c r="A8554" s="49">
        <v>44602.68979211806</v>
      </c>
      <c r="B8554" s="50">
        <v>44602.8147622453</v>
      </c>
      <c r="C8554" s="51">
        <v>0.999</v>
      </c>
      <c r="D8554" s="51">
        <v>64.0</v>
      </c>
      <c r="E8554" s="52" t="s">
        <v>25</v>
      </c>
      <c r="F8554" s="52" t="s">
        <v>26</v>
      </c>
      <c r="G8554" s="53"/>
    </row>
    <row r="8555">
      <c r="A8555" s="49">
        <v>44602.70020721065</v>
      </c>
      <c r="B8555" s="50">
        <v>44602.8251837731</v>
      </c>
      <c r="C8555" s="51">
        <v>0.999</v>
      </c>
      <c r="D8555" s="51">
        <v>64.0</v>
      </c>
      <c r="E8555" s="52" t="s">
        <v>25</v>
      </c>
      <c r="F8555" s="52" t="s">
        <v>26</v>
      </c>
      <c r="G8555" s="53"/>
    </row>
    <row r="8556">
      <c r="A8556" s="49">
        <v>44602.7106230787</v>
      </c>
      <c r="B8556" s="50">
        <v>44602.8356020254</v>
      </c>
      <c r="C8556" s="51">
        <v>0.999</v>
      </c>
      <c r="D8556" s="51">
        <v>64.0</v>
      </c>
      <c r="E8556" s="52" t="s">
        <v>25</v>
      </c>
      <c r="F8556" s="52" t="s">
        <v>26</v>
      </c>
      <c r="G8556" s="53"/>
    </row>
    <row r="8557">
      <c r="A8557" s="49">
        <v>44602.72104884259</v>
      </c>
      <c r="B8557" s="50">
        <v>44602.8460231828</v>
      </c>
      <c r="C8557" s="51">
        <v>0.999</v>
      </c>
      <c r="D8557" s="51">
        <v>64.0</v>
      </c>
      <c r="E8557" s="52" t="s">
        <v>25</v>
      </c>
      <c r="F8557" s="52" t="s">
        <v>26</v>
      </c>
      <c r="G8557" s="53"/>
    </row>
    <row r="8558">
      <c r="A8558" s="49">
        <v>44602.73146896991</v>
      </c>
      <c r="B8558" s="50">
        <v>44602.8564455787</v>
      </c>
      <c r="C8558" s="51">
        <v>0.999</v>
      </c>
      <c r="D8558" s="51">
        <v>63.0</v>
      </c>
      <c r="E8558" s="52" t="s">
        <v>25</v>
      </c>
      <c r="F8558" s="52" t="s">
        <v>26</v>
      </c>
      <c r="G8558" s="53"/>
    </row>
    <row r="8559">
      <c r="A8559" s="49">
        <v>44602.741885868054</v>
      </c>
      <c r="B8559" s="50">
        <v>44602.8668642592</v>
      </c>
      <c r="C8559" s="51">
        <v>0.999</v>
      </c>
      <c r="D8559" s="51">
        <v>64.0</v>
      </c>
      <c r="E8559" s="52" t="s">
        <v>25</v>
      </c>
      <c r="F8559" s="52" t="s">
        <v>26</v>
      </c>
      <c r="G8559" s="53"/>
    </row>
    <row r="8560">
      <c r="A8560" s="49">
        <v>44602.75232053241</v>
      </c>
      <c r="B8560" s="50">
        <v>44602.8772880787</v>
      </c>
      <c r="C8560" s="51">
        <v>0.999</v>
      </c>
      <c r="D8560" s="51">
        <v>63.0</v>
      </c>
      <c r="E8560" s="52" t="s">
        <v>25</v>
      </c>
      <c r="F8560" s="52" t="s">
        <v>26</v>
      </c>
      <c r="G8560" s="53"/>
    </row>
    <row r="8561">
      <c r="A8561" s="49">
        <v>44602.76273153935</v>
      </c>
      <c r="B8561" s="50">
        <v>44602.8877076157</v>
      </c>
      <c r="C8561" s="51">
        <v>0.999</v>
      </c>
      <c r="D8561" s="51">
        <v>63.0</v>
      </c>
      <c r="E8561" s="52" t="s">
        <v>25</v>
      </c>
      <c r="F8561" s="52" t="s">
        <v>26</v>
      </c>
      <c r="G8561" s="53"/>
    </row>
    <row r="8562">
      <c r="A8562" s="49">
        <v>44602.773147395834</v>
      </c>
      <c r="B8562" s="50">
        <v>44602.8981291435</v>
      </c>
      <c r="C8562" s="51">
        <v>0.999</v>
      </c>
      <c r="D8562" s="51">
        <v>63.0</v>
      </c>
      <c r="E8562" s="52" t="s">
        <v>25</v>
      </c>
      <c r="F8562" s="52" t="s">
        <v>26</v>
      </c>
      <c r="G8562" s="53"/>
    </row>
    <row r="8563">
      <c r="A8563" s="49">
        <v>44602.783574016205</v>
      </c>
      <c r="B8563" s="50">
        <v>44602.9085497685</v>
      </c>
      <c r="C8563" s="51">
        <v>0.999</v>
      </c>
      <c r="D8563" s="51">
        <v>63.0</v>
      </c>
      <c r="E8563" s="52" t="s">
        <v>25</v>
      </c>
      <c r="F8563" s="52" t="s">
        <v>26</v>
      </c>
      <c r="G8563" s="53"/>
    </row>
    <row r="8564">
      <c r="A8564" s="49">
        <v>44602.793992754625</v>
      </c>
      <c r="B8564" s="50">
        <v>44602.9189706249</v>
      </c>
      <c r="C8564" s="51">
        <v>0.999</v>
      </c>
      <c r="D8564" s="51">
        <v>63.0</v>
      </c>
      <c r="E8564" s="52" t="s">
        <v>25</v>
      </c>
      <c r="F8564" s="52" t="s">
        <v>26</v>
      </c>
      <c r="G8564" s="53"/>
    </row>
    <row r="8565">
      <c r="A8565" s="49">
        <v>44602.80443185185</v>
      </c>
      <c r="B8565" s="50">
        <v>44602.9294025231</v>
      </c>
      <c r="C8565" s="51">
        <v>0.999</v>
      </c>
      <c r="D8565" s="51">
        <v>63.0</v>
      </c>
      <c r="E8565" s="52" t="s">
        <v>25</v>
      </c>
      <c r="F8565" s="52" t="s">
        <v>26</v>
      </c>
      <c r="G8565" s="53"/>
    </row>
    <row r="8566">
      <c r="A8566" s="49">
        <v>44602.81484982639</v>
      </c>
      <c r="B8566" s="50">
        <v>44602.9398238541</v>
      </c>
      <c r="C8566" s="51">
        <v>0.999</v>
      </c>
      <c r="D8566" s="51">
        <v>63.0</v>
      </c>
      <c r="E8566" s="52" t="s">
        <v>25</v>
      </c>
      <c r="F8566" s="52" t="s">
        <v>26</v>
      </c>
      <c r="G8566" s="53"/>
    </row>
    <row r="8567">
      <c r="A8567" s="49">
        <v>44602.82526817129</v>
      </c>
      <c r="B8567" s="50">
        <v>44602.9502445254</v>
      </c>
      <c r="C8567" s="51">
        <v>0.999</v>
      </c>
      <c r="D8567" s="51">
        <v>63.0</v>
      </c>
      <c r="E8567" s="52" t="s">
        <v>25</v>
      </c>
      <c r="F8567" s="52" t="s">
        <v>26</v>
      </c>
      <c r="G8567" s="53"/>
    </row>
    <row r="8568">
      <c r="A8568" s="49">
        <v>44602.83570195602</v>
      </c>
      <c r="B8568" s="50">
        <v>44602.9606664004</v>
      </c>
      <c r="C8568" s="51">
        <v>0.999</v>
      </c>
      <c r="D8568" s="51">
        <v>63.0</v>
      </c>
      <c r="E8568" s="52" t="s">
        <v>25</v>
      </c>
      <c r="F8568" s="52" t="s">
        <v>26</v>
      </c>
      <c r="G8568" s="53"/>
    </row>
    <row r="8569">
      <c r="A8569" s="49">
        <v>44602.84612106482</v>
      </c>
      <c r="B8569" s="50">
        <v>44602.9710861111</v>
      </c>
      <c r="C8569" s="51">
        <v>0.999</v>
      </c>
      <c r="D8569" s="51">
        <v>64.0</v>
      </c>
      <c r="E8569" s="52" t="s">
        <v>25</v>
      </c>
      <c r="F8569" s="52" t="s">
        <v>26</v>
      </c>
      <c r="G8569" s="53"/>
    </row>
    <row r="8570">
      <c r="A8570" s="49">
        <v>44602.85653508102</v>
      </c>
      <c r="B8570" s="50">
        <v>44602.9815079745</v>
      </c>
      <c r="C8570" s="51">
        <v>0.999</v>
      </c>
      <c r="D8570" s="51">
        <v>63.0</v>
      </c>
      <c r="E8570" s="52" t="s">
        <v>25</v>
      </c>
      <c r="F8570" s="52" t="s">
        <v>26</v>
      </c>
      <c r="G8570" s="53"/>
    </row>
    <row r="8571">
      <c r="A8571" s="49">
        <v>44602.86695744213</v>
      </c>
      <c r="B8571" s="50">
        <v>44602.9919295949</v>
      </c>
      <c r="C8571" s="51">
        <v>0.999</v>
      </c>
      <c r="D8571" s="51">
        <v>63.0</v>
      </c>
      <c r="E8571" s="52" t="s">
        <v>25</v>
      </c>
      <c r="F8571" s="52" t="s">
        <v>26</v>
      </c>
      <c r="G8571" s="53"/>
    </row>
    <row r="8572">
      <c r="A8572" s="49">
        <v>44602.87739042824</v>
      </c>
      <c r="B8572" s="50">
        <v>44603.0023630671</v>
      </c>
      <c r="C8572" s="51">
        <v>0.999</v>
      </c>
      <c r="D8572" s="51">
        <v>63.0</v>
      </c>
      <c r="E8572" s="52" t="s">
        <v>25</v>
      </c>
      <c r="F8572" s="52" t="s">
        <v>26</v>
      </c>
      <c r="G8572" s="53"/>
    </row>
    <row r="8573">
      <c r="A8573" s="49">
        <v>44602.88781384259</v>
      </c>
      <c r="B8573" s="50">
        <v>44603.0127838657</v>
      </c>
      <c r="C8573" s="51">
        <v>0.999</v>
      </c>
      <c r="D8573" s="51">
        <v>63.0</v>
      </c>
      <c r="E8573" s="52" t="s">
        <v>25</v>
      </c>
      <c r="F8573" s="52" t="s">
        <v>26</v>
      </c>
      <c r="G8573" s="53"/>
    </row>
    <row r="8574">
      <c r="A8574" s="49">
        <v>44602.89823704861</v>
      </c>
      <c r="B8574" s="50">
        <v>44603.0232035879</v>
      </c>
      <c r="C8574" s="51">
        <v>0.999</v>
      </c>
      <c r="D8574" s="51">
        <v>63.0</v>
      </c>
      <c r="E8574" s="52" t="s">
        <v>25</v>
      </c>
      <c r="F8574" s="52" t="s">
        <v>26</v>
      </c>
      <c r="G8574" s="53"/>
    </row>
    <row r="8575">
      <c r="A8575" s="49">
        <v>44602.90864635417</v>
      </c>
      <c r="B8575" s="50">
        <v>44603.0336258449</v>
      </c>
      <c r="C8575" s="51">
        <v>0.999</v>
      </c>
      <c r="D8575" s="51">
        <v>63.0</v>
      </c>
      <c r="E8575" s="52" t="s">
        <v>25</v>
      </c>
      <c r="F8575" s="52" t="s">
        <v>26</v>
      </c>
      <c r="G8575" s="53"/>
    </row>
    <row r="8576">
      <c r="A8576" s="49">
        <v>44602.919072372686</v>
      </c>
      <c r="B8576" s="50">
        <v>44603.0440467476</v>
      </c>
      <c r="C8576" s="51">
        <v>0.999</v>
      </c>
      <c r="D8576" s="51">
        <v>63.0</v>
      </c>
      <c r="E8576" s="52" t="s">
        <v>25</v>
      </c>
      <c r="F8576" s="52" t="s">
        <v>26</v>
      </c>
      <c r="G8576" s="53"/>
    </row>
    <row r="8577">
      <c r="A8577" s="49">
        <v>44602.92949673611</v>
      </c>
      <c r="B8577" s="50">
        <v>44603.0544679166</v>
      </c>
      <c r="C8577" s="51">
        <v>0.999</v>
      </c>
      <c r="D8577" s="51">
        <v>63.0</v>
      </c>
      <c r="E8577" s="52" t="s">
        <v>25</v>
      </c>
      <c r="F8577" s="52" t="s">
        <v>26</v>
      </c>
      <c r="G8577" s="53"/>
    </row>
    <row r="8578">
      <c r="A8578" s="49">
        <v>44602.939925694445</v>
      </c>
      <c r="B8578" s="50">
        <v>44603.0649025578</v>
      </c>
      <c r="C8578" s="51">
        <v>0.999</v>
      </c>
      <c r="D8578" s="51">
        <v>63.0</v>
      </c>
      <c r="E8578" s="52" t="s">
        <v>25</v>
      </c>
      <c r="F8578" s="52" t="s">
        <v>26</v>
      </c>
      <c r="G8578" s="53"/>
    </row>
    <row r="8579">
      <c r="A8579" s="49">
        <v>44602.95035107639</v>
      </c>
      <c r="B8579" s="50">
        <v>44603.0753233796</v>
      </c>
      <c r="C8579" s="51">
        <v>0.999</v>
      </c>
      <c r="D8579" s="51">
        <v>63.0</v>
      </c>
      <c r="E8579" s="52" t="s">
        <v>25</v>
      </c>
      <c r="F8579" s="52" t="s">
        <v>26</v>
      </c>
      <c r="G8579" s="53"/>
    </row>
    <row r="8580">
      <c r="A8580" s="49">
        <v>44602.960773645835</v>
      </c>
      <c r="B8580" s="50">
        <v>44603.0857438888</v>
      </c>
      <c r="C8580" s="51">
        <v>0.999</v>
      </c>
      <c r="D8580" s="51">
        <v>63.0</v>
      </c>
      <c r="E8580" s="52" t="s">
        <v>25</v>
      </c>
      <c r="F8580" s="52" t="s">
        <v>26</v>
      </c>
      <c r="G8580" s="53"/>
    </row>
    <row r="8581">
      <c r="A8581" s="49">
        <v>44602.971199444444</v>
      </c>
      <c r="B8581" s="50">
        <v>44603.0961646527</v>
      </c>
      <c r="C8581" s="51">
        <v>0.999</v>
      </c>
      <c r="D8581" s="51">
        <v>63.0</v>
      </c>
      <c r="E8581" s="52" t="s">
        <v>25</v>
      </c>
      <c r="F8581" s="52" t="s">
        <v>26</v>
      </c>
      <c r="G8581" s="53"/>
    </row>
    <row r="8582">
      <c r="A8582" s="49">
        <v>44602.98160996528</v>
      </c>
      <c r="B8582" s="50">
        <v>44603.10658478</v>
      </c>
      <c r="C8582" s="51">
        <v>0.999</v>
      </c>
      <c r="D8582" s="51">
        <v>63.0</v>
      </c>
      <c r="E8582" s="52" t="s">
        <v>25</v>
      </c>
      <c r="F8582" s="52" t="s">
        <v>26</v>
      </c>
      <c r="G8582" s="53"/>
    </row>
    <row r="8583">
      <c r="A8583" s="49">
        <v>44602.99203489583</v>
      </c>
      <c r="B8583" s="50">
        <v>44603.1170049074</v>
      </c>
      <c r="C8583" s="51">
        <v>0.999</v>
      </c>
      <c r="D8583" s="51">
        <v>63.0</v>
      </c>
      <c r="E8583" s="52" t="s">
        <v>25</v>
      </c>
      <c r="F8583" s="52" t="s">
        <v>26</v>
      </c>
      <c r="G8583" s="53"/>
    </row>
    <row r="8584">
      <c r="A8584" s="49">
        <v>44603.00249238426</v>
      </c>
      <c r="B8584" s="50">
        <v>44603.1274617592</v>
      </c>
      <c r="C8584" s="51">
        <v>0.999</v>
      </c>
      <c r="D8584" s="51">
        <v>63.0</v>
      </c>
      <c r="E8584" s="52" t="s">
        <v>25</v>
      </c>
      <c r="F8584" s="52" t="s">
        <v>26</v>
      </c>
      <c r="G8584" s="53"/>
    </row>
    <row r="8585">
      <c r="A8585" s="49">
        <v>44603.01291762732</v>
      </c>
      <c r="B8585" s="50">
        <v>44603.1378939351</v>
      </c>
      <c r="C8585" s="51">
        <v>0.999</v>
      </c>
      <c r="D8585" s="51">
        <v>63.0</v>
      </c>
      <c r="E8585" s="52" t="s">
        <v>25</v>
      </c>
      <c r="F8585" s="52" t="s">
        <v>26</v>
      </c>
      <c r="G8585" s="53"/>
    </row>
    <row r="8586">
      <c r="A8586" s="49">
        <v>44603.02334331018</v>
      </c>
      <c r="B8586" s="50">
        <v>44603.1483138425</v>
      </c>
      <c r="C8586" s="51">
        <v>0.999</v>
      </c>
      <c r="D8586" s="51">
        <v>63.0</v>
      </c>
      <c r="E8586" s="52" t="s">
        <v>25</v>
      </c>
      <c r="F8586" s="52" t="s">
        <v>26</v>
      </c>
      <c r="G8586" s="53"/>
    </row>
    <row r="8587">
      <c r="A8587" s="49">
        <v>44603.03375858796</v>
      </c>
      <c r="B8587" s="50">
        <v>44603.1587338888</v>
      </c>
      <c r="C8587" s="51">
        <v>0.999</v>
      </c>
      <c r="D8587" s="51">
        <v>63.0</v>
      </c>
      <c r="E8587" s="52" t="s">
        <v>25</v>
      </c>
      <c r="F8587" s="52" t="s">
        <v>26</v>
      </c>
      <c r="G8587" s="53"/>
    </row>
    <row r="8588">
      <c r="A8588" s="49">
        <v>44603.04418575231</v>
      </c>
      <c r="B8588" s="50">
        <v>44603.1691531134</v>
      </c>
      <c r="C8588" s="51">
        <v>0.999</v>
      </c>
      <c r="D8588" s="51">
        <v>63.0</v>
      </c>
      <c r="E8588" s="52" t="s">
        <v>25</v>
      </c>
      <c r="F8588" s="52" t="s">
        <v>26</v>
      </c>
      <c r="G8588" s="53"/>
    </row>
    <row r="8589">
      <c r="A8589" s="49">
        <v>44603.05462818287</v>
      </c>
      <c r="B8589" s="50">
        <v>44603.1795966319</v>
      </c>
      <c r="C8589" s="51">
        <v>0.999</v>
      </c>
      <c r="D8589" s="51">
        <v>63.0</v>
      </c>
      <c r="E8589" s="52" t="s">
        <v>25</v>
      </c>
      <c r="F8589" s="52" t="s">
        <v>26</v>
      </c>
      <c r="G8589" s="53"/>
    </row>
    <row r="8590">
      <c r="A8590" s="49">
        <v>44603.065044664356</v>
      </c>
      <c r="B8590" s="50">
        <v>44603.1900177314</v>
      </c>
      <c r="C8590" s="51">
        <v>0.999</v>
      </c>
      <c r="D8590" s="51">
        <v>63.0</v>
      </c>
      <c r="E8590" s="52" t="s">
        <v>25</v>
      </c>
      <c r="F8590" s="52" t="s">
        <v>26</v>
      </c>
      <c r="G8590" s="53"/>
    </row>
    <row r="8591">
      <c r="A8591" s="49">
        <v>44603.075483402776</v>
      </c>
      <c r="B8591" s="50">
        <v>44603.2004618171</v>
      </c>
      <c r="C8591" s="51">
        <v>0.999</v>
      </c>
      <c r="D8591" s="51">
        <v>63.0</v>
      </c>
      <c r="E8591" s="52" t="s">
        <v>25</v>
      </c>
      <c r="F8591" s="52" t="s">
        <v>26</v>
      </c>
      <c r="G8591" s="53"/>
    </row>
    <row r="8592">
      <c r="A8592" s="49">
        <v>44603.08590372685</v>
      </c>
      <c r="B8592" s="50">
        <v>44603.2108825463</v>
      </c>
      <c r="C8592" s="51">
        <v>0.999</v>
      </c>
      <c r="D8592" s="51">
        <v>63.0</v>
      </c>
      <c r="E8592" s="52" t="s">
        <v>25</v>
      </c>
      <c r="F8592" s="52" t="s">
        <v>26</v>
      </c>
      <c r="G8592" s="53"/>
    </row>
    <row r="8593">
      <c r="A8593" s="49">
        <v>44603.09633244213</v>
      </c>
      <c r="B8593" s="50">
        <v>44603.2213035069</v>
      </c>
      <c r="C8593" s="51">
        <v>0.999</v>
      </c>
      <c r="D8593" s="51">
        <v>63.0</v>
      </c>
      <c r="E8593" s="52" t="s">
        <v>25</v>
      </c>
      <c r="F8593" s="52" t="s">
        <v>26</v>
      </c>
      <c r="G8593" s="53"/>
    </row>
    <row r="8594">
      <c r="A8594" s="49">
        <v>44603.10675532407</v>
      </c>
      <c r="B8594" s="50">
        <v>44603.2317245138</v>
      </c>
      <c r="C8594" s="51">
        <v>0.999</v>
      </c>
      <c r="D8594" s="51">
        <v>63.0</v>
      </c>
      <c r="E8594" s="52" t="s">
        <v>25</v>
      </c>
      <c r="F8594" s="52" t="s">
        <v>26</v>
      </c>
      <c r="G8594" s="53"/>
    </row>
    <row r="8595">
      <c r="A8595" s="49">
        <v>44603.11717646991</v>
      </c>
      <c r="B8595" s="50">
        <v>44603.2421471643</v>
      </c>
      <c r="C8595" s="51">
        <v>0.999</v>
      </c>
      <c r="D8595" s="51">
        <v>63.0</v>
      </c>
      <c r="E8595" s="52" t="s">
        <v>25</v>
      </c>
      <c r="F8595" s="52" t="s">
        <v>26</v>
      </c>
      <c r="G8595" s="53"/>
    </row>
    <row r="8596">
      <c r="A8596" s="49">
        <v>44603.12760851852</v>
      </c>
      <c r="B8596" s="50">
        <v>44603.2525797569</v>
      </c>
      <c r="C8596" s="51">
        <v>0.999</v>
      </c>
      <c r="D8596" s="51">
        <v>63.0</v>
      </c>
      <c r="E8596" s="52" t="s">
        <v>25</v>
      </c>
      <c r="F8596" s="52" t="s">
        <v>26</v>
      </c>
      <c r="G8596" s="53"/>
    </row>
    <row r="8597">
      <c r="A8597" s="49">
        <v>44603.13804506944</v>
      </c>
      <c r="B8597" s="50">
        <v>44603.2630129976</v>
      </c>
      <c r="C8597" s="51">
        <v>0.999</v>
      </c>
      <c r="D8597" s="51">
        <v>63.0</v>
      </c>
      <c r="E8597" s="52" t="s">
        <v>25</v>
      </c>
      <c r="F8597" s="52" t="s">
        <v>26</v>
      </c>
      <c r="G8597" s="53"/>
    </row>
    <row r="8598">
      <c r="A8598" s="49">
        <v>44603.14845412037</v>
      </c>
      <c r="B8598" s="50">
        <v>44603.2734321874</v>
      </c>
      <c r="C8598" s="51">
        <v>0.999</v>
      </c>
      <c r="D8598" s="51">
        <v>63.0</v>
      </c>
      <c r="E8598" s="52" t="s">
        <v>25</v>
      </c>
      <c r="F8598" s="52" t="s">
        <v>26</v>
      </c>
      <c r="G8598" s="53"/>
    </row>
    <row r="8599">
      <c r="A8599" s="49">
        <v>44603.15887177084</v>
      </c>
      <c r="B8599" s="50">
        <v>44603.2838534375</v>
      </c>
      <c r="C8599" s="51">
        <v>0.999</v>
      </c>
      <c r="D8599" s="51">
        <v>63.0</v>
      </c>
      <c r="E8599" s="52" t="s">
        <v>25</v>
      </c>
      <c r="F8599" s="52" t="s">
        <v>26</v>
      </c>
      <c r="G8599" s="53"/>
    </row>
    <row r="8600">
      <c r="A8600" s="49">
        <v>44603.16929258102</v>
      </c>
      <c r="B8600" s="50">
        <v>44603.2942739814</v>
      </c>
      <c r="C8600" s="51">
        <v>0.999</v>
      </c>
      <c r="D8600" s="51">
        <v>63.0</v>
      </c>
      <c r="E8600" s="52" t="s">
        <v>25</v>
      </c>
      <c r="F8600" s="52" t="s">
        <v>26</v>
      </c>
      <c r="G8600" s="53"/>
    </row>
    <row r="8601">
      <c r="A8601" s="49">
        <v>44603.179736192134</v>
      </c>
      <c r="B8601" s="50">
        <v>44603.3047042361</v>
      </c>
      <c r="C8601" s="51">
        <v>0.999</v>
      </c>
      <c r="D8601" s="51">
        <v>63.0</v>
      </c>
      <c r="E8601" s="52" t="s">
        <v>25</v>
      </c>
      <c r="F8601" s="52" t="s">
        <v>26</v>
      </c>
      <c r="G8601" s="53"/>
    </row>
    <row r="8602">
      <c r="A8602" s="49">
        <v>44603.19015263889</v>
      </c>
      <c r="B8602" s="50">
        <v>44603.3151249421</v>
      </c>
      <c r="C8602" s="51">
        <v>0.999</v>
      </c>
      <c r="D8602" s="51">
        <v>63.0</v>
      </c>
      <c r="E8602" s="52" t="s">
        <v>25</v>
      </c>
      <c r="F8602" s="52" t="s">
        <v>26</v>
      </c>
      <c r="G8602" s="53"/>
    </row>
    <row r="8603">
      <c r="A8603" s="49">
        <v>44603.20057295139</v>
      </c>
      <c r="B8603" s="50">
        <v>44603.3255451388</v>
      </c>
      <c r="C8603" s="51">
        <v>0.999</v>
      </c>
      <c r="D8603" s="51">
        <v>63.0</v>
      </c>
      <c r="E8603" s="52" t="s">
        <v>25</v>
      </c>
      <c r="F8603" s="52" t="s">
        <v>26</v>
      </c>
      <c r="G8603" s="53"/>
    </row>
    <row r="8604">
      <c r="A8604" s="49">
        <v>44603.21100491898</v>
      </c>
      <c r="B8604" s="50">
        <v>44603.3359773495</v>
      </c>
      <c r="C8604" s="51">
        <v>0.999</v>
      </c>
      <c r="D8604" s="51">
        <v>63.0</v>
      </c>
      <c r="E8604" s="52" t="s">
        <v>25</v>
      </c>
      <c r="F8604" s="52" t="s">
        <v>26</v>
      </c>
      <c r="G8604" s="53"/>
    </row>
    <row r="8605">
      <c r="A8605" s="49">
        <v>44603.22142783565</v>
      </c>
      <c r="B8605" s="50">
        <v>44603.3463984027</v>
      </c>
      <c r="C8605" s="51">
        <v>0.999</v>
      </c>
      <c r="D8605" s="51">
        <v>63.0</v>
      </c>
      <c r="E8605" s="52" t="s">
        <v>25</v>
      </c>
      <c r="F8605" s="52" t="s">
        <v>26</v>
      </c>
      <c r="G8605" s="53"/>
    </row>
    <row r="8606">
      <c r="A8606" s="49">
        <v>44603.23183883102</v>
      </c>
      <c r="B8606" s="50">
        <v>44603.3568182291</v>
      </c>
      <c r="C8606" s="51">
        <v>0.999</v>
      </c>
      <c r="D8606" s="51">
        <v>63.0</v>
      </c>
      <c r="E8606" s="52" t="s">
        <v>25</v>
      </c>
      <c r="F8606" s="52" t="s">
        <v>26</v>
      </c>
      <c r="G8606" s="53"/>
    </row>
    <row r="8607">
      <c r="A8607" s="49">
        <v>44603.2422678125</v>
      </c>
      <c r="B8607" s="50">
        <v>44603.3672399652</v>
      </c>
      <c r="C8607" s="51">
        <v>0.999</v>
      </c>
      <c r="D8607" s="51">
        <v>63.0</v>
      </c>
      <c r="E8607" s="52" t="s">
        <v>25</v>
      </c>
      <c r="F8607" s="52" t="s">
        <v>26</v>
      </c>
      <c r="G8607" s="53"/>
    </row>
    <row r="8608">
      <c r="A8608" s="49">
        <v>44603.252684039355</v>
      </c>
      <c r="B8608" s="50">
        <v>44603.3776603472</v>
      </c>
      <c r="C8608" s="51">
        <v>0.999</v>
      </c>
      <c r="D8608" s="51">
        <v>63.0</v>
      </c>
      <c r="E8608" s="52" t="s">
        <v>25</v>
      </c>
      <c r="F8608" s="52" t="s">
        <v>26</v>
      </c>
      <c r="G8608" s="53"/>
    </row>
    <row r="8609">
      <c r="A8609" s="49">
        <v>44603.26310221065</v>
      </c>
      <c r="B8609" s="50">
        <v>44603.3880804282</v>
      </c>
      <c r="C8609" s="51">
        <v>0.999</v>
      </c>
      <c r="D8609" s="51">
        <v>63.0</v>
      </c>
      <c r="E8609" s="52" t="s">
        <v>25</v>
      </c>
      <c r="F8609" s="52" t="s">
        <v>26</v>
      </c>
      <c r="G8609" s="53"/>
    </row>
    <row r="8610">
      <c r="A8610" s="49">
        <v>44603.27352873843</v>
      </c>
      <c r="B8610" s="50">
        <v>44603.3985016898</v>
      </c>
      <c r="C8610" s="51">
        <v>0.999</v>
      </c>
      <c r="D8610" s="51">
        <v>63.0</v>
      </c>
      <c r="E8610" s="52" t="s">
        <v>25</v>
      </c>
      <c r="F8610" s="52" t="s">
        <v>26</v>
      </c>
      <c r="G8610" s="53"/>
    </row>
    <row r="8611">
      <c r="A8611" s="49">
        <v>44603.28394954861</v>
      </c>
      <c r="B8611" s="50">
        <v>44603.4089219097</v>
      </c>
      <c r="C8611" s="51">
        <v>0.999</v>
      </c>
      <c r="D8611" s="51">
        <v>63.0</v>
      </c>
      <c r="E8611" s="52" t="s">
        <v>25</v>
      </c>
      <c r="F8611" s="52" t="s">
        <v>26</v>
      </c>
      <c r="G8611" s="53"/>
    </row>
    <row r="8612">
      <c r="A8612" s="49">
        <v>44603.29437192129</v>
      </c>
      <c r="B8612" s="50">
        <v>44603.4193435648</v>
      </c>
      <c r="C8612" s="51">
        <v>0.999</v>
      </c>
      <c r="D8612" s="51">
        <v>63.0</v>
      </c>
      <c r="E8612" s="52" t="s">
        <v>25</v>
      </c>
      <c r="F8612" s="52" t="s">
        <v>26</v>
      </c>
      <c r="G8612" s="53"/>
    </row>
    <row r="8613">
      <c r="A8613" s="49">
        <v>44603.30479010417</v>
      </c>
      <c r="B8613" s="50">
        <v>44603.4297637152</v>
      </c>
      <c r="C8613" s="51">
        <v>0.999</v>
      </c>
      <c r="D8613" s="51">
        <v>63.0</v>
      </c>
      <c r="E8613" s="52" t="s">
        <v>25</v>
      </c>
      <c r="F8613" s="52" t="s">
        <v>26</v>
      </c>
      <c r="G8613" s="53"/>
    </row>
    <row r="8614">
      <c r="A8614" s="49">
        <v>44603.315216793984</v>
      </c>
      <c r="B8614" s="50">
        <v>44603.440185706</v>
      </c>
      <c r="C8614" s="51">
        <v>0.999</v>
      </c>
      <c r="D8614" s="51">
        <v>63.0</v>
      </c>
      <c r="E8614" s="52" t="s">
        <v>25</v>
      </c>
      <c r="F8614" s="52" t="s">
        <v>26</v>
      </c>
      <c r="G8614" s="53"/>
    </row>
    <row r="8615">
      <c r="A8615" s="49">
        <v>44603.325634803245</v>
      </c>
      <c r="B8615" s="50">
        <v>44603.450605324</v>
      </c>
      <c r="C8615" s="51">
        <v>0.999</v>
      </c>
      <c r="D8615" s="51">
        <v>63.0</v>
      </c>
      <c r="E8615" s="52" t="s">
        <v>25</v>
      </c>
      <c r="F8615" s="52" t="s">
        <v>26</v>
      </c>
      <c r="G8615" s="53"/>
    </row>
    <row r="8616">
      <c r="A8616" s="49">
        <v>44603.336053125</v>
      </c>
      <c r="B8616" s="50">
        <v>44603.4610260648</v>
      </c>
      <c r="C8616" s="51">
        <v>0.999</v>
      </c>
      <c r="D8616" s="51">
        <v>63.0</v>
      </c>
      <c r="E8616" s="52" t="s">
        <v>25</v>
      </c>
      <c r="F8616" s="52" t="s">
        <v>26</v>
      </c>
      <c r="G8616" s="53"/>
    </row>
    <row r="8617">
      <c r="A8617" s="49">
        <v>44603.34646702546</v>
      </c>
      <c r="B8617" s="50">
        <v>44603.4714471296</v>
      </c>
      <c r="C8617" s="51">
        <v>0.999</v>
      </c>
      <c r="D8617" s="51">
        <v>63.0</v>
      </c>
      <c r="E8617" s="52" t="s">
        <v>25</v>
      </c>
      <c r="F8617" s="52" t="s">
        <v>26</v>
      </c>
      <c r="G8617" s="53"/>
    </row>
    <row r="8618">
      <c r="A8618" s="49">
        <v>44603.35690056713</v>
      </c>
      <c r="B8618" s="50">
        <v>44603.4818692939</v>
      </c>
      <c r="C8618" s="51">
        <v>0.999</v>
      </c>
      <c r="D8618" s="51">
        <v>63.0</v>
      </c>
      <c r="E8618" s="52" t="s">
        <v>25</v>
      </c>
      <c r="F8618" s="52" t="s">
        <v>26</v>
      </c>
      <c r="G8618" s="53"/>
    </row>
    <row r="8619">
      <c r="A8619" s="49">
        <v>44603.3673158912</v>
      </c>
      <c r="B8619" s="50">
        <v>44603.4922919907</v>
      </c>
      <c r="C8619" s="51">
        <v>0.999</v>
      </c>
      <c r="D8619" s="51">
        <v>63.0</v>
      </c>
      <c r="E8619" s="52" t="s">
        <v>25</v>
      </c>
      <c r="F8619" s="52" t="s">
        <v>26</v>
      </c>
      <c r="G8619" s="53"/>
    </row>
    <row r="8620">
      <c r="A8620" s="49">
        <v>44603.37773465278</v>
      </c>
      <c r="B8620" s="50">
        <v>44603.5027133796</v>
      </c>
      <c r="C8620" s="51">
        <v>0.999</v>
      </c>
      <c r="D8620" s="51">
        <v>63.0</v>
      </c>
      <c r="E8620" s="52" t="s">
        <v>25</v>
      </c>
      <c r="F8620" s="52" t="s">
        <v>26</v>
      </c>
      <c r="G8620" s="53"/>
    </row>
    <row r="8621">
      <c r="A8621" s="49">
        <v>44603.38816681713</v>
      </c>
      <c r="B8621" s="50">
        <v>44603.5131341203</v>
      </c>
      <c r="C8621" s="51">
        <v>0.999</v>
      </c>
      <c r="D8621" s="51">
        <v>63.0</v>
      </c>
      <c r="E8621" s="52" t="s">
        <v>25</v>
      </c>
      <c r="F8621" s="52" t="s">
        <v>26</v>
      </c>
      <c r="G8621" s="53"/>
    </row>
    <row r="8622">
      <c r="A8622" s="49">
        <v>44603.39859243056</v>
      </c>
      <c r="B8622" s="50">
        <v>44603.5235535995</v>
      </c>
      <c r="C8622" s="51">
        <v>0.999</v>
      </c>
      <c r="D8622" s="51">
        <v>63.0</v>
      </c>
      <c r="E8622" s="52" t="s">
        <v>25</v>
      </c>
      <c r="F8622" s="52" t="s">
        <v>26</v>
      </c>
      <c r="G8622" s="53"/>
    </row>
    <row r="8623">
      <c r="A8623" s="49">
        <v>44603.40899784722</v>
      </c>
      <c r="B8623" s="50">
        <v>44603.5339739467</v>
      </c>
      <c r="C8623" s="51">
        <v>0.999</v>
      </c>
      <c r="D8623" s="51">
        <v>63.0</v>
      </c>
      <c r="E8623" s="52" t="s">
        <v>25</v>
      </c>
      <c r="F8623" s="52" t="s">
        <v>26</v>
      </c>
      <c r="G8623" s="53"/>
    </row>
    <row r="8624">
      <c r="A8624" s="49">
        <v>44603.419426493056</v>
      </c>
      <c r="B8624" s="50">
        <v>44603.5443950694</v>
      </c>
      <c r="C8624" s="51">
        <v>0.999</v>
      </c>
      <c r="D8624" s="51">
        <v>63.0</v>
      </c>
      <c r="E8624" s="52" t="s">
        <v>25</v>
      </c>
      <c r="F8624" s="52" t="s">
        <v>26</v>
      </c>
      <c r="G8624" s="53"/>
    </row>
    <row r="8625">
      <c r="A8625" s="49">
        <v>44603.42984302083</v>
      </c>
      <c r="B8625" s="50">
        <v>44603.5548163773</v>
      </c>
      <c r="C8625" s="51">
        <v>0.999</v>
      </c>
      <c r="D8625" s="51">
        <v>63.0</v>
      </c>
      <c r="E8625" s="52" t="s">
        <v>25</v>
      </c>
      <c r="F8625" s="52" t="s">
        <v>26</v>
      </c>
      <c r="G8625" s="53"/>
    </row>
    <row r="8626">
      <c r="A8626" s="49">
        <v>44603.44026373843</v>
      </c>
      <c r="B8626" s="50">
        <v>44603.5652366203</v>
      </c>
      <c r="C8626" s="51">
        <v>0.999</v>
      </c>
      <c r="D8626" s="51">
        <v>63.0</v>
      </c>
      <c r="E8626" s="52" t="s">
        <v>25</v>
      </c>
      <c r="F8626" s="52" t="s">
        <v>26</v>
      </c>
      <c r="G8626" s="53"/>
    </row>
    <row r="8627">
      <c r="A8627" s="49">
        <v>44603.45069719908</v>
      </c>
      <c r="B8627" s="50">
        <v>44603.5756586342</v>
      </c>
      <c r="C8627" s="51">
        <v>0.999</v>
      </c>
      <c r="D8627" s="51">
        <v>63.0</v>
      </c>
      <c r="E8627" s="52" t="s">
        <v>25</v>
      </c>
      <c r="F8627" s="52" t="s">
        <v>26</v>
      </c>
      <c r="G8627" s="53"/>
    </row>
    <row r="8628">
      <c r="A8628" s="49">
        <v>44603.461109375</v>
      </c>
      <c r="B8628" s="50">
        <v>44603.5860793402</v>
      </c>
      <c r="C8628" s="51">
        <v>0.999</v>
      </c>
      <c r="D8628" s="51">
        <v>63.0</v>
      </c>
      <c r="E8628" s="52" t="s">
        <v>25</v>
      </c>
      <c r="F8628" s="52" t="s">
        <v>26</v>
      </c>
      <c r="G8628" s="53"/>
    </row>
    <row r="8629">
      <c r="A8629" s="49">
        <v>44603.47152663194</v>
      </c>
      <c r="B8629" s="50">
        <v>44603.596501412</v>
      </c>
      <c r="C8629" s="51">
        <v>0.999</v>
      </c>
      <c r="D8629" s="51">
        <v>63.0</v>
      </c>
      <c r="E8629" s="52" t="s">
        <v>25</v>
      </c>
      <c r="F8629" s="52" t="s">
        <v>26</v>
      </c>
      <c r="G8629" s="53"/>
    </row>
    <row r="8630">
      <c r="A8630" s="49">
        <v>44603.48194556713</v>
      </c>
      <c r="B8630" s="50">
        <v>44603.6069231481</v>
      </c>
      <c r="C8630" s="51">
        <v>0.999</v>
      </c>
      <c r="D8630" s="51">
        <v>63.0</v>
      </c>
      <c r="E8630" s="52" t="s">
        <v>25</v>
      </c>
      <c r="F8630" s="52" t="s">
        <v>26</v>
      </c>
      <c r="G8630" s="53"/>
    </row>
    <row r="8631">
      <c r="A8631" s="49">
        <v>44603.49238891204</v>
      </c>
      <c r="B8631" s="50">
        <v>44603.6173565972</v>
      </c>
      <c r="C8631" s="51">
        <v>0.999</v>
      </c>
      <c r="D8631" s="51">
        <v>63.0</v>
      </c>
      <c r="E8631" s="52" t="s">
        <v>25</v>
      </c>
      <c r="F8631" s="52" t="s">
        <v>26</v>
      </c>
      <c r="G8631" s="53"/>
    </row>
    <row r="8632">
      <c r="A8632" s="49">
        <v>44603.50280886574</v>
      </c>
      <c r="B8632" s="50">
        <v>44603.6277771296</v>
      </c>
      <c r="C8632" s="51">
        <v>0.999</v>
      </c>
      <c r="D8632" s="51">
        <v>63.0</v>
      </c>
      <c r="E8632" s="52" t="s">
        <v>25</v>
      </c>
      <c r="F8632" s="52" t="s">
        <v>26</v>
      </c>
      <c r="G8632" s="53"/>
    </row>
    <row r="8633">
      <c r="A8633" s="49">
        <v>44603.51322491898</v>
      </c>
      <c r="B8633" s="50">
        <v>44603.6381980439</v>
      </c>
      <c r="C8633" s="51">
        <v>0.999</v>
      </c>
      <c r="D8633" s="51">
        <v>63.0</v>
      </c>
      <c r="E8633" s="52" t="s">
        <v>25</v>
      </c>
      <c r="F8633" s="52" t="s">
        <v>26</v>
      </c>
      <c r="G8633" s="53"/>
    </row>
    <row r="8634">
      <c r="A8634" s="49">
        <v>44603.52365048611</v>
      </c>
      <c r="B8634" s="50">
        <v>44603.6486196296</v>
      </c>
      <c r="C8634" s="51">
        <v>0.999</v>
      </c>
      <c r="D8634" s="51">
        <v>63.0</v>
      </c>
      <c r="E8634" s="52" t="s">
        <v>25</v>
      </c>
      <c r="F8634" s="52" t="s">
        <v>26</v>
      </c>
      <c r="G8634" s="53"/>
    </row>
    <row r="8635">
      <c r="A8635" s="49">
        <v>44603.53409402778</v>
      </c>
      <c r="B8635" s="50">
        <v>44603.6590625578</v>
      </c>
      <c r="C8635" s="51">
        <v>0.999</v>
      </c>
      <c r="D8635" s="51">
        <v>63.0</v>
      </c>
      <c r="E8635" s="52" t="s">
        <v>25</v>
      </c>
      <c r="F8635" s="52" t="s">
        <v>26</v>
      </c>
      <c r="G8635" s="53"/>
    </row>
    <row r="8636">
      <c r="A8636" s="49">
        <v>44603.544510694446</v>
      </c>
      <c r="B8636" s="50">
        <v>44603.6694828009</v>
      </c>
      <c r="C8636" s="51">
        <v>0.999</v>
      </c>
      <c r="D8636" s="51">
        <v>63.0</v>
      </c>
      <c r="E8636" s="52" t="s">
        <v>25</v>
      </c>
      <c r="F8636" s="52" t="s">
        <v>26</v>
      </c>
      <c r="G8636" s="53"/>
    </row>
    <row r="8637">
      <c r="A8637" s="49">
        <v>44603.55493125</v>
      </c>
      <c r="B8637" s="50">
        <v>44603.6799041203</v>
      </c>
      <c r="C8637" s="51">
        <v>0.999</v>
      </c>
      <c r="D8637" s="51">
        <v>63.0</v>
      </c>
      <c r="E8637" s="52" t="s">
        <v>25</v>
      </c>
      <c r="F8637" s="52" t="s">
        <v>26</v>
      </c>
      <c r="G8637" s="53"/>
    </row>
    <row r="8638">
      <c r="A8638" s="49">
        <v>44603.56534821759</v>
      </c>
      <c r="B8638" s="50">
        <v>44603.6903239699</v>
      </c>
      <c r="C8638" s="51">
        <v>0.999</v>
      </c>
      <c r="D8638" s="51">
        <v>63.0</v>
      </c>
      <c r="E8638" s="52" t="s">
        <v>25</v>
      </c>
      <c r="F8638" s="52" t="s">
        <v>26</v>
      </c>
      <c r="G8638" s="53"/>
    </row>
    <row r="8639">
      <c r="A8639" s="49">
        <v>44603.57577487269</v>
      </c>
      <c r="B8639" s="50">
        <v>44603.700745324</v>
      </c>
      <c r="C8639" s="51">
        <v>0.999</v>
      </c>
      <c r="D8639" s="51">
        <v>63.0</v>
      </c>
      <c r="E8639" s="52" t="s">
        <v>25</v>
      </c>
      <c r="F8639" s="52" t="s">
        <v>26</v>
      </c>
      <c r="G8639" s="53"/>
    </row>
    <row r="8640">
      <c r="A8640" s="49">
        <v>44603.586199745376</v>
      </c>
      <c r="B8640" s="50">
        <v>44603.7111654745</v>
      </c>
      <c r="C8640" s="51">
        <v>0.999</v>
      </c>
      <c r="D8640" s="51">
        <v>63.0</v>
      </c>
      <c r="E8640" s="52" t="s">
        <v>25</v>
      </c>
      <c r="F8640" s="52" t="s">
        <v>26</v>
      </c>
      <c r="G8640" s="53"/>
    </row>
    <row r="8641">
      <c r="A8641" s="49">
        <v>44603.59660986111</v>
      </c>
      <c r="B8641" s="50">
        <v>44603.7215873611</v>
      </c>
      <c r="C8641" s="51">
        <v>0.999</v>
      </c>
      <c r="D8641" s="51">
        <v>63.0</v>
      </c>
      <c r="E8641" s="52" t="s">
        <v>25</v>
      </c>
      <c r="F8641" s="52" t="s">
        <v>26</v>
      </c>
      <c r="G8641" s="53"/>
    </row>
    <row r="8642">
      <c r="A8642" s="49">
        <v>44603.607040787036</v>
      </c>
      <c r="B8642" s="50">
        <v>44603.7320093981</v>
      </c>
      <c r="C8642" s="51">
        <v>0.999</v>
      </c>
      <c r="D8642" s="51">
        <v>63.0</v>
      </c>
      <c r="E8642" s="52" t="s">
        <v>25</v>
      </c>
      <c r="F8642" s="52" t="s">
        <v>26</v>
      </c>
      <c r="G8642" s="53"/>
    </row>
    <row r="8643">
      <c r="A8643" s="49">
        <v>44603.61746010417</v>
      </c>
      <c r="B8643" s="50">
        <v>44603.7424300925</v>
      </c>
      <c r="C8643" s="51">
        <v>0.999</v>
      </c>
      <c r="D8643" s="51">
        <v>63.0</v>
      </c>
      <c r="E8643" s="52" t="s">
        <v>25</v>
      </c>
      <c r="F8643" s="52" t="s">
        <v>26</v>
      </c>
      <c r="G8643" s="53"/>
    </row>
    <row r="8644">
      <c r="A8644" s="49">
        <v>44603.62788021991</v>
      </c>
      <c r="B8644" s="50">
        <v>44603.7528524537</v>
      </c>
      <c r="C8644" s="51">
        <v>0.999</v>
      </c>
      <c r="D8644" s="51">
        <v>63.0</v>
      </c>
      <c r="E8644" s="52" t="s">
        <v>25</v>
      </c>
      <c r="F8644" s="52" t="s">
        <v>26</v>
      </c>
      <c r="G8644" s="53"/>
    </row>
    <row r="8645">
      <c r="A8645" s="49">
        <v>44603.63829621528</v>
      </c>
      <c r="B8645" s="50">
        <v>44603.7632733449</v>
      </c>
      <c r="C8645" s="51">
        <v>0.999</v>
      </c>
      <c r="D8645" s="51">
        <v>63.0</v>
      </c>
      <c r="E8645" s="52" t="s">
        <v>25</v>
      </c>
      <c r="F8645" s="52" t="s">
        <v>26</v>
      </c>
      <c r="G8645" s="53"/>
    </row>
    <row r="8646">
      <c r="A8646" s="49">
        <v>44603.6487253588</v>
      </c>
      <c r="B8646" s="50">
        <v>44603.7736959722</v>
      </c>
      <c r="C8646" s="51">
        <v>0.999</v>
      </c>
      <c r="D8646" s="51">
        <v>63.0</v>
      </c>
      <c r="E8646" s="52" t="s">
        <v>25</v>
      </c>
      <c r="F8646" s="52" t="s">
        <v>26</v>
      </c>
      <c r="G8646" s="53"/>
    </row>
    <row r="8647">
      <c r="A8647" s="49">
        <v>44603.65915290509</v>
      </c>
      <c r="B8647" s="50">
        <v>44603.7841316435</v>
      </c>
      <c r="C8647" s="51">
        <v>0.999</v>
      </c>
      <c r="D8647" s="51">
        <v>63.0</v>
      </c>
      <c r="E8647" s="52" t="s">
        <v>25</v>
      </c>
      <c r="F8647" s="52" t="s">
        <v>26</v>
      </c>
      <c r="G8647" s="53"/>
    </row>
    <row r="8648">
      <c r="A8648" s="49">
        <v>44603.66958346065</v>
      </c>
      <c r="B8648" s="50">
        <v>44603.7945520138</v>
      </c>
      <c r="C8648" s="51">
        <v>0.999</v>
      </c>
      <c r="D8648" s="51">
        <v>63.0</v>
      </c>
      <c r="E8648" s="52" t="s">
        <v>25</v>
      </c>
      <c r="F8648" s="52" t="s">
        <v>26</v>
      </c>
      <c r="G8648" s="53"/>
    </row>
    <row r="8649">
      <c r="A8649" s="49">
        <v>44603.679998506945</v>
      </c>
      <c r="B8649" s="50">
        <v>44603.8049737731</v>
      </c>
      <c r="C8649" s="51">
        <v>0.999</v>
      </c>
      <c r="D8649" s="51">
        <v>63.0</v>
      </c>
      <c r="E8649" s="52" t="s">
        <v>25</v>
      </c>
      <c r="F8649" s="52" t="s">
        <v>26</v>
      </c>
      <c r="G8649" s="53"/>
    </row>
    <row r="8650">
      <c r="A8650" s="49">
        <v>44603.69041633102</v>
      </c>
      <c r="B8650" s="50">
        <v>44603.8153965162</v>
      </c>
      <c r="C8650" s="51">
        <v>0.999</v>
      </c>
      <c r="D8650" s="51">
        <v>63.0</v>
      </c>
      <c r="E8650" s="52" t="s">
        <v>25</v>
      </c>
      <c r="F8650" s="52" t="s">
        <v>26</v>
      </c>
      <c r="G8650" s="53"/>
    </row>
    <row r="8651">
      <c r="A8651" s="49">
        <v>44603.70086271991</v>
      </c>
      <c r="B8651" s="50">
        <v>44603.8258410069</v>
      </c>
      <c r="C8651" s="51">
        <v>0.999</v>
      </c>
      <c r="D8651" s="51">
        <v>63.0</v>
      </c>
      <c r="E8651" s="52" t="s">
        <v>25</v>
      </c>
      <c r="F8651" s="52" t="s">
        <v>26</v>
      </c>
      <c r="G8651" s="53"/>
    </row>
    <row r="8652">
      <c r="A8652" s="49">
        <v>44603.71129203704</v>
      </c>
      <c r="B8652" s="50">
        <v>44603.8362610995</v>
      </c>
      <c r="C8652" s="51">
        <v>0.999</v>
      </c>
      <c r="D8652" s="51">
        <v>63.0</v>
      </c>
      <c r="E8652" s="52" t="s">
        <v>25</v>
      </c>
      <c r="F8652" s="52" t="s">
        <v>26</v>
      </c>
      <c r="G8652" s="53"/>
    </row>
    <row r="8653">
      <c r="A8653" s="49">
        <v>44603.72172583333</v>
      </c>
      <c r="B8653" s="50">
        <v>44603.8466942129</v>
      </c>
      <c r="C8653" s="51">
        <v>0.999</v>
      </c>
      <c r="D8653" s="51">
        <v>63.0</v>
      </c>
      <c r="E8653" s="52" t="s">
        <v>25</v>
      </c>
      <c r="F8653" s="52" t="s">
        <v>26</v>
      </c>
      <c r="G8653" s="53"/>
    </row>
    <row r="8654">
      <c r="A8654" s="49">
        <v>44603.732139513886</v>
      </c>
      <c r="B8654" s="50">
        <v>44603.8571141782</v>
      </c>
      <c r="C8654" s="51">
        <v>0.999</v>
      </c>
      <c r="D8654" s="51">
        <v>63.0</v>
      </c>
      <c r="E8654" s="52" t="s">
        <v>25</v>
      </c>
      <c r="F8654" s="52" t="s">
        <v>26</v>
      </c>
      <c r="G8654" s="53"/>
    </row>
    <row r="8655">
      <c r="A8655" s="49">
        <v>44603.74256788194</v>
      </c>
      <c r="B8655" s="50">
        <v>44603.8675367129</v>
      </c>
      <c r="C8655" s="51">
        <v>0.999</v>
      </c>
      <c r="D8655" s="51">
        <v>63.0</v>
      </c>
      <c r="E8655" s="52" t="s">
        <v>25</v>
      </c>
      <c r="F8655" s="52" t="s">
        <v>26</v>
      </c>
      <c r="G8655" s="53"/>
    </row>
    <row r="8656">
      <c r="A8656" s="49">
        <v>44603.75297934028</v>
      </c>
      <c r="B8656" s="50">
        <v>44603.877957905</v>
      </c>
      <c r="C8656" s="51">
        <v>0.999</v>
      </c>
      <c r="D8656" s="51">
        <v>63.0</v>
      </c>
      <c r="E8656" s="52" t="s">
        <v>25</v>
      </c>
      <c r="F8656" s="52" t="s">
        <v>26</v>
      </c>
      <c r="G8656" s="53"/>
    </row>
    <row r="8657">
      <c r="A8657" s="49">
        <v>44603.763404722224</v>
      </c>
      <c r="B8657" s="50">
        <v>44603.8883771759</v>
      </c>
      <c r="C8657" s="51">
        <v>0.999</v>
      </c>
      <c r="D8657" s="51">
        <v>63.0</v>
      </c>
      <c r="E8657" s="52" t="s">
        <v>25</v>
      </c>
      <c r="F8657" s="52" t="s">
        <v>26</v>
      </c>
      <c r="G8657" s="53"/>
    </row>
    <row r="8658">
      <c r="A8658" s="49">
        <v>44603.773841284725</v>
      </c>
      <c r="B8658" s="50">
        <v>44603.8988104513</v>
      </c>
      <c r="C8658" s="51">
        <v>0.999</v>
      </c>
      <c r="D8658" s="51">
        <v>63.0</v>
      </c>
      <c r="E8658" s="52" t="s">
        <v>25</v>
      </c>
      <c r="F8658" s="52" t="s">
        <v>26</v>
      </c>
      <c r="G8658" s="53"/>
    </row>
    <row r="8659">
      <c r="A8659" s="49">
        <v>44603.78426371528</v>
      </c>
      <c r="B8659" s="50">
        <v>44603.9092304861</v>
      </c>
      <c r="C8659" s="51">
        <v>0.999</v>
      </c>
      <c r="D8659" s="51">
        <v>63.0</v>
      </c>
      <c r="E8659" s="52" t="s">
        <v>25</v>
      </c>
      <c r="F8659" s="52" t="s">
        <v>26</v>
      </c>
      <c r="G8659" s="53"/>
    </row>
    <row r="8660">
      <c r="A8660" s="49">
        <v>44603.79467721065</v>
      </c>
      <c r="B8660" s="50">
        <v>44603.9196518634</v>
      </c>
      <c r="C8660" s="51">
        <v>0.999</v>
      </c>
      <c r="D8660" s="51">
        <v>63.0</v>
      </c>
      <c r="E8660" s="52" t="s">
        <v>25</v>
      </c>
      <c r="F8660" s="52" t="s">
        <v>26</v>
      </c>
      <c r="G8660" s="53"/>
    </row>
    <row r="8661">
      <c r="A8661" s="49">
        <v>44603.80509894676</v>
      </c>
      <c r="B8661" s="50">
        <v>44603.9300740393</v>
      </c>
      <c r="C8661" s="51">
        <v>0.999</v>
      </c>
      <c r="D8661" s="51">
        <v>63.0</v>
      </c>
      <c r="E8661" s="52" t="s">
        <v>25</v>
      </c>
      <c r="F8661" s="52" t="s">
        <v>26</v>
      </c>
      <c r="G8661" s="53"/>
    </row>
    <row r="8662">
      <c r="A8662" s="49">
        <v>44603.81553369213</v>
      </c>
      <c r="B8662" s="50">
        <v>44603.9405061574</v>
      </c>
      <c r="C8662" s="51">
        <v>0.999</v>
      </c>
      <c r="D8662" s="51">
        <v>63.0</v>
      </c>
      <c r="E8662" s="52" t="s">
        <v>25</v>
      </c>
      <c r="F8662" s="52" t="s">
        <v>26</v>
      </c>
      <c r="G8662" s="53"/>
    </row>
    <row r="8663">
      <c r="A8663" s="49">
        <v>44603.82596261574</v>
      </c>
      <c r="B8663" s="50">
        <v>44603.9509263657</v>
      </c>
      <c r="C8663" s="51">
        <v>0.999</v>
      </c>
      <c r="D8663" s="51">
        <v>63.0</v>
      </c>
      <c r="E8663" s="52" t="s">
        <v>25</v>
      </c>
      <c r="F8663" s="52" t="s">
        <v>26</v>
      </c>
      <c r="G8663" s="53"/>
    </row>
    <row r="8664">
      <c r="A8664" s="49">
        <v>44603.8363734375</v>
      </c>
      <c r="B8664" s="50">
        <v>44603.9613476041</v>
      </c>
      <c r="C8664" s="51">
        <v>0.999</v>
      </c>
      <c r="D8664" s="51">
        <v>63.0</v>
      </c>
      <c r="E8664" s="52" t="s">
        <v>25</v>
      </c>
      <c r="F8664" s="52" t="s">
        <v>26</v>
      </c>
      <c r="G8664" s="53"/>
    </row>
    <row r="8665">
      <c r="A8665" s="49">
        <v>44603.84679166667</v>
      </c>
      <c r="B8665" s="50">
        <v>44603.9717684953</v>
      </c>
      <c r="C8665" s="51">
        <v>0.999</v>
      </c>
      <c r="D8665" s="51">
        <v>63.0</v>
      </c>
      <c r="E8665" s="52" t="s">
        <v>25</v>
      </c>
      <c r="F8665" s="52" t="s">
        <v>26</v>
      </c>
      <c r="G8665" s="53"/>
    </row>
    <row r="8666">
      <c r="A8666" s="49">
        <v>44603.85721116899</v>
      </c>
      <c r="B8666" s="50">
        <v>44603.982191412</v>
      </c>
      <c r="C8666" s="51">
        <v>0.999</v>
      </c>
      <c r="D8666" s="51">
        <v>63.0</v>
      </c>
      <c r="E8666" s="52" t="s">
        <v>25</v>
      </c>
      <c r="F8666" s="52" t="s">
        <v>26</v>
      </c>
      <c r="G8666" s="53"/>
    </row>
    <row r="8667">
      <c r="A8667" s="49">
        <v>44603.8676333912</v>
      </c>
      <c r="B8667" s="50">
        <v>44603.9926110185</v>
      </c>
      <c r="C8667" s="51">
        <v>0.999</v>
      </c>
      <c r="D8667" s="51">
        <v>63.0</v>
      </c>
      <c r="E8667" s="52" t="s">
        <v>25</v>
      </c>
      <c r="F8667" s="52" t="s">
        <v>26</v>
      </c>
      <c r="G8667" s="53"/>
    </row>
    <row r="8668">
      <c r="A8668" s="49">
        <v>44603.87805800926</v>
      </c>
      <c r="B8668" s="50">
        <v>44604.0030331018</v>
      </c>
      <c r="C8668" s="51">
        <v>0.999</v>
      </c>
      <c r="D8668" s="51">
        <v>63.0</v>
      </c>
      <c r="E8668" s="52" t="s">
        <v>25</v>
      </c>
      <c r="F8668" s="52" t="s">
        <v>26</v>
      </c>
      <c r="G8668" s="53"/>
    </row>
    <row r="8669">
      <c r="A8669" s="49">
        <v>44603.88848222222</v>
      </c>
      <c r="B8669" s="50">
        <v>44604.0134540162</v>
      </c>
      <c r="C8669" s="51">
        <v>0.999</v>
      </c>
      <c r="D8669" s="51">
        <v>63.0</v>
      </c>
      <c r="E8669" s="52" t="s">
        <v>25</v>
      </c>
      <c r="F8669" s="52" t="s">
        <v>26</v>
      </c>
      <c r="G8669" s="53"/>
    </row>
    <row r="8670">
      <c r="A8670" s="49">
        <v>44603.8989171412</v>
      </c>
      <c r="B8670" s="50">
        <v>44604.0238873726</v>
      </c>
      <c r="C8670" s="51">
        <v>0.999</v>
      </c>
      <c r="D8670" s="51">
        <v>63.0</v>
      </c>
      <c r="E8670" s="52" t="s">
        <v>25</v>
      </c>
      <c r="F8670" s="52" t="s">
        <v>26</v>
      </c>
      <c r="G8670" s="53"/>
    </row>
    <row r="8671">
      <c r="A8671" s="49">
        <v>44603.90935016204</v>
      </c>
      <c r="B8671" s="50">
        <v>44604.0343191087</v>
      </c>
      <c r="C8671" s="51">
        <v>0.999</v>
      </c>
      <c r="D8671" s="51">
        <v>63.0</v>
      </c>
      <c r="E8671" s="52" t="s">
        <v>25</v>
      </c>
      <c r="F8671" s="52" t="s">
        <v>26</v>
      </c>
      <c r="G8671" s="53"/>
    </row>
    <row r="8672">
      <c r="A8672" s="49">
        <v>44603.919783819445</v>
      </c>
      <c r="B8672" s="50">
        <v>44604.0447503472</v>
      </c>
      <c r="C8672" s="51">
        <v>0.999</v>
      </c>
      <c r="D8672" s="51">
        <v>63.0</v>
      </c>
      <c r="E8672" s="52" t="s">
        <v>25</v>
      </c>
      <c r="F8672" s="52" t="s">
        <v>26</v>
      </c>
      <c r="G8672" s="53"/>
    </row>
    <row r="8673">
      <c r="A8673" s="49">
        <v>44603.93019960648</v>
      </c>
      <c r="B8673" s="50">
        <v>44604.0551713078</v>
      </c>
      <c r="C8673" s="51">
        <v>0.999</v>
      </c>
      <c r="D8673" s="51">
        <v>63.0</v>
      </c>
      <c r="E8673" s="52" t="s">
        <v>25</v>
      </c>
      <c r="F8673" s="52" t="s">
        <v>26</v>
      </c>
      <c r="G8673" s="53"/>
    </row>
    <row r="8674">
      <c r="A8674" s="49">
        <v>44603.94062313657</v>
      </c>
      <c r="B8674" s="50">
        <v>44604.0655947685</v>
      </c>
      <c r="C8674" s="51">
        <v>0.999</v>
      </c>
      <c r="D8674" s="51">
        <v>63.0</v>
      </c>
      <c r="E8674" s="52" t="s">
        <v>25</v>
      </c>
      <c r="F8674" s="52" t="s">
        <v>26</v>
      </c>
      <c r="G8674" s="53"/>
    </row>
    <row r="8675">
      <c r="A8675" s="49">
        <v>44603.95104855324</v>
      </c>
      <c r="B8675" s="50">
        <v>44604.0760154976</v>
      </c>
      <c r="C8675" s="51">
        <v>0.999</v>
      </c>
      <c r="D8675" s="51">
        <v>63.0</v>
      </c>
      <c r="E8675" s="52" t="s">
        <v>25</v>
      </c>
      <c r="F8675" s="52" t="s">
        <v>26</v>
      </c>
      <c r="G8675" s="53"/>
    </row>
    <row r="8676">
      <c r="A8676" s="49">
        <v>44603.96145984954</v>
      </c>
      <c r="B8676" s="50">
        <v>44604.0864348495</v>
      </c>
      <c r="C8676" s="51">
        <v>0.999</v>
      </c>
      <c r="D8676" s="51">
        <v>63.0</v>
      </c>
      <c r="E8676" s="52" t="s">
        <v>25</v>
      </c>
      <c r="F8676" s="52" t="s">
        <v>26</v>
      </c>
      <c r="G8676" s="53"/>
    </row>
    <row r="8677">
      <c r="A8677" s="49">
        <v>44603.97188283565</v>
      </c>
      <c r="B8677" s="50">
        <v>44604.0968566319</v>
      </c>
      <c r="C8677" s="51">
        <v>0.999</v>
      </c>
      <c r="D8677" s="51">
        <v>63.0</v>
      </c>
      <c r="E8677" s="52" t="s">
        <v>25</v>
      </c>
      <c r="F8677" s="52" t="s">
        <v>26</v>
      </c>
      <c r="G8677" s="53"/>
    </row>
    <row r="8678">
      <c r="A8678" s="49">
        <v>44603.982319097224</v>
      </c>
      <c r="B8678" s="50">
        <v>44604.1072889699</v>
      </c>
      <c r="C8678" s="51">
        <v>0.999</v>
      </c>
      <c r="D8678" s="51">
        <v>63.0</v>
      </c>
      <c r="E8678" s="52" t="s">
        <v>25</v>
      </c>
      <c r="F8678" s="52" t="s">
        <v>26</v>
      </c>
      <c r="G8678" s="53"/>
    </row>
    <row r="8679">
      <c r="A8679" s="49">
        <v>44603.99272875</v>
      </c>
      <c r="B8679" s="50">
        <v>44604.1177105208</v>
      </c>
      <c r="C8679" s="51">
        <v>0.999</v>
      </c>
      <c r="D8679" s="51">
        <v>63.0</v>
      </c>
      <c r="E8679" s="52" t="s">
        <v>25</v>
      </c>
      <c r="F8679" s="52" t="s">
        <v>26</v>
      </c>
      <c r="G8679" s="53"/>
    </row>
    <row r="8680">
      <c r="A8680" s="49">
        <v>44604.003156631945</v>
      </c>
      <c r="B8680" s="50">
        <v>44604.1281315856</v>
      </c>
      <c r="C8680" s="51">
        <v>0.999</v>
      </c>
      <c r="D8680" s="51">
        <v>63.0</v>
      </c>
      <c r="E8680" s="52" t="s">
        <v>25</v>
      </c>
      <c r="F8680" s="52" t="s">
        <v>26</v>
      </c>
      <c r="G8680" s="53"/>
    </row>
    <row r="8681">
      <c r="A8681" s="49">
        <v>44604.01358351852</v>
      </c>
      <c r="B8681" s="50">
        <v>44604.1385531597</v>
      </c>
      <c r="C8681" s="51">
        <v>0.999</v>
      </c>
      <c r="D8681" s="51">
        <v>63.0</v>
      </c>
      <c r="E8681" s="52" t="s">
        <v>25</v>
      </c>
      <c r="F8681" s="52" t="s">
        <v>26</v>
      </c>
      <c r="G8681" s="53"/>
    </row>
    <row r="8682">
      <c r="A8682" s="49">
        <v>44604.02399515046</v>
      </c>
      <c r="B8682" s="50">
        <v>44604.1489768634</v>
      </c>
      <c r="C8682" s="51">
        <v>0.999</v>
      </c>
      <c r="D8682" s="51">
        <v>63.0</v>
      </c>
      <c r="E8682" s="52" t="s">
        <v>25</v>
      </c>
      <c r="F8682" s="52" t="s">
        <v>26</v>
      </c>
      <c r="G8682" s="53"/>
    </row>
    <row r="8683">
      <c r="A8683" s="49">
        <v>44604.034416435185</v>
      </c>
      <c r="B8683" s="50">
        <v>44604.1593981018</v>
      </c>
      <c r="C8683" s="51">
        <v>0.999</v>
      </c>
      <c r="D8683" s="51">
        <v>63.0</v>
      </c>
      <c r="E8683" s="52" t="s">
        <v>25</v>
      </c>
      <c r="F8683" s="52" t="s">
        <v>26</v>
      </c>
      <c r="G8683" s="53"/>
    </row>
    <row r="8684">
      <c r="A8684" s="49">
        <v>44604.04483912037</v>
      </c>
      <c r="B8684" s="50">
        <v>44604.1698186342</v>
      </c>
      <c r="C8684" s="51">
        <v>0.999</v>
      </c>
      <c r="D8684" s="51">
        <v>63.0</v>
      </c>
      <c r="E8684" s="52" t="s">
        <v>25</v>
      </c>
      <c r="F8684" s="52" t="s">
        <v>26</v>
      </c>
      <c r="G8684" s="53"/>
    </row>
    <row r="8685">
      <c r="A8685" s="49">
        <v>44604.05526488426</v>
      </c>
      <c r="B8685" s="50">
        <v>44604.1802376041</v>
      </c>
      <c r="C8685" s="51">
        <v>0.999</v>
      </c>
      <c r="D8685" s="51">
        <v>63.0</v>
      </c>
      <c r="E8685" s="52" t="s">
        <v>25</v>
      </c>
      <c r="F8685" s="52" t="s">
        <v>26</v>
      </c>
      <c r="G8685" s="53"/>
    </row>
    <row r="8686">
      <c r="A8686" s="49">
        <v>44604.06568858796</v>
      </c>
      <c r="B8686" s="50">
        <v>44604.1906592013</v>
      </c>
      <c r="C8686" s="51">
        <v>0.999</v>
      </c>
      <c r="D8686" s="51">
        <v>63.0</v>
      </c>
      <c r="E8686" s="52" t="s">
        <v>25</v>
      </c>
      <c r="F8686" s="52" t="s">
        <v>26</v>
      </c>
      <c r="G8686" s="53"/>
    </row>
    <row r="8687">
      <c r="A8687" s="49">
        <v>44604.07610204861</v>
      </c>
      <c r="B8687" s="50">
        <v>44604.201080243</v>
      </c>
      <c r="C8687" s="51">
        <v>0.999</v>
      </c>
      <c r="D8687" s="51">
        <v>63.0</v>
      </c>
      <c r="E8687" s="52" t="s">
        <v>25</v>
      </c>
      <c r="F8687" s="52" t="s">
        <v>26</v>
      </c>
      <c r="G8687" s="53"/>
    </row>
    <row r="8688">
      <c r="A8688" s="49">
        <v>44604.08654150463</v>
      </c>
      <c r="B8688" s="50">
        <v>44604.211513449</v>
      </c>
      <c r="C8688" s="51">
        <v>0.999</v>
      </c>
      <c r="D8688" s="51">
        <v>63.0</v>
      </c>
      <c r="E8688" s="52" t="s">
        <v>25</v>
      </c>
      <c r="F8688" s="52" t="s">
        <v>26</v>
      </c>
      <c r="G8688" s="53"/>
    </row>
    <row r="8689">
      <c r="A8689" s="49">
        <v>44604.09695340278</v>
      </c>
      <c r="B8689" s="50">
        <v>44604.2219345023</v>
      </c>
      <c r="C8689" s="51">
        <v>0.999</v>
      </c>
      <c r="D8689" s="51">
        <v>63.0</v>
      </c>
      <c r="E8689" s="52" t="s">
        <v>25</v>
      </c>
      <c r="F8689" s="52" t="s">
        <v>26</v>
      </c>
      <c r="G8689" s="53"/>
    </row>
    <row r="8690">
      <c r="A8690" s="49">
        <v>44604.10739172454</v>
      </c>
      <c r="B8690" s="50">
        <v>44604.2323666319</v>
      </c>
      <c r="C8690" s="51">
        <v>0.999</v>
      </c>
      <c r="D8690" s="51">
        <v>63.0</v>
      </c>
      <c r="E8690" s="52" t="s">
        <v>25</v>
      </c>
      <c r="F8690" s="52" t="s">
        <v>26</v>
      </c>
      <c r="G8690" s="53"/>
    </row>
    <row r="8691">
      <c r="A8691" s="49">
        <v>44604.11782206019</v>
      </c>
      <c r="B8691" s="50">
        <v>44604.242802662</v>
      </c>
      <c r="C8691" s="51">
        <v>0.999</v>
      </c>
      <c r="D8691" s="51">
        <v>63.0</v>
      </c>
      <c r="E8691" s="52" t="s">
        <v>25</v>
      </c>
      <c r="F8691" s="52" t="s">
        <v>26</v>
      </c>
      <c r="G8691" s="53"/>
    </row>
    <row r="8692">
      <c r="A8692" s="49">
        <v>44604.12824989583</v>
      </c>
      <c r="B8692" s="50">
        <v>44604.2532248379</v>
      </c>
      <c r="C8692" s="51">
        <v>0.999</v>
      </c>
      <c r="D8692" s="51">
        <v>63.0</v>
      </c>
      <c r="E8692" s="52" t="s">
        <v>25</v>
      </c>
      <c r="F8692" s="52" t="s">
        <v>26</v>
      </c>
      <c r="G8692" s="53"/>
    </row>
    <row r="8693">
      <c r="A8693" s="49">
        <v>44604.13867148148</v>
      </c>
      <c r="B8693" s="50">
        <v>44604.2636444212</v>
      </c>
      <c r="C8693" s="51">
        <v>0.999</v>
      </c>
      <c r="D8693" s="51">
        <v>63.0</v>
      </c>
      <c r="E8693" s="52" t="s">
        <v>25</v>
      </c>
      <c r="F8693" s="52" t="s">
        <v>26</v>
      </c>
      <c r="G8693" s="53"/>
    </row>
    <row r="8694">
      <c r="A8694" s="49">
        <v>44604.14912394676</v>
      </c>
      <c r="B8694" s="50">
        <v>44604.2741002199</v>
      </c>
      <c r="C8694" s="51">
        <v>0.999</v>
      </c>
      <c r="D8694" s="51">
        <v>63.0</v>
      </c>
      <c r="E8694" s="52" t="s">
        <v>25</v>
      </c>
      <c r="F8694" s="52" t="s">
        <v>26</v>
      </c>
      <c r="G8694" s="53"/>
    </row>
    <row r="8695">
      <c r="A8695" s="49">
        <v>44604.15956325231</v>
      </c>
      <c r="B8695" s="50">
        <v>44604.2845345486</v>
      </c>
      <c r="C8695" s="51">
        <v>0.999</v>
      </c>
      <c r="D8695" s="51">
        <v>63.0</v>
      </c>
      <c r="E8695" s="52" t="s">
        <v>25</v>
      </c>
      <c r="F8695" s="52" t="s">
        <v>26</v>
      </c>
      <c r="G8695" s="53"/>
    </row>
    <row r="8696">
      <c r="A8696" s="49">
        <v>44604.16998003473</v>
      </c>
      <c r="B8696" s="50">
        <v>44604.2949545486</v>
      </c>
      <c r="C8696" s="51">
        <v>0.999</v>
      </c>
      <c r="D8696" s="51">
        <v>63.0</v>
      </c>
      <c r="E8696" s="52" t="s">
        <v>25</v>
      </c>
      <c r="F8696" s="52" t="s">
        <v>26</v>
      </c>
      <c r="G8696" s="53"/>
    </row>
    <row r="8697">
      <c r="A8697" s="49">
        <v>44604.180399351855</v>
      </c>
      <c r="B8697" s="50">
        <v>44604.3053766319</v>
      </c>
      <c r="C8697" s="51">
        <v>0.999</v>
      </c>
      <c r="D8697" s="51">
        <v>63.0</v>
      </c>
      <c r="E8697" s="52" t="s">
        <v>25</v>
      </c>
      <c r="F8697" s="52" t="s">
        <v>26</v>
      </c>
      <c r="G8697" s="53"/>
    </row>
    <row r="8698">
      <c r="A8698" s="49">
        <v>44604.19082013889</v>
      </c>
      <c r="B8698" s="50">
        <v>44604.3157977777</v>
      </c>
      <c r="C8698" s="51">
        <v>0.999</v>
      </c>
      <c r="D8698" s="51">
        <v>63.0</v>
      </c>
      <c r="E8698" s="52" t="s">
        <v>25</v>
      </c>
      <c r="F8698" s="52" t="s">
        <v>26</v>
      </c>
      <c r="G8698" s="53"/>
    </row>
    <row r="8699">
      <c r="A8699" s="49">
        <v>44604.20124642361</v>
      </c>
      <c r="B8699" s="50">
        <v>44604.3262173958</v>
      </c>
      <c r="C8699" s="51">
        <v>0.999</v>
      </c>
      <c r="D8699" s="51">
        <v>63.0</v>
      </c>
      <c r="E8699" s="52" t="s">
        <v>25</v>
      </c>
      <c r="F8699" s="52" t="s">
        <v>26</v>
      </c>
      <c r="G8699" s="53"/>
    </row>
    <row r="8700">
      <c r="A8700" s="49">
        <v>44604.21167737269</v>
      </c>
      <c r="B8700" s="50">
        <v>44604.3366515624</v>
      </c>
      <c r="C8700" s="51">
        <v>0.999</v>
      </c>
      <c r="D8700" s="51">
        <v>63.0</v>
      </c>
      <c r="E8700" s="52" t="s">
        <v>25</v>
      </c>
      <c r="F8700" s="52" t="s">
        <v>26</v>
      </c>
      <c r="G8700" s="53"/>
    </row>
    <row r="8701">
      <c r="A8701" s="49">
        <v>44604.222096157406</v>
      </c>
      <c r="B8701" s="50">
        <v>44604.3470728009</v>
      </c>
      <c r="C8701" s="51">
        <v>0.999</v>
      </c>
      <c r="D8701" s="51">
        <v>63.0</v>
      </c>
      <c r="E8701" s="52" t="s">
        <v>25</v>
      </c>
      <c r="F8701" s="52" t="s">
        <v>26</v>
      </c>
      <c r="G8701" s="53"/>
    </row>
    <row r="8702">
      <c r="A8702" s="49">
        <v>44604.23254028935</v>
      </c>
      <c r="B8702" s="50">
        <v>44604.3575165046</v>
      </c>
      <c r="C8702" s="51">
        <v>0.999</v>
      </c>
      <c r="D8702" s="51">
        <v>63.0</v>
      </c>
      <c r="E8702" s="52" t="s">
        <v>25</v>
      </c>
      <c r="F8702" s="52" t="s">
        <v>26</v>
      </c>
      <c r="G8702" s="53"/>
    </row>
    <row r="8703">
      <c r="A8703" s="49">
        <v>44604.242981539355</v>
      </c>
      <c r="B8703" s="50">
        <v>44604.3679508217</v>
      </c>
      <c r="C8703" s="51">
        <v>0.999</v>
      </c>
      <c r="D8703" s="51">
        <v>63.0</v>
      </c>
      <c r="E8703" s="52" t="s">
        <v>25</v>
      </c>
      <c r="F8703" s="52" t="s">
        <v>26</v>
      </c>
      <c r="G8703" s="53"/>
    </row>
    <row r="8704">
      <c r="A8704" s="49">
        <v>44604.253402685186</v>
      </c>
      <c r="B8704" s="50">
        <v>44604.3783710995</v>
      </c>
      <c r="C8704" s="51">
        <v>0.999</v>
      </c>
      <c r="D8704" s="51">
        <v>63.0</v>
      </c>
      <c r="E8704" s="52" t="s">
        <v>25</v>
      </c>
      <c r="F8704" s="52" t="s">
        <v>26</v>
      </c>
      <c r="G8704" s="53"/>
    </row>
    <row r="8705">
      <c r="A8705" s="49">
        <v>44604.263818645835</v>
      </c>
      <c r="B8705" s="50">
        <v>44604.3887918634</v>
      </c>
      <c r="C8705" s="51">
        <v>0.999</v>
      </c>
      <c r="D8705" s="51">
        <v>63.0</v>
      </c>
      <c r="E8705" s="52" t="s">
        <v>25</v>
      </c>
      <c r="F8705" s="52" t="s">
        <v>26</v>
      </c>
      <c r="G8705" s="53"/>
    </row>
    <row r="8706">
      <c r="A8706" s="49">
        <v>44604.27423386574</v>
      </c>
      <c r="B8706" s="50">
        <v>44604.3992125694</v>
      </c>
      <c r="C8706" s="51">
        <v>0.999</v>
      </c>
      <c r="D8706" s="51">
        <v>63.0</v>
      </c>
      <c r="E8706" s="52" t="s">
        <v>25</v>
      </c>
      <c r="F8706" s="52" t="s">
        <v>26</v>
      </c>
      <c r="G8706" s="53"/>
    </row>
    <row r="8707">
      <c r="A8707" s="49">
        <v>44604.284666817126</v>
      </c>
      <c r="B8707" s="50">
        <v>44604.4096344675</v>
      </c>
      <c r="C8707" s="51">
        <v>0.999</v>
      </c>
      <c r="D8707" s="51">
        <v>63.0</v>
      </c>
      <c r="E8707" s="52" t="s">
        <v>25</v>
      </c>
      <c r="F8707" s="52" t="s">
        <v>26</v>
      </c>
      <c r="G8707" s="53"/>
    </row>
    <row r="8708">
      <c r="A8708" s="49">
        <v>44604.295085289355</v>
      </c>
      <c r="B8708" s="50">
        <v>44604.4200552662</v>
      </c>
      <c r="C8708" s="51">
        <v>0.999</v>
      </c>
      <c r="D8708" s="51">
        <v>63.0</v>
      </c>
      <c r="E8708" s="52" t="s">
        <v>25</v>
      </c>
      <c r="F8708" s="52" t="s">
        <v>26</v>
      </c>
      <c r="G8708" s="53"/>
    </row>
    <row r="8709">
      <c r="A8709" s="49">
        <v>44604.30550376157</v>
      </c>
      <c r="B8709" s="50">
        <v>44604.4304763657</v>
      </c>
      <c r="C8709" s="51">
        <v>0.999</v>
      </c>
      <c r="D8709" s="51">
        <v>63.0</v>
      </c>
      <c r="E8709" s="52" t="s">
        <v>25</v>
      </c>
      <c r="F8709" s="52" t="s">
        <v>26</v>
      </c>
      <c r="G8709" s="53"/>
    </row>
    <row r="8710">
      <c r="A8710" s="49">
        <v>44604.31592594908</v>
      </c>
      <c r="B8710" s="50">
        <v>44604.4408966666</v>
      </c>
      <c r="C8710" s="51">
        <v>0.999</v>
      </c>
      <c r="D8710" s="51">
        <v>63.0</v>
      </c>
      <c r="E8710" s="52" t="s">
        <v>25</v>
      </c>
      <c r="F8710" s="52" t="s">
        <v>26</v>
      </c>
      <c r="G8710" s="53"/>
    </row>
    <row r="8711">
      <c r="A8711" s="49">
        <v>44604.32635939815</v>
      </c>
      <c r="B8711" s="50">
        <v>44604.4513286574</v>
      </c>
      <c r="C8711" s="51">
        <v>0.999</v>
      </c>
      <c r="D8711" s="51">
        <v>63.0</v>
      </c>
      <c r="E8711" s="52" t="s">
        <v>25</v>
      </c>
      <c r="F8711" s="52" t="s">
        <v>26</v>
      </c>
      <c r="G8711" s="53"/>
    </row>
    <row r="8712">
      <c r="A8712" s="49">
        <v>44604.336778425924</v>
      </c>
      <c r="B8712" s="50">
        <v>44604.4617487962</v>
      </c>
      <c r="C8712" s="51">
        <v>0.999</v>
      </c>
      <c r="D8712" s="51">
        <v>63.0</v>
      </c>
      <c r="E8712" s="52" t="s">
        <v>25</v>
      </c>
      <c r="F8712" s="52" t="s">
        <v>26</v>
      </c>
      <c r="G8712" s="53"/>
    </row>
    <row r="8713">
      <c r="A8713" s="49">
        <v>44604.34720520834</v>
      </c>
      <c r="B8713" s="50">
        <v>44604.4721685995</v>
      </c>
      <c r="C8713" s="51">
        <v>0.999</v>
      </c>
      <c r="D8713" s="51">
        <v>63.0</v>
      </c>
      <c r="E8713" s="52" t="s">
        <v>25</v>
      </c>
      <c r="F8713" s="52" t="s">
        <v>26</v>
      </c>
      <c r="G8713" s="53"/>
    </row>
    <row r="8714">
      <c r="A8714" s="49">
        <v>44604.35761173611</v>
      </c>
      <c r="B8714" s="50">
        <v>44604.4825890161</v>
      </c>
      <c r="C8714" s="51">
        <v>0.999</v>
      </c>
      <c r="D8714" s="51">
        <v>63.0</v>
      </c>
      <c r="E8714" s="52" t="s">
        <v>25</v>
      </c>
      <c r="F8714" s="52" t="s">
        <v>26</v>
      </c>
      <c r="G8714" s="53"/>
    </row>
    <row r="8715">
      <c r="A8715" s="49">
        <v>44604.36803880787</v>
      </c>
      <c r="B8715" s="50">
        <v>44604.4930104629</v>
      </c>
      <c r="C8715" s="51">
        <v>0.999</v>
      </c>
      <c r="D8715" s="51">
        <v>63.0</v>
      </c>
      <c r="E8715" s="52" t="s">
        <v>25</v>
      </c>
      <c r="F8715" s="52" t="s">
        <v>26</v>
      </c>
      <c r="G8715" s="53"/>
    </row>
    <row r="8716">
      <c r="A8716" s="49">
        <v>44604.37846734954</v>
      </c>
      <c r="B8716" s="50">
        <v>44604.5034435648</v>
      </c>
      <c r="C8716" s="51">
        <v>0.999</v>
      </c>
      <c r="D8716" s="51">
        <v>63.0</v>
      </c>
      <c r="E8716" s="52" t="s">
        <v>25</v>
      </c>
      <c r="F8716" s="52" t="s">
        <v>26</v>
      </c>
      <c r="G8716" s="53"/>
    </row>
    <row r="8717">
      <c r="A8717" s="49">
        <v>44604.38888583334</v>
      </c>
      <c r="B8717" s="50">
        <v>44604.5138649999</v>
      </c>
      <c r="C8717" s="51">
        <v>0.999</v>
      </c>
      <c r="D8717" s="51">
        <v>63.0</v>
      </c>
      <c r="E8717" s="52" t="s">
        <v>25</v>
      </c>
      <c r="F8717" s="52" t="s">
        <v>26</v>
      </c>
      <c r="G8717" s="53"/>
    </row>
    <row r="8718">
      <c r="A8718" s="49">
        <v>44604.399313726855</v>
      </c>
      <c r="B8718" s="50">
        <v>44604.5242858101</v>
      </c>
      <c r="C8718" s="51">
        <v>0.999</v>
      </c>
      <c r="D8718" s="51">
        <v>63.0</v>
      </c>
      <c r="E8718" s="52" t="s">
        <v>25</v>
      </c>
      <c r="F8718" s="52" t="s">
        <v>26</v>
      </c>
      <c r="G8718" s="53"/>
    </row>
    <row r="8719">
      <c r="A8719" s="49">
        <v>44604.409729074076</v>
      </c>
      <c r="B8719" s="50">
        <v>44604.5347067939</v>
      </c>
      <c r="C8719" s="51">
        <v>0.999</v>
      </c>
      <c r="D8719" s="51">
        <v>63.0</v>
      </c>
      <c r="E8719" s="52" t="s">
        <v>25</v>
      </c>
      <c r="F8719" s="52" t="s">
        <v>26</v>
      </c>
      <c r="G8719" s="53"/>
    </row>
    <row r="8720">
      <c r="A8720" s="49">
        <v>44604.42014997685</v>
      </c>
      <c r="B8720" s="50">
        <v>44604.5451269907</v>
      </c>
      <c r="C8720" s="51">
        <v>0.999</v>
      </c>
      <c r="D8720" s="51">
        <v>63.0</v>
      </c>
      <c r="E8720" s="52" t="s">
        <v>25</v>
      </c>
      <c r="F8720" s="52" t="s">
        <v>26</v>
      </c>
      <c r="G8720" s="53"/>
    </row>
    <row r="8721">
      <c r="A8721" s="49">
        <v>44604.43057626157</v>
      </c>
      <c r="B8721" s="50">
        <v>44604.5555474074</v>
      </c>
      <c r="C8721" s="51">
        <v>0.999</v>
      </c>
      <c r="D8721" s="51">
        <v>63.0</v>
      </c>
      <c r="E8721" s="52" t="s">
        <v>25</v>
      </c>
      <c r="F8721" s="52" t="s">
        <v>26</v>
      </c>
      <c r="G8721" s="53"/>
    </row>
    <row r="8722">
      <c r="A8722" s="49">
        <v>44604.44102175926</v>
      </c>
      <c r="B8722" s="50">
        <v>44604.5659794328</v>
      </c>
      <c r="C8722" s="51">
        <v>0.999</v>
      </c>
      <c r="D8722" s="51">
        <v>63.0</v>
      </c>
      <c r="E8722" s="52" t="s">
        <v>25</v>
      </c>
      <c r="F8722" s="52" t="s">
        <v>26</v>
      </c>
      <c r="G8722" s="53"/>
    </row>
    <row r="8723">
      <c r="A8723" s="49">
        <v>44604.45143197916</v>
      </c>
      <c r="B8723" s="50">
        <v>44604.5763998148</v>
      </c>
      <c r="C8723" s="51">
        <v>0.999</v>
      </c>
      <c r="D8723" s="51">
        <v>63.0</v>
      </c>
      <c r="E8723" s="52" t="s">
        <v>25</v>
      </c>
      <c r="F8723" s="52" t="s">
        <v>26</v>
      </c>
      <c r="G8723" s="53"/>
    </row>
    <row r="8724">
      <c r="A8724" s="49">
        <v>44604.461854548616</v>
      </c>
      <c r="B8724" s="50">
        <v>44604.5868229513</v>
      </c>
      <c r="C8724" s="51">
        <v>0.999</v>
      </c>
      <c r="D8724" s="51">
        <v>63.0</v>
      </c>
      <c r="E8724" s="52" t="s">
        <v>25</v>
      </c>
      <c r="F8724" s="52" t="s">
        <v>26</v>
      </c>
      <c r="G8724" s="53"/>
    </row>
    <row r="8725">
      <c r="A8725" s="49">
        <v>44604.47229491898</v>
      </c>
      <c r="B8725" s="50">
        <v>44604.5972451388</v>
      </c>
      <c r="C8725" s="51">
        <v>0.999</v>
      </c>
      <c r="D8725" s="51">
        <v>63.0</v>
      </c>
      <c r="E8725" s="52" t="s">
        <v>25</v>
      </c>
      <c r="F8725" s="52" t="s">
        <v>26</v>
      </c>
      <c r="G8725" s="53"/>
    </row>
    <row r="8726">
      <c r="A8726" s="49">
        <v>44604.48270142361</v>
      </c>
      <c r="B8726" s="50">
        <v>44604.6076662268</v>
      </c>
      <c r="C8726" s="51">
        <v>0.999</v>
      </c>
      <c r="D8726" s="51">
        <v>63.0</v>
      </c>
      <c r="E8726" s="52" t="s">
        <v>25</v>
      </c>
      <c r="F8726" s="52" t="s">
        <v>26</v>
      </c>
      <c r="G8726" s="53"/>
    </row>
    <row r="8727">
      <c r="A8727" s="49">
        <v>44604.493125775465</v>
      </c>
      <c r="B8727" s="50">
        <v>44604.6180859953</v>
      </c>
      <c r="C8727" s="51">
        <v>0.999</v>
      </c>
      <c r="D8727" s="51">
        <v>63.0</v>
      </c>
      <c r="E8727" s="52" t="s">
        <v>25</v>
      </c>
      <c r="F8727" s="52" t="s">
        <v>26</v>
      </c>
      <c r="G8727" s="53"/>
    </row>
    <row r="8728">
      <c r="A8728" s="49">
        <v>44604.50354152778</v>
      </c>
      <c r="B8728" s="50">
        <v>44604.6285069213</v>
      </c>
      <c r="C8728" s="51">
        <v>0.999</v>
      </c>
      <c r="D8728" s="51">
        <v>63.0</v>
      </c>
      <c r="E8728" s="52" t="s">
        <v>25</v>
      </c>
      <c r="F8728" s="52" t="s">
        <v>26</v>
      </c>
      <c r="G8728" s="53"/>
    </row>
    <row r="8729">
      <c r="A8729" s="49">
        <v>44604.51396510417</v>
      </c>
      <c r="B8729" s="50">
        <v>44604.638927118</v>
      </c>
      <c r="C8729" s="51">
        <v>0.999</v>
      </c>
      <c r="D8729" s="51">
        <v>63.0</v>
      </c>
      <c r="E8729" s="52" t="s">
        <v>25</v>
      </c>
      <c r="F8729" s="52" t="s">
        <v>26</v>
      </c>
      <c r="G8729" s="53"/>
    </row>
    <row r="8730">
      <c r="A8730" s="49">
        <v>44604.5243886574</v>
      </c>
      <c r="B8730" s="50">
        <v>44604.6493591898</v>
      </c>
      <c r="C8730" s="51">
        <v>0.999</v>
      </c>
      <c r="D8730" s="51">
        <v>63.0</v>
      </c>
      <c r="E8730" s="52" t="s">
        <v>25</v>
      </c>
      <c r="F8730" s="52" t="s">
        <v>26</v>
      </c>
      <c r="G8730" s="53"/>
    </row>
    <row r="8731">
      <c r="A8731" s="49">
        <v>44604.53481728009</v>
      </c>
      <c r="B8731" s="50">
        <v>44604.6597818171</v>
      </c>
      <c r="C8731" s="51">
        <v>0.999</v>
      </c>
      <c r="D8731" s="51">
        <v>63.0</v>
      </c>
      <c r="E8731" s="52" t="s">
        <v>25</v>
      </c>
      <c r="F8731" s="52" t="s">
        <v>26</v>
      </c>
      <c r="G8731" s="53"/>
    </row>
    <row r="8732">
      <c r="A8732" s="49">
        <v>44604.5452462963</v>
      </c>
      <c r="B8732" s="50">
        <v>44604.6702142013</v>
      </c>
      <c r="C8732" s="51">
        <v>0.999</v>
      </c>
      <c r="D8732" s="51">
        <v>63.0</v>
      </c>
      <c r="E8732" s="52" t="s">
        <v>25</v>
      </c>
      <c r="F8732" s="52" t="s">
        <v>26</v>
      </c>
      <c r="G8732" s="53"/>
    </row>
    <row r="8733">
      <c r="A8733" s="49">
        <v>44604.55566219907</v>
      </c>
      <c r="B8733" s="50">
        <v>44604.6806361342</v>
      </c>
      <c r="C8733" s="51">
        <v>0.999</v>
      </c>
      <c r="D8733" s="51">
        <v>63.0</v>
      </c>
      <c r="E8733" s="52" t="s">
        <v>25</v>
      </c>
      <c r="F8733" s="52" t="s">
        <v>26</v>
      </c>
      <c r="G8733" s="53"/>
    </row>
    <row r="8734">
      <c r="A8734" s="49">
        <v>44604.56610026621</v>
      </c>
      <c r="B8734" s="50">
        <v>44604.6910690046</v>
      </c>
      <c r="C8734" s="51">
        <v>0.999</v>
      </c>
      <c r="D8734" s="51">
        <v>63.0</v>
      </c>
      <c r="E8734" s="52" t="s">
        <v>25</v>
      </c>
      <c r="F8734" s="52" t="s">
        <v>26</v>
      </c>
      <c r="G8734" s="53"/>
    </row>
    <row r="8735">
      <c r="A8735" s="49">
        <v>44604.57652396991</v>
      </c>
      <c r="B8735" s="50">
        <v>44604.7014912384</v>
      </c>
      <c r="C8735" s="51">
        <v>0.999</v>
      </c>
      <c r="D8735" s="51">
        <v>63.0</v>
      </c>
      <c r="E8735" s="52" t="s">
        <v>25</v>
      </c>
      <c r="F8735" s="52" t="s">
        <v>26</v>
      </c>
      <c r="G8735" s="53"/>
    </row>
    <row r="8736">
      <c r="A8736" s="49">
        <v>44604.58693884259</v>
      </c>
      <c r="B8736" s="50">
        <v>44604.7119141666</v>
      </c>
      <c r="C8736" s="51">
        <v>0.999</v>
      </c>
      <c r="D8736" s="51">
        <v>63.0</v>
      </c>
      <c r="E8736" s="52" t="s">
        <v>25</v>
      </c>
      <c r="F8736" s="52" t="s">
        <v>26</v>
      </c>
      <c r="G8736" s="53"/>
    </row>
    <row r="8737">
      <c r="A8737" s="49">
        <v>44604.59738479167</v>
      </c>
      <c r="B8737" s="50">
        <v>44604.7223478125</v>
      </c>
      <c r="C8737" s="51">
        <v>0.999</v>
      </c>
      <c r="D8737" s="51">
        <v>63.0</v>
      </c>
      <c r="E8737" s="52" t="s">
        <v>25</v>
      </c>
      <c r="F8737" s="52" t="s">
        <v>26</v>
      </c>
      <c r="G8737" s="53"/>
    </row>
    <row r="8738">
      <c r="A8738" s="49">
        <v>44604.60780288195</v>
      </c>
      <c r="B8738" s="50">
        <v>44604.7327692476</v>
      </c>
      <c r="C8738" s="51">
        <v>0.999</v>
      </c>
      <c r="D8738" s="51">
        <v>63.0</v>
      </c>
      <c r="E8738" s="52" t="s">
        <v>25</v>
      </c>
      <c r="F8738" s="52" t="s">
        <v>26</v>
      </c>
      <c r="G8738" s="53"/>
    </row>
    <row r="8739">
      <c r="A8739" s="49">
        <v>44604.61822503472</v>
      </c>
      <c r="B8739" s="50">
        <v>44604.7431895717</v>
      </c>
      <c r="C8739" s="51">
        <v>0.999</v>
      </c>
      <c r="D8739" s="51">
        <v>63.0</v>
      </c>
      <c r="E8739" s="52" t="s">
        <v>25</v>
      </c>
      <c r="F8739" s="52" t="s">
        <v>26</v>
      </c>
      <c r="G8739" s="53"/>
    </row>
    <row r="8740">
      <c r="A8740" s="49">
        <v>44604.628648125</v>
      </c>
      <c r="B8740" s="50">
        <v>44604.7536090046</v>
      </c>
      <c r="C8740" s="51">
        <v>0.999</v>
      </c>
      <c r="D8740" s="51">
        <v>63.0</v>
      </c>
      <c r="E8740" s="52" t="s">
        <v>25</v>
      </c>
      <c r="F8740" s="52" t="s">
        <v>26</v>
      </c>
      <c r="G8740" s="53"/>
    </row>
    <row r="8741">
      <c r="A8741" s="49">
        <v>44604.63909048611</v>
      </c>
      <c r="B8741" s="50">
        <v>44604.7640542708</v>
      </c>
      <c r="C8741" s="51">
        <v>0.999</v>
      </c>
      <c r="D8741" s="51">
        <v>63.0</v>
      </c>
      <c r="E8741" s="52" t="s">
        <v>25</v>
      </c>
      <c r="F8741" s="52" t="s">
        <v>26</v>
      </c>
      <c r="G8741" s="53"/>
    </row>
    <row r="8742">
      <c r="A8742" s="49">
        <v>44604.649505775466</v>
      </c>
      <c r="B8742" s="50">
        <v>44604.7744761805</v>
      </c>
      <c r="C8742" s="51">
        <v>0.999</v>
      </c>
      <c r="D8742" s="51">
        <v>63.0</v>
      </c>
      <c r="E8742" s="52" t="s">
        <v>25</v>
      </c>
      <c r="F8742" s="52" t="s">
        <v>26</v>
      </c>
      <c r="G8742" s="53"/>
    </row>
    <row r="8743">
      <c r="A8743" s="49">
        <v>44604.65992305556</v>
      </c>
      <c r="B8743" s="50">
        <v>44604.7848984606</v>
      </c>
      <c r="C8743" s="51">
        <v>0.999</v>
      </c>
      <c r="D8743" s="51">
        <v>63.0</v>
      </c>
      <c r="E8743" s="52" t="s">
        <v>25</v>
      </c>
      <c r="F8743" s="52" t="s">
        <v>26</v>
      </c>
      <c r="G8743" s="53"/>
    </row>
    <row r="8744">
      <c r="A8744" s="49">
        <v>44604.670344178245</v>
      </c>
      <c r="B8744" s="50">
        <v>44604.795318993</v>
      </c>
      <c r="C8744" s="51">
        <v>0.999</v>
      </c>
      <c r="D8744" s="51">
        <v>63.0</v>
      </c>
      <c r="E8744" s="52" t="s">
        <v>25</v>
      </c>
      <c r="F8744" s="52" t="s">
        <v>26</v>
      </c>
      <c r="G8744" s="53"/>
    </row>
    <row r="8745">
      <c r="A8745" s="49">
        <v>44604.68077063657</v>
      </c>
      <c r="B8745" s="50">
        <v>44604.8057383217</v>
      </c>
      <c r="C8745" s="51">
        <v>0.999</v>
      </c>
      <c r="D8745" s="51">
        <v>63.0</v>
      </c>
      <c r="E8745" s="52" t="s">
        <v>25</v>
      </c>
      <c r="F8745" s="52" t="s">
        <v>26</v>
      </c>
      <c r="G8745" s="53"/>
    </row>
    <row r="8746">
      <c r="A8746" s="49">
        <v>44604.69119262732</v>
      </c>
      <c r="B8746" s="50">
        <v>44604.8161593981</v>
      </c>
      <c r="C8746" s="51">
        <v>0.999</v>
      </c>
      <c r="D8746" s="51">
        <v>63.0</v>
      </c>
      <c r="E8746" s="52" t="s">
        <v>25</v>
      </c>
      <c r="F8746" s="52" t="s">
        <v>26</v>
      </c>
      <c r="G8746" s="53"/>
    </row>
    <row r="8747">
      <c r="A8747" s="49">
        <v>44604.70163109954</v>
      </c>
      <c r="B8747" s="50">
        <v>44604.8265907986</v>
      </c>
      <c r="C8747" s="51">
        <v>0.999</v>
      </c>
      <c r="D8747" s="51">
        <v>63.0</v>
      </c>
      <c r="E8747" s="52" t="s">
        <v>25</v>
      </c>
      <c r="F8747" s="52" t="s">
        <v>26</v>
      </c>
      <c r="G8747" s="53"/>
    </row>
    <row r="8748">
      <c r="A8748" s="49">
        <v>44604.71204987269</v>
      </c>
      <c r="B8748" s="50">
        <v>44604.837013287</v>
      </c>
      <c r="C8748" s="51">
        <v>0.999</v>
      </c>
      <c r="D8748" s="51">
        <v>63.0</v>
      </c>
      <c r="E8748" s="52" t="s">
        <v>25</v>
      </c>
      <c r="F8748" s="52" t="s">
        <v>26</v>
      </c>
      <c r="G8748" s="53"/>
    </row>
    <row r="8749">
      <c r="A8749" s="49">
        <v>44604.722466886575</v>
      </c>
      <c r="B8749" s="50">
        <v>44604.8474348032</v>
      </c>
      <c r="C8749" s="51">
        <v>0.999</v>
      </c>
      <c r="D8749" s="51">
        <v>63.0</v>
      </c>
      <c r="E8749" s="52" t="s">
        <v>25</v>
      </c>
      <c r="F8749" s="52" t="s">
        <v>26</v>
      </c>
      <c r="G8749" s="53"/>
    </row>
    <row r="8750">
      <c r="A8750" s="49">
        <v>44604.732891168984</v>
      </c>
      <c r="B8750" s="50">
        <v>44604.8578562962</v>
      </c>
      <c r="C8750" s="51">
        <v>0.999</v>
      </c>
      <c r="D8750" s="51">
        <v>63.0</v>
      </c>
      <c r="E8750" s="52" t="s">
        <v>25</v>
      </c>
      <c r="F8750" s="52" t="s">
        <v>26</v>
      </c>
      <c r="G8750" s="53"/>
    </row>
    <row r="8751">
      <c r="A8751" s="49">
        <v>44604.74332609954</v>
      </c>
      <c r="B8751" s="50">
        <v>44604.8682913425</v>
      </c>
      <c r="C8751" s="51">
        <v>0.999</v>
      </c>
      <c r="D8751" s="51">
        <v>63.0</v>
      </c>
      <c r="E8751" s="52" t="s">
        <v>25</v>
      </c>
      <c r="F8751" s="52" t="s">
        <v>26</v>
      </c>
      <c r="G8751" s="53"/>
    </row>
    <row r="8752">
      <c r="A8752" s="49">
        <v>44604.75375015046</v>
      </c>
      <c r="B8752" s="50">
        <v>44604.8787140625</v>
      </c>
      <c r="C8752" s="51">
        <v>0.999</v>
      </c>
      <c r="D8752" s="51">
        <v>63.0</v>
      </c>
      <c r="E8752" s="52" t="s">
        <v>25</v>
      </c>
      <c r="F8752" s="52" t="s">
        <v>26</v>
      </c>
      <c r="G8752" s="53"/>
    </row>
    <row r="8753">
      <c r="A8753" s="49">
        <v>44604.7641724537</v>
      </c>
      <c r="B8753" s="50">
        <v>44604.8891365624</v>
      </c>
      <c r="C8753" s="51">
        <v>0.999</v>
      </c>
      <c r="D8753" s="51">
        <v>63.0</v>
      </c>
      <c r="E8753" s="52" t="s">
        <v>25</v>
      </c>
      <c r="F8753" s="52" t="s">
        <v>26</v>
      </c>
      <c r="G8753" s="53"/>
    </row>
    <row r="8754">
      <c r="A8754" s="49">
        <v>44604.7745915625</v>
      </c>
      <c r="B8754" s="50">
        <v>44604.8995574768</v>
      </c>
      <c r="C8754" s="51">
        <v>0.999</v>
      </c>
      <c r="D8754" s="51">
        <v>63.0</v>
      </c>
      <c r="E8754" s="52" t="s">
        <v>25</v>
      </c>
      <c r="F8754" s="52" t="s">
        <v>26</v>
      </c>
      <c r="G8754" s="53"/>
    </row>
    <row r="8755">
      <c r="A8755" s="49">
        <v>44604.785003287034</v>
      </c>
      <c r="B8755" s="50">
        <v>44604.9099779629</v>
      </c>
      <c r="C8755" s="51">
        <v>0.999</v>
      </c>
      <c r="D8755" s="51">
        <v>63.0</v>
      </c>
      <c r="E8755" s="52" t="s">
        <v>25</v>
      </c>
      <c r="F8755" s="52" t="s">
        <v>26</v>
      </c>
      <c r="G8755" s="53"/>
    </row>
    <row r="8756">
      <c r="A8756" s="49">
        <v>44604.79543208334</v>
      </c>
      <c r="B8756" s="50">
        <v>44604.9203974768</v>
      </c>
      <c r="C8756" s="51">
        <v>0.999</v>
      </c>
      <c r="D8756" s="51">
        <v>63.0</v>
      </c>
      <c r="E8756" s="52" t="s">
        <v>25</v>
      </c>
      <c r="F8756" s="52" t="s">
        <v>26</v>
      </c>
      <c r="G8756" s="53"/>
    </row>
    <row r="8757">
      <c r="A8757" s="49">
        <v>44604.80584888889</v>
      </c>
      <c r="B8757" s="50">
        <v>44604.9308175231</v>
      </c>
      <c r="C8757" s="51">
        <v>0.999</v>
      </c>
      <c r="D8757" s="51">
        <v>63.0</v>
      </c>
      <c r="E8757" s="52" t="s">
        <v>25</v>
      </c>
      <c r="F8757" s="52" t="s">
        <v>26</v>
      </c>
      <c r="G8757" s="53"/>
    </row>
    <row r="8758">
      <c r="A8758" s="49">
        <v>44604.81627278935</v>
      </c>
      <c r="B8758" s="50">
        <v>44604.941238206</v>
      </c>
      <c r="C8758" s="51">
        <v>0.999</v>
      </c>
      <c r="D8758" s="51">
        <v>63.0</v>
      </c>
      <c r="E8758" s="52" t="s">
        <v>25</v>
      </c>
      <c r="F8758" s="52" t="s">
        <v>26</v>
      </c>
      <c r="G8758" s="53"/>
    </row>
    <row r="8759">
      <c r="A8759" s="49">
        <v>44604.82669076389</v>
      </c>
      <c r="B8759" s="50">
        <v>44604.9516588194</v>
      </c>
      <c r="C8759" s="51">
        <v>0.999</v>
      </c>
      <c r="D8759" s="51">
        <v>63.0</v>
      </c>
      <c r="E8759" s="52" t="s">
        <v>25</v>
      </c>
      <c r="F8759" s="52" t="s">
        <v>26</v>
      </c>
      <c r="G8759" s="53"/>
    </row>
    <row r="8760">
      <c r="A8760" s="49">
        <v>44604.83710709491</v>
      </c>
      <c r="B8760" s="50">
        <v>44604.962080162</v>
      </c>
      <c r="C8760" s="51">
        <v>0.999</v>
      </c>
      <c r="D8760" s="51">
        <v>63.0</v>
      </c>
      <c r="E8760" s="52" t="s">
        <v>25</v>
      </c>
      <c r="F8760" s="52" t="s">
        <v>26</v>
      </c>
      <c r="G8760" s="53"/>
    </row>
    <row r="8761">
      <c r="A8761" s="49">
        <v>44604.84753471064</v>
      </c>
      <c r="B8761" s="50">
        <v>44604.9725042824</v>
      </c>
      <c r="C8761" s="51">
        <v>0.999</v>
      </c>
      <c r="D8761" s="51">
        <v>63.0</v>
      </c>
      <c r="E8761" s="52" t="s">
        <v>25</v>
      </c>
      <c r="F8761" s="52" t="s">
        <v>26</v>
      </c>
      <c r="G8761" s="53"/>
    </row>
    <row r="8762">
      <c r="A8762" s="49">
        <v>44604.85796309028</v>
      </c>
      <c r="B8762" s="50">
        <v>44604.9829374305</v>
      </c>
      <c r="C8762" s="51">
        <v>0.999</v>
      </c>
      <c r="D8762" s="51">
        <v>63.0</v>
      </c>
      <c r="E8762" s="52" t="s">
        <v>25</v>
      </c>
      <c r="F8762" s="52" t="s">
        <v>26</v>
      </c>
      <c r="G8762" s="53"/>
    </row>
    <row r="8763">
      <c r="A8763" s="49">
        <v>44604.86839618055</v>
      </c>
      <c r="B8763" s="50">
        <v>44604.993360405</v>
      </c>
      <c r="C8763" s="51">
        <v>0.999</v>
      </c>
      <c r="D8763" s="51">
        <v>63.0</v>
      </c>
      <c r="E8763" s="52" t="s">
        <v>25</v>
      </c>
      <c r="F8763" s="52" t="s">
        <v>26</v>
      </c>
      <c r="G8763" s="53"/>
    </row>
    <row r="8764">
      <c r="A8764" s="49">
        <v>44604.87882165509</v>
      </c>
      <c r="B8764" s="50">
        <v>44605.0037820254</v>
      </c>
      <c r="C8764" s="51">
        <v>0.999</v>
      </c>
      <c r="D8764" s="51">
        <v>63.0</v>
      </c>
      <c r="E8764" s="52" t="s">
        <v>25</v>
      </c>
      <c r="F8764" s="52" t="s">
        <v>26</v>
      </c>
      <c r="G8764" s="53"/>
    </row>
    <row r="8765">
      <c r="A8765" s="49">
        <v>44604.88924958333</v>
      </c>
      <c r="B8765" s="50">
        <v>44605.0142155787</v>
      </c>
      <c r="C8765" s="51">
        <v>0.999</v>
      </c>
      <c r="D8765" s="51">
        <v>63.0</v>
      </c>
      <c r="E8765" s="52" t="s">
        <v>25</v>
      </c>
      <c r="F8765" s="52" t="s">
        <v>26</v>
      </c>
      <c r="G8765" s="53"/>
    </row>
    <row r="8766">
      <c r="A8766" s="49">
        <v>44604.89967616898</v>
      </c>
      <c r="B8766" s="50">
        <v>44605.0246373263</v>
      </c>
      <c r="C8766" s="51">
        <v>0.999</v>
      </c>
      <c r="D8766" s="51">
        <v>63.0</v>
      </c>
      <c r="E8766" s="52" t="s">
        <v>25</v>
      </c>
      <c r="F8766" s="52" t="s">
        <v>26</v>
      </c>
      <c r="G8766" s="53"/>
    </row>
    <row r="8767">
      <c r="A8767" s="49">
        <v>44604.91009138889</v>
      </c>
      <c r="B8767" s="50">
        <v>44605.0350585185</v>
      </c>
      <c r="C8767" s="51">
        <v>0.999</v>
      </c>
      <c r="D8767" s="51">
        <v>63.0</v>
      </c>
      <c r="E8767" s="52" t="s">
        <v>25</v>
      </c>
      <c r="F8767" s="52" t="s">
        <v>26</v>
      </c>
      <c r="G8767" s="53"/>
    </row>
    <row r="8768">
      <c r="A8768" s="49">
        <v>44604.92051273148</v>
      </c>
      <c r="B8768" s="50">
        <v>44605.045480706</v>
      </c>
      <c r="C8768" s="51">
        <v>0.999</v>
      </c>
      <c r="D8768" s="51">
        <v>63.0</v>
      </c>
      <c r="E8768" s="52" t="s">
        <v>25</v>
      </c>
      <c r="F8768" s="52" t="s">
        <v>26</v>
      </c>
      <c r="G8768" s="53"/>
    </row>
    <row r="8769">
      <c r="A8769" s="49">
        <v>44604.93094126157</v>
      </c>
      <c r="B8769" s="50">
        <v>44605.0558998842</v>
      </c>
      <c r="C8769" s="51">
        <v>0.999</v>
      </c>
      <c r="D8769" s="51">
        <v>63.0</v>
      </c>
      <c r="E8769" s="52" t="s">
        <v>25</v>
      </c>
      <c r="F8769" s="52" t="s">
        <v>26</v>
      </c>
      <c r="G8769" s="53"/>
    </row>
    <row r="8770">
      <c r="A8770" s="49">
        <v>44604.94135800926</v>
      </c>
      <c r="B8770" s="50">
        <v>44605.0663217013</v>
      </c>
      <c r="C8770" s="51">
        <v>0.999</v>
      </c>
      <c r="D8770" s="51">
        <v>63.0</v>
      </c>
      <c r="E8770" s="52" t="s">
        <v>25</v>
      </c>
      <c r="F8770" s="52" t="s">
        <v>26</v>
      </c>
      <c r="G8770" s="53"/>
    </row>
    <row r="8771">
      <c r="A8771" s="49">
        <v>44604.95178408565</v>
      </c>
      <c r="B8771" s="50">
        <v>44605.0767424074</v>
      </c>
      <c r="C8771" s="51">
        <v>0.999</v>
      </c>
      <c r="D8771" s="51">
        <v>63.0</v>
      </c>
      <c r="E8771" s="52" t="s">
        <v>25</v>
      </c>
      <c r="F8771" s="52" t="s">
        <v>26</v>
      </c>
      <c r="G8771" s="53"/>
    </row>
    <row r="8772">
      <c r="A8772" s="49">
        <v>44604.96220202546</v>
      </c>
      <c r="B8772" s="50">
        <v>44605.0871660763</v>
      </c>
      <c r="C8772" s="51">
        <v>0.999</v>
      </c>
      <c r="D8772" s="51">
        <v>63.0</v>
      </c>
      <c r="E8772" s="52" t="s">
        <v>25</v>
      </c>
      <c r="F8772" s="52" t="s">
        <v>26</v>
      </c>
      <c r="G8772" s="53"/>
    </row>
    <row r="8773">
      <c r="A8773" s="49">
        <v>44604.972632199075</v>
      </c>
      <c r="B8773" s="50">
        <v>44605.0975994212</v>
      </c>
      <c r="C8773" s="51">
        <v>0.999</v>
      </c>
      <c r="D8773" s="51">
        <v>63.0</v>
      </c>
      <c r="E8773" s="52" t="s">
        <v>25</v>
      </c>
      <c r="F8773" s="52" t="s">
        <v>26</v>
      </c>
      <c r="G8773" s="53"/>
    </row>
    <row r="8774">
      <c r="A8774" s="49">
        <v>44604.98304921296</v>
      </c>
      <c r="B8774" s="50">
        <v>44605.10802125</v>
      </c>
      <c r="C8774" s="51">
        <v>0.999</v>
      </c>
      <c r="D8774" s="51">
        <v>63.0</v>
      </c>
      <c r="E8774" s="52" t="s">
        <v>25</v>
      </c>
      <c r="F8774" s="52" t="s">
        <v>26</v>
      </c>
      <c r="G8774" s="53"/>
    </row>
    <row r="8775">
      <c r="A8775" s="49">
        <v>44604.993476724536</v>
      </c>
      <c r="B8775" s="50">
        <v>44605.1184431597</v>
      </c>
      <c r="C8775" s="51">
        <v>0.999</v>
      </c>
      <c r="D8775" s="51">
        <v>63.0</v>
      </c>
      <c r="E8775" s="52" t="s">
        <v>25</v>
      </c>
      <c r="F8775" s="52" t="s">
        <v>26</v>
      </c>
      <c r="G8775" s="53"/>
    </row>
    <row r="8776">
      <c r="A8776" s="49">
        <v>44605.003899421296</v>
      </c>
      <c r="B8776" s="50">
        <v>44605.1288655439</v>
      </c>
      <c r="C8776" s="51">
        <v>0.999</v>
      </c>
      <c r="D8776" s="51">
        <v>63.0</v>
      </c>
      <c r="E8776" s="52" t="s">
        <v>25</v>
      </c>
      <c r="F8776" s="52" t="s">
        <v>26</v>
      </c>
      <c r="G8776" s="53"/>
    </row>
    <row r="8777">
      <c r="A8777" s="49">
        <v>44605.0143331713</v>
      </c>
      <c r="B8777" s="50">
        <v>44605.1392991666</v>
      </c>
      <c r="C8777" s="51">
        <v>0.999</v>
      </c>
      <c r="D8777" s="51">
        <v>63.0</v>
      </c>
      <c r="E8777" s="52" t="s">
        <v>25</v>
      </c>
      <c r="F8777" s="52" t="s">
        <v>26</v>
      </c>
      <c r="G8777" s="53"/>
    </row>
    <row r="8778">
      <c r="A8778" s="49">
        <v>44605.02475246528</v>
      </c>
      <c r="B8778" s="50">
        <v>44605.1497200463</v>
      </c>
      <c r="C8778" s="51">
        <v>0.999</v>
      </c>
      <c r="D8778" s="51">
        <v>63.0</v>
      </c>
      <c r="E8778" s="52" t="s">
        <v>25</v>
      </c>
      <c r="F8778" s="52" t="s">
        <v>26</v>
      </c>
      <c r="G8778" s="53"/>
    </row>
    <row r="8779">
      <c r="A8779" s="49">
        <v>44605.035168194445</v>
      </c>
      <c r="B8779" s="50">
        <v>44605.1601411574</v>
      </c>
      <c r="C8779" s="51">
        <v>0.999</v>
      </c>
      <c r="D8779" s="51">
        <v>63.0</v>
      </c>
      <c r="E8779" s="52" t="s">
        <v>25</v>
      </c>
      <c r="F8779" s="52" t="s">
        <v>26</v>
      </c>
      <c r="G8779" s="53"/>
    </row>
    <row r="8780">
      <c r="A8780" s="49">
        <v>44605.04558061343</v>
      </c>
      <c r="B8780" s="50">
        <v>44605.170563125</v>
      </c>
      <c r="C8780" s="51">
        <v>0.999</v>
      </c>
      <c r="D8780" s="51">
        <v>63.0</v>
      </c>
      <c r="E8780" s="52" t="s">
        <v>25</v>
      </c>
      <c r="F8780" s="52" t="s">
        <v>26</v>
      </c>
      <c r="G8780" s="53"/>
    </row>
    <row r="8781">
      <c r="A8781" s="49">
        <v>44605.05601789352</v>
      </c>
      <c r="B8781" s="50">
        <v>44605.1809837268</v>
      </c>
      <c r="C8781" s="51">
        <v>0.999</v>
      </c>
      <c r="D8781" s="51">
        <v>63.0</v>
      </c>
      <c r="E8781" s="52" t="s">
        <v>25</v>
      </c>
      <c r="F8781" s="52" t="s">
        <v>26</v>
      </c>
      <c r="G8781" s="53"/>
    </row>
    <row r="8782">
      <c r="A8782" s="49">
        <v>44605.06645854167</v>
      </c>
      <c r="B8782" s="50">
        <v>44605.1914276736</v>
      </c>
      <c r="C8782" s="51">
        <v>0.999</v>
      </c>
      <c r="D8782" s="51">
        <v>63.0</v>
      </c>
      <c r="E8782" s="52" t="s">
        <v>25</v>
      </c>
      <c r="F8782" s="52" t="s">
        <v>26</v>
      </c>
      <c r="G8782" s="53"/>
    </row>
    <row r="8783">
      <c r="A8783" s="49">
        <v>44605.07688820602</v>
      </c>
      <c r="B8783" s="50">
        <v>44605.2018600347</v>
      </c>
      <c r="C8783" s="51">
        <v>0.999</v>
      </c>
      <c r="D8783" s="51">
        <v>63.0</v>
      </c>
      <c r="E8783" s="52" t="s">
        <v>25</v>
      </c>
      <c r="F8783" s="52" t="s">
        <v>26</v>
      </c>
      <c r="G8783" s="53"/>
    </row>
    <row r="8784">
      <c r="A8784" s="49">
        <v>44605.08731618055</v>
      </c>
      <c r="B8784" s="50">
        <v>44605.2122825925</v>
      </c>
      <c r="C8784" s="51">
        <v>0.999</v>
      </c>
      <c r="D8784" s="51">
        <v>63.0</v>
      </c>
      <c r="E8784" s="52" t="s">
        <v>25</v>
      </c>
      <c r="F8784" s="52" t="s">
        <v>26</v>
      </c>
      <c r="G8784" s="53"/>
    </row>
    <row r="8785">
      <c r="A8785" s="49">
        <v>44605.09774075232</v>
      </c>
      <c r="B8785" s="50">
        <v>44605.2227038773</v>
      </c>
      <c r="C8785" s="51">
        <v>0.999</v>
      </c>
      <c r="D8785" s="51">
        <v>63.0</v>
      </c>
      <c r="E8785" s="52" t="s">
        <v>25</v>
      </c>
      <c r="F8785" s="52" t="s">
        <v>26</v>
      </c>
      <c r="G8785" s="53"/>
    </row>
    <row r="8786">
      <c r="A8786" s="49">
        <v>44605.10815810185</v>
      </c>
      <c r="B8786" s="50">
        <v>44605.2331249074</v>
      </c>
      <c r="C8786" s="51">
        <v>0.999</v>
      </c>
      <c r="D8786" s="51">
        <v>63.0</v>
      </c>
      <c r="E8786" s="52" t="s">
        <v>25</v>
      </c>
      <c r="F8786" s="52" t="s">
        <v>26</v>
      </c>
      <c r="G8786" s="53"/>
    </row>
    <row r="8787">
      <c r="A8787" s="49">
        <v>44605.11857528935</v>
      </c>
      <c r="B8787" s="50">
        <v>44605.2435461226</v>
      </c>
      <c r="C8787" s="51">
        <v>0.999</v>
      </c>
      <c r="D8787" s="51">
        <v>63.0</v>
      </c>
      <c r="E8787" s="52" t="s">
        <v>25</v>
      </c>
      <c r="F8787" s="52" t="s">
        <v>26</v>
      </c>
      <c r="G8787" s="53"/>
    </row>
    <row r="8788">
      <c r="A8788" s="49">
        <v>44605.12900554398</v>
      </c>
      <c r="B8788" s="50">
        <v>44605.2539663657</v>
      </c>
      <c r="C8788" s="51">
        <v>0.999</v>
      </c>
      <c r="D8788" s="51">
        <v>63.0</v>
      </c>
      <c r="E8788" s="52" t="s">
        <v>25</v>
      </c>
      <c r="F8788" s="52" t="s">
        <v>26</v>
      </c>
      <c r="G8788" s="53"/>
    </row>
    <row r="8789">
      <c r="A8789" s="49">
        <v>44605.139422418986</v>
      </c>
      <c r="B8789" s="50">
        <v>44605.2643899421</v>
      </c>
      <c r="C8789" s="51">
        <v>0.999</v>
      </c>
      <c r="D8789" s="51">
        <v>63.0</v>
      </c>
      <c r="E8789" s="52" t="s">
        <v>25</v>
      </c>
      <c r="F8789" s="52" t="s">
        <v>26</v>
      </c>
      <c r="G8789" s="53"/>
    </row>
    <row r="8790">
      <c r="A8790" s="49">
        <v>44605.14985707176</v>
      </c>
      <c r="B8790" s="50">
        <v>44605.2748242592</v>
      </c>
      <c r="C8790" s="51">
        <v>0.999</v>
      </c>
      <c r="D8790" s="51">
        <v>63.0</v>
      </c>
      <c r="E8790" s="52" t="s">
        <v>25</v>
      </c>
      <c r="F8790" s="52" t="s">
        <v>26</v>
      </c>
      <c r="G8790" s="53"/>
    </row>
    <row r="8791">
      <c r="A8791" s="49">
        <v>44605.16027487269</v>
      </c>
      <c r="B8791" s="50">
        <v>44605.2852462384</v>
      </c>
      <c r="C8791" s="51">
        <v>0.999</v>
      </c>
      <c r="D8791" s="51">
        <v>63.0</v>
      </c>
      <c r="E8791" s="52" t="s">
        <v>25</v>
      </c>
      <c r="F8791" s="52" t="s">
        <v>26</v>
      </c>
      <c r="G8791" s="53"/>
    </row>
    <row r="8792">
      <c r="A8792" s="49">
        <v>44605.170705833334</v>
      </c>
      <c r="B8792" s="50">
        <v>44605.2956679166</v>
      </c>
      <c r="C8792" s="51">
        <v>0.999</v>
      </c>
      <c r="D8792" s="51">
        <v>63.0</v>
      </c>
      <c r="E8792" s="52" t="s">
        <v>25</v>
      </c>
      <c r="F8792" s="52" t="s">
        <v>26</v>
      </c>
      <c r="G8792" s="53"/>
    </row>
    <row r="8793">
      <c r="A8793" s="49">
        <v>44605.18112998843</v>
      </c>
      <c r="B8793" s="50">
        <v>44605.3061008217</v>
      </c>
      <c r="C8793" s="51">
        <v>0.999</v>
      </c>
      <c r="D8793" s="51">
        <v>63.0</v>
      </c>
      <c r="E8793" s="52" t="s">
        <v>25</v>
      </c>
      <c r="F8793" s="52" t="s">
        <v>26</v>
      </c>
      <c r="G8793" s="53"/>
    </row>
    <row r="8794">
      <c r="A8794" s="49">
        <v>44605.191556157406</v>
      </c>
      <c r="B8794" s="50">
        <v>44605.3165318287</v>
      </c>
      <c r="C8794" s="51">
        <v>0.999</v>
      </c>
      <c r="D8794" s="51">
        <v>63.0</v>
      </c>
      <c r="E8794" s="52" t="s">
        <v>25</v>
      </c>
      <c r="F8794" s="52" t="s">
        <v>26</v>
      </c>
      <c r="G8794" s="53"/>
    </row>
    <row r="8795">
      <c r="A8795" s="49">
        <v>44605.20197928241</v>
      </c>
      <c r="B8795" s="50">
        <v>44605.3269523148</v>
      </c>
      <c r="C8795" s="51">
        <v>0.999</v>
      </c>
      <c r="D8795" s="51">
        <v>63.0</v>
      </c>
      <c r="E8795" s="52" t="s">
        <v>25</v>
      </c>
      <c r="F8795" s="52" t="s">
        <v>26</v>
      </c>
      <c r="G8795" s="53"/>
    </row>
    <row r="8796">
      <c r="A8796" s="49">
        <v>44605.21241965277</v>
      </c>
      <c r="B8796" s="50">
        <v>44605.3373847685</v>
      </c>
      <c r="C8796" s="51">
        <v>0.999</v>
      </c>
      <c r="D8796" s="51">
        <v>63.0</v>
      </c>
      <c r="E8796" s="52" t="s">
        <v>25</v>
      </c>
      <c r="F8796" s="52" t="s">
        <v>26</v>
      </c>
      <c r="G8796" s="53"/>
    </row>
    <row r="8797">
      <c r="A8797" s="49">
        <v>44605.22283438657</v>
      </c>
      <c r="B8797" s="50">
        <v>44605.3478060185</v>
      </c>
      <c r="C8797" s="51">
        <v>0.999</v>
      </c>
      <c r="D8797" s="51">
        <v>63.0</v>
      </c>
      <c r="E8797" s="52" t="s">
        <v>25</v>
      </c>
      <c r="F8797" s="52" t="s">
        <v>26</v>
      </c>
      <c r="G8797" s="53"/>
    </row>
    <row r="8798">
      <c r="A8798" s="49">
        <v>44605.23325159722</v>
      </c>
      <c r="B8798" s="50">
        <v>44605.3582264004</v>
      </c>
      <c r="C8798" s="51">
        <v>0.999</v>
      </c>
      <c r="D8798" s="51">
        <v>63.0</v>
      </c>
      <c r="E8798" s="52" t="s">
        <v>25</v>
      </c>
      <c r="F8798" s="52" t="s">
        <v>26</v>
      </c>
      <c r="G8798" s="53"/>
    </row>
    <row r="8799">
      <c r="A8799" s="49">
        <v>44605.24367658565</v>
      </c>
      <c r="B8799" s="50">
        <v>44605.3686468055</v>
      </c>
      <c r="C8799" s="51">
        <v>0.999</v>
      </c>
      <c r="D8799" s="51">
        <v>63.0</v>
      </c>
      <c r="E8799" s="52" t="s">
        <v>25</v>
      </c>
      <c r="F8799" s="52" t="s">
        <v>26</v>
      </c>
      <c r="G8799" s="53"/>
    </row>
    <row r="8800">
      <c r="A8800" s="49">
        <v>44605.25409918981</v>
      </c>
      <c r="B8800" s="50">
        <v>44605.3790679166</v>
      </c>
      <c r="C8800" s="51">
        <v>0.999</v>
      </c>
      <c r="D8800" s="51">
        <v>63.0</v>
      </c>
      <c r="E8800" s="52" t="s">
        <v>25</v>
      </c>
      <c r="F8800" s="52" t="s">
        <v>26</v>
      </c>
      <c r="G8800" s="53"/>
    </row>
    <row r="8801">
      <c r="A8801" s="49">
        <v>44605.26452597222</v>
      </c>
      <c r="B8801" s="50">
        <v>44605.3894887615</v>
      </c>
      <c r="C8801" s="51">
        <v>0.999</v>
      </c>
      <c r="D8801" s="51">
        <v>63.0</v>
      </c>
      <c r="E8801" s="52" t="s">
        <v>25</v>
      </c>
      <c r="F8801" s="52" t="s">
        <v>26</v>
      </c>
      <c r="G8801" s="53"/>
    </row>
    <row r="8802">
      <c r="A8802" s="49">
        <v>44605.274940601856</v>
      </c>
      <c r="B8802" s="50">
        <v>44605.3999098611</v>
      </c>
      <c r="C8802" s="51">
        <v>0.999</v>
      </c>
      <c r="D8802" s="51">
        <v>63.0</v>
      </c>
      <c r="E8802" s="52" t="s">
        <v>25</v>
      </c>
      <c r="F8802" s="52" t="s">
        <v>26</v>
      </c>
      <c r="G8802" s="53"/>
    </row>
    <row r="8803">
      <c r="A8803" s="49">
        <v>44605.28536659722</v>
      </c>
      <c r="B8803" s="50">
        <v>44605.4103299421</v>
      </c>
      <c r="C8803" s="51">
        <v>0.999</v>
      </c>
      <c r="D8803" s="51">
        <v>63.0</v>
      </c>
      <c r="E8803" s="52" t="s">
        <v>25</v>
      </c>
      <c r="F8803" s="52" t="s">
        <v>26</v>
      </c>
      <c r="G8803" s="53"/>
    </row>
    <row r="8804">
      <c r="A8804" s="49">
        <v>44605.29578961806</v>
      </c>
      <c r="B8804" s="50">
        <v>44605.4207533333</v>
      </c>
      <c r="C8804" s="51">
        <v>0.999</v>
      </c>
      <c r="D8804" s="51">
        <v>63.0</v>
      </c>
      <c r="E8804" s="52" t="s">
        <v>25</v>
      </c>
      <c r="F8804" s="52" t="s">
        <v>26</v>
      </c>
      <c r="G8804" s="53"/>
    </row>
    <row r="8805">
      <c r="A8805" s="49">
        <v>44605.3062134838</v>
      </c>
      <c r="B8805" s="50">
        <v>44605.4311745254</v>
      </c>
      <c r="C8805" s="51">
        <v>0.999</v>
      </c>
      <c r="D8805" s="51">
        <v>63.0</v>
      </c>
      <c r="E8805" s="52" t="s">
        <v>25</v>
      </c>
      <c r="F8805" s="52" t="s">
        <v>26</v>
      </c>
      <c r="G8805" s="53"/>
    </row>
    <row r="8806">
      <c r="A8806" s="49">
        <v>44605.316629560184</v>
      </c>
      <c r="B8806" s="50">
        <v>44605.4415954745</v>
      </c>
      <c r="C8806" s="51">
        <v>0.999</v>
      </c>
      <c r="D8806" s="51">
        <v>63.0</v>
      </c>
      <c r="E8806" s="52" t="s">
        <v>25</v>
      </c>
      <c r="F8806" s="52" t="s">
        <v>26</v>
      </c>
      <c r="G8806" s="53"/>
    </row>
    <row r="8807">
      <c r="A8807" s="49">
        <v>44605.32705443287</v>
      </c>
      <c r="B8807" s="50">
        <v>44605.4520163888</v>
      </c>
      <c r="C8807" s="51">
        <v>0.999</v>
      </c>
      <c r="D8807" s="51">
        <v>63.0</v>
      </c>
      <c r="E8807" s="52" t="s">
        <v>25</v>
      </c>
      <c r="F8807" s="52" t="s">
        <v>26</v>
      </c>
      <c r="G8807" s="53"/>
    </row>
    <row r="8808">
      <c r="A8808" s="49">
        <v>44605.33748472222</v>
      </c>
      <c r="B8808" s="50">
        <v>44605.4624493402</v>
      </c>
      <c r="C8808" s="51">
        <v>0.999</v>
      </c>
      <c r="D8808" s="51">
        <v>63.0</v>
      </c>
      <c r="E8808" s="52" t="s">
        <v>25</v>
      </c>
      <c r="F8808" s="52" t="s">
        <v>26</v>
      </c>
      <c r="G8808" s="53"/>
    </row>
    <row r="8809">
      <c r="A8809" s="49">
        <v>44605.34790959491</v>
      </c>
      <c r="B8809" s="50">
        <v>44605.4728683449</v>
      </c>
      <c r="C8809" s="51">
        <v>0.999</v>
      </c>
      <c r="D8809" s="51">
        <v>63.0</v>
      </c>
      <c r="E8809" s="52" t="s">
        <v>25</v>
      </c>
      <c r="F8809" s="52" t="s">
        <v>26</v>
      </c>
      <c r="G8809" s="53"/>
    </row>
    <row r="8810">
      <c r="A8810" s="49">
        <v>44605.358328622686</v>
      </c>
      <c r="B8810" s="50">
        <v>44605.4832896759</v>
      </c>
      <c r="C8810" s="51">
        <v>0.999</v>
      </c>
      <c r="D8810" s="51">
        <v>63.0</v>
      </c>
      <c r="E8810" s="52" t="s">
        <v>25</v>
      </c>
      <c r="F8810" s="52" t="s">
        <v>26</v>
      </c>
      <c r="G8810" s="53"/>
    </row>
    <row r="8811">
      <c r="A8811" s="49">
        <v>44605.36874380787</v>
      </c>
      <c r="B8811" s="50">
        <v>44605.4937101967</v>
      </c>
      <c r="C8811" s="51">
        <v>0.999</v>
      </c>
      <c r="D8811" s="51">
        <v>63.0</v>
      </c>
      <c r="E8811" s="52" t="s">
        <v>25</v>
      </c>
      <c r="F8811" s="52" t="s">
        <v>26</v>
      </c>
      <c r="G8811" s="53"/>
    </row>
    <row r="8812">
      <c r="A8812" s="49">
        <v>44605.37916165509</v>
      </c>
      <c r="B8812" s="50">
        <v>44605.5041298379</v>
      </c>
      <c r="C8812" s="51">
        <v>0.999</v>
      </c>
      <c r="D8812" s="51">
        <v>63.0</v>
      </c>
      <c r="E8812" s="52" t="s">
        <v>25</v>
      </c>
      <c r="F8812" s="52" t="s">
        <v>26</v>
      </c>
      <c r="G8812" s="53"/>
    </row>
    <row r="8813">
      <c r="A8813" s="49">
        <v>44605.389595</v>
      </c>
      <c r="B8813" s="50">
        <v>44605.514552199</v>
      </c>
      <c r="C8813" s="51">
        <v>0.999</v>
      </c>
      <c r="D8813" s="51">
        <v>63.0</v>
      </c>
      <c r="E8813" s="52" t="s">
        <v>25</v>
      </c>
      <c r="F8813" s="52" t="s">
        <v>26</v>
      </c>
      <c r="G8813" s="53"/>
    </row>
    <row r="8814">
      <c r="A8814" s="49">
        <v>44605.39999855324</v>
      </c>
      <c r="B8814" s="50">
        <v>44605.5249725115</v>
      </c>
      <c r="C8814" s="51">
        <v>0.999</v>
      </c>
      <c r="D8814" s="51">
        <v>63.0</v>
      </c>
      <c r="E8814" s="52" t="s">
        <v>25</v>
      </c>
      <c r="F8814" s="52" t="s">
        <v>26</v>
      </c>
      <c r="G8814" s="53"/>
    </row>
    <row r="8815">
      <c r="A8815" s="49">
        <v>44605.410433599536</v>
      </c>
      <c r="B8815" s="50">
        <v>44605.5353951504</v>
      </c>
      <c r="C8815" s="51">
        <v>0.999</v>
      </c>
      <c r="D8815" s="51">
        <v>63.0</v>
      </c>
      <c r="E8815" s="52" t="s">
        <v>25</v>
      </c>
      <c r="F8815" s="52" t="s">
        <v>26</v>
      </c>
      <c r="G8815" s="53"/>
    </row>
    <row r="8816">
      <c r="A8816" s="49">
        <v>44605.42084276621</v>
      </c>
      <c r="B8816" s="50">
        <v>44605.5458161689</v>
      </c>
      <c r="C8816" s="51">
        <v>0.999</v>
      </c>
      <c r="D8816" s="51">
        <v>63.0</v>
      </c>
      <c r="E8816" s="52" t="s">
        <v>25</v>
      </c>
      <c r="F8816" s="52" t="s">
        <v>26</v>
      </c>
      <c r="G8816" s="53"/>
    </row>
  </sheetData>
  <customSheetViews>
    <customSheetView guid="{D7FE5320-9834-4D55-9C50-9EF1AB7600DE}" filter="1" showAutoFilter="1">
      <autoFilter ref="$B$1:$E$8816"/>
    </customSheetView>
    <customSheetView guid="{F2E701EA-1AD6-4F4E-84DF-883BC47A4FB5}" filter="1" showAutoFilter="1">
      <autoFilter ref="$B$1:$E$2">
        <filterColumn colId="3">
          <filters>
            <filter val="BLUE"/>
          </filters>
        </filterColumn>
      </autoFilter>
    </customSheetView>
  </customSheetView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1.86"/>
  </cols>
  <sheetData>
    <row r="1">
      <c r="A1" s="48" t="s">
        <v>27</v>
      </c>
    </row>
    <row r="2">
      <c r="A2" s="54" t="s">
        <v>28</v>
      </c>
    </row>
    <row r="3">
      <c r="A3" s="54" t="s">
        <v>29</v>
      </c>
    </row>
    <row r="4">
      <c r="A4" s="54" t="s">
        <v>30</v>
      </c>
    </row>
    <row r="5">
      <c r="A5" s="54" t="s">
        <v>31</v>
      </c>
    </row>
    <row r="6">
      <c r="A6" s="54" t="s">
        <v>32</v>
      </c>
    </row>
    <row r="7">
      <c r="A7" s="54" t="s">
        <v>33</v>
      </c>
    </row>
  </sheetData>
  <drawing r:id="rId1"/>
</worksheet>
</file>